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updateLinks="never" codeName="ThisWorkbook" defaultThemeVersion="166925"/>
  <mc:AlternateContent xmlns:mc="http://schemas.openxmlformats.org/markup-compatibility/2006">
    <mc:Choice Requires="x15">
      <x15ac:absPath xmlns:x15ac="http://schemas.microsoft.com/office/spreadsheetml/2010/11/ac" url="C:\Users\edane\OneDrive\Desktop\"/>
    </mc:Choice>
  </mc:AlternateContent>
  <xr:revisionPtr revIDLastSave="0" documentId="8_{9B125F09-5870-4298-B01A-225DE58656C0}" xr6:coauthVersionLast="47" xr6:coauthVersionMax="47" xr10:uidLastSave="{00000000-0000-0000-0000-000000000000}"/>
  <bookViews>
    <workbookView xWindow="5955" yWindow="540" windowWidth="23895" windowHeight="16575" firstSheet="1" activeTab="3" xr2:uid="{80826929-B0E0-4053-8B62-96D77486061D}"/>
  </bookViews>
  <sheets>
    <sheet name="WCL" sheetId="51" state="hidden" r:id="rId1"/>
    <sheet name="START" sheetId="47" r:id="rId2"/>
    <sheet name="NEW LEAD" sheetId="4" r:id="rId3"/>
    <sheet name="LEADS" sheetId="8" r:id="rId4"/>
    <sheet name="HOT LIST" sheetId="52" r:id="rId5"/>
    <sheet name="Marketing" sheetId="37" r:id="rId6"/>
    <sheet name="3 OPT" sheetId="17" r:id="rId7"/>
    <sheet name="C - O" sheetId="34" r:id="rId8"/>
    <sheet name="2nd" sheetId="19" r:id="rId9"/>
    <sheet name="PURCHASE" sheetId="73" r:id="rId10"/>
    <sheet name="Doc List" sheetId="53" r:id="rId11"/>
    <sheet name="Resources" sheetId="62" r:id="rId12"/>
    <sheet name="AM CALC - 3" sheetId="54" r:id="rId13"/>
    <sheet name="HELOC Calc" sheetId="65" r:id="rId14"/>
    <sheet name="Blended Rate Calc" sheetId="64" r:id="rId15"/>
    <sheet name="Sheet2" sheetId="75" r:id="rId16"/>
    <sheet name="Sheet3" sheetId="76" r:id="rId17"/>
    <sheet name="Non-Self Employed" sheetId="66" state="hidden" r:id="rId18"/>
    <sheet name="Bonus" sheetId="67" state="hidden" r:id="rId19"/>
    <sheet name=" Sole Proprietorship" sheetId="68" state="hidden" r:id="rId20"/>
    <sheet name="Partnership LLC" sheetId="69" state="hidden" r:id="rId21"/>
    <sheet name="S-Corporation" sheetId="70" state="hidden" r:id="rId22"/>
    <sheet name="REO - Rent" sheetId="71" state="hidden" r:id="rId23"/>
    <sheet name="C-Corporation" sheetId="72" state="hidden" r:id="rId24"/>
  </sheets>
  <externalReferences>
    <externalReference r:id="rId25"/>
    <externalReference r:id="rId26"/>
    <externalReference r:id="rId27"/>
  </externalReferences>
  <definedNames>
    <definedName name="chart_balance" localSheetId="12">OFFSET(#REF!,2,0,payments,1)</definedName>
    <definedName name="chart_balance" localSheetId="10">OFFSET(#REF!,2,0,payments,1)</definedName>
    <definedName name="chart_balance" localSheetId="9">OFFSET(#REF!,2,0,PURCHASE!payments,1)</definedName>
    <definedName name="chart_balance">OFFSET(#REF!,2,0,payments,1)</definedName>
    <definedName name="chart_balance_noextra" localSheetId="12">OFFSET([1]NoExtra!$G$2,2,0,'AM CALC - 3'!nper,1)</definedName>
    <definedName name="chart_balance_noextra" localSheetId="10">OFFSET([1]NoExtra!$G$2,2,0,'Doc List'!nper,1)</definedName>
    <definedName name="chart_balance_noextra" localSheetId="9">OFFSET([1]NoExtra!$G$2,2,0,PURCHASE!nper,1)</definedName>
    <definedName name="chart_balance_noextra">OFFSET([1]NoExtra!$G$2,2,0,nper,1)</definedName>
    <definedName name="chart_date" localSheetId="12">OFFSET(#REF!,2,0,'AM CALC - 3'!nper,1)</definedName>
    <definedName name="chart_date" localSheetId="10">OFFSET(#REF!,2,0,'Doc List'!nper,1)</definedName>
    <definedName name="chart_date" localSheetId="9">OFFSET(#REF!,2,0,PURCHASE!nper,1)</definedName>
    <definedName name="chart_date">OFFSET(#REF!,2,0,nper,1)</definedName>
    <definedName name="chart_date_noextra" localSheetId="12">OFFSET([1]NoExtra!$B$2,2,0,'AM CALC - 3'!nper,1)</definedName>
    <definedName name="chart_date_noextra" localSheetId="10">OFFSET([1]NoExtra!$B$2,2,0,'Doc List'!nper,1)</definedName>
    <definedName name="chart_date_noextra" localSheetId="9">OFFSET([1]NoExtra!$B$2,2,0,PURCHASE!nper,1)</definedName>
    <definedName name="chart_date_noextra">OFFSET([1]NoExtra!$B$2,2,0,nper,1)</definedName>
    <definedName name="chart_nper" localSheetId="12">ROW(OFFSET(#REF!,0,0,'AM CALC - 3'!nper,1))</definedName>
    <definedName name="chart_nper" localSheetId="10">ROW(OFFSET(#REF!,0,0,'Doc List'!nper,1))</definedName>
    <definedName name="chart_nper" localSheetId="9">ROW(OFFSET(#REF!,0,0,PURCHASE!nper,1))</definedName>
    <definedName name="chart_nper">ROW(OFFSET(#REF!,0,0,nper,1))</definedName>
    <definedName name="chart_ratehist" localSheetId="12">OFFSET(#REF!,2,0,payments,1)</definedName>
    <definedName name="chart_ratehist" localSheetId="10">OFFSET(#REF!,2,0,payments,1)</definedName>
    <definedName name="chart_ratehist" localSheetId="9">OFFSET(#REF!,2,0,PURCHASE!payments,1)</definedName>
    <definedName name="chart_ratehist">OFFSET(#REF!,2,0,payments,1)</definedName>
    <definedName name="chart_taxreturned" localSheetId="12">OFFSET(#REF!,2,0,payments,1)</definedName>
    <definedName name="chart_taxreturned" localSheetId="10">OFFSET(#REF!,2,0,payments,1)</definedName>
    <definedName name="chart_taxreturned" localSheetId="9">OFFSET(#REF!,2,0,PURCHASE!payments,1)</definedName>
    <definedName name="chart_taxreturned">OFFSET(#REF!,2,0,payments,1)</definedName>
    <definedName name="compound_period" localSheetId="12">INDEX({2,12},MATCH(#REF!,'AM CALC - 3'!compound_periods,0))</definedName>
    <definedName name="compound_period" localSheetId="10">INDEX({2,12},MATCH(#REF!,'Doc List'!compound_periods,0))</definedName>
    <definedName name="compound_period" localSheetId="9">INDEX({2,12},MATCH(#REF!,PURCHASE!compound_periods,0))</definedName>
    <definedName name="compound_period">INDEX({2,12},MATCH(#REF!,compound_periods,0))</definedName>
    <definedName name="compound_periods" localSheetId="12">{"Semi-Annually";"Monthly"}</definedName>
    <definedName name="compound_periods" localSheetId="10">{"Semi-Annually";"Monthly"}</definedName>
    <definedName name="compound_periods" localSheetId="9">{"Semi-Annually";"Monthly"}</definedName>
    <definedName name="compound_periods">{"Semi-Annually";"Monthly"}</definedName>
    <definedName name="CP" localSheetId="12">INDEX({2,12},MATCH(#REF!,'AM CALC - 3'!compound_periods,0))</definedName>
    <definedName name="CP" localSheetId="10">INDEX({2,12},MATCH(#REF!,'Doc List'!compound_periods,0))</definedName>
    <definedName name="CP" localSheetId="9">INDEX({2,12},MATCH(#REF!,PURCHASE!compound_periods,0))</definedName>
    <definedName name="CP">INDEX({2,12},MATCH(#REF!,compound_periods,0))</definedName>
    <definedName name="d">#REF!</definedName>
    <definedName name="fpdate">#REF!</definedName>
    <definedName name="frequency" localSheetId="12">{"Monthly";"Semi-Monthly";"Bi-Weekly";"Weekly";"Acc Bi-Weekly";"Acc Weekly"}</definedName>
    <definedName name="frequency" localSheetId="10">{"Monthly";"Semi-Monthly";"Bi-Weekly";"Weekly";"Acc Bi-Weekly";"Acc Weekly"}</definedName>
    <definedName name="frequency" localSheetId="9">{"Monthly";"Semi-Monthly";"Bi-Weekly";"Weekly";"Acc Bi-Weekly";"Acc Weekly"}</definedName>
    <definedName name="frequency">{"Monthly";"Semi-Monthly";"Bi-Weekly";"Weekly";"Acc Bi-Weekly";"Acc Weekly"}</definedName>
    <definedName name="InitialDraw_Balance" localSheetId="9">'[2]HELOC Calc'!$C$4</definedName>
    <definedName name="InitialDraw_Balance">'HELOC Calc'!$C$4</definedName>
    <definedName name="int">#REF!</definedName>
    <definedName name="LineAmount" localSheetId="9">'[2]HELOC Calc'!$B$4</definedName>
    <definedName name="LineAmount">'HELOC Calc'!$B$4</definedName>
    <definedName name="loan_amount">#REF!</definedName>
    <definedName name="monthly_payment" localSheetId="12">-PMT((((1+#REF!/'AM CALC - 3'!CP)^('AM CALC - 3'!CP/12))-1),term*12,loan_amount)</definedName>
    <definedName name="monthly_payment" localSheetId="10">-PMT((((1+#REF!/'Doc List'!CP)^('Doc List'!CP/12))-1),term*12,loan_amount)</definedName>
    <definedName name="monthly_payment" localSheetId="9">-PMT((((1+#REF!/PURCHASE!CP)^(PURCHASE!CP/12))-1),term*12,loan_amount)</definedName>
    <definedName name="monthly_payment">-PMT((((1+#REF!/CP)^(CP/12))-1),term*12,loan_amount)</definedName>
    <definedName name="Months" localSheetId="9">'[2]HELOC Calc'!$G$4</definedName>
    <definedName name="Months">'HELOC Calc'!$G$4</definedName>
    <definedName name="months_per_period" localSheetId="12">INDEX({1,0.5,0.5,0.25,0.5,0.25},MATCH(#REF!,'AM CALC - 3'!frequency,0))</definedName>
    <definedName name="months_per_period" localSheetId="10">INDEX({1,0.5,0.5,0.25,0.5,0.25},MATCH(#REF!,'Doc List'!frequency,0))</definedName>
    <definedName name="months_per_period" localSheetId="9">INDEX({1,0.5,0.5,0.25,0.5,0.25},MATCH(#REF!,PURCHASE!frequency,0))</definedName>
    <definedName name="months_per_period">INDEX({1,0.5,0.5,0.25,0.5,0.25},MATCH(#REF!,frequency,0))</definedName>
    <definedName name="nper" localSheetId="12">term*'AM CALC - 3'!periods_per_year</definedName>
    <definedName name="nper" localSheetId="10">term*'Doc List'!periods_per_year</definedName>
    <definedName name="nper" localSheetId="9">term*PURCHASE!periods_per_year</definedName>
    <definedName name="nper">term*periods_per_year</definedName>
    <definedName name="payment" localSheetId="9">#REF!</definedName>
    <definedName name="payment">#REF!</definedName>
    <definedName name="payments" localSheetId="9">MAX(#REF!)</definedName>
    <definedName name="payments">MAX(#REF!)</definedName>
    <definedName name="periods_per_year" localSheetId="12">INDEX({12,24,26,52,26,52},MATCH(#REF!,'AM CALC - 3'!frequency,0))</definedName>
    <definedName name="periods_per_year" localSheetId="10">INDEX({12,24,26,52,26,52},MATCH(#REF!,'Doc List'!frequency,0))</definedName>
    <definedName name="periods_per_year" localSheetId="9">INDEX({12,24,26,52,26,52},MATCH(#REF!,PURCHASE!frequency,0))</definedName>
    <definedName name="periods_per_year">INDEX({12,24,26,52,26,52},MATCH(#REF!,frequency,0))</definedName>
    <definedName name="ppy" localSheetId="12">'AM CALC - 3'!periods_per_year</definedName>
    <definedName name="ppy" localSheetId="10">'Doc List'!periods_per_year</definedName>
    <definedName name="ppy" localSheetId="9">PURCHASE!periods_per_year</definedName>
    <definedName name="ppy">periods_per_year</definedName>
    <definedName name="_xlnm.Print_Area" localSheetId="19">' Sole Proprietorship'!$A$1:$K$437</definedName>
    <definedName name="_xlnm.Print_Area" localSheetId="18">Bonus!$A$1:$H$42</definedName>
    <definedName name="_xlnm.Print_Area" localSheetId="23">'C-Corporation'!$A$1:$K$680</definedName>
    <definedName name="_xlnm.Print_Area" localSheetId="17">'Non-Self Employed'!$A$1:$H$59</definedName>
    <definedName name="_xlnm.Print_Area" localSheetId="20">'Partnership LLC'!$A$1:$K$740</definedName>
    <definedName name="_xlnm.Print_Area" localSheetId="22">'REO - Rent'!$A$1:$G$630</definedName>
    <definedName name="_xlnm.Print_Area" localSheetId="21">'S-Corporation'!$A$1:$K$620</definedName>
    <definedName name="QualifyingRate" localSheetId="9">'[2]HELOC Calc'!$F$4</definedName>
    <definedName name="QualifyingRate">'HELOC Calc'!$F$4</definedName>
    <definedName name="start_rate">#REF!</definedName>
    <definedName name="StartRate" localSheetId="9">'[2]HELOC Calc'!$D$4</definedName>
    <definedName name="StartRate">'HELOC Calc'!$D$4</definedName>
    <definedName name="term">#REF!</definedName>
    <definedName name="valuevx">42.314159</definedName>
    <definedName name="variable">IF(#REF!="Variable Rate",TRUE,FALSE)</definedName>
    <definedName name="Z_82FC3B1B_7B28_4E2A_B7A0_4534A26F3642_.wvu.Cols" localSheetId="3" hidden="1">LEADS!$N:$N</definedName>
    <definedName name="Z_F0D6CCAB_F353_4C30_A9A8_F9184F7C5D96_.wvu.Cols" localSheetId="3" hidden="1">LEADS!$N:$N</definedName>
  </definedNames>
  <calcPr calcId="191028"/>
  <customWorkbookViews>
    <customWorkbookView name="AAA" guid="{82FC3B1B-7B28-4E2A-B7A0-4534A26F3642}" maximized="1" xWindow="3832" yWindow="1061" windowWidth="3856" windowHeight="1048" activeSheetId="15"/>
    <customWorkbookView name="SPLIT VIEW" guid="{F0D6CCAB-F353-4C30-A9A8-F9184F7C5D96}" maximized="1" xWindow="-8" yWindow="-8" windowWidth="1936" windowHeight="1048" activeSheetId="8"/>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7" i="34" l="1"/>
  <c r="AK24" i="34"/>
  <c r="AK11" i="34"/>
  <c r="AJ17" i="17"/>
  <c r="AJ11" i="17"/>
  <c r="J64" i="8"/>
  <c r="AH116" i="19" l="1"/>
  <c r="AH108" i="19"/>
  <c r="AH58" i="19"/>
  <c r="AH26" i="19"/>
  <c r="AH18" i="19"/>
  <c r="AH7" i="19"/>
  <c r="AN11" i="73"/>
  <c r="AN15" i="73"/>
  <c r="H68" i="34"/>
  <c r="B68" i="34"/>
  <c r="J17" i="34"/>
  <c r="F17" i="34"/>
  <c r="B17" i="34"/>
  <c r="B25" i="34"/>
  <c r="F52" i="19"/>
  <c r="A95" i="19" s="1"/>
  <c r="F54" i="19"/>
  <c r="W54" i="19"/>
  <c r="F55" i="19"/>
  <c r="W55" i="19"/>
  <c r="B17" i="17"/>
  <c r="K20" i="8"/>
  <c r="K19" i="8"/>
  <c r="K18" i="8"/>
  <c r="K14" i="8"/>
  <c r="K15" i="8"/>
  <c r="K16" i="8"/>
  <c r="K8" i="8"/>
  <c r="K10" i="8"/>
  <c r="K12" i="8"/>
  <c r="K13" i="8"/>
  <c r="K7" i="8"/>
  <c r="B18" i="8"/>
  <c r="B16" i="8"/>
  <c r="B9" i="8"/>
  <c r="B14" i="8"/>
  <c r="B15" i="8"/>
  <c r="G6" i="73"/>
  <c r="G5" i="73"/>
  <c r="G1" i="73"/>
  <c r="A47" i="73" s="1"/>
  <c r="H70" i="34"/>
  <c r="B70" i="34"/>
  <c r="AN9" i="73"/>
  <c r="AN7" i="73"/>
  <c r="AN5" i="73"/>
  <c r="AN3" i="73"/>
  <c r="Z38" i="73"/>
  <c r="Z37" i="73"/>
  <c r="Z36" i="73"/>
  <c r="Z3" i="73"/>
  <c r="AD8" i="73"/>
  <c r="Z4" i="73"/>
  <c r="AG9" i="73"/>
  <c r="P35" i="73" s="1"/>
  <c r="G7" i="73"/>
  <c r="G4" i="73"/>
  <c r="G3" i="73"/>
  <c r="G11" i="73"/>
  <c r="B21" i="73"/>
  <c r="B13" i="73"/>
  <c r="AH4" i="73" s="1"/>
  <c r="AI4" i="73" s="1"/>
  <c r="B12" i="73"/>
  <c r="B10" i="73"/>
  <c r="B11" i="73"/>
  <c r="AN1" i="73"/>
  <c r="P8" i="73"/>
  <c r="AT8" i="73"/>
  <c r="B9" i="73"/>
  <c r="AT9" i="73"/>
  <c r="AT10" i="73"/>
  <c r="J13" i="73"/>
  <c r="B17" i="73"/>
  <c r="F17" i="73"/>
  <c r="J17" i="73"/>
  <c r="B19" i="73"/>
  <c r="F19" i="73"/>
  <c r="J19" i="73"/>
  <c r="F21" i="73"/>
  <c r="F25" i="73" s="1"/>
  <c r="F31" i="73" s="1"/>
  <c r="AK30" i="73" s="1"/>
  <c r="F29" i="73" s="1"/>
  <c r="J21" i="73"/>
  <c r="J25" i="73" s="1"/>
  <c r="J31" i="73" s="1"/>
  <c r="AK45" i="73" s="1"/>
  <c r="J29" i="73" s="1"/>
  <c r="B23" i="73"/>
  <c r="F23" i="73"/>
  <c r="J23" i="73"/>
  <c r="B27" i="73"/>
  <c r="F27" i="73"/>
  <c r="J27" i="73"/>
  <c r="B34" i="73"/>
  <c r="F34" i="73"/>
  <c r="J34" i="73"/>
  <c r="B36" i="73"/>
  <c r="F36" i="73"/>
  <c r="J19" i="34"/>
  <c r="F19" i="34"/>
  <c r="B19" i="34"/>
  <c r="J674" i="72"/>
  <c r="H674" i="72"/>
  <c r="J672" i="72"/>
  <c r="H672" i="72"/>
  <c r="J671" i="72"/>
  <c r="H671" i="72"/>
  <c r="J670" i="72"/>
  <c r="H670" i="72"/>
  <c r="J669" i="72"/>
  <c r="H669" i="72"/>
  <c r="J667" i="72"/>
  <c r="H667" i="72"/>
  <c r="J666" i="72"/>
  <c r="H666" i="72"/>
  <c r="J665" i="72"/>
  <c r="H665" i="72"/>
  <c r="J664" i="72"/>
  <c r="H664" i="72"/>
  <c r="J662" i="72"/>
  <c r="H662" i="72"/>
  <c r="J661" i="72"/>
  <c r="H661" i="72"/>
  <c r="J660" i="72"/>
  <c r="H660" i="72"/>
  <c r="AA658" i="72"/>
  <c r="AA657" i="72"/>
  <c r="J656" i="72"/>
  <c r="H656" i="72"/>
  <c r="AA653" i="72"/>
  <c r="AA652" i="72"/>
  <c r="AA650" i="72"/>
  <c r="J658" i="72"/>
  <c r="AA649" i="72"/>
  <c r="H658" i="72"/>
  <c r="AA654" i="72"/>
  <c r="J648" i="72"/>
  <c r="J640" i="72"/>
  <c r="H640" i="72"/>
  <c r="J638" i="72"/>
  <c r="H638" i="72"/>
  <c r="J637" i="72"/>
  <c r="H637" i="72"/>
  <c r="J636" i="72"/>
  <c r="H636" i="72"/>
  <c r="J635" i="72"/>
  <c r="H635" i="72"/>
  <c r="J633" i="72"/>
  <c r="H633" i="72"/>
  <c r="J632" i="72"/>
  <c r="H632" i="72"/>
  <c r="J631" i="72"/>
  <c r="H631" i="72"/>
  <c r="J630" i="72"/>
  <c r="H630" i="72"/>
  <c r="J628" i="72"/>
  <c r="H628" i="72"/>
  <c r="J627" i="72"/>
  <c r="H627" i="72"/>
  <c r="J626" i="72"/>
  <c r="H626" i="72"/>
  <c r="AA624" i="72"/>
  <c r="AA623" i="72"/>
  <c r="J622" i="72"/>
  <c r="H622" i="72"/>
  <c r="G641" i="72"/>
  <c r="AA619" i="72"/>
  <c r="AA618" i="72"/>
  <c r="AA616" i="72"/>
  <c r="J624" i="72"/>
  <c r="AA615" i="72"/>
  <c r="H624" i="72"/>
  <c r="AA620" i="72"/>
  <c r="J614" i="72"/>
  <c r="J606" i="72"/>
  <c r="H606" i="72"/>
  <c r="J604" i="72"/>
  <c r="H604" i="72"/>
  <c r="J603" i="72"/>
  <c r="H603" i="72"/>
  <c r="J602" i="72"/>
  <c r="H602" i="72"/>
  <c r="J601" i="72"/>
  <c r="H601" i="72"/>
  <c r="J599" i="72"/>
  <c r="H599" i="72"/>
  <c r="J598" i="72"/>
  <c r="H598" i="72"/>
  <c r="J597" i="72"/>
  <c r="H597" i="72"/>
  <c r="J596" i="72"/>
  <c r="H596" i="72"/>
  <c r="J594" i="72"/>
  <c r="H594" i="72"/>
  <c r="J593" i="72"/>
  <c r="H593" i="72"/>
  <c r="J592" i="72"/>
  <c r="H592" i="72"/>
  <c r="AA590" i="72"/>
  <c r="J590" i="72"/>
  <c r="AA587" i="72"/>
  <c r="H590" i="72"/>
  <c r="AA586" i="72"/>
  <c r="AA589" i="72"/>
  <c r="J588" i="72"/>
  <c r="H588" i="72"/>
  <c r="AA585" i="72"/>
  <c r="AA584" i="72"/>
  <c r="AA582" i="72"/>
  <c r="AA581" i="72"/>
  <c r="J580" i="72"/>
  <c r="J572" i="72"/>
  <c r="H572" i="72"/>
  <c r="J570" i="72"/>
  <c r="H570" i="72"/>
  <c r="J569" i="72"/>
  <c r="H569" i="72"/>
  <c r="J568" i="72"/>
  <c r="H568" i="72"/>
  <c r="J567" i="72"/>
  <c r="H567" i="72"/>
  <c r="J565" i="72"/>
  <c r="H565" i="72"/>
  <c r="J564" i="72"/>
  <c r="H564" i="72"/>
  <c r="J563" i="72"/>
  <c r="H563" i="72"/>
  <c r="J562" i="72"/>
  <c r="H562" i="72"/>
  <c r="J560" i="72"/>
  <c r="H560" i="72"/>
  <c r="J559" i="72"/>
  <c r="H559" i="72"/>
  <c r="J558" i="72"/>
  <c r="H558" i="72"/>
  <c r="AA556" i="72"/>
  <c r="J556" i="72"/>
  <c r="AA553" i="72"/>
  <c r="H556" i="72"/>
  <c r="AA552" i="72"/>
  <c r="AA555" i="72"/>
  <c r="J554" i="72"/>
  <c r="H554" i="72"/>
  <c r="AA551" i="72"/>
  <c r="AA550" i="72"/>
  <c r="AA548" i="72"/>
  <c r="AA547" i="72"/>
  <c r="J546" i="72"/>
  <c r="J538" i="72"/>
  <c r="H538" i="72"/>
  <c r="J536" i="72"/>
  <c r="H536" i="72"/>
  <c r="J535" i="72"/>
  <c r="H535" i="72"/>
  <c r="J534" i="72"/>
  <c r="H534" i="72"/>
  <c r="J533" i="72"/>
  <c r="H533" i="72"/>
  <c r="J531" i="72"/>
  <c r="H531" i="72"/>
  <c r="J530" i="72"/>
  <c r="H530" i="72"/>
  <c r="J529" i="72"/>
  <c r="H529" i="72"/>
  <c r="J528" i="72"/>
  <c r="H528" i="72"/>
  <c r="J526" i="72"/>
  <c r="H526" i="72"/>
  <c r="J525" i="72"/>
  <c r="H525" i="72"/>
  <c r="J524" i="72"/>
  <c r="H524" i="72"/>
  <c r="AA522" i="72"/>
  <c r="J522" i="72"/>
  <c r="H522" i="72"/>
  <c r="AA521" i="72"/>
  <c r="J520" i="72"/>
  <c r="H520" i="72"/>
  <c r="AA519" i="72"/>
  <c r="AA517" i="72"/>
  <c r="AA516" i="72"/>
  <c r="AA514" i="72"/>
  <c r="AA513" i="72"/>
  <c r="J512" i="72"/>
  <c r="J504" i="72"/>
  <c r="H504" i="72"/>
  <c r="J502" i="72"/>
  <c r="H502" i="72"/>
  <c r="J501" i="72"/>
  <c r="H501" i="72"/>
  <c r="J500" i="72"/>
  <c r="H500" i="72"/>
  <c r="J499" i="72"/>
  <c r="H499" i="72"/>
  <c r="J497" i="72"/>
  <c r="H497" i="72"/>
  <c r="J496" i="72"/>
  <c r="H496" i="72"/>
  <c r="J495" i="72"/>
  <c r="H495" i="72"/>
  <c r="J494" i="72"/>
  <c r="H494" i="72"/>
  <c r="AA484" i="72"/>
  <c r="J492" i="72"/>
  <c r="H492" i="72"/>
  <c r="J491" i="72"/>
  <c r="H491" i="72"/>
  <c r="J490" i="72"/>
  <c r="H490" i="72"/>
  <c r="AA488" i="72"/>
  <c r="H488" i="72"/>
  <c r="AA487" i="72"/>
  <c r="J486" i="72"/>
  <c r="H486" i="72"/>
  <c r="G505" i="72"/>
  <c r="AA483" i="72"/>
  <c r="AA482" i="72"/>
  <c r="AA480" i="72"/>
  <c r="J488" i="72"/>
  <c r="AA479" i="72"/>
  <c r="J478" i="72"/>
  <c r="J470" i="72"/>
  <c r="H470" i="72"/>
  <c r="J468" i="72"/>
  <c r="H468" i="72"/>
  <c r="J467" i="72"/>
  <c r="H467" i="72"/>
  <c r="J466" i="72"/>
  <c r="H466" i="72"/>
  <c r="AA450" i="72"/>
  <c r="J465" i="72"/>
  <c r="H465" i="72"/>
  <c r="J463" i="72"/>
  <c r="H463" i="72"/>
  <c r="J462" i="72"/>
  <c r="H462" i="72"/>
  <c r="J461" i="72"/>
  <c r="H461" i="72"/>
  <c r="J460" i="72"/>
  <c r="H460" i="72"/>
  <c r="J458" i="72"/>
  <c r="H458" i="72"/>
  <c r="J457" i="72"/>
  <c r="H457" i="72"/>
  <c r="J456" i="72"/>
  <c r="H456" i="72"/>
  <c r="AA454" i="72"/>
  <c r="H454" i="72"/>
  <c r="AA453" i="72"/>
  <c r="J452" i="72"/>
  <c r="H452" i="72"/>
  <c r="G471" i="72"/>
  <c r="AA449" i="72"/>
  <c r="AA448" i="72"/>
  <c r="AA446" i="72"/>
  <c r="J454" i="72"/>
  <c r="AA445" i="72"/>
  <c r="J444" i="72"/>
  <c r="J436" i="72"/>
  <c r="H436" i="72"/>
  <c r="J434" i="72"/>
  <c r="H434" i="72"/>
  <c r="J433" i="72"/>
  <c r="H433" i="72"/>
  <c r="J432" i="72"/>
  <c r="H432" i="72"/>
  <c r="J431" i="72"/>
  <c r="H431" i="72"/>
  <c r="J429" i="72"/>
  <c r="H429" i="72"/>
  <c r="J428" i="72"/>
  <c r="H428" i="72"/>
  <c r="J427" i="72"/>
  <c r="H427" i="72"/>
  <c r="J426" i="72"/>
  <c r="H426" i="72"/>
  <c r="J424" i="72"/>
  <c r="H424" i="72"/>
  <c r="J423" i="72"/>
  <c r="H423" i="72"/>
  <c r="J422" i="72"/>
  <c r="H422" i="72"/>
  <c r="AA420" i="72"/>
  <c r="AA419" i="72"/>
  <c r="J418" i="72"/>
  <c r="I437" i="72"/>
  <c r="H418" i="72"/>
  <c r="AA415" i="72"/>
  <c r="AA414" i="72"/>
  <c r="AA412" i="72"/>
  <c r="J420" i="72"/>
  <c r="AA411" i="72"/>
  <c r="H420" i="72"/>
  <c r="J410" i="72"/>
  <c r="J402" i="72"/>
  <c r="H402" i="72"/>
  <c r="J400" i="72"/>
  <c r="H400" i="72"/>
  <c r="J399" i="72"/>
  <c r="H399" i="72"/>
  <c r="J398" i="72"/>
  <c r="H398" i="72"/>
  <c r="J397" i="72"/>
  <c r="H397" i="72"/>
  <c r="J395" i="72"/>
  <c r="H395" i="72"/>
  <c r="J394" i="72"/>
  <c r="H394" i="72"/>
  <c r="J393" i="72"/>
  <c r="H393" i="72"/>
  <c r="J392" i="72"/>
  <c r="H392" i="72"/>
  <c r="J390" i="72"/>
  <c r="H390" i="72"/>
  <c r="J389" i="72"/>
  <c r="H389" i="72"/>
  <c r="J388" i="72"/>
  <c r="H388" i="72"/>
  <c r="AA386" i="72"/>
  <c r="AA385" i="72"/>
  <c r="J384" i="72"/>
  <c r="I403" i="72"/>
  <c r="H384" i="72"/>
  <c r="G403" i="72"/>
  <c r="AA381" i="72"/>
  <c r="AA380" i="72"/>
  <c r="AA378" i="72"/>
  <c r="J386" i="72"/>
  <c r="AA377" i="72"/>
  <c r="H386" i="72"/>
  <c r="J376" i="72"/>
  <c r="J368" i="72"/>
  <c r="H368" i="72"/>
  <c r="J366" i="72"/>
  <c r="H366" i="72"/>
  <c r="J365" i="72"/>
  <c r="H365" i="72"/>
  <c r="J364" i="72"/>
  <c r="H364" i="72"/>
  <c r="J363" i="72"/>
  <c r="H363" i="72"/>
  <c r="J361" i="72"/>
  <c r="H361" i="72"/>
  <c r="J360" i="72"/>
  <c r="H360" i="72"/>
  <c r="J359" i="72"/>
  <c r="H359" i="72"/>
  <c r="J358" i="72"/>
  <c r="H358" i="72"/>
  <c r="J356" i="72"/>
  <c r="H356" i="72"/>
  <c r="J355" i="72"/>
  <c r="H355" i="72"/>
  <c r="J354" i="72"/>
  <c r="H354" i="72"/>
  <c r="AA353" i="72"/>
  <c r="AA352" i="72"/>
  <c r="H352" i="72"/>
  <c r="G369" i="72"/>
  <c r="AA351" i="72"/>
  <c r="J350" i="72"/>
  <c r="H350" i="72"/>
  <c r="AA347" i="72"/>
  <c r="AA346" i="72"/>
  <c r="AA344" i="72"/>
  <c r="J352" i="72"/>
  <c r="AA343" i="72"/>
  <c r="J342" i="72"/>
  <c r="J334" i="72"/>
  <c r="H334" i="72"/>
  <c r="J332" i="72"/>
  <c r="H332" i="72"/>
  <c r="J331" i="72"/>
  <c r="H331" i="72"/>
  <c r="J330" i="72"/>
  <c r="H330" i="72"/>
  <c r="J329" i="72"/>
  <c r="H329" i="72"/>
  <c r="J327" i="72"/>
  <c r="H327" i="72"/>
  <c r="J326" i="72"/>
  <c r="H326" i="72"/>
  <c r="J325" i="72"/>
  <c r="H325" i="72"/>
  <c r="G335" i="72"/>
  <c r="J324" i="72"/>
  <c r="H324" i="72"/>
  <c r="J322" i="72"/>
  <c r="H322" i="72"/>
  <c r="J321" i="72"/>
  <c r="H321" i="72"/>
  <c r="J320" i="72"/>
  <c r="H320" i="72"/>
  <c r="AA318" i="72"/>
  <c r="J318" i="72"/>
  <c r="I335" i="72"/>
  <c r="H318" i="72"/>
  <c r="AA317" i="72"/>
  <c r="J316" i="72"/>
  <c r="H316" i="72"/>
  <c r="AA313" i="72"/>
  <c r="AA312" i="72"/>
  <c r="AA310" i="72"/>
  <c r="AA309" i="72"/>
  <c r="J308" i="72"/>
  <c r="J300" i="72"/>
  <c r="H300" i="72"/>
  <c r="J298" i="72"/>
  <c r="H298" i="72"/>
  <c r="J297" i="72"/>
  <c r="H297" i="72"/>
  <c r="J296" i="72"/>
  <c r="H296" i="72"/>
  <c r="J295" i="72"/>
  <c r="H295" i="72"/>
  <c r="J293" i="72"/>
  <c r="H293" i="72"/>
  <c r="J292" i="72"/>
  <c r="H292" i="72"/>
  <c r="J291" i="72"/>
  <c r="H291" i="72"/>
  <c r="J290" i="72"/>
  <c r="H290" i="72"/>
  <c r="J288" i="72"/>
  <c r="H288" i="72"/>
  <c r="J287" i="72"/>
  <c r="H287" i="72"/>
  <c r="J286" i="72"/>
  <c r="H286" i="72"/>
  <c r="AA284" i="72"/>
  <c r="J284" i="72"/>
  <c r="H284" i="72"/>
  <c r="AA280" i="72"/>
  <c r="AA283" i="72"/>
  <c r="J282" i="72"/>
  <c r="H282" i="72"/>
  <c r="AA279" i="72"/>
  <c r="AA278" i="72"/>
  <c r="AA276" i="72"/>
  <c r="AA275" i="72"/>
  <c r="J274" i="72"/>
  <c r="J266" i="72"/>
  <c r="H266" i="72"/>
  <c r="J264" i="72"/>
  <c r="AA247" i="72"/>
  <c r="H264" i="72"/>
  <c r="J263" i="72"/>
  <c r="H263" i="72"/>
  <c r="J262" i="72"/>
  <c r="H262" i="72"/>
  <c r="J261" i="72"/>
  <c r="H261" i="72"/>
  <c r="J259" i="72"/>
  <c r="H259" i="72"/>
  <c r="J258" i="72"/>
  <c r="H258" i="72"/>
  <c r="J257" i="72"/>
  <c r="H257" i="72"/>
  <c r="J256" i="72"/>
  <c r="H256" i="72"/>
  <c r="J254" i="72"/>
  <c r="H254" i="72"/>
  <c r="J253" i="72"/>
  <c r="H253" i="72"/>
  <c r="J252" i="72"/>
  <c r="H252" i="72"/>
  <c r="AA250" i="72"/>
  <c r="J250" i="72"/>
  <c r="H250" i="72"/>
  <c r="AA249" i="72"/>
  <c r="J248" i="72"/>
  <c r="H248" i="72"/>
  <c r="AA245" i="72"/>
  <c r="AA244" i="72"/>
  <c r="AA242" i="72"/>
  <c r="AA241" i="72"/>
  <c r="J240" i="72"/>
  <c r="J232" i="72"/>
  <c r="H232" i="72"/>
  <c r="J230" i="72"/>
  <c r="H230" i="72"/>
  <c r="J229" i="72"/>
  <c r="H229" i="72"/>
  <c r="J228" i="72"/>
  <c r="H228" i="72"/>
  <c r="J227" i="72"/>
  <c r="H227" i="72"/>
  <c r="J225" i="72"/>
  <c r="H225" i="72"/>
  <c r="J224" i="72"/>
  <c r="H224" i="72"/>
  <c r="J223" i="72"/>
  <c r="H223" i="72"/>
  <c r="J222" i="72"/>
  <c r="H222" i="72"/>
  <c r="AA212" i="72"/>
  <c r="J220" i="72"/>
  <c r="H220" i="72"/>
  <c r="J219" i="72"/>
  <c r="H219" i="72"/>
  <c r="J218" i="72"/>
  <c r="H218" i="72"/>
  <c r="AA216" i="72"/>
  <c r="H216" i="72"/>
  <c r="AA215" i="72"/>
  <c r="J214" i="72"/>
  <c r="H214" i="72"/>
  <c r="AA211" i="72"/>
  <c r="AA210" i="72"/>
  <c r="AA208" i="72"/>
  <c r="J216" i="72"/>
  <c r="AA207" i="72"/>
  <c r="J206" i="72"/>
  <c r="J198" i="72"/>
  <c r="H198" i="72"/>
  <c r="J196" i="72"/>
  <c r="H196" i="72"/>
  <c r="J195" i="72"/>
  <c r="H195" i="72"/>
  <c r="J194" i="72"/>
  <c r="H194" i="72"/>
  <c r="J193" i="72"/>
  <c r="H193" i="72"/>
  <c r="J191" i="72"/>
  <c r="H191" i="72"/>
  <c r="J190" i="72"/>
  <c r="H190" i="72"/>
  <c r="J189" i="72"/>
  <c r="H189" i="72"/>
  <c r="J188" i="72"/>
  <c r="H188" i="72"/>
  <c r="J186" i="72"/>
  <c r="H186" i="72"/>
  <c r="J185" i="72"/>
  <c r="H185" i="72"/>
  <c r="J184" i="72"/>
  <c r="H184" i="72"/>
  <c r="AA182" i="72"/>
  <c r="AA181" i="72"/>
  <c r="J180" i="72"/>
  <c r="H180" i="72"/>
  <c r="G199" i="72"/>
  <c r="AA178" i="72"/>
  <c r="AA177" i="72"/>
  <c r="AA176" i="72"/>
  <c r="AA174" i="72"/>
  <c r="J182" i="72"/>
  <c r="AA179" i="72"/>
  <c r="AA173" i="72"/>
  <c r="H182" i="72"/>
  <c r="J172" i="72"/>
  <c r="J164" i="72"/>
  <c r="H164" i="72"/>
  <c r="J162" i="72"/>
  <c r="H162" i="72"/>
  <c r="J161" i="72"/>
  <c r="H161" i="72"/>
  <c r="J160" i="72"/>
  <c r="H160" i="72"/>
  <c r="J159" i="72"/>
  <c r="H159" i="72"/>
  <c r="J157" i="72"/>
  <c r="H157" i="72"/>
  <c r="J156" i="72"/>
  <c r="H156" i="72"/>
  <c r="J155" i="72"/>
  <c r="H155" i="72"/>
  <c r="J154" i="72"/>
  <c r="H154" i="72"/>
  <c r="J152" i="72"/>
  <c r="H152" i="72"/>
  <c r="J151" i="72"/>
  <c r="H151" i="72"/>
  <c r="J150" i="72"/>
  <c r="H150" i="72"/>
  <c r="AA148" i="72"/>
  <c r="AA147" i="72"/>
  <c r="J146" i="72"/>
  <c r="I165" i="72"/>
  <c r="H146" i="72"/>
  <c r="G165" i="72"/>
  <c r="AA150" i="72"/>
  <c r="AA143" i="72"/>
  <c r="AA142" i="72"/>
  <c r="AA140" i="72"/>
  <c r="J148" i="72"/>
  <c r="AA139" i="72"/>
  <c r="H148" i="72"/>
  <c r="J138" i="72"/>
  <c r="J130" i="72"/>
  <c r="H130" i="72"/>
  <c r="J128" i="72"/>
  <c r="H128" i="72"/>
  <c r="J127" i="72"/>
  <c r="H127" i="72"/>
  <c r="J126" i="72"/>
  <c r="H126" i="72"/>
  <c r="J125" i="72"/>
  <c r="H125" i="72"/>
  <c r="J123" i="72"/>
  <c r="H123" i="72"/>
  <c r="J122" i="72"/>
  <c r="H122" i="72"/>
  <c r="J121" i="72"/>
  <c r="H121" i="72"/>
  <c r="J120" i="72"/>
  <c r="H120" i="72"/>
  <c r="J118" i="72"/>
  <c r="H118" i="72"/>
  <c r="J117" i="72"/>
  <c r="H117" i="72"/>
  <c r="J116" i="72"/>
  <c r="H116" i="72"/>
  <c r="AA114" i="72"/>
  <c r="AA113" i="72"/>
  <c r="J112" i="72"/>
  <c r="I131" i="72"/>
  <c r="H112" i="72"/>
  <c r="AA109" i="72"/>
  <c r="AA108" i="72"/>
  <c r="AA106" i="72"/>
  <c r="J114" i="72"/>
  <c r="AA105" i="72"/>
  <c r="H114" i="72"/>
  <c r="J104" i="72"/>
  <c r="J96" i="72"/>
  <c r="H96" i="72"/>
  <c r="J94" i="72"/>
  <c r="H94" i="72"/>
  <c r="J93" i="72"/>
  <c r="H93" i="72"/>
  <c r="J92" i="72"/>
  <c r="H92" i="72"/>
  <c r="J91" i="72"/>
  <c r="H91" i="72"/>
  <c r="J89" i="72"/>
  <c r="H89" i="72"/>
  <c r="J88" i="72"/>
  <c r="H88" i="72"/>
  <c r="J87" i="72"/>
  <c r="H87" i="72"/>
  <c r="J86" i="72"/>
  <c r="H86" i="72"/>
  <c r="J84" i="72"/>
  <c r="H84" i="72"/>
  <c r="J83" i="72"/>
  <c r="H83" i="72"/>
  <c r="J82" i="72"/>
  <c r="H82" i="72"/>
  <c r="AA81" i="72"/>
  <c r="AA80" i="72"/>
  <c r="H80" i="72"/>
  <c r="G97" i="72"/>
  <c r="AA79" i="72"/>
  <c r="J78" i="72"/>
  <c r="H78" i="72"/>
  <c r="AA75" i="72"/>
  <c r="AA74" i="72"/>
  <c r="AA72" i="72"/>
  <c r="J80" i="72"/>
  <c r="AA71" i="72"/>
  <c r="J70" i="72"/>
  <c r="J62" i="72"/>
  <c r="H62" i="72"/>
  <c r="J60" i="72"/>
  <c r="H60" i="72"/>
  <c r="J59" i="72"/>
  <c r="H59" i="72"/>
  <c r="J58" i="72"/>
  <c r="H58" i="72"/>
  <c r="J57" i="72"/>
  <c r="H57" i="72"/>
  <c r="J55" i="72"/>
  <c r="H55" i="72"/>
  <c r="J54" i="72"/>
  <c r="H54" i="72"/>
  <c r="J53" i="72"/>
  <c r="H53" i="72"/>
  <c r="G63" i="72"/>
  <c r="J52" i="72"/>
  <c r="H52" i="72"/>
  <c r="J50" i="72"/>
  <c r="H50" i="72"/>
  <c r="J49" i="72"/>
  <c r="H49" i="72"/>
  <c r="J48" i="72"/>
  <c r="H48" i="72"/>
  <c r="AA46" i="72"/>
  <c r="J46" i="72"/>
  <c r="AA43" i="72"/>
  <c r="H46" i="72"/>
  <c r="AA45" i="72"/>
  <c r="J44" i="72"/>
  <c r="H44" i="72"/>
  <c r="AA41" i="72"/>
  <c r="AA40" i="72"/>
  <c r="AA38" i="72"/>
  <c r="AA37" i="72"/>
  <c r="J36" i="72"/>
  <c r="J28" i="72"/>
  <c r="H28" i="72"/>
  <c r="J26" i="72"/>
  <c r="H26" i="72"/>
  <c r="J25" i="72"/>
  <c r="H25" i="72"/>
  <c r="J24" i="72"/>
  <c r="H24" i="72"/>
  <c r="J23" i="72"/>
  <c r="H23" i="72"/>
  <c r="J21" i="72"/>
  <c r="H21" i="72"/>
  <c r="J20" i="72"/>
  <c r="H20" i="72"/>
  <c r="J19" i="72"/>
  <c r="H19" i="72"/>
  <c r="J18" i="72"/>
  <c r="H18" i="72"/>
  <c r="J16" i="72"/>
  <c r="H16" i="72"/>
  <c r="J15" i="72"/>
  <c r="H15" i="72"/>
  <c r="J14" i="72"/>
  <c r="H14" i="72"/>
  <c r="AA12" i="72"/>
  <c r="J12" i="72"/>
  <c r="AA9" i="72"/>
  <c r="H12" i="72"/>
  <c r="AA8" i="72"/>
  <c r="AA11" i="72"/>
  <c r="J10" i="72"/>
  <c r="H10" i="72"/>
  <c r="AA7" i="72"/>
  <c r="AA6" i="72"/>
  <c r="AA4" i="72"/>
  <c r="AA3" i="72"/>
  <c r="J2" i="72"/>
  <c r="F625" i="71"/>
  <c r="F620" i="71"/>
  <c r="F623" i="71"/>
  <c r="F619" i="71"/>
  <c r="C619" i="71"/>
  <c r="C620" i="71"/>
  <c r="C623" i="71"/>
  <c r="F605" i="71"/>
  <c r="F595" i="71"/>
  <c r="F589" i="71"/>
  <c r="F590" i="71"/>
  <c r="F593" i="71"/>
  <c r="C589" i="71"/>
  <c r="C590" i="71"/>
  <c r="C593" i="71"/>
  <c r="I595" i="71"/>
  <c r="F575" i="71"/>
  <c r="F565" i="71"/>
  <c r="F563" i="71"/>
  <c r="F560" i="71"/>
  <c r="C560" i="71"/>
  <c r="C563" i="71"/>
  <c r="I565" i="71"/>
  <c r="F559" i="71"/>
  <c r="C559" i="71"/>
  <c r="F545" i="71"/>
  <c r="F535" i="71"/>
  <c r="F529" i="71"/>
  <c r="F530" i="71"/>
  <c r="F533" i="71"/>
  <c r="C529" i="71"/>
  <c r="C530" i="71"/>
  <c r="C533" i="71"/>
  <c r="F515" i="71"/>
  <c r="F505" i="71"/>
  <c r="C503" i="71"/>
  <c r="C500" i="71"/>
  <c r="F499" i="71"/>
  <c r="F500" i="71"/>
  <c r="F503" i="71"/>
  <c r="C499" i="71"/>
  <c r="F485" i="71"/>
  <c r="F475" i="71"/>
  <c r="F469" i="71"/>
  <c r="F470" i="71"/>
  <c r="F473" i="71"/>
  <c r="C469" i="71"/>
  <c r="C470" i="71"/>
  <c r="C473" i="71"/>
  <c r="F455" i="71"/>
  <c r="F445" i="71"/>
  <c r="C443" i="71"/>
  <c r="C440" i="71"/>
  <c r="F439" i="71"/>
  <c r="F440" i="71"/>
  <c r="F443" i="71"/>
  <c r="I445" i="71"/>
  <c r="C439" i="71"/>
  <c r="F425" i="71"/>
  <c r="F415" i="71"/>
  <c r="F410" i="71"/>
  <c r="F413" i="71"/>
  <c r="C410" i="71"/>
  <c r="C413" i="71"/>
  <c r="I415" i="71"/>
  <c r="F409" i="71"/>
  <c r="C409" i="71"/>
  <c r="F395" i="71"/>
  <c r="F385" i="71"/>
  <c r="F379" i="71"/>
  <c r="F380" i="71"/>
  <c r="F383" i="71"/>
  <c r="C379" i="71"/>
  <c r="C380" i="71"/>
  <c r="C383" i="71"/>
  <c r="I385" i="71"/>
  <c r="F365" i="71"/>
  <c r="F355" i="71"/>
  <c r="C353" i="71"/>
  <c r="C350" i="71"/>
  <c r="F349" i="71"/>
  <c r="F350" i="71"/>
  <c r="F353" i="71"/>
  <c r="C349" i="71"/>
  <c r="F335" i="71"/>
  <c r="F325" i="71"/>
  <c r="F319" i="71"/>
  <c r="F320" i="71"/>
  <c r="F323" i="71"/>
  <c r="C319" i="71"/>
  <c r="C320" i="71"/>
  <c r="C323" i="71"/>
  <c r="I325" i="71"/>
  <c r="F305" i="71"/>
  <c r="F295" i="71"/>
  <c r="C293" i="71"/>
  <c r="I295" i="71"/>
  <c r="F290" i="71"/>
  <c r="F293" i="71"/>
  <c r="F289" i="71"/>
  <c r="C289" i="71"/>
  <c r="C290" i="71"/>
  <c r="F275" i="71"/>
  <c r="F265" i="71"/>
  <c r="F259" i="71"/>
  <c r="F260" i="71"/>
  <c r="F263" i="71"/>
  <c r="C259" i="71"/>
  <c r="C260" i="71"/>
  <c r="C263" i="71"/>
  <c r="F245" i="71"/>
  <c r="F235" i="71"/>
  <c r="F233" i="71"/>
  <c r="F230" i="71"/>
  <c r="F229" i="71"/>
  <c r="C229" i="71"/>
  <c r="C230" i="71"/>
  <c r="C233" i="71"/>
  <c r="I235" i="71"/>
  <c r="F215" i="71"/>
  <c r="F205" i="71"/>
  <c r="C200" i="71"/>
  <c r="C203" i="71"/>
  <c r="I205" i="71"/>
  <c r="F199" i="71"/>
  <c r="F200" i="71"/>
  <c r="F203" i="71"/>
  <c r="C199" i="71"/>
  <c r="F185" i="71"/>
  <c r="F175" i="71"/>
  <c r="F169" i="71"/>
  <c r="F170" i="71"/>
  <c r="F173" i="71"/>
  <c r="C169" i="71"/>
  <c r="C170" i="71"/>
  <c r="C173" i="71"/>
  <c r="I175" i="71"/>
  <c r="F155" i="71"/>
  <c r="F145" i="71"/>
  <c r="F139" i="71"/>
  <c r="F140" i="71"/>
  <c r="F143" i="71"/>
  <c r="C139" i="71"/>
  <c r="C140" i="71"/>
  <c r="C143" i="71"/>
  <c r="F125" i="71"/>
  <c r="F115" i="71"/>
  <c r="F110" i="71"/>
  <c r="F113" i="71"/>
  <c r="F109" i="71"/>
  <c r="C109" i="71"/>
  <c r="C110" i="71"/>
  <c r="C113" i="71"/>
  <c r="F95" i="71"/>
  <c r="F85" i="71"/>
  <c r="F83" i="71"/>
  <c r="F80" i="71"/>
  <c r="C80" i="71"/>
  <c r="C83" i="71"/>
  <c r="F79" i="71"/>
  <c r="C79" i="71"/>
  <c r="F65" i="71"/>
  <c r="F55" i="71"/>
  <c r="F49" i="71"/>
  <c r="F50" i="71"/>
  <c r="F53" i="71"/>
  <c r="C49" i="71"/>
  <c r="C50" i="71"/>
  <c r="C53" i="71"/>
  <c r="I55" i="71"/>
  <c r="F35" i="71"/>
  <c r="F23" i="71"/>
  <c r="C23" i="71"/>
  <c r="I25" i="71"/>
  <c r="F25" i="71"/>
  <c r="C20" i="71"/>
  <c r="F19" i="71"/>
  <c r="F20" i="71"/>
  <c r="C19" i="71"/>
  <c r="F5" i="71"/>
  <c r="J614" i="70"/>
  <c r="H614" i="70"/>
  <c r="J613" i="70"/>
  <c r="H613" i="70"/>
  <c r="J611" i="70"/>
  <c r="H611" i="70"/>
  <c r="J609" i="70"/>
  <c r="H609" i="70"/>
  <c r="J608" i="70"/>
  <c r="H608" i="70"/>
  <c r="J607" i="70"/>
  <c r="H607" i="70"/>
  <c r="Y605" i="70"/>
  <c r="J605" i="70"/>
  <c r="H605" i="70"/>
  <c r="Y604" i="70"/>
  <c r="J604" i="70"/>
  <c r="H604" i="70"/>
  <c r="J601" i="70"/>
  <c r="H601" i="70"/>
  <c r="J599" i="70"/>
  <c r="H599" i="70"/>
  <c r="G615" i="70"/>
  <c r="J591" i="70"/>
  <c r="J583" i="70"/>
  <c r="H583" i="70"/>
  <c r="J582" i="70"/>
  <c r="H582" i="70"/>
  <c r="J580" i="70"/>
  <c r="H580" i="70"/>
  <c r="J578" i="70"/>
  <c r="H578" i="70"/>
  <c r="J577" i="70"/>
  <c r="H577" i="70"/>
  <c r="J576" i="70"/>
  <c r="H576" i="70"/>
  <c r="Y574" i="70"/>
  <c r="J574" i="70"/>
  <c r="H574" i="70"/>
  <c r="Y573" i="70"/>
  <c r="J573" i="70"/>
  <c r="H573" i="70"/>
  <c r="J570" i="70"/>
  <c r="H570" i="70"/>
  <c r="J568" i="70"/>
  <c r="H568" i="70"/>
  <c r="G584" i="70"/>
  <c r="J560" i="70"/>
  <c r="J552" i="70"/>
  <c r="H552" i="70"/>
  <c r="J551" i="70"/>
  <c r="H551" i="70"/>
  <c r="J549" i="70"/>
  <c r="H549" i="70"/>
  <c r="J547" i="70"/>
  <c r="H547" i="70"/>
  <c r="J546" i="70"/>
  <c r="H546" i="70"/>
  <c r="J545" i="70"/>
  <c r="H545" i="70"/>
  <c r="Y543" i="70"/>
  <c r="J543" i="70"/>
  <c r="H543" i="70"/>
  <c r="Y542" i="70"/>
  <c r="J542" i="70"/>
  <c r="H542" i="70"/>
  <c r="G553" i="70"/>
  <c r="J539" i="70"/>
  <c r="I553" i="70"/>
  <c r="H539" i="70"/>
  <c r="J537" i="70"/>
  <c r="H537" i="70"/>
  <c r="J529" i="70"/>
  <c r="G522" i="70"/>
  <c r="J521" i="70"/>
  <c r="H521" i="70"/>
  <c r="J520" i="70"/>
  <c r="H520" i="70"/>
  <c r="J518" i="70"/>
  <c r="H518" i="70"/>
  <c r="J516" i="70"/>
  <c r="H516" i="70"/>
  <c r="J515" i="70"/>
  <c r="H515" i="70"/>
  <c r="J514" i="70"/>
  <c r="H514" i="70"/>
  <c r="Y512" i="70"/>
  <c r="J512" i="70"/>
  <c r="H512" i="70"/>
  <c r="Y511" i="70"/>
  <c r="J511" i="70"/>
  <c r="I522" i="70"/>
  <c r="H511" i="70"/>
  <c r="J508" i="70"/>
  <c r="H508" i="70"/>
  <c r="J506" i="70"/>
  <c r="H506" i="70"/>
  <c r="Y500" i="70"/>
  <c r="J498" i="70"/>
  <c r="J490" i="70"/>
  <c r="H490" i="70"/>
  <c r="J489" i="70"/>
  <c r="H489" i="70"/>
  <c r="J487" i="70"/>
  <c r="H487" i="70"/>
  <c r="J485" i="70"/>
  <c r="H485" i="70"/>
  <c r="J484" i="70"/>
  <c r="H484" i="70"/>
  <c r="J483" i="70"/>
  <c r="H483" i="70"/>
  <c r="Y481" i="70"/>
  <c r="J481" i="70"/>
  <c r="H481" i="70"/>
  <c r="Y480" i="70"/>
  <c r="J480" i="70"/>
  <c r="I491" i="70"/>
  <c r="H480" i="70"/>
  <c r="J477" i="70"/>
  <c r="H477" i="70"/>
  <c r="J475" i="70"/>
  <c r="H475" i="70"/>
  <c r="J467" i="70"/>
  <c r="I460" i="70"/>
  <c r="Y438" i="70"/>
  <c r="J459" i="70"/>
  <c r="H459" i="70"/>
  <c r="J458" i="70"/>
  <c r="H458" i="70"/>
  <c r="J456" i="70"/>
  <c r="H456" i="70"/>
  <c r="J454" i="70"/>
  <c r="H454" i="70"/>
  <c r="J453" i="70"/>
  <c r="H453" i="70"/>
  <c r="J452" i="70"/>
  <c r="H452" i="70"/>
  <c r="Y450" i="70"/>
  <c r="J450" i="70"/>
  <c r="H450" i="70"/>
  <c r="Y449" i="70"/>
  <c r="J449" i="70"/>
  <c r="H449" i="70"/>
  <c r="J446" i="70"/>
  <c r="H446" i="70"/>
  <c r="J444" i="70"/>
  <c r="H444" i="70"/>
  <c r="J436" i="70"/>
  <c r="J428" i="70"/>
  <c r="H428" i="70"/>
  <c r="J427" i="70"/>
  <c r="H427" i="70"/>
  <c r="J425" i="70"/>
  <c r="H425" i="70"/>
  <c r="J423" i="70"/>
  <c r="H423" i="70"/>
  <c r="J422" i="70"/>
  <c r="H422" i="70"/>
  <c r="J421" i="70"/>
  <c r="H421" i="70"/>
  <c r="Y419" i="70"/>
  <c r="J419" i="70"/>
  <c r="H419" i="70"/>
  <c r="Y418" i="70"/>
  <c r="J418" i="70"/>
  <c r="H418" i="70"/>
  <c r="J415" i="70"/>
  <c r="H415" i="70"/>
  <c r="J413" i="70"/>
  <c r="H413" i="70"/>
  <c r="G429" i="70"/>
  <c r="Y411" i="70"/>
  <c r="J405" i="70"/>
  <c r="J397" i="70"/>
  <c r="H397" i="70"/>
  <c r="J396" i="70"/>
  <c r="H396" i="70"/>
  <c r="J394" i="70"/>
  <c r="H394" i="70"/>
  <c r="J392" i="70"/>
  <c r="H392" i="70"/>
  <c r="J391" i="70"/>
  <c r="H391" i="70"/>
  <c r="J390" i="70"/>
  <c r="H390" i="70"/>
  <c r="Y388" i="70"/>
  <c r="J388" i="70"/>
  <c r="H388" i="70"/>
  <c r="Y387" i="70"/>
  <c r="J387" i="70"/>
  <c r="H387" i="70"/>
  <c r="J384" i="70"/>
  <c r="H384" i="70"/>
  <c r="J382" i="70"/>
  <c r="H382" i="70"/>
  <c r="J374" i="70"/>
  <c r="J366" i="70"/>
  <c r="H366" i="70"/>
  <c r="J365" i="70"/>
  <c r="H365" i="70"/>
  <c r="J363" i="70"/>
  <c r="H363" i="70"/>
  <c r="J361" i="70"/>
  <c r="H361" i="70"/>
  <c r="J360" i="70"/>
  <c r="H360" i="70"/>
  <c r="J359" i="70"/>
  <c r="H359" i="70"/>
  <c r="Y357" i="70"/>
  <c r="J357" i="70"/>
  <c r="H357" i="70"/>
  <c r="Y356" i="70"/>
  <c r="J356" i="70"/>
  <c r="H356" i="70"/>
  <c r="J353" i="70"/>
  <c r="H353" i="70"/>
  <c r="J351" i="70"/>
  <c r="H351" i="70"/>
  <c r="J343" i="70"/>
  <c r="J335" i="70"/>
  <c r="H335" i="70"/>
  <c r="J334" i="70"/>
  <c r="H334" i="70"/>
  <c r="J332" i="70"/>
  <c r="H332" i="70"/>
  <c r="J330" i="70"/>
  <c r="H330" i="70"/>
  <c r="J329" i="70"/>
  <c r="H329" i="70"/>
  <c r="J328" i="70"/>
  <c r="H328" i="70"/>
  <c r="Y326" i="70"/>
  <c r="J326" i="70"/>
  <c r="H326" i="70"/>
  <c r="Y325" i="70"/>
  <c r="J325" i="70"/>
  <c r="H325" i="70"/>
  <c r="J322" i="70"/>
  <c r="H322" i="70"/>
  <c r="J320" i="70"/>
  <c r="H320" i="70"/>
  <c r="J312" i="70"/>
  <c r="I305" i="70"/>
  <c r="G305" i="70"/>
  <c r="J304" i="70"/>
  <c r="H304" i="70"/>
  <c r="J303" i="70"/>
  <c r="H303" i="70"/>
  <c r="J301" i="70"/>
  <c r="H301" i="70"/>
  <c r="J299" i="70"/>
  <c r="H299" i="70"/>
  <c r="J298" i="70"/>
  <c r="H298" i="70"/>
  <c r="J297" i="70"/>
  <c r="H297" i="70"/>
  <c r="Y295" i="70"/>
  <c r="J295" i="70"/>
  <c r="H295" i="70"/>
  <c r="Y294" i="70"/>
  <c r="J294" i="70"/>
  <c r="H294" i="70"/>
  <c r="J291" i="70"/>
  <c r="H291" i="70"/>
  <c r="J289" i="70"/>
  <c r="H289" i="70"/>
  <c r="J281" i="70"/>
  <c r="G274" i="70"/>
  <c r="J273" i="70"/>
  <c r="H273" i="70"/>
  <c r="J272" i="70"/>
  <c r="H272" i="70"/>
  <c r="J270" i="70"/>
  <c r="H270" i="70"/>
  <c r="J268" i="70"/>
  <c r="H268" i="70"/>
  <c r="J267" i="70"/>
  <c r="H267" i="70"/>
  <c r="J266" i="70"/>
  <c r="H266" i="70"/>
  <c r="Y264" i="70"/>
  <c r="J264" i="70"/>
  <c r="H264" i="70"/>
  <c r="Y263" i="70"/>
  <c r="J263" i="70"/>
  <c r="H263" i="70"/>
  <c r="J260" i="70"/>
  <c r="H260" i="70"/>
  <c r="J258" i="70"/>
  <c r="H258" i="70"/>
  <c r="J250" i="70"/>
  <c r="J242" i="70"/>
  <c r="H242" i="70"/>
  <c r="J241" i="70"/>
  <c r="H241" i="70"/>
  <c r="J239" i="70"/>
  <c r="H239" i="70"/>
  <c r="J237" i="70"/>
  <c r="H237" i="70"/>
  <c r="J236" i="70"/>
  <c r="H236" i="70"/>
  <c r="J235" i="70"/>
  <c r="H235" i="70"/>
  <c r="Y233" i="70"/>
  <c r="J233" i="70"/>
  <c r="H233" i="70"/>
  <c r="Y232" i="70"/>
  <c r="J232" i="70"/>
  <c r="I243" i="70"/>
  <c r="Y222" i="70"/>
  <c r="H232" i="70"/>
  <c r="J229" i="70"/>
  <c r="H229" i="70"/>
  <c r="J227" i="70"/>
  <c r="H227" i="70"/>
  <c r="G243" i="70"/>
  <c r="J219" i="70"/>
  <c r="J211" i="70"/>
  <c r="H211" i="70"/>
  <c r="J210" i="70"/>
  <c r="H210" i="70"/>
  <c r="J208" i="70"/>
  <c r="H208" i="70"/>
  <c r="J206" i="70"/>
  <c r="H206" i="70"/>
  <c r="J205" i="70"/>
  <c r="I212" i="70"/>
  <c r="Y190" i="70"/>
  <c r="H205" i="70"/>
  <c r="J204" i="70"/>
  <c r="H204" i="70"/>
  <c r="Y202" i="70"/>
  <c r="J202" i="70"/>
  <c r="H202" i="70"/>
  <c r="Y201" i="70"/>
  <c r="J201" i="70"/>
  <c r="H201" i="70"/>
  <c r="J198" i="70"/>
  <c r="H198" i="70"/>
  <c r="J196" i="70"/>
  <c r="H196" i="70"/>
  <c r="J188" i="70"/>
  <c r="J180" i="70"/>
  <c r="H180" i="70"/>
  <c r="J179" i="70"/>
  <c r="H179" i="70"/>
  <c r="J177" i="70"/>
  <c r="H177" i="70"/>
  <c r="J175" i="70"/>
  <c r="H175" i="70"/>
  <c r="J174" i="70"/>
  <c r="H174" i="70"/>
  <c r="J173" i="70"/>
  <c r="H173" i="70"/>
  <c r="Y171" i="70"/>
  <c r="J171" i="70"/>
  <c r="H171" i="70"/>
  <c r="Y170" i="70"/>
  <c r="J170" i="70"/>
  <c r="H170" i="70"/>
  <c r="J167" i="70"/>
  <c r="H167" i="70"/>
  <c r="J165" i="70"/>
  <c r="H165" i="70"/>
  <c r="J157" i="70"/>
  <c r="J149" i="70"/>
  <c r="H149" i="70"/>
  <c r="J148" i="70"/>
  <c r="H148" i="70"/>
  <c r="J146" i="70"/>
  <c r="H146" i="70"/>
  <c r="J144" i="70"/>
  <c r="H144" i="70"/>
  <c r="J143" i="70"/>
  <c r="H143" i="70"/>
  <c r="J142" i="70"/>
  <c r="H142" i="70"/>
  <c r="Y140" i="70"/>
  <c r="J140" i="70"/>
  <c r="H140" i="70"/>
  <c r="Y139" i="70"/>
  <c r="J139" i="70"/>
  <c r="H139" i="70"/>
  <c r="J136" i="70"/>
  <c r="H136" i="70"/>
  <c r="J134" i="70"/>
  <c r="H134" i="70"/>
  <c r="J126" i="70"/>
  <c r="J118" i="70"/>
  <c r="H118" i="70"/>
  <c r="J117" i="70"/>
  <c r="H117" i="70"/>
  <c r="J115" i="70"/>
  <c r="H115" i="70"/>
  <c r="J113" i="70"/>
  <c r="H113" i="70"/>
  <c r="J112" i="70"/>
  <c r="H112" i="70"/>
  <c r="J111" i="70"/>
  <c r="H111" i="70"/>
  <c r="Y109" i="70"/>
  <c r="J109" i="70"/>
  <c r="H109" i="70"/>
  <c r="Y108" i="70"/>
  <c r="J108" i="70"/>
  <c r="H108" i="70"/>
  <c r="J105" i="70"/>
  <c r="H105" i="70"/>
  <c r="J103" i="70"/>
  <c r="H103" i="70"/>
  <c r="G119" i="70"/>
  <c r="J95" i="70"/>
  <c r="J87" i="70"/>
  <c r="H87" i="70"/>
  <c r="J86" i="70"/>
  <c r="H86" i="70"/>
  <c r="J84" i="70"/>
  <c r="H84" i="70"/>
  <c r="J82" i="70"/>
  <c r="H82" i="70"/>
  <c r="J81" i="70"/>
  <c r="H81" i="70"/>
  <c r="J80" i="70"/>
  <c r="H80" i="70"/>
  <c r="Y78" i="70"/>
  <c r="J78" i="70"/>
  <c r="H78" i="70"/>
  <c r="Y77" i="70"/>
  <c r="J77" i="70"/>
  <c r="H77" i="70"/>
  <c r="J74" i="70"/>
  <c r="H74" i="70"/>
  <c r="J72" i="70"/>
  <c r="H72" i="70"/>
  <c r="J64" i="70"/>
  <c r="J56" i="70"/>
  <c r="H56" i="70"/>
  <c r="J55" i="70"/>
  <c r="H55" i="70"/>
  <c r="J53" i="70"/>
  <c r="H53" i="70"/>
  <c r="J51" i="70"/>
  <c r="H51" i="70"/>
  <c r="J50" i="70"/>
  <c r="H50" i="70"/>
  <c r="J49" i="70"/>
  <c r="H49" i="70"/>
  <c r="Y47" i="70"/>
  <c r="J47" i="70"/>
  <c r="H47" i="70"/>
  <c r="Y46" i="70"/>
  <c r="J46" i="70"/>
  <c r="H46" i="70"/>
  <c r="G57" i="70"/>
  <c r="J43" i="70"/>
  <c r="I57" i="70"/>
  <c r="H43" i="70"/>
  <c r="J41" i="70"/>
  <c r="H41" i="70"/>
  <c r="J33" i="70"/>
  <c r="G26" i="70"/>
  <c r="J25" i="70"/>
  <c r="H25" i="70"/>
  <c r="J24" i="70"/>
  <c r="H24" i="70"/>
  <c r="J22" i="70"/>
  <c r="H22" i="70"/>
  <c r="J20" i="70"/>
  <c r="H20" i="70"/>
  <c r="J19" i="70"/>
  <c r="H19" i="70"/>
  <c r="J18" i="70"/>
  <c r="H18" i="70"/>
  <c r="Y16" i="70"/>
  <c r="J16" i="70"/>
  <c r="H16" i="70"/>
  <c r="Y15" i="70"/>
  <c r="J15" i="70"/>
  <c r="H15" i="70"/>
  <c r="J12" i="70"/>
  <c r="H12" i="70"/>
  <c r="J10" i="70"/>
  <c r="H10" i="70"/>
  <c r="J2" i="70"/>
  <c r="J734" i="69"/>
  <c r="H734" i="69"/>
  <c r="J733" i="69"/>
  <c r="H733" i="69"/>
  <c r="J731" i="69"/>
  <c r="H731" i="69"/>
  <c r="J729" i="69"/>
  <c r="H729" i="69"/>
  <c r="J728" i="69"/>
  <c r="H728" i="69"/>
  <c r="J727" i="69"/>
  <c r="H727" i="69"/>
  <c r="J725" i="69"/>
  <c r="H725" i="69"/>
  <c r="J724" i="69"/>
  <c r="H724" i="69"/>
  <c r="J723" i="69"/>
  <c r="I735" i="69"/>
  <c r="H723" i="69"/>
  <c r="J722" i="69"/>
  <c r="H722" i="69"/>
  <c r="J716" i="69"/>
  <c r="H716" i="69"/>
  <c r="G735" i="69"/>
  <c r="AC715" i="69"/>
  <c r="J718" i="69"/>
  <c r="AC714" i="69"/>
  <c r="H718" i="69"/>
  <c r="J705" i="69"/>
  <c r="J697" i="69"/>
  <c r="H697" i="69"/>
  <c r="J696" i="69"/>
  <c r="H696" i="69"/>
  <c r="J694" i="69"/>
  <c r="H694" i="69"/>
  <c r="J692" i="69"/>
  <c r="H692" i="69"/>
  <c r="J691" i="69"/>
  <c r="H691" i="69"/>
  <c r="J690" i="69"/>
  <c r="H690" i="69"/>
  <c r="J688" i="69"/>
  <c r="H688" i="69"/>
  <c r="J687" i="69"/>
  <c r="H687" i="69"/>
  <c r="J686" i="69"/>
  <c r="H686" i="69"/>
  <c r="J685" i="69"/>
  <c r="H685" i="69"/>
  <c r="J679" i="69"/>
  <c r="H679" i="69"/>
  <c r="AC678" i="69"/>
  <c r="J681" i="69"/>
  <c r="AC677" i="69"/>
  <c r="H681" i="69"/>
  <c r="J668" i="69"/>
  <c r="J660" i="69"/>
  <c r="H660" i="69"/>
  <c r="J659" i="69"/>
  <c r="H659" i="69"/>
  <c r="J657" i="69"/>
  <c r="H657" i="69"/>
  <c r="J655" i="69"/>
  <c r="H655" i="69"/>
  <c r="J654" i="69"/>
  <c r="H654" i="69"/>
  <c r="J653" i="69"/>
  <c r="H653" i="69"/>
  <c r="J651" i="69"/>
  <c r="H651" i="69"/>
  <c r="J650" i="69"/>
  <c r="H650" i="69"/>
  <c r="J649" i="69"/>
  <c r="H649" i="69"/>
  <c r="J648" i="69"/>
  <c r="H648" i="69"/>
  <c r="H644" i="69"/>
  <c r="J642" i="69"/>
  <c r="H642" i="69"/>
  <c r="AC641" i="69"/>
  <c r="J644" i="69"/>
  <c r="AC640" i="69"/>
  <c r="J631" i="69"/>
  <c r="J623" i="69"/>
  <c r="H623" i="69"/>
  <c r="J622" i="69"/>
  <c r="H622" i="69"/>
  <c r="J620" i="69"/>
  <c r="H620" i="69"/>
  <c r="J618" i="69"/>
  <c r="H618" i="69"/>
  <c r="J617" i="69"/>
  <c r="H617" i="69"/>
  <c r="J616" i="69"/>
  <c r="H616" i="69"/>
  <c r="J614" i="69"/>
  <c r="H614" i="69"/>
  <c r="J613" i="69"/>
  <c r="I624" i="69"/>
  <c r="H613" i="69"/>
  <c r="G624" i="69"/>
  <c r="J612" i="69"/>
  <c r="H612" i="69"/>
  <c r="J611" i="69"/>
  <c r="H611" i="69"/>
  <c r="J607" i="69"/>
  <c r="AC596" i="69"/>
  <c r="J605" i="69"/>
  <c r="H605" i="69"/>
  <c r="AC604" i="69"/>
  <c r="AC603" i="69"/>
  <c r="H607" i="69"/>
  <c r="J594" i="69"/>
  <c r="J586" i="69"/>
  <c r="H586" i="69"/>
  <c r="J585" i="69"/>
  <c r="H585" i="69"/>
  <c r="J583" i="69"/>
  <c r="H583" i="69"/>
  <c r="J581" i="69"/>
  <c r="H581" i="69"/>
  <c r="J580" i="69"/>
  <c r="H580" i="69"/>
  <c r="J579" i="69"/>
  <c r="H579" i="69"/>
  <c r="J577" i="69"/>
  <c r="H577" i="69"/>
  <c r="J576" i="69"/>
  <c r="H576" i="69"/>
  <c r="J575" i="69"/>
  <c r="I587" i="69"/>
  <c r="AC559" i="69"/>
  <c r="H575" i="69"/>
  <c r="J574" i="69"/>
  <c r="H574" i="69"/>
  <c r="J570" i="69"/>
  <c r="H570" i="69"/>
  <c r="J568" i="69"/>
  <c r="H568" i="69"/>
  <c r="AC567" i="69"/>
  <c r="AC566" i="69"/>
  <c r="J557" i="69"/>
  <c r="J549" i="69"/>
  <c r="H549" i="69"/>
  <c r="J548" i="69"/>
  <c r="H548" i="69"/>
  <c r="J546" i="69"/>
  <c r="H546" i="69"/>
  <c r="J544" i="69"/>
  <c r="H544" i="69"/>
  <c r="J543" i="69"/>
  <c r="H543" i="69"/>
  <c r="J542" i="69"/>
  <c r="H542" i="69"/>
  <c r="J540" i="69"/>
  <c r="H540" i="69"/>
  <c r="J539" i="69"/>
  <c r="H539" i="69"/>
  <c r="J538" i="69"/>
  <c r="H538" i="69"/>
  <c r="J537" i="69"/>
  <c r="H537" i="69"/>
  <c r="J531" i="69"/>
  <c r="H531" i="69"/>
  <c r="AC530" i="69"/>
  <c r="J533" i="69"/>
  <c r="AC529" i="69"/>
  <c r="H533" i="69"/>
  <c r="J520" i="69"/>
  <c r="J512" i="69"/>
  <c r="H512" i="69"/>
  <c r="J511" i="69"/>
  <c r="H511" i="69"/>
  <c r="J509" i="69"/>
  <c r="H509" i="69"/>
  <c r="J507" i="69"/>
  <c r="H507" i="69"/>
  <c r="J506" i="69"/>
  <c r="H506" i="69"/>
  <c r="J505" i="69"/>
  <c r="H505" i="69"/>
  <c r="J503" i="69"/>
  <c r="H503" i="69"/>
  <c r="J502" i="69"/>
  <c r="H502" i="69"/>
  <c r="J501" i="69"/>
  <c r="H501" i="69"/>
  <c r="J500" i="69"/>
  <c r="H500" i="69"/>
  <c r="H496" i="69"/>
  <c r="J494" i="69"/>
  <c r="H494" i="69"/>
  <c r="AC493" i="69"/>
  <c r="J496" i="69"/>
  <c r="AC492" i="69"/>
  <c r="J483" i="69"/>
  <c r="J475" i="69"/>
  <c r="H475" i="69"/>
  <c r="J474" i="69"/>
  <c r="H474" i="69"/>
  <c r="J472" i="69"/>
  <c r="H472" i="69"/>
  <c r="J470" i="69"/>
  <c r="H470" i="69"/>
  <c r="J469" i="69"/>
  <c r="H469" i="69"/>
  <c r="J468" i="69"/>
  <c r="H468" i="69"/>
  <c r="J466" i="69"/>
  <c r="H466" i="69"/>
  <c r="J465" i="69"/>
  <c r="H465" i="69"/>
  <c r="J464" i="69"/>
  <c r="H464" i="69"/>
  <c r="J463" i="69"/>
  <c r="H463" i="69"/>
  <c r="J459" i="69"/>
  <c r="I476" i="69"/>
  <c r="J457" i="69"/>
  <c r="H457" i="69"/>
  <c r="AC456" i="69"/>
  <c r="AC455" i="69"/>
  <c r="H459" i="69"/>
  <c r="G476" i="69"/>
  <c r="J446" i="69"/>
  <c r="I439" i="69"/>
  <c r="J438" i="69"/>
  <c r="H438" i="69"/>
  <c r="J437" i="69"/>
  <c r="H437" i="69"/>
  <c r="J435" i="69"/>
  <c r="H435" i="69"/>
  <c r="J433" i="69"/>
  <c r="H433" i="69"/>
  <c r="J432" i="69"/>
  <c r="H432" i="69"/>
  <c r="J431" i="69"/>
  <c r="H431" i="69"/>
  <c r="J429" i="69"/>
  <c r="H429" i="69"/>
  <c r="J428" i="69"/>
  <c r="H428" i="69"/>
  <c r="J427" i="69"/>
  <c r="H427" i="69"/>
  <c r="J426" i="69"/>
  <c r="H426" i="69"/>
  <c r="H422" i="69"/>
  <c r="J420" i="69"/>
  <c r="H420" i="69"/>
  <c r="AC419" i="69"/>
  <c r="J422" i="69"/>
  <c r="AC411" i="69"/>
  <c r="AC418" i="69"/>
  <c r="J409" i="69"/>
  <c r="J401" i="69"/>
  <c r="H401" i="69"/>
  <c r="J400" i="69"/>
  <c r="H400" i="69"/>
  <c r="J398" i="69"/>
  <c r="H398" i="69"/>
  <c r="J396" i="69"/>
  <c r="H396" i="69"/>
  <c r="J395" i="69"/>
  <c r="H395" i="69"/>
  <c r="J394" i="69"/>
  <c r="H394" i="69"/>
  <c r="J392" i="69"/>
  <c r="H392" i="69"/>
  <c r="J391" i="69"/>
  <c r="H391" i="69"/>
  <c r="J390" i="69"/>
  <c r="H390" i="69"/>
  <c r="J389" i="69"/>
  <c r="H389" i="69"/>
  <c r="J383" i="69"/>
  <c r="H383" i="69"/>
  <c r="AC382" i="69"/>
  <c r="J385" i="69"/>
  <c r="AC381" i="69"/>
  <c r="H385" i="69"/>
  <c r="J372" i="69"/>
  <c r="J364" i="69"/>
  <c r="H364" i="69"/>
  <c r="J363" i="69"/>
  <c r="H363" i="69"/>
  <c r="J361" i="69"/>
  <c r="H361" i="69"/>
  <c r="J359" i="69"/>
  <c r="H359" i="69"/>
  <c r="J358" i="69"/>
  <c r="H358" i="69"/>
  <c r="J357" i="69"/>
  <c r="H357" i="69"/>
  <c r="J355" i="69"/>
  <c r="H355" i="69"/>
  <c r="J354" i="69"/>
  <c r="H354" i="69"/>
  <c r="J353" i="69"/>
  <c r="H353" i="69"/>
  <c r="J352" i="69"/>
  <c r="H352" i="69"/>
  <c r="H348" i="69"/>
  <c r="J346" i="69"/>
  <c r="H346" i="69"/>
  <c r="AC345" i="69"/>
  <c r="J348" i="69"/>
  <c r="AC344" i="69"/>
  <c r="J335" i="69"/>
  <c r="J327" i="69"/>
  <c r="H327" i="69"/>
  <c r="J326" i="69"/>
  <c r="H326" i="69"/>
  <c r="J324" i="69"/>
  <c r="H324" i="69"/>
  <c r="J322" i="69"/>
  <c r="H322" i="69"/>
  <c r="J321" i="69"/>
  <c r="H321" i="69"/>
  <c r="J320" i="69"/>
  <c r="H320" i="69"/>
  <c r="J318" i="69"/>
  <c r="H318" i="69"/>
  <c r="J317" i="69"/>
  <c r="H317" i="69"/>
  <c r="J316" i="69"/>
  <c r="H316" i="69"/>
  <c r="J315" i="69"/>
  <c r="H315" i="69"/>
  <c r="J311" i="69"/>
  <c r="I328" i="69"/>
  <c r="AC300" i="69"/>
  <c r="J309" i="69"/>
  <c r="H309" i="69"/>
  <c r="AC308" i="69"/>
  <c r="AC307" i="69"/>
  <c r="H311" i="69"/>
  <c r="G328" i="69"/>
  <c r="J298" i="69"/>
  <c r="J290" i="69"/>
  <c r="H290" i="69"/>
  <c r="J289" i="69"/>
  <c r="H289" i="69"/>
  <c r="J287" i="69"/>
  <c r="H287" i="69"/>
  <c r="J285" i="69"/>
  <c r="H285" i="69"/>
  <c r="J284" i="69"/>
  <c r="H284" i="69"/>
  <c r="J283" i="69"/>
  <c r="AC263" i="69"/>
  <c r="H283" i="69"/>
  <c r="J281" i="69"/>
  <c r="H281" i="69"/>
  <c r="J280" i="69"/>
  <c r="H280" i="69"/>
  <c r="J279" i="69"/>
  <c r="I291" i="69"/>
  <c r="H279" i="69"/>
  <c r="J278" i="69"/>
  <c r="H278" i="69"/>
  <c r="J274" i="69"/>
  <c r="H274" i="69"/>
  <c r="J272" i="69"/>
  <c r="H272" i="69"/>
  <c r="AC271" i="69"/>
  <c r="AC270" i="69"/>
  <c r="J261" i="69"/>
  <c r="J253" i="69"/>
  <c r="H253" i="69"/>
  <c r="J252" i="69"/>
  <c r="H252" i="69"/>
  <c r="J250" i="69"/>
  <c r="H250" i="69"/>
  <c r="J248" i="69"/>
  <c r="H248" i="69"/>
  <c r="J247" i="69"/>
  <c r="H247" i="69"/>
  <c r="J246" i="69"/>
  <c r="H246" i="69"/>
  <c r="J244" i="69"/>
  <c r="H244" i="69"/>
  <c r="J243" i="69"/>
  <c r="H243" i="69"/>
  <c r="J242" i="69"/>
  <c r="H242" i="69"/>
  <c r="J241" i="69"/>
  <c r="H241" i="69"/>
  <c r="J235" i="69"/>
  <c r="H235" i="69"/>
  <c r="AC234" i="69"/>
  <c r="J237" i="69"/>
  <c r="AC233" i="69"/>
  <c r="H237" i="69"/>
  <c r="J224" i="69"/>
  <c r="J216" i="69"/>
  <c r="H216" i="69"/>
  <c r="J215" i="69"/>
  <c r="H215" i="69"/>
  <c r="J213" i="69"/>
  <c r="H213" i="69"/>
  <c r="J211" i="69"/>
  <c r="H211" i="69"/>
  <c r="J210" i="69"/>
  <c r="H210" i="69"/>
  <c r="J209" i="69"/>
  <c r="H209" i="69"/>
  <c r="J207" i="69"/>
  <c r="H207" i="69"/>
  <c r="J206" i="69"/>
  <c r="H206" i="69"/>
  <c r="J205" i="69"/>
  <c r="H205" i="69"/>
  <c r="J204" i="69"/>
  <c r="H204" i="69"/>
  <c r="H200" i="69"/>
  <c r="J198" i="69"/>
  <c r="H198" i="69"/>
  <c r="AC197" i="69"/>
  <c r="J200" i="69"/>
  <c r="AC196" i="69"/>
  <c r="J187" i="69"/>
  <c r="J179" i="69"/>
  <c r="H179" i="69"/>
  <c r="J178" i="69"/>
  <c r="H178" i="69"/>
  <c r="J176" i="69"/>
  <c r="H176" i="69"/>
  <c r="J174" i="69"/>
  <c r="H174" i="69"/>
  <c r="J173" i="69"/>
  <c r="H173" i="69"/>
  <c r="J172" i="69"/>
  <c r="H172" i="69"/>
  <c r="J170" i="69"/>
  <c r="H170" i="69"/>
  <c r="J169" i="69"/>
  <c r="H169" i="69"/>
  <c r="G180" i="69"/>
  <c r="J168" i="69"/>
  <c r="H168" i="69"/>
  <c r="J167" i="69"/>
  <c r="H167" i="69"/>
  <c r="J163" i="69"/>
  <c r="J161" i="69"/>
  <c r="H161" i="69"/>
  <c r="AC160" i="69"/>
  <c r="AC159" i="69"/>
  <c r="H163" i="69"/>
  <c r="J150" i="69"/>
  <c r="J142" i="69"/>
  <c r="H142" i="69"/>
  <c r="J141" i="69"/>
  <c r="H141" i="69"/>
  <c r="J139" i="69"/>
  <c r="H139" i="69"/>
  <c r="J137" i="69"/>
  <c r="H137" i="69"/>
  <c r="J136" i="69"/>
  <c r="H136" i="69"/>
  <c r="J135" i="69"/>
  <c r="H135" i="69"/>
  <c r="J133" i="69"/>
  <c r="H133" i="69"/>
  <c r="J132" i="69"/>
  <c r="H132" i="69"/>
  <c r="J131" i="69"/>
  <c r="I143" i="69"/>
  <c r="H131" i="69"/>
  <c r="J130" i="69"/>
  <c r="H130" i="69"/>
  <c r="J126" i="69"/>
  <c r="H126" i="69"/>
  <c r="J124" i="69"/>
  <c r="H124" i="69"/>
  <c r="G143" i="69"/>
  <c r="AC123" i="69"/>
  <c r="AC122" i="69"/>
  <c r="J113" i="69"/>
  <c r="J105" i="69"/>
  <c r="H105" i="69"/>
  <c r="J104" i="69"/>
  <c r="H104" i="69"/>
  <c r="J102" i="69"/>
  <c r="H102" i="69"/>
  <c r="J100" i="69"/>
  <c r="H100" i="69"/>
  <c r="J99" i="69"/>
  <c r="H99" i="69"/>
  <c r="J98" i="69"/>
  <c r="H98" i="69"/>
  <c r="J96" i="69"/>
  <c r="H96" i="69"/>
  <c r="J95" i="69"/>
  <c r="H95" i="69"/>
  <c r="J94" i="69"/>
  <c r="H94" i="69"/>
  <c r="J93" i="69"/>
  <c r="H93" i="69"/>
  <c r="J87" i="69"/>
  <c r="H87" i="69"/>
  <c r="AC86" i="69"/>
  <c r="J89" i="69"/>
  <c r="AC85" i="69"/>
  <c r="H89" i="69"/>
  <c r="J76" i="69"/>
  <c r="J68" i="69"/>
  <c r="H68" i="69"/>
  <c r="J67" i="69"/>
  <c r="H67" i="69"/>
  <c r="J65" i="69"/>
  <c r="H65" i="69"/>
  <c r="J63" i="69"/>
  <c r="H63" i="69"/>
  <c r="J62" i="69"/>
  <c r="H62" i="69"/>
  <c r="J61" i="69"/>
  <c r="H61" i="69"/>
  <c r="J59" i="69"/>
  <c r="H59" i="69"/>
  <c r="J58" i="69"/>
  <c r="H58" i="69"/>
  <c r="J57" i="69"/>
  <c r="H57" i="69"/>
  <c r="J56" i="69"/>
  <c r="H56" i="69"/>
  <c r="H52" i="69"/>
  <c r="J50" i="69"/>
  <c r="H50" i="69"/>
  <c r="AC49" i="69"/>
  <c r="J52" i="69"/>
  <c r="AC48" i="69"/>
  <c r="J39" i="69"/>
  <c r="J31" i="69"/>
  <c r="H31" i="69"/>
  <c r="J30" i="69"/>
  <c r="H30" i="69"/>
  <c r="J28" i="69"/>
  <c r="H28" i="69"/>
  <c r="J26" i="69"/>
  <c r="H26" i="69"/>
  <c r="J25" i="69"/>
  <c r="H25" i="69"/>
  <c r="J24" i="69"/>
  <c r="H24" i="69"/>
  <c r="J22" i="69"/>
  <c r="H22" i="69"/>
  <c r="J21" i="69"/>
  <c r="H21" i="69"/>
  <c r="J20" i="69"/>
  <c r="H20" i="69"/>
  <c r="G32" i="69"/>
  <c r="J19" i="69"/>
  <c r="H19" i="69"/>
  <c r="J15" i="69"/>
  <c r="I32" i="69"/>
  <c r="AC4" i="69"/>
  <c r="J13" i="69"/>
  <c r="H13" i="69"/>
  <c r="AC12" i="69"/>
  <c r="AC11" i="69"/>
  <c r="H15" i="69"/>
  <c r="J2" i="69"/>
  <c r="I432" i="68"/>
  <c r="N424" i="68"/>
  <c r="N425" i="68"/>
  <c r="G434" i="68"/>
  <c r="G432" i="68"/>
  <c r="N427" i="68"/>
  <c r="J427" i="68"/>
  <c r="H427" i="68"/>
  <c r="N423" i="68"/>
  <c r="J416" i="68"/>
  <c r="I409" i="68"/>
  <c r="G409" i="68"/>
  <c r="N404" i="68"/>
  <c r="J404" i="68"/>
  <c r="N400" i="68"/>
  <c r="H404" i="68"/>
  <c r="J393" i="68"/>
  <c r="J381" i="68"/>
  <c r="I386" i="68"/>
  <c r="H381" i="68"/>
  <c r="G386" i="68"/>
  <c r="N378" i="68"/>
  <c r="N379" i="68"/>
  <c r="N377" i="68"/>
  <c r="J370" i="68"/>
  <c r="J358" i="68"/>
  <c r="I363" i="68"/>
  <c r="H358" i="68"/>
  <c r="G363" i="68"/>
  <c r="N354" i="68"/>
  <c r="J347" i="68"/>
  <c r="I340" i="68"/>
  <c r="G340" i="68"/>
  <c r="N335" i="68"/>
  <c r="N336" i="68"/>
  <c r="J335" i="68"/>
  <c r="H335" i="68"/>
  <c r="N331" i="68"/>
  <c r="J324" i="68"/>
  <c r="I317" i="68"/>
  <c r="G317" i="68"/>
  <c r="N312" i="68"/>
  <c r="J312" i="68"/>
  <c r="N308" i="68"/>
  <c r="H312" i="68"/>
  <c r="J301" i="68"/>
  <c r="J289" i="68"/>
  <c r="I294" i="68"/>
  <c r="H289" i="68"/>
  <c r="G294" i="68"/>
  <c r="N286" i="68"/>
  <c r="J278" i="68"/>
  <c r="J266" i="68"/>
  <c r="I271" i="68"/>
  <c r="H266" i="68"/>
  <c r="G271" i="68"/>
  <c r="N262" i="68"/>
  <c r="J255" i="68"/>
  <c r="I248" i="68"/>
  <c r="G248" i="68"/>
  <c r="N243" i="68"/>
  <c r="N244" i="68"/>
  <c r="J243" i="68"/>
  <c r="H243" i="68"/>
  <c r="N239" i="68"/>
  <c r="J232" i="68"/>
  <c r="G225" i="68"/>
  <c r="N220" i="68"/>
  <c r="J220" i="68"/>
  <c r="N216" i="68"/>
  <c r="H220" i="68"/>
  <c r="J209" i="68"/>
  <c r="J197" i="68"/>
  <c r="I202" i="68"/>
  <c r="H197" i="68"/>
  <c r="G202" i="68"/>
  <c r="N194" i="68"/>
  <c r="J186" i="68"/>
  <c r="J174" i="68"/>
  <c r="I179" i="68"/>
  <c r="H174" i="68"/>
  <c r="G179" i="68"/>
  <c r="N170" i="68"/>
  <c r="J163" i="68"/>
  <c r="I156" i="68"/>
  <c r="N152" i="68"/>
  <c r="G156" i="68"/>
  <c r="N151" i="68"/>
  <c r="J151" i="68"/>
  <c r="H151" i="68"/>
  <c r="N147" i="68"/>
  <c r="J140" i="68"/>
  <c r="G133" i="68"/>
  <c r="N128" i="68"/>
  <c r="J128" i="68"/>
  <c r="N124" i="68"/>
  <c r="H128" i="68"/>
  <c r="J117" i="68"/>
  <c r="J105" i="68"/>
  <c r="I110" i="68"/>
  <c r="H105" i="68"/>
  <c r="G110" i="68"/>
  <c r="N102" i="68"/>
  <c r="N103" i="68"/>
  <c r="N101" i="68"/>
  <c r="J94" i="68"/>
  <c r="J82" i="68"/>
  <c r="I87" i="68"/>
  <c r="H82" i="68"/>
  <c r="G87" i="68"/>
  <c r="N78" i="68"/>
  <c r="J71" i="68"/>
  <c r="I64" i="68"/>
  <c r="N60" i="68"/>
  <c r="G64" i="68"/>
  <c r="N59" i="68"/>
  <c r="J59" i="68"/>
  <c r="H59" i="68"/>
  <c r="N55" i="68"/>
  <c r="J48" i="68"/>
  <c r="I41" i="68"/>
  <c r="G41" i="68"/>
  <c r="N36" i="68"/>
  <c r="J36" i="68"/>
  <c r="N32" i="68"/>
  <c r="H36" i="68"/>
  <c r="J25" i="68"/>
  <c r="J13" i="68"/>
  <c r="I18" i="68"/>
  <c r="H13" i="68"/>
  <c r="G18" i="68"/>
  <c r="Y10" i="68"/>
  <c r="Y9" i="68"/>
  <c r="J2" i="68"/>
  <c r="AG133" i="67"/>
  <c r="AG132" i="67"/>
  <c r="AG130" i="67"/>
  <c r="AG131" i="67"/>
  <c r="AG128" i="67"/>
  <c r="AG129" i="67"/>
  <c r="AG127" i="67"/>
  <c r="AG126" i="67"/>
  <c r="AD112" i="67"/>
  <c r="AD111" i="67"/>
  <c r="AD110" i="67"/>
  <c r="AD109" i="67"/>
  <c r="AD108" i="67"/>
  <c r="AD107" i="67"/>
  <c r="AD106" i="67"/>
  <c r="AD105" i="67"/>
  <c r="AD104" i="67"/>
  <c r="AG103" i="67"/>
  <c r="AD103" i="67"/>
  <c r="AD102" i="67"/>
  <c r="AG101" i="67"/>
  <c r="AG102" i="67"/>
  <c r="AB101" i="67"/>
  <c r="AG100" i="67"/>
  <c r="AD100" i="67"/>
  <c r="AG99" i="67"/>
  <c r="AD99" i="67"/>
  <c r="AG98" i="67"/>
  <c r="AD98" i="67"/>
  <c r="AD97" i="67"/>
  <c r="AD96" i="67"/>
  <c r="AE95" i="67"/>
  <c r="AD95" i="67"/>
  <c r="AG94" i="67"/>
  <c r="AD94" i="67"/>
  <c r="AG93" i="67"/>
  <c r="AD93" i="67"/>
  <c r="AD92" i="67"/>
  <c r="AD91" i="67"/>
  <c r="AE90" i="67"/>
  <c r="AD90" i="67"/>
  <c r="AE89" i="67"/>
  <c r="AD89" i="67"/>
  <c r="AD88" i="67"/>
  <c r="AD87" i="67"/>
  <c r="AE86" i="67"/>
  <c r="AD86" i="67"/>
  <c r="AB86" i="67"/>
  <c r="W86" i="67"/>
  <c r="W87" i="67"/>
  <c r="F15" i="67"/>
  <c r="AG85" i="67"/>
  <c r="AE85" i="67"/>
  <c r="AE94" i="67"/>
  <c r="AD85" i="67"/>
  <c r="W85" i="67"/>
  <c r="AE84" i="67"/>
  <c r="AD84" i="67"/>
  <c r="W61" i="67"/>
  <c r="X60" i="67"/>
  <c r="W60" i="67"/>
  <c r="W62" i="67"/>
  <c r="T64" i="67"/>
  <c r="C29" i="67"/>
  <c r="Q60" i="67"/>
  <c r="W59" i="67"/>
  <c r="Q59" i="67"/>
  <c r="D21" i="67"/>
  <c r="D20" i="67"/>
  <c r="C20" i="67"/>
  <c r="T61" i="67"/>
  <c r="G3" i="67"/>
  <c r="AG143" i="66"/>
  <c r="AG142" i="66"/>
  <c r="AG140" i="66"/>
  <c r="AG141" i="66"/>
  <c r="AG138" i="66"/>
  <c r="AG136" i="66"/>
  <c r="AG137" i="66"/>
  <c r="AD121" i="66"/>
  <c r="AD120" i="66"/>
  <c r="AD119" i="66"/>
  <c r="AD118" i="66"/>
  <c r="AD117" i="66"/>
  <c r="AD116" i="66"/>
  <c r="AD115" i="66"/>
  <c r="AD114" i="66"/>
  <c r="AG113" i="66"/>
  <c r="AD113" i="66"/>
  <c r="AG111" i="66"/>
  <c r="AG112" i="66"/>
  <c r="AB111" i="66"/>
  <c r="AG110" i="66"/>
  <c r="AD110" i="66"/>
  <c r="AG109" i="66"/>
  <c r="AD109" i="66"/>
  <c r="AG108" i="66"/>
  <c r="AD108" i="66"/>
  <c r="AD107" i="66"/>
  <c r="AD106" i="66"/>
  <c r="AE105" i="66"/>
  <c r="AD105" i="66"/>
  <c r="AG104" i="66"/>
  <c r="AE104" i="66"/>
  <c r="AD104" i="66"/>
  <c r="AG103" i="66"/>
  <c r="AD103" i="66"/>
  <c r="AD102" i="66"/>
  <c r="AD101" i="66"/>
  <c r="AE100" i="66"/>
  <c r="AD100" i="66"/>
  <c r="AE99" i="66"/>
  <c r="AD99" i="66"/>
  <c r="AD98" i="66"/>
  <c r="AD97" i="66"/>
  <c r="W97" i="66"/>
  <c r="AD96" i="66"/>
  <c r="AB96" i="66"/>
  <c r="W96" i="66"/>
  <c r="AG95" i="66"/>
  <c r="AE95" i="66"/>
  <c r="AE106" i="66"/>
  <c r="AD95" i="66"/>
  <c r="W95" i="66"/>
  <c r="AE94" i="66"/>
  <c r="AD94" i="66"/>
  <c r="Q85" i="66"/>
  <c r="Q80" i="66"/>
  <c r="Q79" i="66"/>
  <c r="AD122" i="66"/>
  <c r="Q78" i="66"/>
  <c r="Q75" i="66"/>
  <c r="C46" i="66"/>
  <c r="F44" i="66"/>
  <c r="A40" i="66"/>
  <c r="F39" i="66"/>
  <c r="G34" i="66"/>
  <c r="C34" i="66"/>
  <c r="AD112" i="66"/>
  <c r="G28" i="66"/>
  <c r="C28" i="66"/>
  <c r="D21" i="66"/>
  <c r="D20" i="66"/>
  <c r="C20" i="66"/>
  <c r="Q84" i="66"/>
  <c r="Q83" i="66"/>
  <c r="G3" i="66"/>
  <c r="AC707" i="69"/>
  <c r="AG118" i="67"/>
  <c r="AG106" i="67"/>
  <c r="AG114" i="67"/>
  <c r="AG96" i="67"/>
  <c r="AG110" i="67"/>
  <c r="AG90" i="67"/>
  <c r="Y40" i="70"/>
  <c r="Y39" i="70"/>
  <c r="Y36" i="70"/>
  <c r="Y37" i="70"/>
  <c r="AC9" i="69"/>
  <c r="AC8" i="69"/>
  <c r="AC5" i="69"/>
  <c r="AC6" i="69"/>
  <c r="AC453" i="69"/>
  <c r="AC452" i="69"/>
  <c r="AC449" i="69"/>
  <c r="AC601" i="69"/>
  <c r="AC600" i="69"/>
  <c r="AC597" i="69"/>
  <c r="AC598" i="69"/>
  <c r="Y536" i="70"/>
  <c r="Y535" i="70"/>
  <c r="Y532" i="70"/>
  <c r="AA51" i="72"/>
  <c r="AA48" i="72"/>
  <c r="AA47" i="72"/>
  <c r="N195" i="68"/>
  <c r="AC115" i="69"/>
  <c r="AC152" i="69"/>
  <c r="Y102" i="70"/>
  <c r="AA323" i="72"/>
  <c r="AA320" i="72"/>
  <c r="AA319" i="72"/>
  <c r="AC156" i="69"/>
  <c r="I505" i="71"/>
  <c r="AC120" i="69"/>
  <c r="AC712" i="69"/>
  <c r="AC305" i="69"/>
  <c r="AC304" i="69"/>
  <c r="AC301" i="69"/>
  <c r="AC302" i="69"/>
  <c r="I145" i="71"/>
  <c r="AA220" i="72"/>
  <c r="Y11" i="68"/>
  <c r="F14" i="67"/>
  <c r="Y14" i="68"/>
  <c r="Y13" i="68"/>
  <c r="N125" i="68"/>
  <c r="N126" i="68"/>
  <c r="N129" i="68"/>
  <c r="N193" i="68"/>
  <c r="G513" i="69"/>
  <c r="G698" i="69"/>
  <c r="I429" i="70"/>
  <c r="Y408" i="70"/>
  <c r="Y409" i="70"/>
  <c r="G437" i="72"/>
  <c r="X99" i="66"/>
  <c r="F16" i="66"/>
  <c r="F13" i="66"/>
  <c r="X98" i="66"/>
  <c r="N359" i="68"/>
  <c r="N358" i="68"/>
  <c r="N355" i="68"/>
  <c r="N356" i="68"/>
  <c r="Q82" i="66"/>
  <c r="F34" i="66"/>
  <c r="I133" i="68"/>
  <c r="N428" i="68"/>
  <c r="G106" i="69"/>
  <c r="AC448" i="69"/>
  <c r="I513" i="69"/>
  <c r="AC485" i="69"/>
  <c r="I698" i="69"/>
  <c r="AC670" i="69"/>
  <c r="G150" i="70"/>
  <c r="G336" i="70"/>
  <c r="Y469" i="70"/>
  <c r="AA213" i="72"/>
  <c r="AA485" i="72"/>
  <c r="AA625" i="72"/>
  <c r="X88" i="67"/>
  <c r="X87" i="67"/>
  <c r="N198" i="68"/>
  <c r="N197" i="68"/>
  <c r="N309" i="68"/>
  <c r="N310" i="68"/>
  <c r="N313" i="68"/>
  <c r="I106" i="69"/>
  <c r="AC78" i="69"/>
  <c r="I150" i="70"/>
  <c r="Y226" i="70"/>
  <c r="Y225" i="70"/>
  <c r="Y314" i="70"/>
  <c r="I336" i="70"/>
  <c r="I63" i="72"/>
  <c r="AA183" i="72"/>
  <c r="AA281" i="72"/>
  <c r="AA455" i="72"/>
  <c r="I641" i="72"/>
  <c r="AA629" i="72"/>
  <c r="G675" i="72"/>
  <c r="I365" i="69"/>
  <c r="AC337" i="69"/>
  <c r="AA288" i="72"/>
  <c r="X59" i="67"/>
  <c r="X70" i="67"/>
  <c r="X69" i="67"/>
  <c r="X61" i="67"/>
  <c r="X68" i="67"/>
  <c r="X67" i="67"/>
  <c r="T59" i="67"/>
  <c r="X66" i="67"/>
  <c r="G387" i="68"/>
  <c r="G291" i="69"/>
  <c r="Y256" i="70"/>
  <c r="AA50" i="72"/>
  <c r="I199" i="72"/>
  <c r="AA186" i="72"/>
  <c r="I471" i="72"/>
  <c r="AA458" i="72"/>
  <c r="I675" i="72"/>
  <c r="N83" i="68"/>
  <c r="N82" i="68"/>
  <c r="N79" i="68"/>
  <c r="N80" i="68"/>
  <c r="X100" i="66"/>
  <c r="N382" i="68"/>
  <c r="N381" i="68"/>
  <c r="G388" i="68"/>
  <c r="G433" i="68"/>
  <c r="G661" i="69"/>
  <c r="I85" i="71"/>
  <c r="I265" i="71"/>
  <c r="I625" i="71"/>
  <c r="AA322" i="72"/>
  <c r="AA489" i="72"/>
  <c r="AA387" i="72"/>
  <c r="AA391" i="72"/>
  <c r="AA388" i="72"/>
  <c r="X62" i="67"/>
  <c r="X71" i="67"/>
  <c r="N267" i="68"/>
  <c r="N266" i="68"/>
  <c r="N263" i="68"/>
  <c r="N264" i="68"/>
  <c r="G69" i="69"/>
  <c r="I180" i="69"/>
  <c r="AC157" i="69"/>
  <c r="G254" i="69"/>
  <c r="I661" i="69"/>
  <c r="AC633" i="69"/>
  <c r="Y35" i="70"/>
  <c r="G398" i="70"/>
  <c r="Y566" i="70"/>
  <c r="I355" i="71"/>
  <c r="I535" i="71"/>
  <c r="AA42" i="72"/>
  <c r="G233" i="72"/>
  <c r="I505" i="72"/>
  <c r="AA492" i="72"/>
  <c r="Y597" i="70"/>
  <c r="G131" i="72"/>
  <c r="I615" i="70"/>
  <c r="Y598" i="70"/>
  <c r="AA149" i="72"/>
  <c r="AA153" i="72"/>
  <c r="F16" i="67"/>
  <c r="Y62" i="67"/>
  <c r="I69" i="69"/>
  <c r="AC41" i="69"/>
  <c r="I254" i="69"/>
  <c r="AC226" i="69"/>
  <c r="Y101" i="70"/>
  <c r="Y98" i="70"/>
  <c r="G491" i="70"/>
  <c r="I584" i="70"/>
  <c r="Y567" i="70"/>
  <c r="AA77" i="72"/>
  <c r="I233" i="72"/>
  <c r="AA314" i="72"/>
  <c r="AA621" i="72"/>
  <c r="X97" i="66"/>
  <c r="AA451" i="72"/>
  <c r="AE103" i="66"/>
  <c r="AE98" i="66"/>
  <c r="AE102" i="66"/>
  <c r="AE97" i="66"/>
  <c r="AE107" i="66"/>
  <c r="X63" i="67"/>
  <c r="N33" i="68"/>
  <c r="N34" i="68"/>
  <c r="N37" i="68"/>
  <c r="G439" i="69"/>
  <c r="Y97" i="70"/>
  <c r="I119" i="70"/>
  <c r="G212" i="70"/>
  <c r="Y505" i="70"/>
  <c r="Y504" i="70"/>
  <c r="Y501" i="70"/>
  <c r="Y502" i="70"/>
  <c r="AA315" i="72"/>
  <c r="AA349" i="72"/>
  <c r="G539" i="72"/>
  <c r="I88" i="70"/>
  <c r="Y66" i="70"/>
  <c r="Y9" i="70"/>
  <c r="Y8" i="70"/>
  <c r="Y5" i="70"/>
  <c r="Y6" i="70"/>
  <c r="G112" i="68"/>
  <c r="G111" i="68"/>
  <c r="AE101" i="66"/>
  <c r="Z59" i="67"/>
  <c r="X89" i="67"/>
  <c r="N106" i="68"/>
  <c r="N105" i="68"/>
  <c r="N221" i="68"/>
  <c r="N285" i="68"/>
  <c r="N287" i="68"/>
  <c r="G217" i="69"/>
  <c r="G402" i="69"/>
  <c r="AC708" i="69"/>
  <c r="AC709" i="69"/>
  <c r="I26" i="70"/>
  <c r="Y4" i="70"/>
  <c r="Y283" i="70"/>
  <c r="I115" i="71"/>
  <c r="I475" i="71"/>
  <c r="G267" i="72"/>
  <c r="Y288" i="70"/>
  <c r="Y287" i="70"/>
  <c r="Y284" i="70"/>
  <c r="F13" i="67"/>
  <c r="X64" i="67"/>
  <c r="I225" i="68"/>
  <c r="N217" i="68"/>
  <c r="N218" i="68"/>
  <c r="AC116" i="69"/>
  <c r="AC117" i="69"/>
  <c r="I217" i="69"/>
  <c r="AC189" i="69"/>
  <c r="I402" i="69"/>
  <c r="AC374" i="69"/>
  <c r="G587" i="69"/>
  <c r="AC711" i="69"/>
  <c r="I97" i="72"/>
  <c r="AA82" i="72"/>
  <c r="AA110" i="72"/>
  <c r="AA518" i="72"/>
  <c r="F14" i="66"/>
  <c r="N290" i="68"/>
  <c r="N289" i="68"/>
  <c r="N401" i="68"/>
  <c r="N402" i="68"/>
  <c r="N405" i="68"/>
  <c r="AC119" i="69"/>
  <c r="G181" i="70"/>
  <c r="I367" i="70"/>
  <c r="Y345" i="70"/>
  <c r="G460" i="70"/>
  <c r="AA111" i="72"/>
  <c r="AA118" i="72"/>
  <c r="AA144" i="72"/>
  <c r="I369" i="72"/>
  <c r="AA354" i="72"/>
  <c r="AA382" i="72"/>
  <c r="AE96" i="66"/>
  <c r="X90" i="67"/>
  <c r="N175" i="68"/>
  <c r="N174" i="68"/>
  <c r="N171" i="68"/>
  <c r="N172" i="68"/>
  <c r="G550" i="69"/>
  <c r="Y128" i="70"/>
  <c r="I181" i="70"/>
  <c r="Y159" i="70"/>
  <c r="G367" i="70"/>
  <c r="Y407" i="70"/>
  <c r="I29" i="72"/>
  <c r="AA16" i="72"/>
  <c r="AA145" i="72"/>
  <c r="AA152" i="72"/>
  <c r="AA246" i="72"/>
  <c r="AA383" i="72"/>
  <c r="AA390" i="72"/>
  <c r="AA416" i="72"/>
  <c r="I573" i="72"/>
  <c r="AA560" i="72"/>
  <c r="AA655" i="72"/>
  <c r="AA662" i="72"/>
  <c r="F15" i="66"/>
  <c r="Q74" i="66"/>
  <c r="T60" i="67"/>
  <c r="T62" i="67"/>
  <c r="X65" i="67"/>
  <c r="Q77" i="66"/>
  <c r="C40" i="66"/>
  <c r="G365" i="69"/>
  <c r="I550" i="69"/>
  <c r="AC522" i="69"/>
  <c r="G88" i="70"/>
  <c r="Y221" i="70"/>
  <c r="Y223" i="70"/>
  <c r="I274" i="70"/>
  <c r="Y257" i="70"/>
  <c r="Y531" i="70"/>
  <c r="I301" i="72"/>
  <c r="AA417" i="72"/>
  <c r="AA424" i="72"/>
  <c r="G607" i="72"/>
  <c r="I607" i="72"/>
  <c r="AA594" i="72"/>
  <c r="G29" i="72"/>
  <c r="G301" i="72"/>
  <c r="G573" i="72"/>
  <c r="AE96" i="67"/>
  <c r="I267" i="72"/>
  <c r="AA254" i="72"/>
  <c r="I539" i="72"/>
  <c r="AA526" i="72"/>
  <c r="AE91" i="67"/>
  <c r="AE97" i="67"/>
  <c r="AE87" i="67"/>
  <c r="AE98" i="67"/>
  <c r="AE99" i="67"/>
  <c r="AE92" i="67"/>
  <c r="N56" i="68"/>
  <c r="N57" i="68"/>
  <c r="N148" i="68"/>
  <c r="N149" i="68"/>
  <c r="N240" i="68"/>
  <c r="N241" i="68"/>
  <c r="N332" i="68"/>
  <c r="N333" i="68"/>
  <c r="AA76" i="72"/>
  <c r="AA348" i="72"/>
  <c r="I398" i="70"/>
  <c r="Y376" i="70"/>
  <c r="AE88" i="67"/>
  <c r="AE93" i="67"/>
  <c r="Y59" i="67"/>
  <c r="Y61" i="67"/>
  <c r="Y60" i="67"/>
  <c r="G227" i="68"/>
  <c r="G226" i="68"/>
  <c r="X230" i="70"/>
  <c r="X229" i="70"/>
  <c r="G245" i="70"/>
  <c r="G244" i="70"/>
  <c r="G430" i="70"/>
  <c r="X416" i="70"/>
  <c r="X415" i="70"/>
  <c r="G431" i="70"/>
  <c r="G296" i="68"/>
  <c r="G295" i="68"/>
  <c r="X12" i="70"/>
  <c r="X13" i="70"/>
  <c r="G28" i="70"/>
  <c r="G27" i="70"/>
  <c r="Y593" i="70"/>
  <c r="AC230" i="69"/>
  <c r="AC227" i="69"/>
  <c r="AC228" i="69"/>
  <c r="AC231" i="69"/>
  <c r="AG126" i="66"/>
  <c r="AG102" i="66"/>
  <c r="AG122" i="66"/>
  <c r="AG114" i="66"/>
  <c r="AG96" i="66"/>
  <c r="AG118" i="66"/>
  <c r="G330" i="69"/>
  <c r="G329" i="69"/>
  <c r="AC564" i="69"/>
  <c r="AC563" i="69"/>
  <c r="AC560" i="69"/>
  <c r="AC561" i="69"/>
  <c r="G43" i="68"/>
  <c r="G42" i="68"/>
  <c r="Y562" i="70"/>
  <c r="AA115" i="72"/>
  <c r="AA119" i="72"/>
  <c r="AA120" i="72"/>
  <c r="AA116" i="72"/>
  <c r="Y253" i="70"/>
  <c r="Y254" i="70"/>
  <c r="Y319" i="70"/>
  <c r="Y318" i="70"/>
  <c r="Y315" i="70"/>
  <c r="Y316" i="70"/>
  <c r="AG125" i="66"/>
  <c r="AG107" i="66"/>
  <c r="AG117" i="66"/>
  <c r="AG101" i="66"/>
  <c r="AG129" i="66"/>
  <c r="AG121" i="66"/>
  <c r="G204" i="68"/>
  <c r="G203" i="68"/>
  <c r="G342" i="68"/>
  <c r="G341" i="68"/>
  <c r="G737" i="69"/>
  <c r="G736" i="69"/>
  <c r="Y474" i="70"/>
  <c r="Y473" i="70"/>
  <c r="Y470" i="70"/>
  <c r="Y471" i="70"/>
  <c r="Y594" i="70"/>
  <c r="Y595" i="70"/>
  <c r="AC46" i="69"/>
  <c r="AC45" i="69"/>
  <c r="AC42" i="69"/>
  <c r="AC43" i="69"/>
  <c r="AC638" i="69"/>
  <c r="AC637" i="69"/>
  <c r="AC634" i="69"/>
  <c r="AC635" i="69"/>
  <c r="Y132" i="70"/>
  <c r="Y129" i="70"/>
  <c r="Y130" i="70"/>
  <c r="Y133" i="70"/>
  <c r="Y252" i="70"/>
  <c r="AA85" i="72"/>
  <c r="AC378" i="69"/>
  <c r="AC375" i="69"/>
  <c r="AC376" i="69"/>
  <c r="AC379" i="69"/>
  <c r="G272" i="68"/>
  <c r="G273" i="68"/>
  <c r="AA659" i="72"/>
  <c r="AA663" i="72"/>
  <c r="AA664" i="72"/>
  <c r="AA660" i="72"/>
  <c r="AA421" i="72"/>
  <c r="AA425" i="72"/>
  <c r="AA426" i="72"/>
  <c r="AA422" i="72"/>
  <c r="X43" i="70"/>
  <c r="G59" i="70"/>
  <c r="G58" i="70"/>
  <c r="X44" i="70"/>
  <c r="AC194" i="69"/>
  <c r="AC193" i="69"/>
  <c r="AC190" i="69"/>
  <c r="AC191" i="69"/>
  <c r="Y99" i="70"/>
  <c r="AC267" i="69"/>
  <c r="AC264" i="69"/>
  <c r="AC265" i="69"/>
  <c r="AC268" i="69"/>
  <c r="AA52" i="72"/>
  <c r="AG139" i="66"/>
  <c r="Q73" i="66"/>
  <c r="Q72" i="66"/>
  <c r="F28" i="66"/>
  <c r="AA357" i="72"/>
  <c r="Y160" i="70"/>
  <c r="Y161" i="70"/>
  <c r="Y164" i="70"/>
  <c r="Y163" i="70"/>
  <c r="AA524" i="72"/>
  <c r="AA523" i="72"/>
  <c r="AA527" i="72"/>
  <c r="AA528" i="72"/>
  <c r="AA218" i="72"/>
  <c r="AA217" i="72"/>
  <c r="AA221" i="72"/>
  <c r="AA222" i="72"/>
  <c r="AA459" i="72"/>
  <c r="AA460" i="72"/>
  <c r="G319" i="68"/>
  <c r="G318" i="68"/>
  <c r="AC674" i="69"/>
  <c r="AC671" i="69"/>
  <c r="AC672" i="69"/>
  <c r="AC675" i="69"/>
  <c r="AG116" i="66"/>
  <c r="AG124" i="66"/>
  <c r="AG120" i="66"/>
  <c r="AG100" i="66"/>
  <c r="AG106" i="66"/>
  <c r="AG128" i="66"/>
  <c r="AC526" i="69"/>
  <c r="AC523" i="69"/>
  <c r="AC524" i="69"/>
  <c r="AC527" i="69"/>
  <c r="AA356" i="72"/>
  <c r="AC490" i="69"/>
  <c r="AC489" i="69"/>
  <c r="AC486" i="69"/>
  <c r="AC487" i="69"/>
  <c r="AC153" i="69"/>
  <c r="AC154" i="69"/>
  <c r="Y533" i="70"/>
  <c r="G88" i="68"/>
  <c r="G89" i="68"/>
  <c r="AA456" i="72"/>
  <c r="G34" i="69"/>
  <c r="G33" i="69"/>
  <c r="AA595" i="72"/>
  <c r="AA596" i="72"/>
  <c r="AA592" i="72"/>
  <c r="AA591" i="72"/>
  <c r="Y349" i="70"/>
  <c r="Y346" i="70"/>
  <c r="Y347" i="70"/>
  <c r="Y350" i="70"/>
  <c r="AC82" i="69"/>
  <c r="AC79" i="69"/>
  <c r="AC80" i="69"/>
  <c r="AC83" i="69"/>
  <c r="AA84" i="72"/>
  <c r="Y443" i="70"/>
  <c r="Y442" i="70"/>
  <c r="Y439" i="70"/>
  <c r="Y440" i="70"/>
  <c r="G66" i="68"/>
  <c r="G65" i="68"/>
  <c r="AG116" i="67"/>
  <c r="AG92" i="67"/>
  <c r="AG125" i="67"/>
  <c r="AG112" i="67"/>
  <c r="AG104" i="67"/>
  <c r="AG86" i="67"/>
  <c r="AG124" i="67"/>
  <c r="AG108" i="67"/>
  <c r="X508" i="70"/>
  <c r="G524" i="70"/>
  <c r="G523" i="70"/>
  <c r="X509" i="70"/>
  <c r="Y563" i="70"/>
  <c r="Y564" i="70"/>
  <c r="AA392" i="72"/>
  <c r="AA187" i="72"/>
  <c r="AA188" i="72"/>
  <c r="G135" i="68"/>
  <c r="G134" i="68"/>
  <c r="G626" i="69"/>
  <c r="G625" i="69"/>
  <c r="AA289" i="72"/>
  <c r="AA290" i="72"/>
  <c r="AA286" i="72"/>
  <c r="AA285" i="72"/>
  <c r="AA17" i="72"/>
  <c r="AA18" i="72"/>
  <c r="AA14" i="72"/>
  <c r="AA13" i="72"/>
  <c r="G158" i="68"/>
  <c r="G157" i="68"/>
  <c r="G411" i="68"/>
  <c r="G410" i="68"/>
  <c r="Y285" i="70"/>
  <c r="Y412" i="70"/>
  <c r="Y71" i="70"/>
  <c r="Y70" i="70"/>
  <c r="Y67" i="70"/>
  <c r="Y68" i="70"/>
  <c r="AE108" i="66"/>
  <c r="AE109" i="66"/>
  <c r="AG127" i="66"/>
  <c r="AG98" i="66"/>
  <c r="AG115" i="66"/>
  <c r="AG123" i="66"/>
  <c r="AG119" i="66"/>
  <c r="AG105" i="66"/>
  <c r="V59" i="67"/>
  <c r="V61" i="67"/>
  <c r="V62" i="67"/>
  <c r="V60" i="67"/>
  <c r="AA628" i="72"/>
  <c r="AA630" i="72"/>
  <c r="AG107" i="67"/>
  <c r="AG115" i="67"/>
  <c r="AG97" i="67"/>
  <c r="AG111" i="67"/>
  <c r="AG91" i="67"/>
  <c r="AG119" i="67"/>
  <c r="AA493" i="72"/>
  <c r="AA494" i="72"/>
  <c r="AA184" i="72"/>
  <c r="AA626" i="72"/>
  <c r="G250" i="68"/>
  <c r="G249" i="68"/>
  <c r="G145" i="69"/>
  <c r="G144" i="69"/>
  <c r="Y195" i="70"/>
  <c r="Y194" i="70"/>
  <c r="Y191" i="70"/>
  <c r="Y192" i="70"/>
  <c r="Y380" i="70"/>
  <c r="Y377" i="70"/>
  <c r="Y378" i="70"/>
  <c r="Y381" i="70"/>
  <c r="G364" i="68"/>
  <c r="G365" i="68"/>
  <c r="AG105" i="67"/>
  <c r="AG113" i="67"/>
  <c r="AG88" i="67"/>
  <c r="AG95" i="67"/>
  <c r="AG109" i="67"/>
  <c r="AG117" i="67"/>
  <c r="AC450" i="69"/>
  <c r="AC342" i="69"/>
  <c r="AC341" i="69"/>
  <c r="AC338" i="69"/>
  <c r="AC339" i="69"/>
  <c r="AC416" i="69"/>
  <c r="AC415" i="69"/>
  <c r="AC412" i="69"/>
  <c r="AC413" i="69"/>
  <c r="G180" i="68"/>
  <c r="G181" i="68"/>
  <c r="AA561" i="72"/>
  <c r="AA562" i="72"/>
  <c r="AA558" i="72"/>
  <c r="AA557" i="72"/>
  <c r="AA252" i="72"/>
  <c r="AA251" i="72"/>
  <c r="AA255" i="72"/>
  <c r="AA256" i="72"/>
  <c r="AA154" i="72"/>
  <c r="AA490" i="72"/>
  <c r="G20" i="68"/>
  <c r="G19" i="68"/>
  <c r="AA324" i="72"/>
  <c r="G643" i="72"/>
  <c r="G642" i="72"/>
  <c r="G515" i="69"/>
  <c r="G514" i="69"/>
  <c r="AG131" i="66"/>
  <c r="X539" i="70"/>
  <c r="G555" i="70"/>
  <c r="G554" i="70"/>
  <c r="X540" i="70"/>
  <c r="G107" i="69"/>
  <c r="G108" i="69"/>
  <c r="G293" i="69"/>
  <c r="G292" i="69"/>
  <c r="G617" i="70"/>
  <c r="G616" i="70"/>
  <c r="X602" i="70"/>
  <c r="X601" i="70"/>
  <c r="G338" i="70"/>
  <c r="G337" i="70"/>
  <c r="X323" i="70"/>
  <c r="X322" i="70"/>
  <c r="AG134" i="66"/>
  <c r="C27" i="66"/>
  <c r="C29" i="66"/>
  <c r="G473" i="72"/>
  <c r="G472" i="72"/>
  <c r="X478" i="70"/>
  <c r="X477" i="70"/>
  <c r="G493" i="70"/>
  <c r="G492" i="70"/>
  <c r="AG130" i="66"/>
  <c r="G235" i="72"/>
  <c r="G234" i="72"/>
  <c r="G121" i="70"/>
  <c r="G120" i="70"/>
  <c r="X106" i="70"/>
  <c r="X105" i="70"/>
  <c r="AG132" i="66"/>
  <c r="G586" i="70"/>
  <c r="G585" i="70"/>
  <c r="X571" i="70"/>
  <c r="X570" i="70"/>
  <c r="G367" i="69"/>
  <c r="G366" i="69"/>
  <c r="AG121" i="67"/>
  <c r="G369" i="70"/>
  <c r="G368" i="70"/>
  <c r="X354" i="70"/>
  <c r="X353" i="70"/>
  <c r="G219" i="69"/>
  <c r="G218" i="69"/>
  <c r="G403" i="69"/>
  <c r="G404" i="69"/>
  <c r="X260" i="70"/>
  <c r="G276" i="70"/>
  <c r="G275" i="70"/>
  <c r="X261" i="70"/>
  <c r="AG135" i="66"/>
  <c r="G269" i="72"/>
  <c r="G268" i="72"/>
  <c r="G30" i="72"/>
  <c r="G31" i="72"/>
  <c r="G551" i="69"/>
  <c r="G552" i="69"/>
  <c r="AG133" i="66"/>
  <c r="G213" i="70"/>
  <c r="X199" i="70"/>
  <c r="X198" i="70"/>
  <c r="G214" i="70"/>
  <c r="AG120" i="67"/>
  <c r="G541" i="72"/>
  <c r="G540" i="72"/>
  <c r="AA86" i="72"/>
  <c r="G133" i="72"/>
  <c r="G132" i="72"/>
  <c r="X291" i="70"/>
  <c r="G307" i="70"/>
  <c r="G306" i="70"/>
  <c r="X292" i="70"/>
  <c r="G64" i="72"/>
  <c r="G65" i="72"/>
  <c r="G478" i="69"/>
  <c r="G477" i="69"/>
  <c r="AG122" i="67"/>
  <c r="G255" i="69"/>
  <c r="G256" i="69"/>
  <c r="G302" i="72"/>
  <c r="G303" i="72"/>
  <c r="G609" i="72"/>
  <c r="G608" i="72"/>
  <c r="G699" i="69"/>
  <c r="G700" i="69"/>
  <c r="G182" i="69"/>
  <c r="G181" i="69"/>
  <c r="G336" i="72"/>
  <c r="G337" i="72"/>
  <c r="AG123" i="67"/>
  <c r="G152" i="70"/>
  <c r="G151" i="70"/>
  <c r="X137" i="70"/>
  <c r="X136" i="70"/>
  <c r="G405" i="72"/>
  <c r="G404" i="72"/>
  <c r="G677" i="72"/>
  <c r="G676" i="72"/>
  <c r="G507" i="72"/>
  <c r="G506" i="72"/>
  <c r="G90" i="70"/>
  <c r="G89" i="70"/>
  <c r="X75" i="70"/>
  <c r="X74" i="70"/>
  <c r="G167" i="72"/>
  <c r="G166" i="72"/>
  <c r="G575" i="72"/>
  <c r="G574" i="72"/>
  <c r="G182" i="70"/>
  <c r="X168" i="70"/>
  <c r="X167" i="70"/>
  <c r="G183" i="70"/>
  <c r="G663" i="69"/>
  <c r="G662" i="69"/>
  <c r="G589" i="69"/>
  <c r="G588" i="69"/>
  <c r="G461" i="70"/>
  <c r="X447" i="70"/>
  <c r="X446" i="70"/>
  <c r="G462" i="70"/>
  <c r="AA358" i="72"/>
  <c r="G439" i="72"/>
  <c r="G438" i="72"/>
  <c r="G71" i="69"/>
  <c r="G70" i="69"/>
  <c r="G441" i="69"/>
  <c r="G440" i="69"/>
  <c r="G400" i="70"/>
  <c r="G399" i="70"/>
  <c r="X385" i="70"/>
  <c r="X384" i="70"/>
  <c r="G201" i="72"/>
  <c r="G200" i="72"/>
  <c r="Y63" i="67"/>
  <c r="G99" i="72"/>
  <c r="G98" i="72"/>
  <c r="G371" i="72"/>
  <c r="G370" i="72"/>
  <c r="U59" i="67"/>
  <c r="U61" i="67"/>
  <c r="U60" i="67"/>
  <c r="U62" i="67"/>
  <c r="B62" i="34"/>
  <c r="Z5" i="4"/>
  <c r="R34" i="37"/>
  <c r="R33" i="37"/>
  <c r="R32" i="37"/>
  <c r="R31" i="37"/>
  <c r="R30" i="37"/>
  <c r="R29" i="37"/>
  <c r="R28" i="37"/>
  <c r="R27" i="37"/>
  <c r="R26" i="37"/>
  <c r="R25" i="37"/>
  <c r="R24" i="37"/>
  <c r="R23" i="37"/>
  <c r="Q34" i="37"/>
  <c r="Q33" i="37"/>
  <c r="Q32" i="37"/>
  <c r="Q31" i="37"/>
  <c r="Q30" i="37"/>
  <c r="Q29" i="37"/>
  <c r="Q28" i="37"/>
  <c r="Q27" i="37"/>
  <c r="Q26" i="37"/>
  <c r="Q25" i="37"/>
  <c r="Q24" i="37"/>
  <c r="Q23" i="37"/>
  <c r="N34" i="37"/>
  <c r="N33" i="37"/>
  <c r="N32" i="37"/>
  <c r="N31" i="37"/>
  <c r="N30" i="37"/>
  <c r="N29" i="37"/>
  <c r="N28" i="37"/>
  <c r="N27" i="37"/>
  <c r="N26" i="37"/>
  <c r="N25" i="37"/>
  <c r="N24" i="37"/>
  <c r="N23" i="37"/>
  <c r="M34" i="37"/>
  <c r="M33" i="37"/>
  <c r="M32" i="37"/>
  <c r="M31" i="37"/>
  <c r="M30" i="37"/>
  <c r="M29" i="37"/>
  <c r="M28" i="37"/>
  <c r="M27" i="37"/>
  <c r="M26" i="37"/>
  <c r="M25" i="37"/>
  <c r="M24" i="37"/>
  <c r="M23" i="37"/>
  <c r="J34" i="37"/>
  <c r="J33" i="37"/>
  <c r="J32" i="37"/>
  <c r="J31" i="37"/>
  <c r="J30" i="37"/>
  <c r="J29" i="37"/>
  <c r="J28" i="37"/>
  <c r="J27" i="37"/>
  <c r="J26" i="37"/>
  <c r="J25" i="37"/>
  <c r="J24" i="37"/>
  <c r="J23" i="37"/>
  <c r="I34" i="37"/>
  <c r="I33" i="37"/>
  <c r="I32" i="37"/>
  <c r="I31" i="37"/>
  <c r="I30" i="37"/>
  <c r="I29" i="37"/>
  <c r="I28" i="37"/>
  <c r="I27" i="37"/>
  <c r="I26" i="37"/>
  <c r="I25" i="37"/>
  <c r="I24" i="37"/>
  <c r="I23" i="37"/>
  <c r="F34" i="37"/>
  <c r="AF34" i="37" s="1"/>
  <c r="F33" i="37"/>
  <c r="AF33" i="37" s="1"/>
  <c r="F32" i="37"/>
  <c r="F31" i="37"/>
  <c r="AF31" i="37" s="1"/>
  <c r="F30" i="37"/>
  <c r="AF30" i="37" s="1"/>
  <c r="F29" i="37"/>
  <c r="AF29" i="37" s="1"/>
  <c r="F28" i="37"/>
  <c r="AF28" i="37" s="1"/>
  <c r="F27" i="37"/>
  <c r="AF27" i="37" s="1"/>
  <c r="F26" i="37"/>
  <c r="AF26" i="37" s="1"/>
  <c r="F25" i="37"/>
  <c r="AF25" i="37" s="1"/>
  <c r="F24" i="37"/>
  <c r="F23" i="37"/>
  <c r="E34" i="37"/>
  <c r="E33" i="37"/>
  <c r="E32" i="37"/>
  <c r="E31" i="37"/>
  <c r="E30" i="37"/>
  <c r="E29" i="37"/>
  <c r="E28" i="37"/>
  <c r="E27" i="37"/>
  <c r="E26" i="37"/>
  <c r="E25" i="37"/>
  <c r="E24" i="37"/>
  <c r="E23" i="37"/>
  <c r="Q17" i="37"/>
  <c r="Q16" i="37"/>
  <c r="Q15" i="37"/>
  <c r="Q14" i="37"/>
  <c r="Q13" i="37"/>
  <c r="Q12" i="37"/>
  <c r="Q11" i="37"/>
  <c r="Q10" i="37"/>
  <c r="Q9" i="37"/>
  <c r="Q8" i="37"/>
  <c r="Q7" i="37"/>
  <c r="Q6" i="37"/>
  <c r="M17" i="37"/>
  <c r="M16" i="37"/>
  <c r="M15" i="37"/>
  <c r="M14" i="37"/>
  <c r="M13" i="37"/>
  <c r="M12" i="37"/>
  <c r="M11" i="37"/>
  <c r="M10" i="37"/>
  <c r="M9" i="37"/>
  <c r="M8" i="37"/>
  <c r="M7" i="37"/>
  <c r="M6" i="37"/>
  <c r="R17" i="37"/>
  <c r="R16" i="37"/>
  <c r="R15" i="37"/>
  <c r="R14" i="37"/>
  <c r="R13" i="37"/>
  <c r="R12" i="37"/>
  <c r="R11" i="37"/>
  <c r="R10" i="37"/>
  <c r="R9" i="37"/>
  <c r="R8" i="37"/>
  <c r="R7" i="37"/>
  <c r="R6" i="37"/>
  <c r="I17" i="37"/>
  <c r="I16" i="37"/>
  <c r="I15" i="37"/>
  <c r="I14" i="37"/>
  <c r="I13" i="37"/>
  <c r="I12" i="37"/>
  <c r="I11" i="37"/>
  <c r="I10" i="37"/>
  <c r="I9" i="37"/>
  <c r="I8" i="37"/>
  <c r="I7" i="37"/>
  <c r="I6" i="37"/>
  <c r="F6" i="37"/>
  <c r="AF6" i="37" s="1"/>
  <c r="E6" i="37"/>
  <c r="E17" i="37"/>
  <c r="E16" i="37"/>
  <c r="E15" i="37"/>
  <c r="E14" i="37"/>
  <c r="E13" i="37"/>
  <c r="E12" i="37"/>
  <c r="E11" i="37"/>
  <c r="E10" i="37"/>
  <c r="E9" i="37"/>
  <c r="E8" i="37"/>
  <c r="E7" i="37"/>
  <c r="N17" i="37"/>
  <c r="N16" i="37"/>
  <c r="N15" i="37"/>
  <c r="N14" i="37"/>
  <c r="N13" i="37"/>
  <c r="N12" i="37"/>
  <c r="N11" i="37"/>
  <c r="N10" i="37"/>
  <c r="N9" i="37"/>
  <c r="N8" i="37"/>
  <c r="N7" i="37"/>
  <c r="N6" i="37"/>
  <c r="J17" i="37"/>
  <c r="J16" i="37"/>
  <c r="J15" i="37"/>
  <c r="J14" i="37"/>
  <c r="J13" i="37"/>
  <c r="J12" i="37"/>
  <c r="J11" i="37"/>
  <c r="J10" i="37"/>
  <c r="J9" i="37"/>
  <c r="J8" i="37"/>
  <c r="J7" i="37"/>
  <c r="J6" i="37"/>
  <c r="F17" i="37"/>
  <c r="AF17" i="37" s="1"/>
  <c r="F16" i="37"/>
  <c r="F15" i="37"/>
  <c r="AF15" i="37" s="1"/>
  <c r="F14" i="37"/>
  <c r="AF14" i="37" s="1"/>
  <c r="F13" i="37"/>
  <c r="F12" i="37"/>
  <c r="AF12" i="37" s="1"/>
  <c r="F11" i="37"/>
  <c r="AF11" i="37" s="1"/>
  <c r="F10" i="37"/>
  <c r="AF10" i="37" s="1"/>
  <c r="F9" i="37"/>
  <c r="AF9" i="37" s="1"/>
  <c r="F8" i="37"/>
  <c r="AF8" i="37" s="1"/>
  <c r="F7" i="37"/>
  <c r="AF7" i="37" s="1"/>
  <c r="D48" i="4"/>
  <c r="E48" i="4" s="1"/>
  <c r="F48" i="4" s="1"/>
  <c r="D47" i="4"/>
  <c r="E47" i="4" s="1"/>
  <c r="F47" i="4" s="1"/>
  <c r="D45" i="4"/>
  <c r="E45" i="4" s="1"/>
  <c r="B77" i="4" s="1"/>
  <c r="Y2" i="4" s="1"/>
  <c r="D43" i="4"/>
  <c r="E43" i="4" s="1"/>
  <c r="F43" i="4" s="1"/>
  <c r="B74" i="4" s="1"/>
  <c r="U2" i="4" s="1"/>
  <c r="D42" i="4"/>
  <c r="E42" i="4" s="1"/>
  <c r="F42" i="4" s="1"/>
  <c r="B75" i="4" s="1"/>
  <c r="V2" i="4" s="1"/>
  <c r="D41" i="4"/>
  <c r="E41" i="4" s="1"/>
  <c r="F41" i="4" s="1"/>
  <c r="B76" i="4" s="1"/>
  <c r="W2" i="4" s="1"/>
  <c r="D39" i="4"/>
  <c r="E39" i="4" s="1"/>
  <c r="D38" i="4"/>
  <c r="E38" i="4" s="1"/>
  <c r="F38" i="4" s="1"/>
  <c r="D37" i="4"/>
  <c r="E37" i="4" s="1"/>
  <c r="D35" i="4"/>
  <c r="E35" i="4" s="1"/>
  <c r="D34" i="4"/>
  <c r="E34" i="4" s="1"/>
  <c r="D33" i="4"/>
  <c r="E33" i="4" s="1"/>
  <c r="D32" i="4"/>
  <c r="E32" i="4" s="1"/>
  <c r="D31" i="4"/>
  <c r="E31" i="4" s="1"/>
  <c r="B73" i="4" s="1"/>
  <c r="S2" i="4" s="1"/>
  <c r="D30" i="4"/>
  <c r="E30" i="4" s="1"/>
  <c r="B71" i="4" s="1"/>
  <c r="J2" i="4" s="1"/>
  <c r="D29" i="4"/>
  <c r="E29" i="4" s="1"/>
  <c r="F29" i="4" s="1"/>
  <c r="B72" i="4" s="1"/>
  <c r="T2" i="4" s="1"/>
  <c r="D28" i="4"/>
  <c r="E28" i="4" s="1"/>
  <c r="F28" i="4" s="1"/>
  <c r="D27" i="4"/>
  <c r="E27" i="4" s="1"/>
  <c r="B78" i="4" s="1"/>
  <c r="K2" i="4" s="1"/>
  <c r="D25" i="4"/>
  <c r="E25" i="4" s="1"/>
  <c r="F25" i="4" s="1"/>
  <c r="D24" i="4"/>
  <c r="E24" i="4" s="1"/>
  <c r="F24" i="4" s="1"/>
  <c r="B64" i="4" s="1"/>
  <c r="H2" i="4" s="1"/>
  <c r="D23" i="4"/>
  <c r="E23" i="4" s="1"/>
  <c r="F23" i="4" s="1"/>
  <c r="D22" i="4"/>
  <c r="E22" i="4" s="1"/>
  <c r="F22" i="4" s="1"/>
  <c r="D20" i="4"/>
  <c r="E20" i="4" s="1"/>
  <c r="F20" i="4" s="1"/>
  <c r="D19" i="4"/>
  <c r="E19" i="4" s="1"/>
  <c r="F19" i="4" s="1"/>
  <c r="D18" i="4"/>
  <c r="E18" i="4" s="1"/>
  <c r="F18" i="4" s="1"/>
  <c r="D17" i="4"/>
  <c r="E17" i="4" s="1"/>
  <c r="F17" i="4" s="1"/>
  <c r="D15" i="4"/>
  <c r="B62" i="4" s="1"/>
  <c r="G2" i="4" s="1"/>
  <c r="D14" i="4"/>
  <c r="E14" i="4" s="1"/>
  <c r="B61" i="4" s="1"/>
  <c r="F2" i="4" s="1"/>
  <c r="D13" i="4"/>
  <c r="E13" i="4" s="1"/>
  <c r="B60" i="4" s="1"/>
  <c r="E2" i="4" s="1"/>
  <c r="D12" i="4"/>
  <c r="E12" i="4" s="1"/>
  <c r="B59" i="4" s="1"/>
  <c r="D2" i="4" s="1"/>
  <c r="D10" i="4" a="1"/>
  <c r="F10" i="4" s="1" a="1"/>
  <c r="F10" i="4" s="1"/>
  <c r="B79" i="4" s="1"/>
  <c r="X2" i="4" s="1"/>
  <c r="C7" i="65"/>
  <c r="G4" i="65"/>
  <c r="F4" i="65"/>
  <c r="D11" i="64"/>
  <c r="D13" i="64"/>
  <c r="C9" i="65"/>
  <c r="W105" i="19"/>
  <c r="W4" i="19"/>
  <c r="I504" i="54"/>
  <c r="I505" i="54"/>
  <c r="I506" i="54"/>
  <c r="B504" i="54"/>
  <c r="B505" i="54"/>
  <c r="B506" i="54"/>
  <c r="R19" i="54"/>
  <c r="Q19" i="54"/>
  <c r="R8" i="54"/>
  <c r="P19" i="54"/>
  <c r="P20" i="54"/>
  <c r="K19" i="54"/>
  <c r="J19" i="54"/>
  <c r="I19" i="54"/>
  <c r="D19" i="54"/>
  <c r="C19" i="54"/>
  <c r="D8" i="54"/>
  <c r="B19" i="54"/>
  <c r="S19" i="54"/>
  <c r="T19" i="54"/>
  <c r="R20" i="54"/>
  <c r="Q20" i="54"/>
  <c r="J20" i="54"/>
  <c r="L19" i="54"/>
  <c r="M19" i="54"/>
  <c r="K20" i="54"/>
  <c r="L20" i="54"/>
  <c r="C20" i="54"/>
  <c r="Q21" i="54"/>
  <c r="P21" i="54"/>
  <c r="E19" i="54"/>
  <c r="I20" i="54"/>
  <c r="K8" i="54"/>
  <c r="G16" i="54"/>
  <c r="H16" i="54"/>
  <c r="B20" i="54"/>
  <c r="J21" i="54"/>
  <c r="I21" i="54"/>
  <c r="N16" i="54"/>
  <c r="O16" i="54"/>
  <c r="M20" i="54"/>
  <c r="K21" i="54"/>
  <c r="P22" i="54"/>
  <c r="Q22" i="54"/>
  <c r="S20" i="54"/>
  <c r="F19" i="54"/>
  <c r="C21" i="54"/>
  <c r="B21" i="54"/>
  <c r="L21" i="54"/>
  <c r="M21" i="54"/>
  <c r="K22" i="54"/>
  <c r="I22" i="54"/>
  <c r="J22" i="54"/>
  <c r="D20" i="54"/>
  <c r="Q23" i="54"/>
  <c r="P23" i="54"/>
  <c r="B22" i="54"/>
  <c r="C22" i="54"/>
  <c r="T20" i="54"/>
  <c r="J23" i="54"/>
  <c r="I23" i="54"/>
  <c r="E20" i="54"/>
  <c r="C23" i="54"/>
  <c r="B23" i="54"/>
  <c r="L22" i="54"/>
  <c r="M22" i="54"/>
  <c r="R21" i="54"/>
  <c r="Q24" i="54"/>
  <c r="P24" i="54"/>
  <c r="K23" i="54"/>
  <c r="L23" i="54"/>
  <c r="M23" i="54"/>
  <c r="K24" i="54"/>
  <c r="J24" i="54"/>
  <c r="I24" i="54"/>
  <c r="C24" i="54"/>
  <c r="B24" i="54"/>
  <c r="S21" i="54"/>
  <c r="F20" i="54"/>
  <c r="Q25" i="54"/>
  <c r="P25" i="54"/>
  <c r="L24" i="54"/>
  <c r="M24" i="54"/>
  <c r="K25" i="54"/>
  <c r="D21" i="54"/>
  <c r="I25" i="54"/>
  <c r="J25" i="54"/>
  <c r="C25" i="54"/>
  <c r="B25" i="54"/>
  <c r="Q26" i="54"/>
  <c r="P26" i="54"/>
  <c r="T21" i="54"/>
  <c r="L25" i="54"/>
  <c r="M25" i="54"/>
  <c r="K26" i="54"/>
  <c r="R22" i="54"/>
  <c r="J26" i="54"/>
  <c r="I26" i="54"/>
  <c r="C26" i="54"/>
  <c r="B26" i="54"/>
  <c r="Q27" i="54"/>
  <c r="P27" i="54"/>
  <c r="E21" i="54"/>
  <c r="L26" i="54"/>
  <c r="M26" i="54"/>
  <c r="K27" i="54"/>
  <c r="J27" i="54"/>
  <c r="I27" i="54"/>
  <c r="S22" i="54"/>
  <c r="T22" i="54"/>
  <c r="C27" i="54"/>
  <c r="B27" i="54"/>
  <c r="F21" i="54"/>
  <c r="P28" i="54"/>
  <c r="Q28" i="54"/>
  <c r="L27" i="54"/>
  <c r="M27" i="54"/>
  <c r="D22" i="54"/>
  <c r="R23" i="54"/>
  <c r="K28" i="54"/>
  <c r="J28" i="54"/>
  <c r="I28" i="54"/>
  <c r="Q29" i="54"/>
  <c r="P29" i="54"/>
  <c r="B28" i="54"/>
  <c r="C28" i="54"/>
  <c r="L28" i="54"/>
  <c r="M28" i="54"/>
  <c r="K29" i="54"/>
  <c r="P30" i="54"/>
  <c r="Q30" i="54"/>
  <c r="Q11" i="54"/>
  <c r="S23" i="54"/>
  <c r="T23" i="54"/>
  <c r="E22" i="54"/>
  <c r="J29" i="54"/>
  <c r="I29" i="54"/>
  <c r="C29" i="54"/>
  <c r="B29" i="54"/>
  <c r="L29" i="54"/>
  <c r="M29" i="54"/>
  <c r="K30" i="54"/>
  <c r="K11" i="54"/>
  <c r="R24" i="54"/>
  <c r="C30" i="54"/>
  <c r="C11" i="54"/>
  <c r="B30" i="54"/>
  <c r="F22" i="54"/>
  <c r="Q31" i="54"/>
  <c r="P31" i="54"/>
  <c r="J30" i="54"/>
  <c r="J11" i="54"/>
  <c r="I30" i="54"/>
  <c r="I31" i="54"/>
  <c r="J31" i="54"/>
  <c r="S24" i="54"/>
  <c r="T24" i="54"/>
  <c r="D23" i="54"/>
  <c r="C31" i="54"/>
  <c r="B31" i="54"/>
  <c r="Q32" i="54"/>
  <c r="P32" i="54"/>
  <c r="L30" i="54"/>
  <c r="E23" i="54"/>
  <c r="J32" i="54"/>
  <c r="I32" i="54"/>
  <c r="Q33" i="54"/>
  <c r="P33" i="54"/>
  <c r="L11" i="54"/>
  <c r="M30" i="54"/>
  <c r="C32" i="54"/>
  <c r="B32" i="54"/>
  <c r="R25" i="54"/>
  <c r="S25" i="54"/>
  <c r="T25" i="54"/>
  <c r="R26" i="54"/>
  <c r="S26" i="54"/>
  <c r="T26" i="54"/>
  <c r="Q34" i="54"/>
  <c r="P34" i="54"/>
  <c r="C33" i="54"/>
  <c r="B33" i="54"/>
  <c r="M11" i="54"/>
  <c r="K31" i="54"/>
  <c r="F23" i="54"/>
  <c r="I33" i="54"/>
  <c r="J33" i="54"/>
  <c r="R27" i="54"/>
  <c r="S27" i="54"/>
  <c r="T27" i="54"/>
  <c r="J34" i="54"/>
  <c r="I34" i="54"/>
  <c r="D24" i="54"/>
  <c r="B34" i="54"/>
  <c r="C34" i="54"/>
  <c r="Q35" i="54"/>
  <c r="P35" i="54"/>
  <c r="L31" i="54"/>
  <c r="R28" i="54"/>
  <c r="S28" i="54"/>
  <c r="T28" i="54"/>
  <c r="P36" i="54"/>
  <c r="Q36" i="54"/>
  <c r="C35" i="54"/>
  <c r="B35" i="54"/>
  <c r="J35" i="54"/>
  <c r="I35" i="54"/>
  <c r="E24" i="54"/>
  <c r="F24" i="54"/>
  <c r="M31" i="54"/>
  <c r="R29" i="54"/>
  <c r="S29" i="54"/>
  <c r="T29" i="54"/>
  <c r="B36" i="54"/>
  <c r="C36" i="54"/>
  <c r="K32" i="54"/>
  <c r="J36" i="54"/>
  <c r="I36" i="54"/>
  <c r="Q37" i="54"/>
  <c r="P37" i="54"/>
  <c r="D25" i="54"/>
  <c r="E25" i="54"/>
  <c r="F25" i="54"/>
  <c r="D26" i="54"/>
  <c r="E26" i="54"/>
  <c r="F26" i="54"/>
  <c r="R30" i="54"/>
  <c r="C37" i="54"/>
  <c r="B37" i="54"/>
  <c r="J37" i="54"/>
  <c r="I37" i="54"/>
  <c r="P38" i="54"/>
  <c r="Q38" i="54"/>
  <c r="L32" i="54"/>
  <c r="D27" i="54"/>
  <c r="E27" i="54"/>
  <c r="F27" i="54"/>
  <c r="M32" i="54"/>
  <c r="S30" i="54"/>
  <c r="R11" i="54"/>
  <c r="Q39" i="54"/>
  <c r="P39" i="54"/>
  <c r="J38" i="54"/>
  <c r="I38" i="54"/>
  <c r="C38" i="54"/>
  <c r="B38" i="54"/>
  <c r="S11" i="54"/>
  <c r="T30" i="54"/>
  <c r="D28" i="54"/>
  <c r="E28" i="54"/>
  <c r="F28" i="54"/>
  <c r="K33" i="54"/>
  <c r="C39" i="54"/>
  <c r="B39" i="54"/>
  <c r="I39" i="54"/>
  <c r="J39" i="54"/>
  <c r="Q40" i="54"/>
  <c r="P40" i="54"/>
  <c r="D29" i="54"/>
  <c r="E29" i="54"/>
  <c r="F29" i="54"/>
  <c r="Q41" i="54"/>
  <c r="P41" i="54"/>
  <c r="L33" i="54"/>
  <c r="T11" i="54"/>
  <c r="R31" i="54"/>
  <c r="J40" i="54"/>
  <c r="I40" i="54"/>
  <c r="C40" i="54"/>
  <c r="B40" i="54"/>
  <c r="D30" i="54"/>
  <c r="Q42" i="54"/>
  <c r="Q12" i="54"/>
  <c r="P42" i="54"/>
  <c r="C41" i="54"/>
  <c r="B41" i="54"/>
  <c r="S31" i="54"/>
  <c r="M33" i="54"/>
  <c r="I41" i="54"/>
  <c r="J41" i="54"/>
  <c r="E30" i="54"/>
  <c r="D11" i="54"/>
  <c r="J42" i="54"/>
  <c r="J12" i="54"/>
  <c r="I42" i="54"/>
  <c r="T31" i="54"/>
  <c r="C42" i="54"/>
  <c r="C12" i="54"/>
  <c r="B42" i="54"/>
  <c r="K34" i="54"/>
  <c r="Q43" i="54"/>
  <c r="P43" i="54"/>
  <c r="R32" i="54"/>
  <c r="E11" i="54"/>
  <c r="F30" i="54"/>
  <c r="C43" i="54"/>
  <c r="B43" i="54"/>
  <c r="J43" i="54"/>
  <c r="I43" i="54"/>
  <c r="L34" i="54"/>
  <c r="P44" i="54"/>
  <c r="Q44" i="54"/>
  <c r="J44" i="54"/>
  <c r="I44" i="54"/>
  <c r="S32" i="54"/>
  <c r="Q45" i="54"/>
  <c r="P45" i="54"/>
  <c r="F11" i="54"/>
  <c r="D31" i="54"/>
  <c r="B44" i="54"/>
  <c r="C44" i="54"/>
  <c r="M34" i="54"/>
  <c r="J45" i="54"/>
  <c r="I45" i="54"/>
  <c r="P46" i="54"/>
  <c r="Q46" i="54"/>
  <c r="C45" i="54"/>
  <c r="B45" i="54"/>
  <c r="K35" i="54"/>
  <c r="E31" i="54"/>
  <c r="T32" i="54"/>
  <c r="J46" i="54"/>
  <c r="I46" i="54"/>
  <c r="C46" i="54"/>
  <c r="B46" i="54"/>
  <c r="F31" i="54"/>
  <c r="Q47" i="54"/>
  <c r="P47" i="54"/>
  <c r="R33" i="54"/>
  <c r="L35" i="54"/>
  <c r="I47" i="54"/>
  <c r="J47" i="54"/>
  <c r="Q48" i="54"/>
  <c r="P48" i="54"/>
  <c r="D32" i="54"/>
  <c r="S33" i="54"/>
  <c r="C47" i="54"/>
  <c r="B47" i="54"/>
  <c r="M35" i="54"/>
  <c r="C48" i="54"/>
  <c r="B48" i="54"/>
  <c r="K36" i="54"/>
  <c r="L36" i="54"/>
  <c r="M36" i="54"/>
  <c r="T33" i="54"/>
  <c r="E32" i="54"/>
  <c r="I48" i="54"/>
  <c r="J48" i="54"/>
  <c r="Q49" i="54"/>
  <c r="P49" i="54"/>
  <c r="F32" i="54"/>
  <c r="Q50" i="54"/>
  <c r="P50" i="54"/>
  <c r="R34" i="54"/>
  <c r="C49" i="54"/>
  <c r="B49" i="54"/>
  <c r="K37" i="54"/>
  <c r="L37" i="54"/>
  <c r="M37" i="54"/>
  <c r="I49" i="54"/>
  <c r="J49" i="54"/>
  <c r="K38" i="54"/>
  <c r="L38" i="54"/>
  <c r="M38" i="54"/>
  <c r="B50" i="54"/>
  <c r="C50" i="54"/>
  <c r="D33" i="54"/>
  <c r="J50" i="54"/>
  <c r="I50" i="54"/>
  <c r="S34" i="54"/>
  <c r="Q51" i="54"/>
  <c r="P51" i="54"/>
  <c r="K39" i="54"/>
  <c r="L39" i="54"/>
  <c r="M39" i="54"/>
  <c r="E33" i="54"/>
  <c r="C51" i="54"/>
  <c r="B51" i="54"/>
  <c r="Q52" i="54"/>
  <c r="P52" i="54"/>
  <c r="J51" i="54"/>
  <c r="I51" i="54"/>
  <c r="T34" i="54"/>
  <c r="K40" i="54"/>
  <c r="L40" i="54"/>
  <c r="M40" i="54"/>
  <c r="F33" i="54"/>
  <c r="P53" i="54"/>
  <c r="Q53" i="54"/>
  <c r="J52" i="54"/>
  <c r="I52" i="54"/>
  <c r="B52" i="54"/>
  <c r="C52" i="54"/>
  <c r="R35" i="54"/>
  <c r="K41" i="54"/>
  <c r="L41" i="54"/>
  <c r="M41" i="54"/>
  <c r="C53" i="54"/>
  <c r="B53" i="54"/>
  <c r="S35" i="54"/>
  <c r="P54" i="54"/>
  <c r="Q54" i="54"/>
  <c r="Q13" i="54"/>
  <c r="J53" i="54"/>
  <c r="I53" i="54"/>
  <c r="D34" i="54"/>
  <c r="K42" i="54"/>
  <c r="E34" i="54"/>
  <c r="Q55" i="54"/>
  <c r="P55" i="54"/>
  <c r="J54" i="54"/>
  <c r="J13" i="54"/>
  <c r="I54" i="54"/>
  <c r="C54" i="54"/>
  <c r="C13" i="54"/>
  <c r="B54" i="54"/>
  <c r="T35" i="54"/>
  <c r="F34" i="54"/>
  <c r="Q56" i="54"/>
  <c r="P56" i="54"/>
  <c r="I55" i="54"/>
  <c r="J55" i="54"/>
  <c r="L42" i="54"/>
  <c r="K12" i="54"/>
  <c r="R36" i="54"/>
  <c r="S36" i="54"/>
  <c r="T36" i="54"/>
  <c r="C55" i="54"/>
  <c r="B55" i="54"/>
  <c r="R37" i="54"/>
  <c r="S37" i="54"/>
  <c r="T37" i="54"/>
  <c r="L12" i="54"/>
  <c r="M42" i="54"/>
  <c r="D35" i="54"/>
  <c r="J56" i="54"/>
  <c r="I56" i="54"/>
  <c r="C56" i="54"/>
  <c r="B56" i="54"/>
  <c r="Q57" i="54"/>
  <c r="P57" i="54"/>
  <c r="R38" i="54"/>
  <c r="S38" i="54"/>
  <c r="T38" i="54"/>
  <c r="M12" i="54"/>
  <c r="K43" i="54"/>
  <c r="C57" i="54"/>
  <c r="B57" i="54"/>
  <c r="I57" i="54"/>
  <c r="J57" i="54"/>
  <c r="E35" i="54"/>
  <c r="Q58" i="54"/>
  <c r="P58" i="54"/>
  <c r="R39" i="54"/>
  <c r="S39" i="54"/>
  <c r="T39" i="54"/>
  <c r="L43" i="54"/>
  <c r="B58" i="54"/>
  <c r="C58" i="54"/>
  <c r="J58" i="54"/>
  <c r="I58" i="54"/>
  <c r="F35" i="54"/>
  <c r="Q59" i="54"/>
  <c r="P59" i="54"/>
  <c r="M43" i="54"/>
  <c r="B59" i="54"/>
  <c r="C59" i="54"/>
  <c r="P60" i="54"/>
  <c r="Q60" i="54"/>
  <c r="R40" i="54"/>
  <c r="S40" i="54"/>
  <c r="T40" i="54"/>
  <c r="J59" i="54"/>
  <c r="I59" i="54"/>
  <c r="D36" i="54"/>
  <c r="E36" i="54"/>
  <c r="F36" i="54"/>
  <c r="R41" i="54"/>
  <c r="S41" i="54"/>
  <c r="T41" i="54"/>
  <c r="D37" i="54"/>
  <c r="E37" i="54"/>
  <c r="F37" i="54"/>
  <c r="Q61" i="54"/>
  <c r="P61" i="54"/>
  <c r="K44" i="54"/>
  <c r="J60" i="54"/>
  <c r="I60" i="54"/>
  <c r="B60" i="54"/>
  <c r="C60" i="54"/>
  <c r="D38" i="54"/>
  <c r="E38" i="54"/>
  <c r="F38" i="54"/>
  <c r="L44" i="54"/>
  <c r="C61" i="54"/>
  <c r="B61" i="54"/>
  <c r="J61" i="54"/>
  <c r="I61" i="54"/>
  <c r="R42" i="54"/>
  <c r="P62" i="54"/>
  <c r="Q62" i="54"/>
  <c r="J62" i="54"/>
  <c r="I62" i="54"/>
  <c r="M44" i="54"/>
  <c r="D39" i="54"/>
  <c r="E39" i="54"/>
  <c r="F39" i="54"/>
  <c r="Q63" i="54"/>
  <c r="P63" i="54"/>
  <c r="C62" i="54"/>
  <c r="B62" i="54"/>
  <c r="S42" i="54"/>
  <c r="R12" i="54"/>
  <c r="S12" i="54"/>
  <c r="T42" i="54"/>
  <c r="Q64" i="54"/>
  <c r="P64" i="54"/>
  <c r="C63" i="54"/>
  <c r="B63" i="54"/>
  <c r="K45" i="54"/>
  <c r="I63" i="54"/>
  <c r="J63" i="54"/>
  <c r="D40" i="54"/>
  <c r="E40" i="54"/>
  <c r="F40" i="54"/>
  <c r="D41" i="54"/>
  <c r="E41" i="54"/>
  <c r="F41" i="54"/>
  <c r="L45" i="54"/>
  <c r="C64" i="54"/>
  <c r="B64" i="54"/>
  <c r="I64" i="54"/>
  <c r="J64" i="54"/>
  <c r="Q65" i="54"/>
  <c r="P65" i="54"/>
  <c r="T12" i="54"/>
  <c r="R43" i="54"/>
  <c r="D42" i="54"/>
  <c r="M45" i="54"/>
  <c r="Q66" i="54"/>
  <c r="Q14" i="54"/>
  <c r="P66" i="54"/>
  <c r="C65" i="54"/>
  <c r="B65" i="54"/>
  <c r="I65" i="54"/>
  <c r="J65" i="54"/>
  <c r="S43" i="54"/>
  <c r="E42" i="54"/>
  <c r="D12" i="54"/>
  <c r="B66" i="54"/>
  <c r="C66" i="54"/>
  <c r="C14" i="54"/>
  <c r="Q67" i="54"/>
  <c r="P67" i="54"/>
  <c r="K46" i="54"/>
  <c r="T43" i="54"/>
  <c r="J66" i="54"/>
  <c r="J14" i="54"/>
  <c r="I66" i="54"/>
  <c r="C67" i="54"/>
  <c r="B67" i="54"/>
  <c r="L46" i="54"/>
  <c r="P68" i="54"/>
  <c r="Q68" i="54"/>
  <c r="E12" i="54"/>
  <c r="F42" i="54"/>
  <c r="R44" i="54"/>
  <c r="J67" i="54"/>
  <c r="I67" i="54"/>
  <c r="J68" i="54"/>
  <c r="I68" i="54"/>
  <c r="M46" i="54"/>
  <c r="B68" i="54"/>
  <c r="C68" i="54"/>
  <c r="S44" i="54"/>
  <c r="Q69" i="54"/>
  <c r="P69" i="54"/>
  <c r="F12" i="54"/>
  <c r="D43" i="54"/>
  <c r="T44" i="54"/>
  <c r="C69" i="54"/>
  <c r="B69" i="54"/>
  <c r="P70" i="54"/>
  <c r="Q70" i="54"/>
  <c r="J69" i="54"/>
  <c r="I69" i="54"/>
  <c r="E43" i="54"/>
  <c r="K47" i="54"/>
  <c r="L47" i="54"/>
  <c r="F43" i="54"/>
  <c r="C70" i="54"/>
  <c r="B70" i="54"/>
  <c r="J70" i="54"/>
  <c r="I70" i="54"/>
  <c r="Q71" i="54"/>
  <c r="P71" i="54"/>
  <c r="R45" i="54"/>
  <c r="M47" i="54"/>
  <c r="I71" i="54"/>
  <c r="J71" i="54"/>
  <c r="S45" i="54"/>
  <c r="D44" i="54"/>
  <c r="C71" i="54"/>
  <c r="B71" i="54"/>
  <c r="Q72" i="54"/>
  <c r="P72" i="54"/>
  <c r="K48" i="54"/>
  <c r="L48" i="54"/>
  <c r="M48" i="54"/>
  <c r="Q73" i="54"/>
  <c r="P73" i="54"/>
  <c r="J72" i="54"/>
  <c r="I72" i="54"/>
  <c r="E44" i="54"/>
  <c r="C72" i="54"/>
  <c r="B72" i="54"/>
  <c r="T45" i="54"/>
  <c r="R46" i="54"/>
  <c r="I73" i="54"/>
  <c r="J73" i="54"/>
  <c r="C73" i="54"/>
  <c r="B73" i="54"/>
  <c r="Q74" i="54"/>
  <c r="P74" i="54"/>
  <c r="F44" i="54"/>
  <c r="K49" i="54"/>
  <c r="L49" i="54"/>
  <c r="M49" i="54"/>
  <c r="J74" i="54"/>
  <c r="I74" i="54"/>
  <c r="K50" i="54"/>
  <c r="L50" i="54"/>
  <c r="M50" i="54"/>
  <c r="C74" i="54"/>
  <c r="B74" i="54"/>
  <c r="D45" i="54"/>
  <c r="Q75" i="54"/>
  <c r="P75" i="54"/>
  <c r="S46" i="54"/>
  <c r="E45" i="54"/>
  <c r="T46" i="54"/>
  <c r="C75" i="54"/>
  <c r="B75" i="54"/>
  <c r="P76" i="54"/>
  <c r="Q76" i="54"/>
  <c r="J75" i="54"/>
  <c r="I75" i="54"/>
  <c r="K51" i="54"/>
  <c r="L51" i="54"/>
  <c r="M51" i="54"/>
  <c r="K52" i="54"/>
  <c r="L52" i="54"/>
  <c r="M52" i="54"/>
  <c r="J76" i="54"/>
  <c r="I76" i="54"/>
  <c r="Q77" i="54"/>
  <c r="P77" i="54"/>
  <c r="R47" i="54"/>
  <c r="B76" i="54"/>
  <c r="C76" i="54"/>
  <c r="F45" i="54"/>
  <c r="K53" i="54"/>
  <c r="L53" i="54"/>
  <c r="M53" i="54"/>
  <c r="S47" i="54"/>
  <c r="D46" i="54"/>
  <c r="P78" i="54"/>
  <c r="Q78" i="54"/>
  <c r="Q15" i="54"/>
  <c r="Q16" i="54"/>
  <c r="J77" i="54"/>
  <c r="I77" i="54"/>
  <c r="C77" i="54"/>
  <c r="B77" i="54"/>
  <c r="J78" i="54"/>
  <c r="J15" i="54"/>
  <c r="J16" i="54"/>
  <c r="I78" i="54"/>
  <c r="C78" i="54"/>
  <c r="C15" i="54"/>
  <c r="C16" i="54"/>
  <c r="B78" i="54"/>
  <c r="K54" i="54"/>
  <c r="Q79" i="54"/>
  <c r="P79" i="54"/>
  <c r="E46" i="54"/>
  <c r="T47" i="54"/>
  <c r="Q80" i="54"/>
  <c r="P80" i="54"/>
  <c r="F46" i="54"/>
  <c r="R48" i="54"/>
  <c r="S48" i="54"/>
  <c r="T48" i="54"/>
  <c r="I79" i="54"/>
  <c r="J79" i="54"/>
  <c r="L54" i="54"/>
  <c r="K13" i="54"/>
  <c r="C79" i="54"/>
  <c r="B79" i="54"/>
  <c r="R49" i="54"/>
  <c r="S49" i="54"/>
  <c r="T49" i="54"/>
  <c r="D47" i="54"/>
  <c r="C80" i="54"/>
  <c r="B80" i="54"/>
  <c r="I80" i="54"/>
  <c r="J80" i="54"/>
  <c r="Q81" i="54"/>
  <c r="P81" i="54"/>
  <c r="L13" i="54"/>
  <c r="M54" i="54"/>
  <c r="R50" i="54"/>
  <c r="S50" i="54"/>
  <c r="T50" i="54"/>
  <c r="M13" i="54"/>
  <c r="K55" i="54"/>
  <c r="I81" i="54"/>
  <c r="J81" i="54"/>
  <c r="E47" i="54"/>
  <c r="Q82" i="54"/>
  <c r="P82" i="54"/>
  <c r="C81" i="54"/>
  <c r="B81" i="54"/>
  <c r="J82" i="54"/>
  <c r="I82" i="54"/>
  <c r="L55" i="54"/>
  <c r="F47" i="54"/>
  <c r="Q83" i="54"/>
  <c r="P83" i="54"/>
  <c r="R51" i="54"/>
  <c r="S51" i="54"/>
  <c r="T51" i="54"/>
  <c r="B82" i="54"/>
  <c r="C82" i="54"/>
  <c r="Q84" i="54"/>
  <c r="P84" i="54"/>
  <c r="D48" i="54"/>
  <c r="E48" i="54"/>
  <c r="F48" i="54"/>
  <c r="R52" i="54"/>
  <c r="S52" i="54"/>
  <c r="T52" i="54"/>
  <c r="C83" i="54"/>
  <c r="B83" i="54"/>
  <c r="J83" i="54"/>
  <c r="I83" i="54"/>
  <c r="M55" i="54"/>
  <c r="R53" i="54"/>
  <c r="S53" i="54"/>
  <c r="T53" i="54"/>
  <c r="B84" i="54"/>
  <c r="C84" i="54"/>
  <c r="K56" i="54"/>
  <c r="Q85" i="54"/>
  <c r="P85" i="54"/>
  <c r="J84" i="54"/>
  <c r="I84" i="54"/>
  <c r="D49" i="54"/>
  <c r="E49" i="54"/>
  <c r="F49" i="54"/>
  <c r="D50" i="54"/>
  <c r="E50" i="54"/>
  <c r="F50" i="54"/>
  <c r="C85" i="54"/>
  <c r="B85" i="54"/>
  <c r="J85" i="54"/>
  <c r="I85" i="54"/>
  <c r="L56" i="54"/>
  <c r="R54" i="54"/>
  <c r="P86" i="54"/>
  <c r="Q86" i="54"/>
  <c r="J86" i="54"/>
  <c r="I86" i="54"/>
  <c r="D51" i="54"/>
  <c r="E51" i="54"/>
  <c r="F51" i="54"/>
  <c r="M56" i="54"/>
  <c r="C86" i="54"/>
  <c r="B86" i="54"/>
  <c r="Q87" i="54"/>
  <c r="P87" i="54"/>
  <c r="S54" i="54"/>
  <c r="R13" i="54"/>
  <c r="D52" i="54"/>
  <c r="E52" i="54"/>
  <c r="F52" i="54"/>
  <c r="S13" i="54"/>
  <c r="T54" i="54"/>
  <c r="I87" i="54"/>
  <c r="J87" i="54"/>
  <c r="K57" i="54"/>
  <c r="Q88" i="54"/>
  <c r="P88" i="54"/>
  <c r="C87" i="54"/>
  <c r="B87" i="54"/>
  <c r="D53" i="54"/>
  <c r="E53" i="54"/>
  <c r="F53" i="54"/>
  <c r="Q89" i="54"/>
  <c r="P89" i="54"/>
  <c r="C88" i="54"/>
  <c r="B88" i="54"/>
  <c r="L57" i="54"/>
  <c r="T13" i="54"/>
  <c r="R55" i="54"/>
  <c r="J88" i="54"/>
  <c r="I88" i="54"/>
  <c r="D54" i="54"/>
  <c r="M57" i="54"/>
  <c r="Q90" i="54"/>
  <c r="P90" i="54"/>
  <c r="C89" i="54"/>
  <c r="B89" i="54"/>
  <c r="S55" i="54"/>
  <c r="I89" i="54"/>
  <c r="J89" i="54"/>
  <c r="C90" i="54"/>
  <c r="B90" i="54"/>
  <c r="J90" i="54"/>
  <c r="I90" i="54"/>
  <c r="Q91" i="54"/>
  <c r="P91" i="54"/>
  <c r="E54" i="54"/>
  <c r="D13" i="54"/>
  <c r="T55" i="54"/>
  <c r="K58" i="54"/>
  <c r="J91" i="54"/>
  <c r="I91" i="54"/>
  <c r="C91" i="54"/>
  <c r="B91" i="54"/>
  <c r="P92" i="54"/>
  <c r="Q92" i="54"/>
  <c r="L58" i="54"/>
  <c r="R56" i="54"/>
  <c r="E13" i="54"/>
  <c r="F54" i="54"/>
  <c r="Q93" i="54"/>
  <c r="P93" i="54"/>
  <c r="J92" i="54"/>
  <c r="I92" i="54"/>
  <c r="S56" i="54"/>
  <c r="M58" i="54"/>
  <c r="B92" i="54"/>
  <c r="C92" i="54"/>
  <c r="F13" i="54"/>
  <c r="D55" i="54"/>
  <c r="C93" i="54"/>
  <c r="B93" i="54"/>
  <c r="K59" i="54"/>
  <c r="T56" i="54"/>
  <c r="E55" i="54"/>
  <c r="P94" i="54"/>
  <c r="Q94" i="54"/>
  <c r="J93" i="54"/>
  <c r="I93" i="54"/>
  <c r="J94" i="54"/>
  <c r="I94" i="54"/>
  <c r="F55" i="54"/>
  <c r="Q95" i="54"/>
  <c r="P95" i="54"/>
  <c r="R57" i="54"/>
  <c r="C94" i="54"/>
  <c r="B94" i="54"/>
  <c r="L59" i="54"/>
  <c r="D56" i="54"/>
  <c r="M59" i="54"/>
  <c r="S57" i="54"/>
  <c r="I95" i="54"/>
  <c r="J95" i="54"/>
  <c r="C95" i="54"/>
  <c r="B95" i="54"/>
  <c r="Q96" i="54"/>
  <c r="P96" i="54"/>
  <c r="T57" i="54"/>
  <c r="Q97" i="54"/>
  <c r="P97" i="54"/>
  <c r="K60" i="54"/>
  <c r="L60" i="54"/>
  <c r="M60" i="54"/>
  <c r="E56" i="54"/>
  <c r="C96" i="54"/>
  <c r="B96" i="54"/>
  <c r="J96" i="54"/>
  <c r="I96" i="54"/>
  <c r="I97" i="54"/>
  <c r="J97" i="54"/>
  <c r="F56" i="54"/>
  <c r="R58" i="54"/>
  <c r="K61" i="54"/>
  <c r="L61" i="54"/>
  <c r="M61" i="54"/>
  <c r="Q98" i="54"/>
  <c r="P98" i="54"/>
  <c r="C97" i="54"/>
  <c r="B97" i="54"/>
  <c r="K62" i="54"/>
  <c r="L62" i="54"/>
  <c r="M62" i="54"/>
  <c r="S58" i="54"/>
  <c r="J98" i="54"/>
  <c r="I98" i="54"/>
  <c r="Q99" i="54"/>
  <c r="P99" i="54"/>
  <c r="B98" i="54"/>
  <c r="C98" i="54"/>
  <c r="D57" i="54"/>
  <c r="K63" i="54"/>
  <c r="L63" i="54"/>
  <c r="M63" i="54"/>
  <c r="J99" i="54"/>
  <c r="I99" i="54"/>
  <c r="P100" i="54"/>
  <c r="Q100" i="54"/>
  <c r="C99" i="54"/>
  <c r="B99" i="54"/>
  <c r="E57" i="54"/>
  <c r="T58" i="54"/>
  <c r="K64" i="54"/>
  <c r="L64" i="54"/>
  <c r="M64" i="54"/>
  <c r="J100" i="54"/>
  <c r="I100" i="54"/>
  <c r="R59" i="54"/>
  <c r="Q101" i="54"/>
  <c r="P101" i="54"/>
  <c r="F57" i="54"/>
  <c r="B100" i="54"/>
  <c r="C100" i="54"/>
  <c r="K65" i="54"/>
  <c r="L65" i="54"/>
  <c r="M65" i="54"/>
  <c r="P102" i="54"/>
  <c r="Q102" i="54"/>
  <c r="C101" i="54"/>
  <c r="B101" i="54"/>
  <c r="S59" i="54"/>
  <c r="D58" i="54"/>
  <c r="J101" i="54"/>
  <c r="I101" i="54"/>
  <c r="K66" i="54"/>
  <c r="J102" i="54"/>
  <c r="I102" i="54"/>
  <c r="Q103" i="54"/>
  <c r="P103" i="54"/>
  <c r="T59" i="54"/>
  <c r="C102" i="54"/>
  <c r="B102" i="54"/>
  <c r="E58" i="54"/>
  <c r="I103" i="54"/>
  <c r="J103" i="54"/>
  <c r="F58" i="54"/>
  <c r="Q104" i="54"/>
  <c r="P104" i="54"/>
  <c r="R60" i="54"/>
  <c r="S60" i="54"/>
  <c r="T60" i="54"/>
  <c r="C103" i="54"/>
  <c r="B103" i="54"/>
  <c r="L66" i="54"/>
  <c r="K14" i="54"/>
  <c r="R61" i="54"/>
  <c r="S61" i="54"/>
  <c r="T61" i="54"/>
  <c r="D59" i="54"/>
  <c r="J104" i="54"/>
  <c r="I104" i="54"/>
  <c r="L14" i="54"/>
  <c r="M66" i="54"/>
  <c r="C104" i="54"/>
  <c r="B104" i="54"/>
  <c r="Q105" i="54"/>
  <c r="P105" i="54"/>
  <c r="R62" i="54"/>
  <c r="S62" i="54"/>
  <c r="T62" i="54"/>
  <c r="Q106" i="54"/>
  <c r="P106" i="54"/>
  <c r="E59" i="54"/>
  <c r="M14" i="54"/>
  <c r="K67" i="54"/>
  <c r="I105" i="54"/>
  <c r="J105" i="54"/>
  <c r="C105" i="54"/>
  <c r="B105" i="54"/>
  <c r="L67" i="54"/>
  <c r="B106" i="54"/>
  <c r="C106" i="54"/>
  <c r="J106" i="54"/>
  <c r="I106" i="54"/>
  <c r="R63" i="54"/>
  <c r="S63" i="54"/>
  <c r="T63" i="54"/>
  <c r="F59" i="54"/>
  <c r="Q107" i="54"/>
  <c r="P107" i="54"/>
  <c r="R64" i="54"/>
  <c r="S64" i="54"/>
  <c r="T64" i="54"/>
  <c r="P108" i="54"/>
  <c r="Q108" i="54"/>
  <c r="M67" i="54"/>
  <c r="J107" i="54"/>
  <c r="I107" i="54"/>
  <c r="D60" i="54"/>
  <c r="E60" i="54"/>
  <c r="F60" i="54"/>
  <c r="C107" i="54"/>
  <c r="B107" i="54"/>
  <c r="D61" i="54"/>
  <c r="E61" i="54"/>
  <c r="F61" i="54"/>
  <c r="Q109" i="54"/>
  <c r="P109" i="54"/>
  <c r="J108" i="54"/>
  <c r="I108" i="54"/>
  <c r="B108" i="54"/>
  <c r="C108" i="54"/>
  <c r="R65" i="54"/>
  <c r="S65" i="54"/>
  <c r="T65" i="54"/>
  <c r="K68" i="54"/>
  <c r="D62" i="54"/>
  <c r="E62" i="54"/>
  <c r="F62" i="54"/>
  <c r="L68" i="54"/>
  <c r="R66" i="54"/>
  <c r="C109" i="54"/>
  <c r="B109" i="54"/>
  <c r="Q110" i="54"/>
  <c r="P110" i="54"/>
  <c r="J109" i="54"/>
  <c r="I109" i="54"/>
  <c r="J110" i="54"/>
  <c r="I110" i="54"/>
  <c r="S66" i="54"/>
  <c r="R14" i="54"/>
  <c r="Q111" i="54"/>
  <c r="P111" i="54"/>
  <c r="M68" i="54"/>
  <c r="D63" i="54"/>
  <c r="E63" i="54"/>
  <c r="F63" i="54"/>
  <c r="C110" i="54"/>
  <c r="B110" i="54"/>
  <c r="S14" i="54"/>
  <c r="T66" i="54"/>
  <c r="K69" i="54"/>
  <c r="D64" i="54"/>
  <c r="E64" i="54"/>
  <c r="F64" i="54"/>
  <c r="J111" i="54"/>
  <c r="I111" i="54"/>
  <c r="Q112" i="54"/>
  <c r="P112" i="54"/>
  <c r="B111" i="54"/>
  <c r="C111" i="54"/>
  <c r="L69" i="54"/>
  <c r="D65" i="54"/>
  <c r="E65" i="54"/>
  <c r="F65" i="54"/>
  <c r="C112" i="54"/>
  <c r="B112" i="54"/>
  <c r="I112" i="54"/>
  <c r="J112" i="54"/>
  <c r="T14" i="54"/>
  <c r="R67" i="54"/>
  <c r="P113" i="54"/>
  <c r="Q113" i="54"/>
  <c r="D66" i="54"/>
  <c r="J113" i="54"/>
  <c r="I113" i="54"/>
  <c r="Q114" i="54"/>
  <c r="P114" i="54"/>
  <c r="M69" i="54"/>
  <c r="S67" i="54"/>
  <c r="C113" i="54"/>
  <c r="B113" i="54"/>
  <c r="K70" i="54"/>
  <c r="I114" i="54"/>
  <c r="J114" i="54"/>
  <c r="P115" i="54"/>
  <c r="Q115" i="54"/>
  <c r="C114" i="54"/>
  <c r="B114" i="54"/>
  <c r="E66" i="54"/>
  <c r="D14" i="54"/>
  <c r="T67" i="54"/>
  <c r="J115" i="54"/>
  <c r="I115" i="54"/>
  <c r="R68" i="54"/>
  <c r="E14" i="54"/>
  <c r="F66" i="54"/>
  <c r="L70" i="54"/>
  <c r="Q116" i="54"/>
  <c r="P116" i="54"/>
  <c r="B115" i="54"/>
  <c r="C115" i="54"/>
  <c r="S68" i="54"/>
  <c r="I116" i="54"/>
  <c r="J116" i="54"/>
  <c r="C116" i="54"/>
  <c r="B116" i="54"/>
  <c r="M70" i="54"/>
  <c r="F14" i="54"/>
  <c r="D67" i="54"/>
  <c r="P117" i="54"/>
  <c r="Q117" i="54"/>
  <c r="K71" i="54"/>
  <c r="J117" i="54"/>
  <c r="I117" i="54"/>
  <c r="Q118" i="54"/>
  <c r="P118" i="54"/>
  <c r="C117" i="54"/>
  <c r="B117" i="54"/>
  <c r="E67" i="54"/>
  <c r="T68" i="54"/>
  <c r="I118" i="54"/>
  <c r="J118" i="54"/>
  <c r="R69" i="54"/>
  <c r="F67" i="54"/>
  <c r="Q119" i="54"/>
  <c r="P119" i="54"/>
  <c r="L71" i="54"/>
  <c r="C118" i="54"/>
  <c r="B118" i="54"/>
  <c r="M71" i="54"/>
  <c r="Q120" i="54"/>
  <c r="P120" i="54"/>
  <c r="D68" i="54"/>
  <c r="J119" i="54"/>
  <c r="I119" i="54"/>
  <c r="S69" i="54"/>
  <c r="B119" i="54"/>
  <c r="C119" i="54"/>
  <c r="I120" i="54"/>
  <c r="J120" i="54"/>
  <c r="K72" i="54"/>
  <c r="L72" i="54"/>
  <c r="M72" i="54"/>
  <c r="T69" i="54"/>
  <c r="P121" i="54"/>
  <c r="Q121" i="54"/>
  <c r="C120" i="54"/>
  <c r="B120" i="54"/>
  <c r="E68" i="54"/>
  <c r="F68" i="54"/>
  <c r="K73" i="54"/>
  <c r="L73" i="54"/>
  <c r="M73" i="54"/>
  <c r="Q122" i="54"/>
  <c r="P122" i="54"/>
  <c r="B121" i="54"/>
  <c r="C121" i="54"/>
  <c r="J121" i="54"/>
  <c r="I121" i="54"/>
  <c r="R70" i="54"/>
  <c r="K74" i="54"/>
  <c r="L74" i="54"/>
  <c r="M74" i="54"/>
  <c r="S70" i="54"/>
  <c r="C122" i="54"/>
  <c r="B122" i="54"/>
  <c r="D69" i="54"/>
  <c r="J122" i="54"/>
  <c r="I122" i="54"/>
  <c r="P123" i="54"/>
  <c r="Q123" i="54"/>
  <c r="K75" i="54"/>
  <c r="L75" i="54"/>
  <c r="M75" i="54"/>
  <c r="E69" i="54"/>
  <c r="Q124" i="54"/>
  <c r="P124" i="54"/>
  <c r="J123" i="54"/>
  <c r="I123" i="54"/>
  <c r="B123" i="54"/>
  <c r="C123" i="54"/>
  <c r="T70" i="54"/>
  <c r="K76" i="54"/>
  <c r="L76" i="54"/>
  <c r="M76" i="54"/>
  <c r="I124" i="54"/>
  <c r="J124" i="54"/>
  <c r="F69" i="54"/>
  <c r="R71" i="54"/>
  <c r="C124" i="54"/>
  <c r="B124" i="54"/>
  <c r="P125" i="54"/>
  <c r="Q125" i="54"/>
  <c r="K77" i="54"/>
  <c r="L77" i="54"/>
  <c r="M77" i="54"/>
  <c r="J125" i="54"/>
  <c r="I125" i="54"/>
  <c r="D70" i="54"/>
  <c r="Q126" i="54"/>
  <c r="P126" i="54"/>
  <c r="C125" i="54"/>
  <c r="B125" i="54"/>
  <c r="S71" i="54"/>
  <c r="K78" i="54"/>
  <c r="E70" i="54"/>
  <c r="Q127" i="54"/>
  <c r="P127" i="54"/>
  <c r="T71" i="54"/>
  <c r="C126" i="54"/>
  <c r="B126" i="54"/>
  <c r="I126" i="54"/>
  <c r="J126" i="54"/>
  <c r="R72" i="54"/>
  <c r="S72" i="54"/>
  <c r="T72" i="54"/>
  <c r="F70" i="54"/>
  <c r="J127" i="54"/>
  <c r="I127" i="54"/>
  <c r="Q128" i="54"/>
  <c r="P128" i="54"/>
  <c r="L78" i="54"/>
  <c r="K15" i="54"/>
  <c r="K16" i="54"/>
  <c r="B127" i="54"/>
  <c r="C127" i="54"/>
  <c r="R73" i="54"/>
  <c r="S73" i="54"/>
  <c r="T73" i="54"/>
  <c r="C128" i="54"/>
  <c r="B128" i="54"/>
  <c r="D71" i="54"/>
  <c r="I128" i="54"/>
  <c r="J128" i="54"/>
  <c r="L15" i="54"/>
  <c r="L16" i="54"/>
  <c r="M78" i="54"/>
  <c r="P129" i="54"/>
  <c r="Q129" i="54"/>
  <c r="R74" i="54"/>
  <c r="S74" i="54"/>
  <c r="T74" i="54"/>
  <c r="B129" i="54"/>
  <c r="C129" i="54"/>
  <c r="Q130" i="54"/>
  <c r="P130" i="54"/>
  <c r="J129" i="54"/>
  <c r="I129" i="54"/>
  <c r="E71" i="54"/>
  <c r="M15" i="54"/>
  <c r="K79" i="54"/>
  <c r="L79" i="54"/>
  <c r="M79" i="54"/>
  <c r="R75" i="54"/>
  <c r="S75" i="54"/>
  <c r="T75" i="54"/>
  <c r="C130" i="54"/>
  <c r="B130" i="54"/>
  <c r="K80" i="54"/>
  <c r="L80" i="54"/>
  <c r="M80" i="54"/>
  <c r="P131" i="54"/>
  <c r="Q131" i="54"/>
  <c r="J130" i="54"/>
  <c r="I130" i="54"/>
  <c r="F71" i="54"/>
  <c r="B131" i="54"/>
  <c r="C131" i="54"/>
  <c r="J131" i="54"/>
  <c r="I131" i="54"/>
  <c r="Q132" i="54"/>
  <c r="P132" i="54"/>
  <c r="R76" i="54"/>
  <c r="S76" i="54"/>
  <c r="T76" i="54"/>
  <c r="D72" i="54"/>
  <c r="E72" i="54"/>
  <c r="F72" i="54"/>
  <c r="K81" i="54"/>
  <c r="L81" i="54"/>
  <c r="M81" i="54"/>
  <c r="D73" i="54"/>
  <c r="E73" i="54"/>
  <c r="F73" i="54"/>
  <c r="R77" i="54"/>
  <c r="S77" i="54"/>
  <c r="T77" i="54"/>
  <c r="K82" i="54"/>
  <c r="L82" i="54"/>
  <c r="M82" i="54"/>
  <c r="C132" i="54"/>
  <c r="B132" i="54"/>
  <c r="I132" i="54"/>
  <c r="J132" i="54"/>
  <c r="P133" i="54"/>
  <c r="Q133" i="54"/>
  <c r="K83" i="54"/>
  <c r="L83" i="54"/>
  <c r="M83" i="54"/>
  <c r="R78" i="54"/>
  <c r="D74" i="54"/>
  <c r="E74" i="54"/>
  <c r="F74" i="54"/>
  <c r="J133" i="54"/>
  <c r="I133" i="54"/>
  <c r="Q134" i="54"/>
  <c r="P134" i="54"/>
  <c r="C133" i="54"/>
  <c r="B133" i="54"/>
  <c r="D75" i="54"/>
  <c r="E75" i="54"/>
  <c r="F75" i="54"/>
  <c r="K84" i="54"/>
  <c r="L84" i="54"/>
  <c r="M84" i="54"/>
  <c r="S78" i="54"/>
  <c r="R15" i="54"/>
  <c r="R16" i="54"/>
  <c r="I134" i="54"/>
  <c r="J134" i="54"/>
  <c r="Q135" i="54"/>
  <c r="P135" i="54"/>
  <c r="C134" i="54"/>
  <c r="B134" i="54"/>
  <c r="D76" i="54"/>
  <c r="E76" i="54"/>
  <c r="F76" i="54"/>
  <c r="S15" i="54"/>
  <c r="S16" i="54"/>
  <c r="T78" i="54"/>
  <c r="B135" i="54"/>
  <c r="C135" i="54"/>
  <c r="K85" i="54"/>
  <c r="L85" i="54"/>
  <c r="M85" i="54"/>
  <c r="Q136" i="54"/>
  <c r="P136" i="54"/>
  <c r="J135" i="54"/>
  <c r="I135" i="54"/>
  <c r="K86" i="54"/>
  <c r="L86" i="54"/>
  <c r="M86" i="54"/>
  <c r="D77" i="54"/>
  <c r="E77" i="54"/>
  <c r="F77" i="54"/>
  <c r="I136" i="54"/>
  <c r="J136" i="54"/>
  <c r="T15" i="54"/>
  <c r="R79" i="54"/>
  <c r="S79" i="54"/>
  <c r="T79" i="54"/>
  <c r="P137" i="54"/>
  <c r="Q137" i="54"/>
  <c r="C136" i="54"/>
  <c r="B136" i="54"/>
  <c r="R80" i="54"/>
  <c r="S80" i="54"/>
  <c r="T80" i="54"/>
  <c r="K87" i="54"/>
  <c r="L87" i="54"/>
  <c r="M87" i="54"/>
  <c r="D78" i="54"/>
  <c r="J137" i="54"/>
  <c r="I137" i="54"/>
  <c r="Q138" i="54"/>
  <c r="P138" i="54"/>
  <c r="B137" i="54"/>
  <c r="C137" i="54"/>
  <c r="K88" i="54"/>
  <c r="L88" i="54"/>
  <c r="M88" i="54"/>
  <c r="R81" i="54"/>
  <c r="S81" i="54"/>
  <c r="T81" i="54"/>
  <c r="P139" i="54"/>
  <c r="Q139" i="54"/>
  <c r="E78" i="54"/>
  <c r="D15" i="54"/>
  <c r="D16" i="54"/>
  <c r="J138" i="54"/>
  <c r="I138" i="54"/>
  <c r="C138" i="54"/>
  <c r="B138" i="54"/>
  <c r="K89" i="54"/>
  <c r="L89" i="54"/>
  <c r="M89" i="54"/>
  <c r="R82" i="54"/>
  <c r="S82" i="54"/>
  <c r="T82" i="54"/>
  <c r="B139" i="54"/>
  <c r="C139" i="54"/>
  <c r="E15" i="54"/>
  <c r="E16" i="54"/>
  <c r="F78" i="54"/>
  <c r="Q140" i="54"/>
  <c r="P140" i="54"/>
  <c r="J139" i="54"/>
  <c r="I139" i="54"/>
  <c r="K90" i="54"/>
  <c r="L90" i="54"/>
  <c r="M90" i="54"/>
  <c r="C140" i="54"/>
  <c r="B140" i="54"/>
  <c r="R83" i="54"/>
  <c r="S83" i="54"/>
  <c r="T83" i="54"/>
  <c r="P141" i="54"/>
  <c r="Q141" i="54"/>
  <c r="F15" i="54"/>
  <c r="D79" i="54"/>
  <c r="E79" i="54"/>
  <c r="F79" i="54"/>
  <c r="I140" i="54"/>
  <c r="J140" i="54"/>
  <c r="R84" i="54"/>
  <c r="S84" i="54"/>
  <c r="T84" i="54"/>
  <c r="K91" i="54"/>
  <c r="L91" i="54"/>
  <c r="M91" i="54"/>
  <c r="C141" i="54"/>
  <c r="B141" i="54"/>
  <c r="J141" i="54"/>
  <c r="I141" i="54"/>
  <c r="Q142" i="54"/>
  <c r="P142" i="54"/>
  <c r="D80" i="54"/>
  <c r="E80" i="54"/>
  <c r="F80" i="54"/>
  <c r="R85" i="54"/>
  <c r="S85" i="54"/>
  <c r="T85" i="54"/>
  <c r="I142" i="54"/>
  <c r="J142" i="54"/>
  <c r="D81" i="54"/>
  <c r="E81" i="54"/>
  <c r="F81" i="54"/>
  <c r="K92" i="54"/>
  <c r="L92" i="54"/>
  <c r="M92" i="54"/>
  <c r="Q143" i="54"/>
  <c r="P143" i="54"/>
  <c r="C142" i="54"/>
  <c r="B142" i="54"/>
  <c r="K93" i="54"/>
  <c r="L93" i="54"/>
  <c r="M93" i="54"/>
  <c r="J143" i="54"/>
  <c r="I143" i="54"/>
  <c r="D82" i="54"/>
  <c r="E82" i="54"/>
  <c r="F82" i="54"/>
  <c r="B143" i="54"/>
  <c r="C143" i="54"/>
  <c r="R86" i="54"/>
  <c r="S86" i="54"/>
  <c r="T86" i="54"/>
  <c r="Q144" i="54"/>
  <c r="P144" i="54"/>
  <c r="R87" i="54"/>
  <c r="S87" i="54"/>
  <c r="T87" i="54"/>
  <c r="C144" i="54"/>
  <c r="B144" i="54"/>
  <c r="I144" i="54"/>
  <c r="J144" i="54"/>
  <c r="D83" i="54"/>
  <c r="E83" i="54"/>
  <c r="F83" i="54"/>
  <c r="K94" i="54"/>
  <c r="L94" i="54"/>
  <c r="M94" i="54"/>
  <c r="P145" i="54"/>
  <c r="Q145" i="54"/>
  <c r="K95" i="54"/>
  <c r="L95" i="54"/>
  <c r="M95" i="54"/>
  <c r="D84" i="54"/>
  <c r="E84" i="54"/>
  <c r="F84" i="54"/>
  <c r="R88" i="54"/>
  <c r="S88" i="54"/>
  <c r="T88" i="54"/>
  <c r="B145" i="54"/>
  <c r="C145" i="54"/>
  <c r="Q146" i="54"/>
  <c r="P146" i="54"/>
  <c r="J145" i="54"/>
  <c r="I145" i="54"/>
  <c r="R89" i="54"/>
  <c r="S89" i="54"/>
  <c r="T89" i="54"/>
  <c r="J146" i="54"/>
  <c r="I146" i="54"/>
  <c r="D85" i="54"/>
  <c r="E85" i="54"/>
  <c r="F85" i="54"/>
  <c r="K96" i="54"/>
  <c r="L96" i="54"/>
  <c r="M96" i="54"/>
  <c r="C146" i="54"/>
  <c r="B146" i="54"/>
  <c r="P147" i="54"/>
  <c r="Q147" i="54"/>
  <c r="K97" i="54"/>
  <c r="L97" i="54"/>
  <c r="M97" i="54"/>
  <c r="R90" i="54"/>
  <c r="S90" i="54"/>
  <c r="T90" i="54"/>
  <c r="D86" i="54"/>
  <c r="E86" i="54"/>
  <c r="F86" i="54"/>
  <c r="Q148" i="54"/>
  <c r="P148" i="54"/>
  <c r="B147" i="54"/>
  <c r="C147" i="54"/>
  <c r="J147" i="54"/>
  <c r="I147" i="54"/>
  <c r="D87" i="54"/>
  <c r="E87" i="54"/>
  <c r="F87" i="54"/>
  <c r="R91" i="54"/>
  <c r="S91" i="54"/>
  <c r="T91" i="54"/>
  <c r="K98" i="54"/>
  <c r="L98" i="54"/>
  <c r="M98" i="54"/>
  <c r="C148" i="54"/>
  <c r="B148" i="54"/>
  <c r="I148" i="54"/>
  <c r="J148" i="54"/>
  <c r="P149" i="54"/>
  <c r="Q149" i="54"/>
  <c r="R92" i="54"/>
  <c r="S92" i="54"/>
  <c r="T92" i="54"/>
  <c r="K99" i="54"/>
  <c r="L99" i="54"/>
  <c r="M99" i="54"/>
  <c r="D88" i="54"/>
  <c r="E88" i="54"/>
  <c r="F88" i="54"/>
  <c r="Q150" i="54"/>
  <c r="P150" i="54"/>
  <c r="C149" i="54"/>
  <c r="B149" i="54"/>
  <c r="J149" i="54"/>
  <c r="I149" i="54"/>
  <c r="D89" i="54"/>
  <c r="E89" i="54"/>
  <c r="F89" i="54"/>
  <c r="K100" i="54"/>
  <c r="L100" i="54"/>
  <c r="M100" i="54"/>
  <c r="Q151" i="54"/>
  <c r="P151" i="54"/>
  <c r="R93" i="54"/>
  <c r="S93" i="54"/>
  <c r="T93" i="54"/>
  <c r="I150" i="54"/>
  <c r="J150" i="54"/>
  <c r="C150" i="54"/>
  <c r="B150" i="54"/>
  <c r="R94" i="54"/>
  <c r="S94" i="54"/>
  <c r="T94" i="54"/>
  <c r="D90" i="54"/>
  <c r="E90" i="54"/>
  <c r="F90" i="54"/>
  <c r="K101" i="54"/>
  <c r="L101" i="54"/>
  <c r="M101" i="54"/>
  <c r="B151" i="54"/>
  <c r="C151" i="54"/>
  <c r="J151" i="54"/>
  <c r="I151" i="54"/>
  <c r="Q152" i="54"/>
  <c r="P152" i="54"/>
  <c r="D91" i="54"/>
  <c r="E91" i="54"/>
  <c r="F91" i="54"/>
  <c r="K102" i="54"/>
  <c r="L102" i="54"/>
  <c r="M102" i="54"/>
  <c r="R95" i="54"/>
  <c r="S95" i="54"/>
  <c r="T95" i="54"/>
  <c r="P153" i="54"/>
  <c r="Q153" i="54"/>
  <c r="C152" i="54"/>
  <c r="B152" i="54"/>
  <c r="I152" i="54"/>
  <c r="J152" i="54"/>
  <c r="R96" i="54"/>
  <c r="S96" i="54"/>
  <c r="T96" i="54"/>
  <c r="K103" i="54"/>
  <c r="L103" i="54"/>
  <c r="M103" i="54"/>
  <c r="D92" i="54"/>
  <c r="E92" i="54"/>
  <c r="F92" i="54"/>
  <c r="B153" i="54"/>
  <c r="C153" i="54"/>
  <c r="J153" i="54"/>
  <c r="I153" i="54"/>
  <c r="Q154" i="54"/>
  <c r="P154" i="54"/>
  <c r="K104" i="54"/>
  <c r="L104" i="54"/>
  <c r="M104" i="54"/>
  <c r="D93" i="54"/>
  <c r="E93" i="54"/>
  <c r="F93" i="54"/>
  <c r="R97" i="54"/>
  <c r="S97" i="54"/>
  <c r="T97" i="54"/>
  <c r="P155" i="54"/>
  <c r="Q155" i="54"/>
  <c r="C154" i="54"/>
  <c r="B154" i="54"/>
  <c r="J154" i="54"/>
  <c r="I154" i="54"/>
  <c r="K105" i="54"/>
  <c r="L105" i="54"/>
  <c r="M105" i="54"/>
  <c r="D94" i="54"/>
  <c r="E94" i="54"/>
  <c r="F94" i="54"/>
  <c r="J155" i="54"/>
  <c r="I155" i="54"/>
  <c r="R98" i="54"/>
  <c r="S98" i="54"/>
  <c r="T98" i="54"/>
  <c r="B155" i="54"/>
  <c r="C155" i="54"/>
  <c r="Q156" i="54"/>
  <c r="P156" i="54"/>
  <c r="R99" i="54"/>
  <c r="S99" i="54"/>
  <c r="T99" i="54"/>
  <c r="K106" i="54"/>
  <c r="L106" i="54"/>
  <c r="M106" i="54"/>
  <c r="P157" i="54"/>
  <c r="Q157" i="54"/>
  <c r="D95" i="54"/>
  <c r="E95" i="54"/>
  <c r="F95" i="54"/>
  <c r="I156" i="54"/>
  <c r="J156" i="54"/>
  <c r="C156" i="54"/>
  <c r="B156" i="54"/>
  <c r="D96" i="54"/>
  <c r="E96" i="54"/>
  <c r="F96" i="54"/>
  <c r="K107" i="54"/>
  <c r="L107" i="54"/>
  <c r="M107" i="54"/>
  <c r="R100" i="54"/>
  <c r="S100" i="54"/>
  <c r="T100" i="54"/>
  <c r="Q158" i="54"/>
  <c r="P158" i="54"/>
  <c r="J157" i="54"/>
  <c r="I157" i="54"/>
  <c r="C157" i="54"/>
  <c r="B157" i="54"/>
  <c r="R101" i="54"/>
  <c r="S101" i="54"/>
  <c r="T101" i="54"/>
  <c r="K108" i="54"/>
  <c r="L108" i="54"/>
  <c r="M108" i="54"/>
  <c r="C158" i="54"/>
  <c r="B158" i="54"/>
  <c r="Q159" i="54"/>
  <c r="P159" i="54"/>
  <c r="I158" i="54"/>
  <c r="J158" i="54"/>
  <c r="D97" i="54"/>
  <c r="E97" i="54"/>
  <c r="F97" i="54"/>
  <c r="K109" i="54"/>
  <c r="L109" i="54"/>
  <c r="M109" i="54"/>
  <c r="Q160" i="54"/>
  <c r="P160" i="54"/>
  <c r="J159" i="54"/>
  <c r="I159" i="54"/>
  <c r="D98" i="54"/>
  <c r="E98" i="54"/>
  <c r="F98" i="54"/>
  <c r="R102" i="54"/>
  <c r="S102" i="54"/>
  <c r="T102" i="54"/>
  <c r="B159" i="54"/>
  <c r="C159" i="54"/>
  <c r="K110" i="54"/>
  <c r="L110" i="54"/>
  <c r="M110" i="54"/>
  <c r="D99" i="54"/>
  <c r="E99" i="54"/>
  <c r="F99" i="54"/>
  <c r="C160" i="54"/>
  <c r="B160" i="54"/>
  <c r="R103" i="54"/>
  <c r="S103" i="54"/>
  <c r="T103" i="54"/>
  <c r="I160" i="54"/>
  <c r="J160" i="54"/>
  <c r="P161" i="54"/>
  <c r="Q161" i="54"/>
  <c r="R104" i="54"/>
  <c r="S104" i="54"/>
  <c r="T104" i="54"/>
  <c r="K111" i="54"/>
  <c r="L111" i="54"/>
  <c r="M111" i="54"/>
  <c r="D100" i="54"/>
  <c r="E100" i="54"/>
  <c r="F100" i="54"/>
  <c r="Q162" i="54"/>
  <c r="P162" i="54"/>
  <c r="B161" i="54"/>
  <c r="C161" i="54"/>
  <c r="J161" i="54"/>
  <c r="I161" i="54"/>
  <c r="K112" i="54"/>
  <c r="L112" i="54"/>
  <c r="M112" i="54"/>
  <c r="D101" i="54"/>
  <c r="E101" i="54"/>
  <c r="F101" i="54"/>
  <c r="C162" i="54"/>
  <c r="B162" i="54"/>
  <c r="P163" i="54"/>
  <c r="Q163" i="54"/>
  <c r="R105" i="54"/>
  <c r="S105" i="54"/>
  <c r="T105" i="54"/>
  <c r="J162" i="54"/>
  <c r="I162" i="54"/>
  <c r="D102" i="54"/>
  <c r="E102" i="54"/>
  <c r="F102" i="54"/>
  <c r="K113" i="54"/>
  <c r="L113" i="54"/>
  <c r="M113" i="54"/>
  <c r="Q164" i="54"/>
  <c r="P164" i="54"/>
  <c r="R106" i="54"/>
  <c r="S106" i="54"/>
  <c r="T106" i="54"/>
  <c r="B163" i="54"/>
  <c r="C163" i="54"/>
  <c r="I163" i="54"/>
  <c r="J163" i="54"/>
  <c r="R107" i="54"/>
  <c r="S107" i="54"/>
  <c r="T107" i="54"/>
  <c r="K114" i="54"/>
  <c r="L114" i="54"/>
  <c r="M114" i="54"/>
  <c r="D103" i="54"/>
  <c r="E103" i="54"/>
  <c r="F103" i="54"/>
  <c r="I164" i="54"/>
  <c r="J164" i="54"/>
  <c r="C164" i="54"/>
  <c r="B164" i="54"/>
  <c r="P165" i="54"/>
  <c r="Q165" i="54"/>
  <c r="D104" i="54"/>
  <c r="E104" i="54"/>
  <c r="F104" i="54"/>
  <c r="K115" i="54"/>
  <c r="L115" i="54"/>
  <c r="M115" i="54"/>
  <c r="R108" i="54"/>
  <c r="S108" i="54"/>
  <c r="T108" i="54"/>
  <c r="Q166" i="54"/>
  <c r="P166" i="54"/>
  <c r="J165" i="54"/>
  <c r="I165" i="54"/>
  <c r="C165" i="54"/>
  <c r="B165" i="54"/>
  <c r="D105" i="54"/>
  <c r="E105" i="54"/>
  <c r="F105" i="54"/>
  <c r="C166" i="54"/>
  <c r="B166" i="54"/>
  <c r="K116" i="54"/>
  <c r="L116" i="54"/>
  <c r="M116" i="54"/>
  <c r="R109" i="54"/>
  <c r="S109" i="54"/>
  <c r="T109" i="54"/>
  <c r="Q167" i="54"/>
  <c r="P167" i="54"/>
  <c r="I166" i="54"/>
  <c r="J166" i="54"/>
  <c r="K117" i="54"/>
  <c r="L117" i="54"/>
  <c r="M117" i="54"/>
  <c r="D106" i="54"/>
  <c r="E106" i="54"/>
  <c r="F106" i="54"/>
  <c r="R110" i="54"/>
  <c r="S110" i="54"/>
  <c r="T110" i="54"/>
  <c r="J167" i="54"/>
  <c r="I167" i="54"/>
  <c r="Q168" i="54"/>
  <c r="P168" i="54"/>
  <c r="B167" i="54"/>
  <c r="C167" i="54"/>
  <c r="D107" i="54"/>
  <c r="E107" i="54"/>
  <c r="F107" i="54"/>
  <c r="R111" i="54"/>
  <c r="S111" i="54"/>
  <c r="T111" i="54"/>
  <c r="C168" i="54"/>
  <c r="B168" i="54"/>
  <c r="K118" i="54"/>
  <c r="L118" i="54"/>
  <c r="M118" i="54"/>
  <c r="I168" i="54"/>
  <c r="J168" i="54"/>
  <c r="P169" i="54"/>
  <c r="Q169" i="54"/>
  <c r="R112" i="54"/>
  <c r="S112" i="54"/>
  <c r="T112" i="54"/>
  <c r="D108" i="54"/>
  <c r="E108" i="54"/>
  <c r="F108" i="54"/>
  <c r="Q170" i="54"/>
  <c r="P170" i="54"/>
  <c r="B169" i="54"/>
  <c r="C169" i="54"/>
  <c r="J169" i="54"/>
  <c r="I169" i="54"/>
  <c r="K119" i="54"/>
  <c r="L119" i="54"/>
  <c r="M119" i="54"/>
  <c r="D109" i="54"/>
  <c r="E109" i="54"/>
  <c r="F109" i="54"/>
  <c r="K120" i="54"/>
  <c r="L120" i="54"/>
  <c r="M120" i="54"/>
  <c r="R113" i="54"/>
  <c r="S113" i="54"/>
  <c r="T113" i="54"/>
  <c r="C170" i="54"/>
  <c r="B170" i="54"/>
  <c r="J170" i="54"/>
  <c r="I170" i="54"/>
  <c r="P171" i="54"/>
  <c r="Q171" i="54"/>
  <c r="D110" i="54"/>
  <c r="E110" i="54"/>
  <c r="F110" i="54"/>
  <c r="K121" i="54"/>
  <c r="L121" i="54"/>
  <c r="M121" i="54"/>
  <c r="R114" i="54"/>
  <c r="S114" i="54"/>
  <c r="T114" i="54"/>
  <c r="B171" i="54"/>
  <c r="C171" i="54"/>
  <c r="Q172" i="54"/>
  <c r="P172" i="54"/>
  <c r="J171" i="54"/>
  <c r="I171" i="54"/>
  <c r="K122" i="54"/>
  <c r="L122" i="54"/>
  <c r="M122" i="54"/>
  <c r="R115" i="54"/>
  <c r="S115" i="54"/>
  <c r="T115" i="54"/>
  <c r="D111" i="54"/>
  <c r="E111" i="54"/>
  <c r="F111" i="54"/>
  <c r="I172" i="54"/>
  <c r="J172" i="54"/>
  <c r="P173" i="54"/>
  <c r="Q173" i="54"/>
  <c r="C172" i="54"/>
  <c r="B172" i="54"/>
  <c r="R116" i="54"/>
  <c r="S116" i="54"/>
  <c r="T116" i="54"/>
  <c r="D112" i="54"/>
  <c r="E112" i="54"/>
  <c r="F112" i="54"/>
  <c r="K123" i="54"/>
  <c r="L123" i="54"/>
  <c r="M123" i="54"/>
  <c r="Q174" i="54"/>
  <c r="P174" i="54"/>
  <c r="J173" i="54"/>
  <c r="I173" i="54"/>
  <c r="C173" i="54"/>
  <c r="B173" i="54"/>
  <c r="D113" i="54"/>
  <c r="E113" i="54"/>
  <c r="F113" i="54"/>
  <c r="I174" i="54"/>
  <c r="J174" i="54"/>
  <c r="R117" i="54"/>
  <c r="S117" i="54"/>
  <c r="T117" i="54"/>
  <c r="K124" i="54"/>
  <c r="L124" i="54"/>
  <c r="M124" i="54"/>
  <c r="C174" i="54"/>
  <c r="B174" i="54"/>
  <c r="Q175" i="54"/>
  <c r="P175" i="54"/>
  <c r="K125" i="54"/>
  <c r="L125" i="54"/>
  <c r="M125" i="54"/>
  <c r="R118" i="54"/>
  <c r="S118" i="54"/>
  <c r="T118" i="54"/>
  <c r="Q176" i="54"/>
  <c r="P176" i="54"/>
  <c r="J175" i="54"/>
  <c r="I175" i="54"/>
  <c r="F114" i="54"/>
  <c r="D114" i="54"/>
  <c r="E114" i="54"/>
  <c r="B175" i="54"/>
  <c r="C175" i="54"/>
  <c r="K126" i="54"/>
  <c r="L126" i="54"/>
  <c r="M126" i="54"/>
  <c r="I176" i="54"/>
  <c r="J176" i="54"/>
  <c r="C176" i="54"/>
  <c r="B176" i="54"/>
  <c r="D115" i="54"/>
  <c r="E115" i="54"/>
  <c r="F115" i="54"/>
  <c r="P177" i="54"/>
  <c r="Q177" i="54"/>
  <c r="R119" i="54"/>
  <c r="S119" i="54"/>
  <c r="T119" i="54"/>
  <c r="D116" i="54"/>
  <c r="E116" i="54"/>
  <c r="F116" i="54"/>
  <c r="R120" i="54"/>
  <c r="S120" i="54"/>
  <c r="T120" i="54"/>
  <c r="J177" i="54"/>
  <c r="I177" i="54"/>
  <c r="B177" i="54"/>
  <c r="C177" i="54"/>
  <c r="K127" i="54"/>
  <c r="L127" i="54"/>
  <c r="M127" i="54"/>
  <c r="Q178" i="54"/>
  <c r="P178" i="54"/>
  <c r="K128" i="54"/>
  <c r="L128" i="54"/>
  <c r="M128" i="54"/>
  <c r="R121" i="54"/>
  <c r="S121" i="54"/>
  <c r="T121" i="54"/>
  <c r="D117" i="54"/>
  <c r="E117" i="54"/>
  <c r="F117" i="54"/>
  <c r="P179" i="54"/>
  <c r="Q179" i="54"/>
  <c r="C178" i="54"/>
  <c r="B178" i="54"/>
  <c r="J178" i="54"/>
  <c r="I178" i="54"/>
  <c r="D118" i="54"/>
  <c r="E118" i="54"/>
  <c r="F118" i="54"/>
  <c r="K129" i="54"/>
  <c r="L129" i="54"/>
  <c r="M129" i="54"/>
  <c r="Q180" i="54"/>
  <c r="P180" i="54"/>
  <c r="J179" i="54"/>
  <c r="I179" i="54"/>
  <c r="B179" i="54"/>
  <c r="C179" i="54"/>
  <c r="R122" i="54"/>
  <c r="S122" i="54"/>
  <c r="T122" i="54"/>
  <c r="K130" i="54"/>
  <c r="L130" i="54"/>
  <c r="M130" i="54"/>
  <c r="R123" i="54"/>
  <c r="S123" i="54"/>
  <c r="T123" i="54"/>
  <c r="D119" i="54"/>
  <c r="E119" i="54"/>
  <c r="F119" i="54"/>
  <c r="P181" i="54"/>
  <c r="Q181" i="54"/>
  <c r="I180" i="54"/>
  <c r="J180" i="54"/>
  <c r="C180" i="54"/>
  <c r="B180" i="54"/>
  <c r="D120" i="54"/>
  <c r="E120" i="54"/>
  <c r="F120" i="54"/>
  <c r="K131" i="54"/>
  <c r="L131" i="54"/>
  <c r="M131" i="54"/>
  <c r="C181" i="54"/>
  <c r="B181" i="54"/>
  <c r="R124" i="54"/>
  <c r="S124" i="54"/>
  <c r="T124" i="54"/>
  <c r="Q182" i="54"/>
  <c r="P182" i="54"/>
  <c r="J181" i="54"/>
  <c r="I181" i="54"/>
  <c r="K132" i="54"/>
  <c r="L132" i="54"/>
  <c r="M132" i="54"/>
  <c r="Q183" i="54"/>
  <c r="P183" i="54"/>
  <c r="R125" i="54"/>
  <c r="S125" i="54"/>
  <c r="T125" i="54"/>
  <c r="C182" i="54"/>
  <c r="B182" i="54"/>
  <c r="I182" i="54"/>
  <c r="J182" i="54"/>
  <c r="D121" i="54"/>
  <c r="E121" i="54"/>
  <c r="F121" i="54"/>
  <c r="R126" i="54"/>
  <c r="S126" i="54"/>
  <c r="T126" i="54"/>
  <c r="D122" i="54"/>
  <c r="E122" i="54"/>
  <c r="F122" i="54"/>
  <c r="K133" i="54"/>
  <c r="L133" i="54"/>
  <c r="M133" i="54"/>
  <c r="J183" i="54"/>
  <c r="I183" i="54"/>
  <c r="B183" i="54"/>
  <c r="C183" i="54"/>
  <c r="P184" i="54"/>
  <c r="Q184" i="54"/>
  <c r="D123" i="54"/>
  <c r="E123" i="54"/>
  <c r="F123" i="54"/>
  <c r="C184" i="54"/>
  <c r="B184" i="54"/>
  <c r="P185" i="54"/>
  <c r="Q185" i="54"/>
  <c r="I184" i="54"/>
  <c r="J184" i="54"/>
  <c r="R127" i="54"/>
  <c r="S127" i="54"/>
  <c r="T127" i="54"/>
  <c r="K134" i="54"/>
  <c r="L134" i="54"/>
  <c r="M134" i="54"/>
  <c r="R128" i="54"/>
  <c r="S128" i="54"/>
  <c r="T128" i="54"/>
  <c r="D124" i="54"/>
  <c r="E124" i="54"/>
  <c r="F124" i="54"/>
  <c r="J185" i="54"/>
  <c r="I185" i="54"/>
  <c r="B185" i="54"/>
  <c r="C185" i="54"/>
  <c r="K135" i="54"/>
  <c r="L135" i="54"/>
  <c r="M135" i="54"/>
  <c r="Q186" i="54"/>
  <c r="P186" i="54"/>
  <c r="D125" i="54"/>
  <c r="E125" i="54"/>
  <c r="F125" i="54"/>
  <c r="K136" i="54"/>
  <c r="L136" i="54"/>
  <c r="M136" i="54"/>
  <c r="R129" i="54"/>
  <c r="S129" i="54"/>
  <c r="T129" i="54"/>
  <c r="P187" i="54"/>
  <c r="Q187" i="54"/>
  <c r="C186" i="54"/>
  <c r="B186" i="54"/>
  <c r="J186" i="54"/>
  <c r="I186" i="54"/>
  <c r="K137" i="54"/>
  <c r="L137" i="54"/>
  <c r="M137" i="54"/>
  <c r="R130" i="54"/>
  <c r="S130" i="54"/>
  <c r="T130" i="54"/>
  <c r="D126" i="54"/>
  <c r="E126" i="54"/>
  <c r="F126" i="54"/>
  <c r="J187" i="54"/>
  <c r="I187" i="54"/>
  <c r="Q188" i="54"/>
  <c r="P188" i="54"/>
  <c r="B187" i="54"/>
  <c r="C187" i="54"/>
  <c r="D127" i="54"/>
  <c r="E127" i="54"/>
  <c r="F127" i="54"/>
  <c r="R131" i="54"/>
  <c r="S131" i="54"/>
  <c r="T131" i="54"/>
  <c r="K138" i="54"/>
  <c r="L138" i="54"/>
  <c r="M138" i="54"/>
  <c r="I188" i="54"/>
  <c r="J188" i="54"/>
  <c r="P189" i="54"/>
  <c r="Q189" i="54"/>
  <c r="C188" i="54"/>
  <c r="B188" i="54"/>
  <c r="R132" i="54"/>
  <c r="S132" i="54"/>
  <c r="T132" i="54"/>
  <c r="K139" i="54"/>
  <c r="L139" i="54"/>
  <c r="M139" i="54"/>
  <c r="C189" i="54"/>
  <c r="B189" i="54"/>
  <c r="Q190" i="54"/>
  <c r="P190" i="54"/>
  <c r="J189" i="54"/>
  <c r="I189" i="54"/>
  <c r="D128" i="54"/>
  <c r="E128" i="54"/>
  <c r="F128" i="54"/>
  <c r="K140" i="54"/>
  <c r="L140" i="54"/>
  <c r="M140" i="54"/>
  <c r="D129" i="54"/>
  <c r="E129" i="54"/>
  <c r="F129" i="54"/>
  <c r="R133" i="54"/>
  <c r="S133" i="54"/>
  <c r="T133" i="54"/>
  <c r="C190" i="54"/>
  <c r="B190" i="54"/>
  <c r="Q191" i="54"/>
  <c r="P191" i="54"/>
  <c r="I190" i="54"/>
  <c r="J190" i="54"/>
  <c r="D130" i="54"/>
  <c r="E130" i="54"/>
  <c r="F130" i="54"/>
  <c r="R134" i="54"/>
  <c r="S134" i="54"/>
  <c r="T134" i="54"/>
  <c r="K141" i="54"/>
  <c r="L141" i="54"/>
  <c r="M141" i="54"/>
  <c r="B191" i="54"/>
  <c r="C191" i="54"/>
  <c r="J191" i="54"/>
  <c r="I191" i="54"/>
  <c r="Q192" i="54"/>
  <c r="P192" i="54"/>
  <c r="K142" i="54"/>
  <c r="L142" i="54"/>
  <c r="M142" i="54"/>
  <c r="D131" i="54"/>
  <c r="E131" i="54"/>
  <c r="F131" i="54"/>
  <c r="P193" i="54"/>
  <c r="Q193" i="54"/>
  <c r="R135" i="54"/>
  <c r="S135" i="54"/>
  <c r="T135" i="54"/>
  <c r="C192" i="54"/>
  <c r="B192" i="54"/>
  <c r="I192" i="54"/>
  <c r="J192" i="54"/>
  <c r="R136" i="54"/>
  <c r="S136" i="54"/>
  <c r="T136" i="54"/>
  <c r="D132" i="54"/>
  <c r="E132" i="54"/>
  <c r="F132" i="54"/>
  <c r="K143" i="54"/>
  <c r="L143" i="54"/>
  <c r="M143" i="54"/>
  <c r="B193" i="54"/>
  <c r="C193" i="54"/>
  <c r="J193" i="54"/>
  <c r="I193" i="54"/>
  <c r="Q194" i="54"/>
  <c r="P194" i="54"/>
  <c r="D133" i="54"/>
  <c r="E133" i="54"/>
  <c r="F133" i="54"/>
  <c r="K144" i="54"/>
  <c r="L144" i="54"/>
  <c r="M144" i="54"/>
  <c r="R137" i="54"/>
  <c r="S137" i="54"/>
  <c r="T137" i="54"/>
  <c r="P195" i="54"/>
  <c r="Q195" i="54"/>
  <c r="J194" i="54"/>
  <c r="I194" i="54"/>
  <c r="C194" i="54"/>
  <c r="B194" i="54"/>
  <c r="R138" i="54"/>
  <c r="S138" i="54"/>
  <c r="T138" i="54"/>
  <c r="K145" i="54"/>
  <c r="L145" i="54"/>
  <c r="M145" i="54"/>
  <c r="D134" i="54"/>
  <c r="E134" i="54"/>
  <c r="F134" i="54"/>
  <c r="B195" i="54"/>
  <c r="C195" i="54"/>
  <c r="Q196" i="54"/>
  <c r="P196" i="54"/>
  <c r="J195" i="54"/>
  <c r="I195" i="54"/>
  <c r="D135" i="54"/>
  <c r="E135" i="54"/>
  <c r="F135" i="54"/>
  <c r="K146" i="54"/>
  <c r="L146" i="54"/>
  <c r="M146" i="54"/>
  <c r="R139" i="54"/>
  <c r="S139" i="54"/>
  <c r="T139" i="54"/>
  <c r="I196" i="54"/>
  <c r="J196" i="54"/>
  <c r="P197" i="54"/>
  <c r="Q197" i="54"/>
  <c r="C196" i="54"/>
  <c r="B196" i="54"/>
  <c r="K147" i="54"/>
  <c r="L147" i="54"/>
  <c r="M147" i="54"/>
  <c r="R140" i="54"/>
  <c r="S140" i="54"/>
  <c r="T140" i="54"/>
  <c r="D136" i="54"/>
  <c r="E136" i="54"/>
  <c r="F136" i="54"/>
  <c r="Q198" i="54"/>
  <c r="P198" i="54"/>
  <c r="C197" i="54"/>
  <c r="B197" i="54"/>
  <c r="J197" i="54"/>
  <c r="I197" i="54"/>
  <c r="D137" i="54"/>
  <c r="E137" i="54"/>
  <c r="F137" i="54"/>
  <c r="R141" i="54"/>
  <c r="S141" i="54"/>
  <c r="T141" i="54"/>
  <c r="Q199" i="54"/>
  <c r="P199" i="54"/>
  <c r="K148" i="54"/>
  <c r="L148" i="54"/>
  <c r="M148" i="54"/>
  <c r="C198" i="54"/>
  <c r="B198" i="54"/>
  <c r="I198" i="54"/>
  <c r="J198" i="54"/>
  <c r="R142" i="54"/>
  <c r="S142" i="54"/>
  <c r="T142" i="54"/>
  <c r="D138" i="54"/>
  <c r="E138" i="54"/>
  <c r="F138" i="54"/>
  <c r="J199" i="54"/>
  <c r="I199" i="54"/>
  <c r="Q200" i="54"/>
  <c r="P200" i="54"/>
  <c r="K149" i="54"/>
  <c r="L149" i="54"/>
  <c r="M149" i="54"/>
  <c r="B199" i="54"/>
  <c r="C199" i="54"/>
  <c r="K150" i="54"/>
  <c r="L150" i="54"/>
  <c r="M150" i="54"/>
  <c r="D139" i="54"/>
  <c r="E139" i="54"/>
  <c r="F139" i="54"/>
  <c r="R143" i="54"/>
  <c r="S143" i="54"/>
  <c r="T143" i="54"/>
  <c r="P201" i="54"/>
  <c r="Q201" i="54"/>
  <c r="I200" i="54"/>
  <c r="J200" i="54"/>
  <c r="C200" i="54"/>
  <c r="B200" i="54"/>
  <c r="R144" i="54"/>
  <c r="S144" i="54"/>
  <c r="T144" i="54"/>
  <c r="K151" i="54"/>
  <c r="L151" i="54"/>
  <c r="M151" i="54"/>
  <c r="J201" i="54"/>
  <c r="I201" i="54"/>
  <c r="D140" i="54"/>
  <c r="E140" i="54"/>
  <c r="F140" i="54"/>
  <c r="B201" i="54"/>
  <c r="C201" i="54"/>
  <c r="Q202" i="54"/>
  <c r="P202" i="54"/>
  <c r="D141" i="54"/>
  <c r="E141" i="54"/>
  <c r="F141" i="54"/>
  <c r="K152" i="54"/>
  <c r="L152" i="54"/>
  <c r="M152" i="54"/>
  <c r="R145" i="54"/>
  <c r="S145" i="54"/>
  <c r="T145" i="54"/>
  <c r="C202" i="54"/>
  <c r="B202" i="54"/>
  <c r="J202" i="54"/>
  <c r="I202" i="54"/>
  <c r="P203" i="54"/>
  <c r="Q203" i="54"/>
  <c r="R146" i="54"/>
  <c r="S146" i="54"/>
  <c r="T146" i="54"/>
  <c r="K153" i="54"/>
  <c r="L153" i="54"/>
  <c r="M153" i="54"/>
  <c r="D142" i="54"/>
  <c r="E142" i="54"/>
  <c r="F142" i="54"/>
  <c r="B203" i="54"/>
  <c r="C203" i="54"/>
  <c r="Q204" i="54"/>
  <c r="P204" i="54"/>
  <c r="J203" i="54"/>
  <c r="I203" i="54"/>
  <c r="K154" i="54"/>
  <c r="L154" i="54"/>
  <c r="M154" i="54"/>
  <c r="P205" i="54"/>
  <c r="Q205" i="54"/>
  <c r="D143" i="54"/>
  <c r="E143" i="54"/>
  <c r="F143" i="54"/>
  <c r="R147" i="54"/>
  <c r="S147" i="54"/>
  <c r="T147" i="54"/>
  <c r="I204" i="54"/>
  <c r="J204" i="54"/>
  <c r="C204" i="54"/>
  <c r="B204" i="54"/>
  <c r="K155" i="54"/>
  <c r="L155" i="54"/>
  <c r="M155" i="54"/>
  <c r="C205" i="54"/>
  <c r="B205" i="54"/>
  <c r="Q206" i="54"/>
  <c r="P206" i="54"/>
  <c r="J205" i="54"/>
  <c r="I205" i="54"/>
  <c r="R148" i="54"/>
  <c r="S148" i="54"/>
  <c r="T148" i="54"/>
  <c r="D144" i="54"/>
  <c r="E144" i="54"/>
  <c r="F144" i="54"/>
  <c r="K156" i="54"/>
  <c r="L156" i="54"/>
  <c r="M156" i="54"/>
  <c r="C206" i="54"/>
  <c r="B206" i="54"/>
  <c r="D145" i="54"/>
  <c r="E145" i="54"/>
  <c r="F145" i="54"/>
  <c r="Q207" i="54"/>
  <c r="P207" i="54"/>
  <c r="I206" i="54"/>
  <c r="J206" i="54"/>
  <c r="R149" i="54"/>
  <c r="S149" i="54"/>
  <c r="T149" i="54"/>
  <c r="D146" i="54"/>
  <c r="E146" i="54"/>
  <c r="F146" i="54"/>
  <c r="K157" i="54"/>
  <c r="L157" i="54"/>
  <c r="M157" i="54"/>
  <c r="J207" i="54"/>
  <c r="I207" i="54"/>
  <c r="Q208" i="54"/>
  <c r="P208" i="54"/>
  <c r="B207" i="54"/>
  <c r="C207" i="54"/>
  <c r="R150" i="54"/>
  <c r="S150" i="54"/>
  <c r="T150" i="54"/>
  <c r="R151" i="54"/>
  <c r="S151" i="54"/>
  <c r="T151" i="54"/>
  <c r="D147" i="54"/>
  <c r="E147" i="54"/>
  <c r="F147" i="54"/>
  <c r="K158" i="54"/>
  <c r="L158" i="54"/>
  <c r="M158" i="54"/>
  <c r="C208" i="54"/>
  <c r="B208" i="54"/>
  <c r="I208" i="54"/>
  <c r="J208" i="54"/>
  <c r="P209" i="54"/>
  <c r="Q209" i="54"/>
  <c r="D148" i="54"/>
  <c r="E148" i="54"/>
  <c r="F148" i="54"/>
  <c r="K159" i="54"/>
  <c r="L159" i="54"/>
  <c r="M159" i="54"/>
  <c r="J209" i="54"/>
  <c r="I209" i="54"/>
  <c r="B209" i="54"/>
  <c r="C209" i="54"/>
  <c r="R152" i="54"/>
  <c r="S152" i="54"/>
  <c r="T152" i="54"/>
  <c r="Q210" i="54"/>
  <c r="P210" i="54"/>
  <c r="R153" i="54"/>
  <c r="S153" i="54"/>
  <c r="T153" i="54"/>
  <c r="K160" i="54"/>
  <c r="L160" i="54"/>
  <c r="M160" i="54"/>
  <c r="D149" i="54"/>
  <c r="E149" i="54"/>
  <c r="F149" i="54"/>
  <c r="C210" i="54"/>
  <c r="B210" i="54"/>
  <c r="P211" i="54"/>
  <c r="Q211" i="54"/>
  <c r="J210" i="54"/>
  <c r="I210" i="54"/>
  <c r="K161" i="54"/>
  <c r="L161" i="54"/>
  <c r="M161" i="54"/>
  <c r="D150" i="54"/>
  <c r="E150" i="54"/>
  <c r="F150" i="54"/>
  <c r="R154" i="54"/>
  <c r="S154" i="54"/>
  <c r="T154" i="54"/>
  <c r="Q212" i="54"/>
  <c r="P212" i="54"/>
  <c r="J211" i="54"/>
  <c r="I211" i="54"/>
  <c r="B211" i="54"/>
  <c r="C211" i="54"/>
  <c r="D151" i="54"/>
  <c r="E151" i="54"/>
  <c r="F151" i="54"/>
  <c r="R155" i="54"/>
  <c r="S155" i="54"/>
  <c r="T155" i="54"/>
  <c r="I212" i="54"/>
  <c r="J212" i="54"/>
  <c r="P213" i="54"/>
  <c r="Q213" i="54"/>
  <c r="K162" i="54"/>
  <c r="L162" i="54"/>
  <c r="M162" i="54"/>
  <c r="C212" i="54"/>
  <c r="B212" i="54"/>
  <c r="R156" i="54"/>
  <c r="S156" i="54"/>
  <c r="T156" i="54"/>
  <c r="K163" i="54"/>
  <c r="L163" i="54"/>
  <c r="M163" i="54"/>
  <c r="D152" i="54"/>
  <c r="E152" i="54"/>
  <c r="F152" i="54"/>
  <c r="C213" i="54"/>
  <c r="B213" i="54"/>
  <c r="J213" i="54"/>
  <c r="I213" i="54"/>
  <c r="Q214" i="54"/>
  <c r="P214" i="54"/>
  <c r="D153" i="54"/>
  <c r="E153" i="54"/>
  <c r="F153" i="54"/>
  <c r="I214" i="54"/>
  <c r="J214" i="54"/>
  <c r="C214" i="54"/>
  <c r="B214" i="54"/>
  <c r="K164" i="54"/>
  <c r="L164" i="54"/>
  <c r="M164" i="54"/>
  <c r="Q215" i="54"/>
  <c r="P215" i="54"/>
  <c r="R157" i="54"/>
  <c r="S157" i="54"/>
  <c r="T157" i="54"/>
  <c r="K165" i="54"/>
  <c r="L165" i="54"/>
  <c r="M165" i="54"/>
  <c r="R158" i="54"/>
  <c r="S158" i="54"/>
  <c r="T158" i="54"/>
  <c r="B215" i="54"/>
  <c r="C215" i="54"/>
  <c r="J215" i="54"/>
  <c r="I215" i="54"/>
  <c r="P216" i="54"/>
  <c r="Q216" i="54"/>
  <c r="D154" i="54"/>
  <c r="E154" i="54"/>
  <c r="F154" i="54"/>
  <c r="D155" i="54"/>
  <c r="E155" i="54"/>
  <c r="F155" i="54"/>
  <c r="R159" i="54"/>
  <c r="S159" i="54"/>
  <c r="T159" i="54"/>
  <c r="K166" i="54"/>
  <c r="L166" i="54"/>
  <c r="M166" i="54"/>
  <c r="I216" i="54"/>
  <c r="J216" i="54"/>
  <c r="P217" i="54"/>
  <c r="Q217" i="54"/>
  <c r="C216" i="54"/>
  <c r="B216" i="54"/>
  <c r="R160" i="54"/>
  <c r="S160" i="54"/>
  <c r="T160" i="54"/>
  <c r="K167" i="54"/>
  <c r="L167" i="54"/>
  <c r="M167" i="54"/>
  <c r="D156" i="54"/>
  <c r="E156" i="54"/>
  <c r="F156" i="54"/>
  <c r="B217" i="54"/>
  <c r="C217" i="54"/>
  <c r="J217" i="54"/>
  <c r="I217" i="54"/>
  <c r="Q218" i="54"/>
  <c r="P218" i="54"/>
  <c r="D157" i="54"/>
  <c r="E157" i="54"/>
  <c r="F157" i="54"/>
  <c r="K168" i="54"/>
  <c r="L168" i="54"/>
  <c r="M168" i="54"/>
  <c r="R161" i="54"/>
  <c r="S161" i="54"/>
  <c r="T161" i="54"/>
  <c r="J218" i="54"/>
  <c r="I218" i="54"/>
  <c r="P219" i="54"/>
  <c r="Q219" i="54"/>
  <c r="C218" i="54"/>
  <c r="B218" i="54"/>
  <c r="K169" i="54"/>
  <c r="L169" i="54"/>
  <c r="M169" i="54"/>
  <c r="R162" i="54"/>
  <c r="S162" i="54"/>
  <c r="T162" i="54"/>
  <c r="B219" i="54"/>
  <c r="C219" i="54"/>
  <c r="D158" i="54"/>
  <c r="E158" i="54"/>
  <c r="F158" i="54"/>
  <c r="J219" i="54"/>
  <c r="I219" i="54"/>
  <c r="Q220" i="54"/>
  <c r="P220" i="54"/>
  <c r="D159" i="54"/>
  <c r="E159" i="54"/>
  <c r="F159" i="54"/>
  <c r="R163" i="54"/>
  <c r="S163" i="54"/>
  <c r="T163" i="54"/>
  <c r="K170" i="54"/>
  <c r="L170" i="54"/>
  <c r="M170" i="54"/>
  <c r="C220" i="54"/>
  <c r="B220" i="54"/>
  <c r="P221" i="54"/>
  <c r="Q221" i="54"/>
  <c r="I220" i="54"/>
  <c r="J220" i="54"/>
  <c r="K171" i="54"/>
  <c r="L171" i="54"/>
  <c r="M171" i="54"/>
  <c r="R164" i="54"/>
  <c r="S164" i="54"/>
  <c r="T164" i="54"/>
  <c r="D160" i="54"/>
  <c r="E160" i="54"/>
  <c r="F160" i="54"/>
  <c r="J221" i="54"/>
  <c r="I221" i="54"/>
  <c r="C221" i="54"/>
  <c r="B221" i="54"/>
  <c r="Q222" i="54"/>
  <c r="P222" i="54"/>
  <c r="D161" i="54"/>
  <c r="E161" i="54"/>
  <c r="F161" i="54"/>
  <c r="K172" i="54"/>
  <c r="L172" i="54"/>
  <c r="M172" i="54"/>
  <c r="R165" i="54"/>
  <c r="S165" i="54"/>
  <c r="T165" i="54"/>
  <c r="Q223" i="54"/>
  <c r="P223" i="54"/>
  <c r="C222" i="54"/>
  <c r="B222" i="54"/>
  <c r="I222" i="54"/>
  <c r="J222" i="54"/>
  <c r="K173" i="54"/>
  <c r="L173" i="54"/>
  <c r="M173" i="54"/>
  <c r="R166" i="54"/>
  <c r="S166" i="54"/>
  <c r="T166" i="54"/>
  <c r="D162" i="54"/>
  <c r="E162" i="54"/>
  <c r="F162" i="54"/>
  <c r="Q224" i="54"/>
  <c r="P224" i="54"/>
  <c r="J223" i="54"/>
  <c r="I223" i="54"/>
  <c r="B223" i="54"/>
  <c r="C223" i="54"/>
  <c r="D163" i="54"/>
  <c r="E163" i="54"/>
  <c r="F163" i="54"/>
  <c r="R167" i="54"/>
  <c r="S167" i="54"/>
  <c r="T167" i="54"/>
  <c r="K174" i="54"/>
  <c r="L174" i="54"/>
  <c r="M174" i="54"/>
  <c r="P225" i="54"/>
  <c r="Q225" i="54"/>
  <c r="I224" i="54"/>
  <c r="J224" i="54"/>
  <c r="C224" i="54"/>
  <c r="B224" i="54"/>
  <c r="K175" i="54"/>
  <c r="L175" i="54"/>
  <c r="M175" i="54"/>
  <c r="R168" i="54"/>
  <c r="S168" i="54"/>
  <c r="T168" i="54"/>
  <c r="J225" i="54"/>
  <c r="I225" i="54"/>
  <c r="Q226" i="54"/>
  <c r="P226" i="54"/>
  <c r="D164" i="54"/>
  <c r="E164" i="54"/>
  <c r="F164" i="54"/>
  <c r="B225" i="54"/>
  <c r="C225" i="54"/>
  <c r="D165" i="54"/>
  <c r="E165" i="54"/>
  <c r="F165" i="54"/>
  <c r="R169" i="54"/>
  <c r="S169" i="54"/>
  <c r="T169" i="54"/>
  <c r="K176" i="54"/>
  <c r="L176" i="54"/>
  <c r="M176" i="54"/>
  <c r="C226" i="54"/>
  <c r="B226" i="54"/>
  <c r="P227" i="54"/>
  <c r="Q227" i="54"/>
  <c r="J226" i="54"/>
  <c r="I226" i="54"/>
  <c r="R170" i="54"/>
  <c r="S170" i="54"/>
  <c r="T170" i="54"/>
  <c r="K177" i="54"/>
  <c r="L177" i="54"/>
  <c r="M177" i="54"/>
  <c r="D166" i="54"/>
  <c r="E166" i="54"/>
  <c r="F166" i="54"/>
  <c r="Q228" i="54"/>
  <c r="P228" i="54"/>
  <c r="B227" i="54"/>
  <c r="C227" i="54"/>
  <c r="J227" i="54"/>
  <c r="I227" i="54"/>
  <c r="K178" i="54"/>
  <c r="L178" i="54"/>
  <c r="M178" i="54"/>
  <c r="R171" i="54"/>
  <c r="S171" i="54"/>
  <c r="T171" i="54"/>
  <c r="D167" i="54"/>
  <c r="E167" i="54"/>
  <c r="F167" i="54"/>
  <c r="C228" i="54"/>
  <c r="B228" i="54"/>
  <c r="I228" i="54"/>
  <c r="J228" i="54"/>
  <c r="P229" i="54"/>
  <c r="Q229" i="54"/>
  <c r="D168" i="54"/>
  <c r="E168" i="54"/>
  <c r="F168" i="54"/>
  <c r="R172" i="54"/>
  <c r="S172" i="54"/>
  <c r="T172" i="54"/>
  <c r="K179" i="54"/>
  <c r="L179" i="54"/>
  <c r="M179" i="54"/>
  <c r="J229" i="54"/>
  <c r="I229" i="54"/>
  <c r="Q230" i="54"/>
  <c r="P230" i="54"/>
  <c r="C229" i="54"/>
  <c r="B229" i="54"/>
  <c r="K180" i="54"/>
  <c r="L180" i="54"/>
  <c r="M180" i="54"/>
  <c r="R173" i="54"/>
  <c r="S173" i="54"/>
  <c r="T173" i="54"/>
  <c r="C230" i="54"/>
  <c r="B230" i="54"/>
  <c r="D169" i="54"/>
  <c r="E169" i="54"/>
  <c r="F169" i="54"/>
  <c r="Q231" i="54"/>
  <c r="P231" i="54"/>
  <c r="I230" i="54"/>
  <c r="J230" i="54"/>
  <c r="R174" i="54"/>
  <c r="S174" i="54"/>
  <c r="T174" i="54"/>
  <c r="K181" i="54"/>
  <c r="L181" i="54"/>
  <c r="M181" i="54"/>
  <c r="D170" i="54"/>
  <c r="E170" i="54"/>
  <c r="F170" i="54"/>
  <c r="B231" i="54"/>
  <c r="C231" i="54"/>
  <c r="J231" i="54"/>
  <c r="I231" i="54"/>
  <c r="Q232" i="54"/>
  <c r="P232" i="54"/>
  <c r="D171" i="54"/>
  <c r="E171" i="54"/>
  <c r="F171" i="54"/>
  <c r="K182" i="54"/>
  <c r="L182" i="54"/>
  <c r="M182" i="54"/>
  <c r="I232" i="54"/>
  <c r="J232" i="54"/>
  <c r="R175" i="54"/>
  <c r="S175" i="54"/>
  <c r="T175" i="54"/>
  <c r="P233" i="54"/>
  <c r="Q233" i="54"/>
  <c r="C232" i="54"/>
  <c r="B232" i="54"/>
  <c r="D172" i="54"/>
  <c r="E172" i="54"/>
  <c r="F172" i="54"/>
  <c r="J233" i="54"/>
  <c r="I233" i="54"/>
  <c r="Q234" i="54"/>
  <c r="P234" i="54"/>
  <c r="B233" i="54"/>
  <c r="C233" i="54"/>
  <c r="K183" i="54"/>
  <c r="L183" i="54"/>
  <c r="M183" i="54"/>
  <c r="R176" i="54"/>
  <c r="S176" i="54"/>
  <c r="T176" i="54"/>
  <c r="K184" i="54"/>
  <c r="L184" i="54"/>
  <c r="M184" i="54"/>
  <c r="R177" i="54"/>
  <c r="S177" i="54"/>
  <c r="T177" i="54"/>
  <c r="D173" i="54"/>
  <c r="E173" i="54"/>
  <c r="F173" i="54"/>
  <c r="C234" i="54"/>
  <c r="B234" i="54"/>
  <c r="J234" i="54"/>
  <c r="I234" i="54"/>
  <c r="P235" i="54"/>
  <c r="Q235" i="54"/>
  <c r="D174" i="54"/>
  <c r="E174" i="54"/>
  <c r="F174" i="54"/>
  <c r="K185" i="54"/>
  <c r="L185" i="54"/>
  <c r="M185" i="54"/>
  <c r="B235" i="54"/>
  <c r="C235" i="54"/>
  <c r="Q236" i="54"/>
  <c r="P236" i="54"/>
  <c r="R178" i="54"/>
  <c r="S178" i="54"/>
  <c r="T178" i="54"/>
  <c r="J235" i="54"/>
  <c r="I235" i="54"/>
  <c r="K186" i="54"/>
  <c r="L186" i="54"/>
  <c r="M186" i="54"/>
  <c r="D175" i="54"/>
  <c r="E175" i="54"/>
  <c r="F175" i="54"/>
  <c r="I236" i="54"/>
  <c r="J236" i="54"/>
  <c r="P237" i="54"/>
  <c r="Q237" i="54"/>
  <c r="C236" i="54"/>
  <c r="B236" i="54"/>
  <c r="R179" i="54"/>
  <c r="S179" i="54"/>
  <c r="T179" i="54"/>
  <c r="D176" i="54"/>
  <c r="E176" i="54"/>
  <c r="F176" i="54"/>
  <c r="K187" i="54"/>
  <c r="L187" i="54"/>
  <c r="M187" i="54"/>
  <c r="J237" i="54"/>
  <c r="I237" i="54"/>
  <c r="Q238" i="54"/>
  <c r="P238" i="54"/>
  <c r="C237" i="54"/>
  <c r="B237" i="54"/>
  <c r="R180" i="54"/>
  <c r="S180" i="54"/>
  <c r="T180" i="54"/>
  <c r="K188" i="54"/>
  <c r="L188" i="54"/>
  <c r="M188" i="54"/>
  <c r="R181" i="54"/>
  <c r="S181" i="54"/>
  <c r="T181" i="54"/>
  <c r="D177" i="54"/>
  <c r="E177" i="54"/>
  <c r="F177" i="54"/>
  <c r="B238" i="54"/>
  <c r="C238" i="54"/>
  <c r="I238" i="54"/>
  <c r="J238" i="54"/>
  <c r="Q239" i="54"/>
  <c r="P239" i="54"/>
  <c r="R182" i="54"/>
  <c r="S182" i="54"/>
  <c r="T182" i="54"/>
  <c r="K189" i="54"/>
  <c r="L189" i="54"/>
  <c r="M189" i="54"/>
  <c r="D178" i="54"/>
  <c r="E178" i="54"/>
  <c r="F178" i="54"/>
  <c r="Q240" i="54"/>
  <c r="P240" i="54"/>
  <c r="J239" i="54"/>
  <c r="I239" i="54"/>
  <c r="B239" i="54"/>
  <c r="C239" i="54"/>
  <c r="D179" i="54"/>
  <c r="E179" i="54"/>
  <c r="F179" i="54"/>
  <c r="K190" i="54"/>
  <c r="L190" i="54"/>
  <c r="M190" i="54"/>
  <c r="R183" i="54"/>
  <c r="S183" i="54"/>
  <c r="T183" i="54"/>
  <c r="I240" i="54"/>
  <c r="J240" i="54"/>
  <c r="C240" i="54"/>
  <c r="B240" i="54"/>
  <c r="P241" i="54"/>
  <c r="Q241" i="54"/>
  <c r="R184" i="54"/>
  <c r="S184" i="54"/>
  <c r="T184" i="54"/>
  <c r="K191" i="54"/>
  <c r="L191" i="54"/>
  <c r="M191" i="54"/>
  <c r="D180" i="54"/>
  <c r="E180" i="54"/>
  <c r="F180" i="54"/>
  <c r="Q242" i="54"/>
  <c r="P242" i="54"/>
  <c r="B241" i="54"/>
  <c r="C241" i="54"/>
  <c r="J241" i="54"/>
  <c r="I241" i="54"/>
  <c r="K192" i="54"/>
  <c r="L192" i="54"/>
  <c r="M192" i="54"/>
  <c r="R185" i="54"/>
  <c r="S185" i="54"/>
  <c r="T185" i="54"/>
  <c r="P243" i="54"/>
  <c r="Q243" i="54"/>
  <c r="C242" i="54"/>
  <c r="B242" i="54"/>
  <c r="D181" i="54"/>
  <c r="E181" i="54"/>
  <c r="F181" i="54"/>
  <c r="J242" i="54"/>
  <c r="I242" i="54"/>
  <c r="R186" i="54"/>
  <c r="S186" i="54"/>
  <c r="T186" i="54"/>
  <c r="B243" i="54"/>
  <c r="C243" i="54"/>
  <c r="J243" i="54"/>
  <c r="I243" i="54"/>
  <c r="D182" i="54"/>
  <c r="E182" i="54"/>
  <c r="F182" i="54"/>
  <c r="Q244" i="54"/>
  <c r="P244" i="54"/>
  <c r="K193" i="54"/>
  <c r="L193" i="54"/>
  <c r="M193" i="54"/>
  <c r="D183" i="54"/>
  <c r="E183" i="54"/>
  <c r="F183" i="54"/>
  <c r="K194" i="54"/>
  <c r="L194" i="54"/>
  <c r="M194" i="54"/>
  <c r="C244" i="54"/>
  <c r="B244" i="54"/>
  <c r="P245" i="54"/>
  <c r="Q245" i="54"/>
  <c r="R187" i="54"/>
  <c r="S187" i="54"/>
  <c r="T187" i="54"/>
  <c r="I244" i="54"/>
  <c r="J244" i="54"/>
  <c r="R188" i="54"/>
  <c r="S188" i="54"/>
  <c r="T188" i="54"/>
  <c r="K195" i="54"/>
  <c r="L195" i="54"/>
  <c r="M195" i="54"/>
  <c r="D184" i="54"/>
  <c r="E184" i="54"/>
  <c r="F184" i="54"/>
  <c r="C245" i="54"/>
  <c r="B245" i="54"/>
  <c r="J245" i="54"/>
  <c r="I245" i="54"/>
  <c r="Q246" i="54"/>
  <c r="P246" i="54"/>
  <c r="D185" i="54"/>
  <c r="E185" i="54"/>
  <c r="F185" i="54"/>
  <c r="R189" i="54"/>
  <c r="S189" i="54"/>
  <c r="T189" i="54"/>
  <c r="K196" i="54"/>
  <c r="L196" i="54"/>
  <c r="M196" i="54"/>
  <c r="C246" i="54"/>
  <c r="B246" i="54"/>
  <c r="Q247" i="54"/>
  <c r="P247" i="54"/>
  <c r="I246" i="54"/>
  <c r="J246" i="54"/>
  <c r="K197" i="54"/>
  <c r="L197" i="54"/>
  <c r="M197" i="54"/>
  <c r="R190" i="54"/>
  <c r="S190" i="54"/>
  <c r="T190" i="54"/>
  <c r="B247" i="54"/>
  <c r="C247" i="54"/>
  <c r="D186" i="54"/>
  <c r="E186" i="54"/>
  <c r="F186" i="54"/>
  <c r="J247" i="54"/>
  <c r="I247" i="54"/>
  <c r="P248" i="54"/>
  <c r="Q248" i="54"/>
  <c r="D187" i="54"/>
  <c r="E187" i="54"/>
  <c r="F187" i="54"/>
  <c r="K198" i="54"/>
  <c r="L198" i="54"/>
  <c r="M198" i="54"/>
  <c r="R191" i="54"/>
  <c r="S191" i="54"/>
  <c r="T191" i="54"/>
  <c r="P249" i="54"/>
  <c r="Q249" i="54"/>
  <c r="I248" i="54"/>
  <c r="J248" i="54"/>
  <c r="C248" i="54"/>
  <c r="B248" i="54"/>
  <c r="K199" i="54"/>
  <c r="L199" i="54"/>
  <c r="M199" i="54"/>
  <c r="R192" i="54"/>
  <c r="S192" i="54"/>
  <c r="T192" i="54"/>
  <c r="B249" i="54"/>
  <c r="C249" i="54"/>
  <c r="Q250" i="54"/>
  <c r="P250" i="54"/>
  <c r="D188" i="54"/>
  <c r="E188" i="54"/>
  <c r="F188" i="54"/>
  <c r="J249" i="54"/>
  <c r="I249" i="54"/>
  <c r="R193" i="54"/>
  <c r="S193" i="54"/>
  <c r="T193" i="54"/>
  <c r="K200" i="54"/>
  <c r="L200" i="54"/>
  <c r="M200" i="54"/>
  <c r="D189" i="54"/>
  <c r="E189" i="54"/>
  <c r="F189" i="54"/>
  <c r="C250" i="54"/>
  <c r="B250" i="54"/>
  <c r="J250" i="54"/>
  <c r="I250" i="54"/>
  <c r="P251" i="54"/>
  <c r="Q251" i="54"/>
  <c r="D190" i="54"/>
  <c r="E190" i="54"/>
  <c r="F190" i="54"/>
  <c r="K201" i="54"/>
  <c r="L201" i="54"/>
  <c r="M201" i="54"/>
  <c r="B251" i="54"/>
  <c r="C251" i="54"/>
  <c r="R194" i="54"/>
  <c r="S194" i="54"/>
  <c r="T194" i="54"/>
  <c r="J251" i="54"/>
  <c r="I251" i="54"/>
  <c r="Q252" i="54"/>
  <c r="P252" i="54"/>
  <c r="R195" i="54"/>
  <c r="S195" i="54"/>
  <c r="T195" i="54"/>
  <c r="K202" i="54"/>
  <c r="L202" i="54"/>
  <c r="M202" i="54"/>
  <c r="P253" i="54"/>
  <c r="Q253" i="54"/>
  <c r="D191" i="54"/>
  <c r="E191" i="54"/>
  <c r="F191" i="54"/>
  <c r="C252" i="54"/>
  <c r="B252" i="54"/>
  <c r="I252" i="54"/>
  <c r="J252" i="54"/>
  <c r="K203" i="54"/>
  <c r="L203" i="54"/>
  <c r="M203" i="54"/>
  <c r="J253" i="54"/>
  <c r="I253" i="54"/>
  <c r="Q254" i="54"/>
  <c r="P254" i="54"/>
  <c r="C253" i="54"/>
  <c r="B253" i="54"/>
  <c r="D192" i="54"/>
  <c r="E192" i="54"/>
  <c r="F192" i="54"/>
  <c r="R196" i="54"/>
  <c r="S196" i="54"/>
  <c r="T196" i="54"/>
  <c r="D193" i="54"/>
  <c r="E193" i="54"/>
  <c r="F193" i="54"/>
  <c r="R197" i="54"/>
  <c r="S197" i="54"/>
  <c r="T197" i="54"/>
  <c r="K204" i="54"/>
  <c r="L204" i="54"/>
  <c r="M204" i="54"/>
  <c r="Q255" i="54"/>
  <c r="P255" i="54"/>
  <c r="C254" i="54"/>
  <c r="B254" i="54"/>
  <c r="I254" i="54"/>
  <c r="J254" i="54"/>
  <c r="K205" i="54"/>
  <c r="L205" i="54"/>
  <c r="M205" i="54"/>
  <c r="Q256" i="54"/>
  <c r="P256" i="54"/>
  <c r="R198" i="54"/>
  <c r="S198" i="54"/>
  <c r="T198" i="54"/>
  <c r="B255" i="54"/>
  <c r="C255" i="54"/>
  <c r="D194" i="54"/>
  <c r="E194" i="54"/>
  <c r="F194" i="54"/>
  <c r="J255" i="54"/>
  <c r="I255" i="54"/>
  <c r="D195" i="54"/>
  <c r="E195" i="54"/>
  <c r="F195" i="54"/>
  <c r="R199" i="54"/>
  <c r="S199" i="54"/>
  <c r="T199" i="54"/>
  <c r="K206" i="54"/>
  <c r="L206" i="54"/>
  <c r="M206" i="54"/>
  <c r="I256" i="54"/>
  <c r="J256" i="54"/>
  <c r="C256" i="54"/>
  <c r="B256" i="54"/>
  <c r="P257" i="54"/>
  <c r="Q257" i="54"/>
  <c r="K207" i="54"/>
  <c r="L207" i="54"/>
  <c r="M207" i="54"/>
  <c r="R200" i="54"/>
  <c r="S200" i="54"/>
  <c r="T200" i="54"/>
  <c r="D196" i="54"/>
  <c r="E196" i="54"/>
  <c r="F196" i="54"/>
  <c r="Q258" i="54"/>
  <c r="P258" i="54"/>
  <c r="J257" i="54"/>
  <c r="I257" i="54"/>
  <c r="B257" i="54"/>
  <c r="C257" i="54"/>
  <c r="D197" i="54"/>
  <c r="E197" i="54"/>
  <c r="F197" i="54"/>
  <c r="R201" i="54"/>
  <c r="S201" i="54"/>
  <c r="T201" i="54"/>
  <c r="K208" i="54"/>
  <c r="L208" i="54"/>
  <c r="M208" i="54"/>
  <c r="J258" i="54"/>
  <c r="I258" i="54"/>
  <c r="Q259" i="54"/>
  <c r="P259" i="54"/>
  <c r="C258" i="54"/>
  <c r="B258" i="54"/>
  <c r="R202" i="54"/>
  <c r="S202" i="54"/>
  <c r="T202" i="54"/>
  <c r="K209" i="54"/>
  <c r="L209" i="54"/>
  <c r="M209" i="54"/>
  <c r="D198" i="54"/>
  <c r="E198" i="54"/>
  <c r="F198" i="54"/>
  <c r="Q260" i="54"/>
  <c r="P260" i="54"/>
  <c r="I259" i="54"/>
  <c r="J259" i="54"/>
  <c r="C259" i="54"/>
  <c r="B259" i="54"/>
  <c r="D199" i="54"/>
  <c r="E199" i="54"/>
  <c r="F199" i="54"/>
  <c r="K210" i="54"/>
  <c r="L210" i="54"/>
  <c r="M210" i="54"/>
  <c r="R203" i="54"/>
  <c r="S203" i="54"/>
  <c r="T203" i="54"/>
  <c r="C260" i="54"/>
  <c r="B260" i="54"/>
  <c r="J260" i="54"/>
  <c r="I260" i="54"/>
  <c r="Q261" i="54"/>
  <c r="P261" i="54"/>
  <c r="R204" i="54"/>
  <c r="S204" i="54"/>
  <c r="T204" i="54"/>
  <c r="K211" i="54"/>
  <c r="L211" i="54"/>
  <c r="M211" i="54"/>
  <c r="D200" i="54"/>
  <c r="E200" i="54"/>
  <c r="F200" i="54"/>
  <c r="P262" i="54"/>
  <c r="Q262" i="54"/>
  <c r="J261" i="54"/>
  <c r="I261" i="54"/>
  <c r="B261" i="54"/>
  <c r="C261" i="54"/>
  <c r="D201" i="54"/>
  <c r="E201" i="54"/>
  <c r="F201" i="54"/>
  <c r="K212" i="54"/>
  <c r="L212" i="54"/>
  <c r="M212" i="54"/>
  <c r="R205" i="54"/>
  <c r="S205" i="54"/>
  <c r="T205" i="54"/>
  <c r="J262" i="54"/>
  <c r="I262" i="54"/>
  <c r="Q263" i="54"/>
  <c r="P263" i="54"/>
  <c r="B262" i="54"/>
  <c r="C262" i="54"/>
  <c r="R206" i="54"/>
  <c r="S206" i="54"/>
  <c r="T206" i="54"/>
  <c r="K213" i="54"/>
  <c r="L213" i="54"/>
  <c r="M213" i="54"/>
  <c r="D202" i="54"/>
  <c r="E202" i="54"/>
  <c r="F202" i="54"/>
  <c r="C263" i="54"/>
  <c r="B263" i="54"/>
  <c r="J263" i="54"/>
  <c r="I263" i="54"/>
  <c r="P264" i="54"/>
  <c r="Q264" i="54"/>
  <c r="D203" i="54"/>
  <c r="E203" i="54"/>
  <c r="F203" i="54"/>
  <c r="K214" i="54"/>
  <c r="L214" i="54"/>
  <c r="M214" i="54"/>
  <c r="C264" i="54"/>
  <c r="B264" i="54"/>
  <c r="J264" i="54"/>
  <c r="I264" i="54"/>
  <c r="Q265" i="54"/>
  <c r="P265" i="54"/>
  <c r="R207" i="54"/>
  <c r="S207" i="54"/>
  <c r="T207" i="54"/>
  <c r="R208" i="54"/>
  <c r="S208" i="54"/>
  <c r="T208" i="54"/>
  <c r="D204" i="54"/>
  <c r="E204" i="54"/>
  <c r="F204" i="54"/>
  <c r="K215" i="54"/>
  <c r="L215" i="54"/>
  <c r="M215" i="54"/>
  <c r="J265" i="54"/>
  <c r="I265" i="54"/>
  <c r="Q266" i="54"/>
  <c r="P266" i="54"/>
  <c r="C265" i="54"/>
  <c r="B265" i="54"/>
  <c r="K216" i="54"/>
  <c r="L216" i="54"/>
  <c r="M216" i="54"/>
  <c r="D205" i="54"/>
  <c r="E205" i="54"/>
  <c r="F205" i="54"/>
  <c r="R209" i="54"/>
  <c r="S209" i="54"/>
  <c r="T209" i="54"/>
  <c r="C266" i="54"/>
  <c r="B266" i="54"/>
  <c r="I266" i="54"/>
  <c r="J266" i="54"/>
  <c r="Q267" i="54"/>
  <c r="P267" i="54"/>
  <c r="R210" i="54"/>
  <c r="S210" i="54"/>
  <c r="T210" i="54"/>
  <c r="I267" i="54"/>
  <c r="J267" i="54"/>
  <c r="Q268" i="54"/>
  <c r="P268" i="54"/>
  <c r="C267" i="54"/>
  <c r="B267" i="54"/>
  <c r="D206" i="54"/>
  <c r="E206" i="54"/>
  <c r="F206" i="54"/>
  <c r="K217" i="54"/>
  <c r="L217" i="54"/>
  <c r="M217" i="54"/>
  <c r="K218" i="54"/>
  <c r="L218" i="54"/>
  <c r="M218" i="54"/>
  <c r="D207" i="54"/>
  <c r="E207" i="54"/>
  <c r="F207" i="54"/>
  <c r="R211" i="54"/>
  <c r="S211" i="54"/>
  <c r="T211" i="54"/>
  <c r="J268" i="54"/>
  <c r="I268" i="54"/>
  <c r="Q269" i="54"/>
  <c r="P269" i="54"/>
  <c r="B268" i="54"/>
  <c r="C268" i="54"/>
  <c r="D208" i="54"/>
  <c r="E208" i="54"/>
  <c r="F208" i="54"/>
  <c r="R212" i="54"/>
  <c r="S212" i="54"/>
  <c r="T212" i="54"/>
  <c r="K219" i="54"/>
  <c r="L219" i="54"/>
  <c r="M219" i="54"/>
  <c r="C269" i="54"/>
  <c r="B269" i="54"/>
  <c r="Q270" i="54"/>
  <c r="P270" i="54"/>
  <c r="J269" i="54"/>
  <c r="I269" i="54"/>
  <c r="R213" i="54"/>
  <c r="S213" i="54"/>
  <c r="T213" i="54"/>
  <c r="K220" i="54"/>
  <c r="L220" i="54"/>
  <c r="M220" i="54"/>
  <c r="Q271" i="54"/>
  <c r="P271" i="54"/>
  <c r="J270" i="54"/>
  <c r="I270" i="54"/>
  <c r="B270" i="54"/>
  <c r="C270" i="54"/>
  <c r="D209" i="54"/>
  <c r="E209" i="54"/>
  <c r="F209" i="54"/>
  <c r="K221" i="54"/>
  <c r="L221" i="54"/>
  <c r="M221" i="54"/>
  <c r="C271" i="54"/>
  <c r="B271" i="54"/>
  <c r="J271" i="54"/>
  <c r="I271" i="54"/>
  <c r="D210" i="54"/>
  <c r="E210" i="54"/>
  <c r="F210" i="54"/>
  <c r="P272" i="54"/>
  <c r="Q272" i="54"/>
  <c r="R214" i="54"/>
  <c r="S214" i="54"/>
  <c r="T214" i="54"/>
  <c r="R215" i="54"/>
  <c r="S215" i="54"/>
  <c r="T215" i="54"/>
  <c r="K222" i="54"/>
  <c r="L222" i="54"/>
  <c r="M222" i="54"/>
  <c r="C272" i="54"/>
  <c r="B272" i="54"/>
  <c r="Q273" i="54"/>
  <c r="P273" i="54"/>
  <c r="D211" i="54"/>
  <c r="E211" i="54"/>
  <c r="F211" i="54"/>
  <c r="J272" i="54"/>
  <c r="I272" i="54"/>
  <c r="K223" i="54"/>
  <c r="L223" i="54"/>
  <c r="M223" i="54"/>
  <c r="D212" i="54"/>
  <c r="E212" i="54"/>
  <c r="F212" i="54"/>
  <c r="R216" i="54"/>
  <c r="S216" i="54"/>
  <c r="T216" i="54"/>
  <c r="I273" i="54"/>
  <c r="J273" i="54"/>
  <c r="Q274" i="54"/>
  <c r="P274" i="54"/>
  <c r="C273" i="54"/>
  <c r="B273" i="54"/>
  <c r="D213" i="54"/>
  <c r="E213" i="54"/>
  <c r="F213" i="54"/>
  <c r="R217" i="54"/>
  <c r="S217" i="54"/>
  <c r="T217" i="54"/>
  <c r="K224" i="54"/>
  <c r="L224" i="54"/>
  <c r="M224" i="54"/>
  <c r="C274" i="54"/>
  <c r="B274" i="54"/>
  <c r="J274" i="54"/>
  <c r="I274" i="54"/>
  <c r="Q275" i="54"/>
  <c r="P275" i="54"/>
  <c r="K225" i="54"/>
  <c r="L225" i="54"/>
  <c r="M225" i="54"/>
  <c r="Q276" i="54"/>
  <c r="P276" i="54"/>
  <c r="C275" i="54"/>
  <c r="B275" i="54"/>
  <c r="R218" i="54"/>
  <c r="S218" i="54"/>
  <c r="T218" i="54"/>
  <c r="D214" i="54"/>
  <c r="E214" i="54"/>
  <c r="F214" i="54"/>
  <c r="I275" i="54"/>
  <c r="J275" i="54"/>
  <c r="R219" i="54"/>
  <c r="S219" i="54"/>
  <c r="T219" i="54"/>
  <c r="C276" i="54"/>
  <c r="B276" i="54"/>
  <c r="K226" i="54"/>
  <c r="L226" i="54"/>
  <c r="M226" i="54"/>
  <c r="J276" i="54"/>
  <c r="I276" i="54"/>
  <c r="D215" i="54"/>
  <c r="E215" i="54"/>
  <c r="F215" i="54"/>
  <c r="Q277" i="54"/>
  <c r="P277" i="54"/>
  <c r="K227" i="54"/>
  <c r="L227" i="54"/>
  <c r="M227" i="54"/>
  <c r="D216" i="54"/>
  <c r="E216" i="54"/>
  <c r="F216" i="54"/>
  <c r="R220" i="54"/>
  <c r="S220" i="54"/>
  <c r="T220" i="54"/>
  <c r="B277" i="54"/>
  <c r="C277" i="54"/>
  <c r="Q278" i="54"/>
  <c r="P278" i="54"/>
  <c r="J277" i="54"/>
  <c r="I277" i="54"/>
  <c r="R221" i="54"/>
  <c r="S221" i="54"/>
  <c r="T221" i="54"/>
  <c r="D217" i="54"/>
  <c r="E217" i="54"/>
  <c r="F217" i="54"/>
  <c r="K228" i="54"/>
  <c r="L228" i="54"/>
  <c r="M228" i="54"/>
  <c r="B278" i="54"/>
  <c r="C278" i="54"/>
  <c r="J278" i="54"/>
  <c r="I278" i="54"/>
  <c r="Q279" i="54"/>
  <c r="P279" i="54"/>
  <c r="K229" i="54"/>
  <c r="L229" i="54"/>
  <c r="M229" i="54"/>
  <c r="D218" i="54"/>
  <c r="E218" i="54"/>
  <c r="F218" i="54"/>
  <c r="R222" i="54"/>
  <c r="S222" i="54"/>
  <c r="T222" i="54"/>
  <c r="J279" i="54"/>
  <c r="I279" i="54"/>
  <c r="C279" i="54"/>
  <c r="B279" i="54"/>
  <c r="P280" i="54"/>
  <c r="Q280" i="54"/>
  <c r="D219" i="54"/>
  <c r="E219" i="54"/>
  <c r="F219" i="54"/>
  <c r="R223" i="54"/>
  <c r="S223" i="54"/>
  <c r="T223" i="54"/>
  <c r="K230" i="54"/>
  <c r="L230" i="54"/>
  <c r="M230" i="54"/>
  <c r="C280" i="54"/>
  <c r="B280" i="54"/>
  <c r="J280" i="54"/>
  <c r="I280" i="54"/>
  <c r="Q281" i="54"/>
  <c r="P281" i="54"/>
  <c r="D220" i="54"/>
  <c r="E220" i="54"/>
  <c r="F220" i="54"/>
  <c r="K231" i="54"/>
  <c r="L231" i="54"/>
  <c r="M231" i="54"/>
  <c r="R224" i="54"/>
  <c r="S224" i="54"/>
  <c r="T224" i="54"/>
  <c r="Q282" i="54"/>
  <c r="P282" i="54"/>
  <c r="C281" i="54"/>
  <c r="B281" i="54"/>
  <c r="J281" i="54"/>
  <c r="I281" i="54"/>
  <c r="K232" i="54"/>
  <c r="L232" i="54"/>
  <c r="M232" i="54"/>
  <c r="D221" i="54"/>
  <c r="E221" i="54"/>
  <c r="F221" i="54"/>
  <c r="I282" i="54"/>
  <c r="J282" i="54"/>
  <c r="C282" i="54"/>
  <c r="B282" i="54"/>
  <c r="R225" i="54"/>
  <c r="S225" i="54"/>
  <c r="T225" i="54"/>
  <c r="Q283" i="54"/>
  <c r="P283" i="54"/>
  <c r="R226" i="54"/>
  <c r="S226" i="54"/>
  <c r="T226" i="54"/>
  <c r="D222" i="54"/>
  <c r="E222" i="54"/>
  <c r="F222" i="54"/>
  <c r="Q284" i="54"/>
  <c r="P284" i="54"/>
  <c r="K233" i="54"/>
  <c r="L233" i="54"/>
  <c r="M233" i="54"/>
  <c r="C283" i="54"/>
  <c r="B283" i="54"/>
  <c r="I283" i="54"/>
  <c r="J283" i="54"/>
  <c r="K234" i="54"/>
  <c r="L234" i="54"/>
  <c r="M234" i="54"/>
  <c r="D223" i="54"/>
  <c r="E223" i="54"/>
  <c r="F223" i="54"/>
  <c r="R227" i="54"/>
  <c r="S227" i="54"/>
  <c r="T227" i="54"/>
  <c r="J284" i="54"/>
  <c r="I284" i="54"/>
  <c r="Q285" i="54"/>
  <c r="P285" i="54"/>
  <c r="B284" i="54"/>
  <c r="C284" i="54"/>
  <c r="D224" i="54"/>
  <c r="E224" i="54"/>
  <c r="F224" i="54"/>
  <c r="R228" i="54"/>
  <c r="S228" i="54"/>
  <c r="T228" i="54"/>
  <c r="K235" i="54"/>
  <c r="L235" i="54"/>
  <c r="M235" i="54"/>
  <c r="C285" i="54"/>
  <c r="B285" i="54"/>
  <c r="Q286" i="54"/>
  <c r="P286" i="54"/>
  <c r="J285" i="54"/>
  <c r="I285" i="54"/>
  <c r="R229" i="54"/>
  <c r="S229" i="54"/>
  <c r="T229" i="54"/>
  <c r="D225" i="54"/>
  <c r="E225" i="54"/>
  <c r="F225" i="54"/>
  <c r="B286" i="54"/>
  <c r="C286" i="54"/>
  <c r="K236" i="54"/>
  <c r="L236" i="54"/>
  <c r="M236" i="54"/>
  <c r="J286" i="54"/>
  <c r="I286" i="54"/>
  <c r="P287" i="54"/>
  <c r="Q287" i="54"/>
  <c r="D226" i="54"/>
  <c r="E226" i="54"/>
  <c r="F226" i="54"/>
  <c r="C287" i="54"/>
  <c r="B287" i="54"/>
  <c r="P288" i="54"/>
  <c r="Q288" i="54"/>
  <c r="K237" i="54"/>
  <c r="L237" i="54"/>
  <c r="M237" i="54"/>
  <c r="R230" i="54"/>
  <c r="S230" i="54"/>
  <c r="T230" i="54"/>
  <c r="J287" i="54"/>
  <c r="I287" i="54"/>
  <c r="R231" i="54"/>
  <c r="S231" i="54"/>
  <c r="T231" i="54"/>
  <c r="K238" i="54"/>
  <c r="L238" i="54"/>
  <c r="M238" i="54"/>
  <c r="D227" i="54"/>
  <c r="E227" i="54"/>
  <c r="F227" i="54"/>
  <c r="J288" i="54"/>
  <c r="I288" i="54"/>
  <c r="C288" i="54"/>
  <c r="B288" i="54"/>
  <c r="Q289" i="54"/>
  <c r="P289" i="54"/>
  <c r="R232" i="54"/>
  <c r="S232" i="54"/>
  <c r="T232" i="54"/>
  <c r="I289" i="54"/>
  <c r="J289" i="54"/>
  <c r="D228" i="54"/>
  <c r="E228" i="54"/>
  <c r="F228" i="54"/>
  <c r="K239" i="54"/>
  <c r="L239" i="54"/>
  <c r="M239" i="54"/>
  <c r="Q290" i="54"/>
  <c r="P290" i="54"/>
  <c r="C289" i="54"/>
  <c r="B289" i="54"/>
  <c r="K240" i="54"/>
  <c r="L240" i="54"/>
  <c r="M240" i="54"/>
  <c r="Q291" i="54"/>
  <c r="P291" i="54"/>
  <c r="J290" i="54"/>
  <c r="I290" i="54"/>
  <c r="C290" i="54"/>
  <c r="B290" i="54"/>
  <c r="R233" i="54"/>
  <c r="S233" i="54"/>
  <c r="T233" i="54"/>
  <c r="D229" i="54"/>
  <c r="E229" i="54"/>
  <c r="F229" i="54"/>
  <c r="D230" i="54"/>
  <c r="E230" i="54"/>
  <c r="F230" i="54"/>
  <c r="Q292" i="54"/>
  <c r="P292" i="54"/>
  <c r="I291" i="54"/>
  <c r="J291" i="54"/>
  <c r="R234" i="54"/>
  <c r="S234" i="54"/>
  <c r="T234" i="54"/>
  <c r="C291" i="54"/>
  <c r="B291" i="54"/>
  <c r="K241" i="54"/>
  <c r="L241" i="54"/>
  <c r="M241" i="54"/>
  <c r="R235" i="54"/>
  <c r="S235" i="54"/>
  <c r="T235" i="54"/>
  <c r="K242" i="54"/>
  <c r="L242" i="54"/>
  <c r="M242" i="54"/>
  <c r="D231" i="54"/>
  <c r="E231" i="54"/>
  <c r="F231" i="54"/>
  <c r="C292" i="54"/>
  <c r="B292" i="54"/>
  <c r="J292" i="54"/>
  <c r="I292" i="54"/>
  <c r="Q293" i="54"/>
  <c r="P293" i="54"/>
  <c r="K243" i="54"/>
  <c r="L243" i="54"/>
  <c r="M243" i="54"/>
  <c r="R236" i="54"/>
  <c r="S236" i="54"/>
  <c r="T236" i="54"/>
  <c r="P294" i="54"/>
  <c r="Q294" i="54"/>
  <c r="C293" i="54"/>
  <c r="B293" i="54"/>
  <c r="D232" i="54"/>
  <c r="E232" i="54"/>
  <c r="F232" i="54"/>
  <c r="J293" i="54"/>
  <c r="I293" i="54"/>
  <c r="D233" i="54"/>
  <c r="E233" i="54"/>
  <c r="F233" i="54"/>
  <c r="B294" i="54"/>
  <c r="C294" i="54"/>
  <c r="R237" i="54"/>
  <c r="S237" i="54"/>
  <c r="T237" i="54"/>
  <c r="K244" i="54"/>
  <c r="L244" i="54"/>
  <c r="M244" i="54"/>
  <c r="J294" i="54"/>
  <c r="I294" i="54"/>
  <c r="Q295" i="54"/>
  <c r="P295" i="54"/>
  <c r="K245" i="54"/>
  <c r="L245" i="54"/>
  <c r="M245" i="54"/>
  <c r="R238" i="54"/>
  <c r="S238" i="54"/>
  <c r="T238" i="54"/>
  <c r="D234" i="54"/>
  <c r="E234" i="54"/>
  <c r="F234" i="54"/>
  <c r="C295" i="54"/>
  <c r="B295" i="54"/>
  <c r="P296" i="54"/>
  <c r="Q296" i="54"/>
  <c r="J295" i="54"/>
  <c r="I295" i="54"/>
  <c r="D235" i="54"/>
  <c r="E235" i="54"/>
  <c r="F235" i="54"/>
  <c r="R239" i="54"/>
  <c r="S239" i="54"/>
  <c r="T239" i="54"/>
  <c r="K246" i="54"/>
  <c r="L246" i="54"/>
  <c r="M246" i="54"/>
  <c r="Q297" i="54"/>
  <c r="P297" i="54"/>
  <c r="J296" i="54"/>
  <c r="I296" i="54"/>
  <c r="C296" i="54"/>
  <c r="B296" i="54"/>
  <c r="R240" i="54"/>
  <c r="S240" i="54"/>
  <c r="T240" i="54"/>
  <c r="D236" i="54"/>
  <c r="E236" i="54"/>
  <c r="F236" i="54"/>
  <c r="C297" i="54"/>
  <c r="B297" i="54"/>
  <c r="K247" i="54"/>
  <c r="L247" i="54"/>
  <c r="M247" i="54"/>
  <c r="J297" i="54"/>
  <c r="I297" i="54"/>
  <c r="Q298" i="54"/>
  <c r="P298" i="54"/>
  <c r="K248" i="54"/>
  <c r="L248" i="54"/>
  <c r="M248" i="54"/>
  <c r="D237" i="54"/>
  <c r="E237" i="54"/>
  <c r="F237" i="54"/>
  <c r="R241" i="54"/>
  <c r="S241" i="54"/>
  <c r="T241" i="54"/>
  <c r="C298" i="54"/>
  <c r="B298" i="54"/>
  <c r="I298" i="54"/>
  <c r="J298" i="54"/>
  <c r="Q299" i="54"/>
  <c r="P299" i="54"/>
  <c r="R242" i="54"/>
  <c r="S242" i="54"/>
  <c r="T242" i="54"/>
  <c r="I299" i="54"/>
  <c r="J299" i="54"/>
  <c r="Q300" i="54"/>
  <c r="P300" i="54"/>
  <c r="C299" i="54"/>
  <c r="B299" i="54"/>
  <c r="D238" i="54"/>
  <c r="E238" i="54"/>
  <c r="F238" i="54"/>
  <c r="K249" i="54"/>
  <c r="L249" i="54"/>
  <c r="M249" i="54"/>
  <c r="K250" i="54"/>
  <c r="L250" i="54"/>
  <c r="M250" i="54"/>
  <c r="D239" i="54"/>
  <c r="E239" i="54"/>
  <c r="F239" i="54"/>
  <c r="R243" i="54"/>
  <c r="S243" i="54"/>
  <c r="T243" i="54"/>
  <c r="Q301" i="54"/>
  <c r="P301" i="54"/>
  <c r="J300" i="54"/>
  <c r="I300" i="54"/>
  <c r="C300" i="54"/>
  <c r="B300" i="54"/>
  <c r="R244" i="54"/>
  <c r="S244" i="54"/>
  <c r="T244" i="54"/>
  <c r="D240" i="54"/>
  <c r="E240" i="54"/>
  <c r="F240" i="54"/>
  <c r="K251" i="54"/>
  <c r="L251" i="54"/>
  <c r="M251" i="54"/>
  <c r="C301" i="54"/>
  <c r="B301" i="54"/>
  <c r="J301" i="54"/>
  <c r="I301" i="54"/>
  <c r="Q302" i="54"/>
  <c r="P302" i="54"/>
  <c r="D241" i="54"/>
  <c r="E241" i="54"/>
  <c r="F241" i="54"/>
  <c r="R245" i="54"/>
  <c r="S245" i="54"/>
  <c r="T245" i="54"/>
  <c r="J302" i="54"/>
  <c r="I302" i="54"/>
  <c r="P303" i="54"/>
  <c r="Q303" i="54"/>
  <c r="B302" i="54"/>
  <c r="C302" i="54"/>
  <c r="K252" i="54"/>
  <c r="L252" i="54"/>
  <c r="M252" i="54"/>
  <c r="K253" i="54"/>
  <c r="L253" i="54"/>
  <c r="M253" i="54"/>
  <c r="R246" i="54"/>
  <c r="S246" i="54"/>
  <c r="T246" i="54"/>
  <c r="D242" i="54"/>
  <c r="E242" i="54"/>
  <c r="F242" i="54"/>
  <c r="C303" i="54"/>
  <c r="B303" i="54"/>
  <c r="P304" i="54"/>
  <c r="Q304" i="54"/>
  <c r="J303" i="54"/>
  <c r="I303" i="54"/>
  <c r="D243" i="54"/>
  <c r="E243" i="54"/>
  <c r="F243" i="54"/>
  <c r="R247" i="54"/>
  <c r="S247" i="54"/>
  <c r="T247" i="54"/>
  <c r="J304" i="54"/>
  <c r="I304" i="54"/>
  <c r="K254" i="54"/>
  <c r="L254" i="54"/>
  <c r="M254" i="54"/>
  <c r="Q305" i="54"/>
  <c r="P305" i="54"/>
  <c r="C304" i="54"/>
  <c r="B304" i="54"/>
  <c r="K255" i="54"/>
  <c r="L255" i="54"/>
  <c r="M255" i="54"/>
  <c r="R248" i="54"/>
  <c r="S248" i="54"/>
  <c r="T248" i="54"/>
  <c r="D244" i="54"/>
  <c r="E244" i="54"/>
  <c r="F244" i="54"/>
  <c r="C305" i="54"/>
  <c r="B305" i="54"/>
  <c r="Q306" i="54"/>
  <c r="P306" i="54"/>
  <c r="I305" i="54"/>
  <c r="J305" i="54"/>
  <c r="D245" i="54"/>
  <c r="E245" i="54"/>
  <c r="F245" i="54"/>
  <c r="R249" i="54"/>
  <c r="S249" i="54"/>
  <c r="T249" i="54"/>
  <c r="J306" i="54"/>
  <c r="I306" i="54"/>
  <c r="Q307" i="54"/>
  <c r="P307" i="54"/>
  <c r="C306" i="54"/>
  <c r="B306" i="54"/>
  <c r="K256" i="54"/>
  <c r="L256" i="54"/>
  <c r="M256" i="54"/>
  <c r="R250" i="54"/>
  <c r="S250" i="54"/>
  <c r="T250" i="54"/>
  <c r="D246" i="54"/>
  <c r="E246" i="54"/>
  <c r="F246" i="54"/>
  <c r="K257" i="54"/>
  <c r="L257" i="54"/>
  <c r="M257" i="54"/>
  <c r="C307" i="54"/>
  <c r="B307" i="54"/>
  <c r="Q308" i="54"/>
  <c r="P308" i="54"/>
  <c r="I307" i="54"/>
  <c r="J307" i="54"/>
  <c r="K258" i="54"/>
  <c r="L258" i="54"/>
  <c r="M258" i="54"/>
  <c r="R251" i="54"/>
  <c r="S251" i="54"/>
  <c r="T251" i="54"/>
  <c r="D247" i="54"/>
  <c r="E247" i="54"/>
  <c r="F247" i="54"/>
  <c r="C308" i="54"/>
  <c r="B308" i="54"/>
  <c r="J308" i="54"/>
  <c r="I308" i="54"/>
  <c r="Q309" i="54"/>
  <c r="P309" i="54"/>
  <c r="R252" i="54"/>
  <c r="S252" i="54"/>
  <c r="T252" i="54"/>
  <c r="D248" i="54"/>
  <c r="E248" i="54"/>
  <c r="F248" i="54"/>
  <c r="P310" i="54"/>
  <c r="Q310" i="54"/>
  <c r="B309" i="54"/>
  <c r="C309" i="54"/>
  <c r="K259" i="54"/>
  <c r="L259" i="54"/>
  <c r="M259" i="54"/>
  <c r="J309" i="54"/>
  <c r="I309" i="54"/>
  <c r="D249" i="54"/>
  <c r="E249" i="54"/>
  <c r="F249" i="54"/>
  <c r="K260" i="54"/>
  <c r="L260" i="54"/>
  <c r="M260" i="54"/>
  <c r="B310" i="54"/>
  <c r="C310" i="54"/>
  <c r="J310" i="54"/>
  <c r="I310" i="54"/>
  <c r="R253" i="54"/>
  <c r="S253" i="54"/>
  <c r="T253" i="54"/>
  <c r="Q311" i="54"/>
  <c r="P311" i="54"/>
  <c r="R254" i="54"/>
  <c r="S254" i="54"/>
  <c r="T254" i="54"/>
  <c r="K261" i="54"/>
  <c r="L261" i="54"/>
  <c r="M261" i="54"/>
  <c r="C311" i="54"/>
  <c r="B311" i="54"/>
  <c r="J311" i="54"/>
  <c r="I311" i="54"/>
  <c r="P312" i="54"/>
  <c r="Q312" i="54"/>
  <c r="D250" i="54"/>
  <c r="E250" i="54"/>
  <c r="F250" i="54"/>
  <c r="K262" i="54"/>
  <c r="L262" i="54"/>
  <c r="M262" i="54"/>
  <c r="D251" i="54"/>
  <c r="E251" i="54"/>
  <c r="F251" i="54"/>
  <c r="R255" i="54"/>
  <c r="S255" i="54"/>
  <c r="T255" i="54"/>
  <c r="J312" i="54"/>
  <c r="I312" i="54"/>
  <c r="C312" i="54"/>
  <c r="B312" i="54"/>
  <c r="Q313" i="54"/>
  <c r="P313" i="54"/>
  <c r="D252" i="54"/>
  <c r="E252" i="54"/>
  <c r="F252" i="54"/>
  <c r="R256" i="54"/>
  <c r="S256" i="54"/>
  <c r="T256" i="54"/>
  <c r="K263" i="54"/>
  <c r="L263" i="54"/>
  <c r="M263" i="54"/>
  <c r="J313" i="54"/>
  <c r="I313" i="54"/>
  <c r="Q314" i="54"/>
  <c r="P314" i="54"/>
  <c r="C313" i="54"/>
  <c r="B313" i="54"/>
  <c r="K264" i="54"/>
  <c r="L264" i="54"/>
  <c r="M264" i="54"/>
  <c r="D253" i="54"/>
  <c r="E253" i="54"/>
  <c r="F253" i="54"/>
  <c r="Q315" i="54"/>
  <c r="P315" i="54"/>
  <c r="R257" i="54"/>
  <c r="S257" i="54"/>
  <c r="T257" i="54"/>
  <c r="J314" i="54"/>
  <c r="I314" i="54"/>
  <c r="C314" i="54"/>
  <c r="B314" i="54"/>
  <c r="R258" i="54"/>
  <c r="S258" i="54"/>
  <c r="T258" i="54"/>
  <c r="K265" i="54"/>
  <c r="L265" i="54"/>
  <c r="M265" i="54"/>
  <c r="C315" i="54"/>
  <c r="B315" i="54"/>
  <c r="D254" i="54"/>
  <c r="E254" i="54"/>
  <c r="F254" i="54"/>
  <c r="I315" i="54"/>
  <c r="J315" i="54"/>
  <c r="Q316" i="54"/>
  <c r="P316" i="54"/>
  <c r="D255" i="54"/>
  <c r="E255" i="54"/>
  <c r="F255" i="54"/>
  <c r="K266" i="54"/>
  <c r="L266" i="54"/>
  <c r="M266" i="54"/>
  <c r="J316" i="54"/>
  <c r="I316" i="54"/>
  <c r="R259" i="54"/>
  <c r="S259" i="54"/>
  <c r="T259" i="54"/>
  <c r="Q317" i="54"/>
  <c r="P317" i="54"/>
  <c r="B316" i="54"/>
  <c r="C316" i="54"/>
  <c r="R260" i="54"/>
  <c r="S260" i="54"/>
  <c r="T260" i="54"/>
  <c r="K267" i="54"/>
  <c r="L267" i="54"/>
  <c r="M267" i="54"/>
  <c r="J317" i="54"/>
  <c r="I317" i="54"/>
  <c r="C317" i="54"/>
  <c r="B317" i="54"/>
  <c r="D256" i="54"/>
  <c r="E256" i="54"/>
  <c r="F256" i="54"/>
  <c r="Q318" i="54"/>
  <c r="P318" i="54"/>
  <c r="K268" i="54"/>
  <c r="L268" i="54"/>
  <c r="M268" i="54"/>
  <c r="R261" i="54"/>
  <c r="S261" i="54"/>
  <c r="T261" i="54"/>
  <c r="C318" i="54"/>
  <c r="B318" i="54"/>
  <c r="Q319" i="54"/>
  <c r="P319" i="54"/>
  <c r="D257" i="54"/>
  <c r="E257" i="54"/>
  <c r="F257" i="54"/>
  <c r="J318" i="54"/>
  <c r="I318" i="54"/>
  <c r="R262" i="54"/>
  <c r="S262" i="54"/>
  <c r="T262" i="54"/>
  <c r="D258" i="54"/>
  <c r="E258" i="54"/>
  <c r="F258" i="54"/>
  <c r="I319" i="54"/>
  <c r="J319" i="54"/>
  <c r="K269" i="54"/>
  <c r="L269" i="54"/>
  <c r="M269" i="54"/>
  <c r="Q320" i="54"/>
  <c r="P320" i="54"/>
  <c r="C319" i="54"/>
  <c r="B319" i="54"/>
  <c r="D259" i="54"/>
  <c r="E259" i="54"/>
  <c r="F259" i="54"/>
  <c r="K270" i="54"/>
  <c r="L270" i="54"/>
  <c r="M270" i="54"/>
  <c r="R263" i="54"/>
  <c r="S263" i="54"/>
  <c r="T263" i="54"/>
  <c r="C320" i="54"/>
  <c r="B320" i="54"/>
  <c r="J320" i="54"/>
  <c r="I320" i="54"/>
  <c r="Q321" i="54"/>
  <c r="P321" i="54"/>
  <c r="D260" i="54"/>
  <c r="E260" i="54"/>
  <c r="F260" i="54"/>
  <c r="R264" i="54"/>
  <c r="S264" i="54"/>
  <c r="T264" i="54"/>
  <c r="Q322" i="54"/>
  <c r="P322" i="54"/>
  <c r="J321" i="54"/>
  <c r="I321" i="54"/>
  <c r="K271" i="54"/>
  <c r="L271" i="54"/>
  <c r="M271" i="54"/>
  <c r="C321" i="54"/>
  <c r="B321" i="54"/>
  <c r="D261" i="54"/>
  <c r="E261" i="54"/>
  <c r="F261" i="54"/>
  <c r="K272" i="54"/>
  <c r="L272" i="54"/>
  <c r="M272" i="54"/>
  <c r="R265" i="54"/>
  <c r="S265" i="54"/>
  <c r="T265" i="54"/>
  <c r="P323" i="54"/>
  <c r="Q323" i="54"/>
  <c r="B322" i="54"/>
  <c r="C322" i="54"/>
  <c r="J322" i="54"/>
  <c r="I322" i="54"/>
  <c r="D262" i="54"/>
  <c r="E262" i="54"/>
  <c r="F262" i="54"/>
  <c r="R266" i="54"/>
  <c r="S266" i="54"/>
  <c r="T266" i="54"/>
  <c r="K273" i="54"/>
  <c r="L273" i="54"/>
  <c r="M273" i="54"/>
  <c r="P324" i="54"/>
  <c r="Q324" i="54"/>
  <c r="J323" i="54"/>
  <c r="I323" i="54"/>
  <c r="C323" i="54"/>
  <c r="B323" i="54"/>
  <c r="D263" i="54"/>
  <c r="E263" i="54"/>
  <c r="F263" i="54"/>
  <c r="K274" i="54"/>
  <c r="L274" i="54"/>
  <c r="M274" i="54"/>
  <c r="R267" i="54"/>
  <c r="S267" i="54"/>
  <c r="T267" i="54"/>
  <c r="J324" i="54"/>
  <c r="I324" i="54"/>
  <c r="C324" i="54"/>
  <c r="B324" i="54"/>
  <c r="Q325" i="54"/>
  <c r="P325" i="54"/>
  <c r="D264" i="54"/>
  <c r="E264" i="54"/>
  <c r="F264" i="54"/>
  <c r="K275" i="54"/>
  <c r="L275" i="54"/>
  <c r="M275" i="54"/>
  <c r="R268" i="54"/>
  <c r="S268" i="54"/>
  <c r="T268" i="54"/>
  <c r="C325" i="54"/>
  <c r="B325" i="54"/>
  <c r="Q326" i="54"/>
  <c r="P326" i="54"/>
  <c r="I325" i="54"/>
  <c r="J325" i="54"/>
  <c r="D265" i="54"/>
  <c r="E265" i="54"/>
  <c r="F265" i="54"/>
  <c r="R269" i="54"/>
  <c r="S269" i="54"/>
  <c r="T269" i="54"/>
  <c r="K276" i="54"/>
  <c r="L276" i="54"/>
  <c r="M276" i="54"/>
  <c r="Q327" i="54"/>
  <c r="P327" i="54"/>
  <c r="C326" i="54"/>
  <c r="B326" i="54"/>
  <c r="J326" i="54"/>
  <c r="I326" i="54"/>
  <c r="D266" i="54"/>
  <c r="E266" i="54"/>
  <c r="F266" i="54"/>
  <c r="K277" i="54"/>
  <c r="L277" i="54"/>
  <c r="M277" i="54"/>
  <c r="R270" i="54"/>
  <c r="S270" i="54"/>
  <c r="T270" i="54"/>
  <c r="B327" i="54"/>
  <c r="C327" i="54"/>
  <c r="I327" i="54"/>
  <c r="J327" i="54"/>
  <c r="P328" i="54"/>
  <c r="Q328" i="54"/>
  <c r="D267" i="54"/>
  <c r="E267" i="54"/>
  <c r="F267" i="54"/>
  <c r="R271" i="54"/>
  <c r="S271" i="54"/>
  <c r="T271" i="54"/>
  <c r="K278" i="54"/>
  <c r="L278" i="54"/>
  <c r="M278" i="54"/>
  <c r="Q329" i="54"/>
  <c r="P329" i="54"/>
  <c r="J328" i="54"/>
  <c r="I328" i="54"/>
  <c r="B328" i="54"/>
  <c r="C328" i="54"/>
  <c r="D268" i="54"/>
  <c r="E268" i="54"/>
  <c r="F268" i="54"/>
  <c r="K279" i="54"/>
  <c r="L279" i="54"/>
  <c r="M279" i="54"/>
  <c r="R272" i="54"/>
  <c r="S272" i="54"/>
  <c r="T272" i="54"/>
  <c r="J329" i="54"/>
  <c r="I329" i="54"/>
  <c r="B329" i="54"/>
  <c r="C329" i="54"/>
  <c r="P330" i="54"/>
  <c r="Q330" i="54"/>
  <c r="D269" i="54"/>
  <c r="E269" i="54"/>
  <c r="F269" i="54"/>
  <c r="R273" i="54"/>
  <c r="S273" i="54"/>
  <c r="T273" i="54"/>
  <c r="K280" i="54"/>
  <c r="L280" i="54"/>
  <c r="M280" i="54"/>
  <c r="J330" i="54"/>
  <c r="I330" i="54"/>
  <c r="B330" i="54"/>
  <c r="C330" i="54"/>
  <c r="Q331" i="54"/>
  <c r="P331" i="54"/>
  <c r="D270" i="54"/>
  <c r="E270" i="54"/>
  <c r="F270" i="54"/>
  <c r="R274" i="54"/>
  <c r="S274" i="54"/>
  <c r="T274" i="54"/>
  <c r="I331" i="54"/>
  <c r="J331" i="54"/>
  <c r="K281" i="54"/>
  <c r="L281" i="54"/>
  <c r="M281" i="54"/>
  <c r="P332" i="54"/>
  <c r="Q332" i="54"/>
  <c r="C331" i="54"/>
  <c r="B331" i="54"/>
  <c r="D271" i="54"/>
  <c r="E271" i="54"/>
  <c r="F271" i="54"/>
  <c r="R275" i="54"/>
  <c r="S275" i="54"/>
  <c r="T275" i="54"/>
  <c r="C332" i="54"/>
  <c r="B332" i="54"/>
  <c r="J332" i="54"/>
  <c r="I332" i="54"/>
  <c r="K282" i="54"/>
  <c r="L282" i="54"/>
  <c r="M282" i="54"/>
  <c r="Q333" i="54"/>
  <c r="P333" i="54"/>
  <c r="D272" i="54"/>
  <c r="E272" i="54"/>
  <c r="F272" i="54"/>
  <c r="R276" i="54"/>
  <c r="S276" i="54"/>
  <c r="T276" i="54"/>
  <c r="K283" i="54"/>
  <c r="L283" i="54"/>
  <c r="M283" i="54"/>
  <c r="C333" i="54"/>
  <c r="B333" i="54"/>
  <c r="J333" i="54"/>
  <c r="I333" i="54"/>
  <c r="Q334" i="54"/>
  <c r="P334" i="54"/>
  <c r="D273" i="54"/>
  <c r="E273" i="54"/>
  <c r="F273" i="54"/>
  <c r="K284" i="54"/>
  <c r="L284" i="54"/>
  <c r="M284" i="54"/>
  <c r="R277" i="54"/>
  <c r="S277" i="54"/>
  <c r="T277" i="54"/>
  <c r="Q335" i="54"/>
  <c r="P335" i="54"/>
  <c r="J334" i="54"/>
  <c r="I334" i="54"/>
  <c r="B334" i="54"/>
  <c r="C334" i="54"/>
  <c r="D274" i="54"/>
  <c r="E274" i="54"/>
  <c r="F274" i="54"/>
  <c r="R278" i="54"/>
  <c r="S278" i="54"/>
  <c r="T278" i="54"/>
  <c r="K285" i="54"/>
  <c r="L285" i="54"/>
  <c r="M285" i="54"/>
  <c r="I335" i="54"/>
  <c r="J335" i="54"/>
  <c r="Q336" i="54"/>
  <c r="P336" i="54"/>
  <c r="C335" i="54"/>
  <c r="B335" i="54"/>
  <c r="D275" i="54"/>
  <c r="E275" i="54"/>
  <c r="F275" i="54"/>
  <c r="K286" i="54"/>
  <c r="L286" i="54"/>
  <c r="M286" i="54"/>
  <c r="R279" i="54"/>
  <c r="S279" i="54"/>
  <c r="T279" i="54"/>
  <c r="J336" i="54"/>
  <c r="I336" i="54"/>
  <c r="Q337" i="54"/>
  <c r="P337" i="54"/>
  <c r="C336" i="54"/>
  <c r="B336" i="54"/>
  <c r="D276" i="54"/>
  <c r="E276" i="54"/>
  <c r="F276" i="54"/>
  <c r="R280" i="54"/>
  <c r="S280" i="54"/>
  <c r="T280" i="54"/>
  <c r="K287" i="54"/>
  <c r="L287" i="54"/>
  <c r="M287" i="54"/>
  <c r="C337" i="54"/>
  <c r="B337" i="54"/>
  <c r="Q338" i="54"/>
  <c r="P338" i="54"/>
  <c r="J337" i="54"/>
  <c r="I337" i="54"/>
  <c r="D277" i="54"/>
  <c r="E277" i="54"/>
  <c r="F277" i="54"/>
  <c r="K288" i="54"/>
  <c r="L288" i="54"/>
  <c r="M288" i="54"/>
  <c r="R281" i="54"/>
  <c r="S281" i="54"/>
  <c r="T281" i="54"/>
  <c r="J338" i="54"/>
  <c r="I338" i="54"/>
  <c r="P339" i="54"/>
  <c r="Q339" i="54"/>
  <c r="B338" i="54"/>
  <c r="C338" i="54"/>
  <c r="D278" i="54"/>
  <c r="E278" i="54"/>
  <c r="F278" i="54"/>
  <c r="R282" i="54"/>
  <c r="S282" i="54"/>
  <c r="T282" i="54"/>
  <c r="K289" i="54"/>
  <c r="L289" i="54"/>
  <c r="M289" i="54"/>
  <c r="C339" i="54"/>
  <c r="B339" i="54"/>
  <c r="P340" i="54"/>
  <c r="Q340" i="54"/>
  <c r="J339" i="54"/>
  <c r="I339" i="54"/>
  <c r="D279" i="54"/>
  <c r="E279" i="54"/>
  <c r="F279" i="54"/>
  <c r="K290" i="54"/>
  <c r="L290" i="54"/>
  <c r="M290" i="54"/>
  <c r="J340" i="54"/>
  <c r="I340" i="54"/>
  <c r="C340" i="54"/>
  <c r="B340" i="54"/>
  <c r="Q341" i="54"/>
  <c r="P341" i="54"/>
  <c r="R283" i="54"/>
  <c r="S283" i="54"/>
  <c r="T283" i="54"/>
  <c r="D280" i="54"/>
  <c r="E280" i="54"/>
  <c r="F280" i="54"/>
  <c r="R284" i="54"/>
  <c r="S284" i="54"/>
  <c r="T284" i="54"/>
  <c r="K291" i="54"/>
  <c r="L291" i="54"/>
  <c r="M291" i="54"/>
  <c r="J341" i="54"/>
  <c r="I341" i="54"/>
  <c r="C341" i="54"/>
  <c r="B341" i="54"/>
  <c r="Q342" i="54"/>
  <c r="P342" i="54"/>
  <c r="D281" i="54"/>
  <c r="E281" i="54"/>
  <c r="F281" i="54"/>
  <c r="K292" i="54"/>
  <c r="L292" i="54"/>
  <c r="M292" i="54"/>
  <c r="C342" i="54"/>
  <c r="B342" i="54"/>
  <c r="Q343" i="54"/>
  <c r="P343" i="54"/>
  <c r="R285" i="54"/>
  <c r="S285" i="54"/>
  <c r="T285" i="54"/>
  <c r="I342" i="54"/>
  <c r="J342" i="54"/>
  <c r="D282" i="54"/>
  <c r="E282" i="54"/>
  <c r="F282" i="54"/>
  <c r="R286" i="54"/>
  <c r="S286" i="54"/>
  <c r="T286" i="54"/>
  <c r="K293" i="54"/>
  <c r="L293" i="54"/>
  <c r="M293" i="54"/>
  <c r="C343" i="54"/>
  <c r="B343" i="54"/>
  <c r="Q344" i="54"/>
  <c r="P344" i="54"/>
  <c r="I343" i="54"/>
  <c r="J343" i="54"/>
  <c r="D283" i="54"/>
  <c r="E283" i="54"/>
  <c r="F283" i="54"/>
  <c r="R287" i="54"/>
  <c r="S287" i="54"/>
  <c r="T287" i="54"/>
  <c r="Q345" i="54"/>
  <c r="P345" i="54"/>
  <c r="K294" i="54"/>
  <c r="L294" i="54"/>
  <c r="M294" i="54"/>
  <c r="J344" i="54"/>
  <c r="I344" i="54"/>
  <c r="B344" i="54"/>
  <c r="C344" i="54"/>
  <c r="D284" i="54"/>
  <c r="E284" i="54"/>
  <c r="F284" i="54"/>
  <c r="K295" i="54"/>
  <c r="L295" i="54"/>
  <c r="M295" i="54"/>
  <c r="R288" i="54"/>
  <c r="S288" i="54"/>
  <c r="T288" i="54"/>
  <c r="J345" i="54"/>
  <c r="I345" i="54"/>
  <c r="C345" i="54"/>
  <c r="B345" i="54"/>
  <c r="Q346" i="54"/>
  <c r="P346" i="54"/>
  <c r="D285" i="54"/>
  <c r="E285" i="54"/>
  <c r="F285" i="54"/>
  <c r="R289" i="54"/>
  <c r="S289" i="54"/>
  <c r="T289" i="54"/>
  <c r="K296" i="54"/>
  <c r="L296" i="54"/>
  <c r="M296" i="54"/>
  <c r="Q347" i="54"/>
  <c r="P347" i="54"/>
  <c r="B346" i="54"/>
  <c r="C346" i="54"/>
  <c r="J346" i="54"/>
  <c r="I346" i="54"/>
  <c r="D286" i="54"/>
  <c r="E286" i="54"/>
  <c r="F286" i="54"/>
  <c r="R290" i="54"/>
  <c r="S290" i="54"/>
  <c r="T290" i="54"/>
  <c r="K297" i="54"/>
  <c r="L297" i="54"/>
  <c r="M297" i="54"/>
  <c r="J347" i="54"/>
  <c r="I347" i="54"/>
  <c r="P348" i="54"/>
  <c r="Q348" i="54"/>
  <c r="C347" i="54"/>
  <c r="B347" i="54"/>
  <c r="D287" i="54"/>
  <c r="E287" i="54"/>
  <c r="F287" i="54"/>
  <c r="K298" i="54"/>
  <c r="L298" i="54"/>
  <c r="M298" i="54"/>
  <c r="R291" i="54"/>
  <c r="S291" i="54"/>
  <c r="T291" i="54"/>
  <c r="Q349" i="54"/>
  <c r="P349" i="54"/>
  <c r="J348" i="54"/>
  <c r="I348" i="54"/>
  <c r="C348" i="54"/>
  <c r="B348" i="54"/>
  <c r="D288" i="54"/>
  <c r="E288" i="54"/>
  <c r="F288" i="54"/>
  <c r="R292" i="54"/>
  <c r="S292" i="54"/>
  <c r="T292" i="54"/>
  <c r="K299" i="54"/>
  <c r="L299" i="54"/>
  <c r="M299" i="54"/>
  <c r="I349" i="54"/>
  <c r="J349" i="54"/>
  <c r="Q350" i="54"/>
  <c r="P350" i="54"/>
  <c r="C349" i="54"/>
  <c r="B349" i="54"/>
  <c r="D289" i="54"/>
  <c r="E289" i="54"/>
  <c r="F289" i="54"/>
  <c r="K300" i="54"/>
  <c r="L300" i="54"/>
  <c r="M300" i="54"/>
  <c r="R293" i="54"/>
  <c r="S293" i="54"/>
  <c r="T293" i="54"/>
  <c r="Q351" i="54"/>
  <c r="P351" i="54"/>
  <c r="C350" i="54"/>
  <c r="B350" i="54"/>
  <c r="J350" i="54"/>
  <c r="I350" i="54"/>
  <c r="D290" i="54"/>
  <c r="E290" i="54"/>
  <c r="F290" i="54"/>
  <c r="R294" i="54"/>
  <c r="S294" i="54"/>
  <c r="T294" i="54"/>
  <c r="K301" i="54"/>
  <c r="L301" i="54"/>
  <c r="M301" i="54"/>
  <c r="Q352" i="54"/>
  <c r="P352" i="54"/>
  <c r="C351" i="54"/>
  <c r="B351" i="54"/>
  <c r="I351" i="54"/>
  <c r="J351" i="54"/>
  <c r="D291" i="54"/>
  <c r="E291" i="54"/>
  <c r="F291" i="54"/>
  <c r="K302" i="54"/>
  <c r="L302" i="54"/>
  <c r="M302" i="54"/>
  <c r="R295" i="54"/>
  <c r="S295" i="54"/>
  <c r="T295" i="54"/>
  <c r="C352" i="54"/>
  <c r="B352" i="54"/>
  <c r="Q353" i="54"/>
  <c r="P353" i="54"/>
  <c r="J352" i="54"/>
  <c r="I352" i="54"/>
  <c r="D292" i="54"/>
  <c r="E292" i="54"/>
  <c r="F292" i="54"/>
  <c r="R296" i="54"/>
  <c r="S296" i="54"/>
  <c r="T296" i="54"/>
  <c r="K303" i="54"/>
  <c r="L303" i="54"/>
  <c r="M303" i="54"/>
  <c r="Q354" i="54"/>
  <c r="P354" i="54"/>
  <c r="C353" i="54"/>
  <c r="B353" i="54"/>
  <c r="J353" i="54"/>
  <c r="I353" i="54"/>
  <c r="D293" i="54"/>
  <c r="E293" i="54"/>
  <c r="F293" i="54"/>
  <c r="K304" i="54"/>
  <c r="L304" i="54"/>
  <c r="M304" i="54"/>
  <c r="B354" i="54"/>
  <c r="C354" i="54"/>
  <c r="R297" i="54"/>
  <c r="S297" i="54"/>
  <c r="T297" i="54"/>
  <c r="Q355" i="54"/>
  <c r="P355" i="54"/>
  <c r="J354" i="54"/>
  <c r="I354" i="54"/>
  <c r="D294" i="54"/>
  <c r="E294" i="54"/>
  <c r="F294" i="54"/>
  <c r="K305" i="54"/>
  <c r="L305" i="54"/>
  <c r="M305" i="54"/>
  <c r="R298" i="54"/>
  <c r="S298" i="54"/>
  <c r="T298" i="54"/>
  <c r="P356" i="54"/>
  <c r="Q356" i="54"/>
  <c r="C355" i="54"/>
  <c r="B355" i="54"/>
  <c r="J355" i="54"/>
  <c r="I355" i="54"/>
  <c r="D295" i="54"/>
  <c r="E295" i="54"/>
  <c r="F295" i="54"/>
  <c r="R299" i="54"/>
  <c r="S299" i="54"/>
  <c r="T299" i="54"/>
  <c r="Q357" i="54"/>
  <c r="P357" i="54"/>
  <c r="K306" i="54"/>
  <c r="L306" i="54"/>
  <c r="M306" i="54"/>
  <c r="J356" i="54"/>
  <c r="I356" i="54"/>
  <c r="C356" i="54"/>
  <c r="B356" i="54"/>
  <c r="D296" i="54"/>
  <c r="E296" i="54"/>
  <c r="F296" i="54"/>
  <c r="R300" i="54"/>
  <c r="S300" i="54"/>
  <c r="T300" i="54"/>
  <c r="J357" i="54"/>
  <c r="I357" i="54"/>
  <c r="Q358" i="54"/>
  <c r="P358" i="54"/>
  <c r="C357" i="54"/>
  <c r="B357" i="54"/>
  <c r="K307" i="54"/>
  <c r="L307" i="54"/>
  <c r="M307" i="54"/>
  <c r="D297" i="54"/>
  <c r="E297" i="54"/>
  <c r="F297" i="54"/>
  <c r="R301" i="54"/>
  <c r="S301" i="54"/>
  <c r="T301" i="54"/>
  <c r="K308" i="54"/>
  <c r="L308" i="54"/>
  <c r="M308" i="54"/>
  <c r="Q359" i="54"/>
  <c r="P359" i="54"/>
  <c r="C358" i="54"/>
  <c r="B358" i="54"/>
  <c r="I358" i="54"/>
  <c r="J358" i="54"/>
  <c r="D298" i="54"/>
  <c r="E298" i="54"/>
  <c r="F298" i="54"/>
  <c r="K309" i="54"/>
  <c r="L309" i="54"/>
  <c r="M309" i="54"/>
  <c r="C359" i="54"/>
  <c r="B359" i="54"/>
  <c r="R302" i="54"/>
  <c r="S302" i="54"/>
  <c r="T302" i="54"/>
  <c r="I359" i="54"/>
  <c r="J359" i="54"/>
  <c r="Q360" i="54"/>
  <c r="P360" i="54"/>
  <c r="D299" i="54"/>
  <c r="E299" i="54"/>
  <c r="F299" i="54"/>
  <c r="R303" i="54"/>
  <c r="S303" i="54"/>
  <c r="T303" i="54"/>
  <c r="Q361" i="54"/>
  <c r="P361" i="54"/>
  <c r="J360" i="54"/>
  <c r="I360" i="54"/>
  <c r="K310" i="54"/>
  <c r="L310" i="54"/>
  <c r="M310" i="54"/>
  <c r="B360" i="54"/>
  <c r="C360" i="54"/>
  <c r="D300" i="54"/>
  <c r="E300" i="54"/>
  <c r="F300" i="54"/>
  <c r="K311" i="54"/>
  <c r="L311" i="54"/>
  <c r="M311" i="54"/>
  <c r="R304" i="54"/>
  <c r="S304" i="54"/>
  <c r="T304" i="54"/>
  <c r="J361" i="54"/>
  <c r="I361" i="54"/>
  <c r="C361" i="54"/>
  <c r="B361" i="54"/>
  <c r="P362" i="54"/>
  <c r="Q362" i="54"/>
  <c r="D301" i="54"/>
  <c r="E301" i="54"/>
  <c r="F301" i="54"/>
  <c r="R305" i="54"/>
  <c r="S305" i="54"/>
  <c r="T305" i="54"/>
  <c r="Q363" i="54"/>
  <c r="P363" i="54"/>
  <c r="K312" i="54"/>
  <c r="L312" i="54"/>
  <c r="M312" i="54"/>
  <c r="J362" i="54"/>
  <c r="I362" i="54"/>
  <c r="B362" i="54"/>
  <c r="C362" i="54"/>
  <c r="D302" i="54"/>
  <c r="E302" i="54"/>
  <c r="F302" i="54"/>
  <c r="R306" i="54"/>
  <c r="S306" i="54"/>
  <c r="T306" i="54"/>
  <c r="K313" i="54"/>
  <c r="L313" i="54"/>
  <c r="M313" i="54"/>
  <c r="J363" i="54"/>
  <c r="I363" i="54"/>
  <c r="C363" i="54"/>
  <c r="B363" i="54"/>
  <c r="P364" i="54"/>
  <c r="Q364" i="54"/>
  <c r="D303" i="54"/>
  <c r="E303" i="54"/>
  <c r="F303" i="54"/>
  <c r="K314" i="54"/>
  <c r="L314" i="54"/>
  <c r="M314" i="54"/>
  <c r="R307" i="54"/>
  <c r="S307" i="54"/>
  <c r="T307" i="54"/>
  <c r="C364" i="54"/>
  <c r="B364" i="54"/>
  <c r="J364" i="54"/>
  <c r="I364" i="54"/>
  <c r="Q365" i="54"/>
  <c r="P365" i="54"/>
  <c r="D304" i="54"/>
  <c r="E304" i="54"/>
  <c r="F304" i="54"/>
  <c r="R308" i="54"/>
  <c r="S308" i="54"/>
  <c r="T308" i="54"/>
  <c r="K315" i="54"/>
  <c r="L315" i="54"/>
  <c r="M315" i="54"/>
  <c r="I365" i="54"/>
  <c r="J365" i="54"/>
  <c r="C365" i="54"/>
  <c r="B365" i="54"/>
  <c r="Q366" i="54"/>
  <c r="P366" i="54"/>
  <c r="D305" i="54"/>
  <c r="E305" i="54"/>
  <c r="F305" i="54"/>
  <c r="K316" i="54"/>
  <c r="L316" i="54"/>
  <c r="M316" i="54"/>
  <c r="R309" i="54"/>
  <c r="S309" i="54"/>
  <c r="T309" i="54"/>
  <c r="C366" i="54"/>
  <c r="B366" i="54"/>
  <c r="J366" i="54"/>
  <c r="I366" i="54"/>
  <c r="Q367" i="54"/>
  <c r="P367" i="54"/>
  <c r="D306" i="54"/>
  <c r="E306" i="54"/>
  <c r="F306" i="54"/>
  <c r="R310" i="54"/>
  <c r="S310" i="54"/>
  <c r="T310" i="54"/>
  <c r="K317" i="54"/>
  <c r="L317" i="54"/>
  <c r="M317" i="54"/>
  <c r="I367" i="54"/>
  <c r="J367" i="54"/>
  <c r="Q368" i="54"/>
  <c r="P368" i="54"/>
  <c r="C367" i="54"/>
  <c r="B367" i="54"/>
  <c r="D307" i="54"/>
  <c r="E307" i="54"/>
  <c r="F307" i="54"/>
  <c r="K318" i="54"/>
  <c r="L318" i="54"/>
  <c r="M318" i="54"/>
  <c r="R311" i="54"/>
  <c r="S311" i="54"/>
  <c r="T311" i="54"/>
  <c r="J368" i="54"/>
  <c r="I368" i="54"/>
  <c r="Q369" i="54"/>
  <c r="P369" i="54"/>
  <c r="B368" i="54"/>
  <c r="C368" i="54"/>
  <c r="D308" i="54"/>
  <c r="E308" i="54"/>
  <c r="F308" i="54"/>
  <c r="R312" i="54"/>
  <c r="S312" i="54"/>
  <c r="T312" i="54"/>
  <c r="J369" i="54"/>
  <c r="I369" i="54"/>
  <c r="K319" i="54"/>
  <c r="L319" i="54"/>
  <c r="M319" i="54"/>
  <c r="P370" i="54"/>
  <c r="Q370" i="54"/>
  <c r="C369" i="54"/>
  <c r="B369" i="54"/>
  <c r="D309" i="54"/>
  <c r="E309" i="54"/>
  <c r="F309" i="54"/>
  <c r="K320" i="54"/>
  <c r="L320" i="54"/>
  <c r="M320" i="54"/>
  <c r="R313" i="54"/>
  <c r="S313" i="54"/>
  <c r="T313" i="54"/>
  <c r="Q371" i="54"/>
  <c r="P371" i="54"/>
  <c r="J370" i="54"/>
  <c r="I370" i="54"/>
  <c r="B370" i="54"/>
  <c r="C370" i="54"/>
  <c r="D310" i="54"/>
  <c r="E310" i="54"/>
  <c r="F310" i="54"/>
  <c r="R314" i="54"/>
  <c r="S314" i="54"/>
  <c r="T314" i="54"/>
  <c r="J371" i="54"/>
  <c r="I371" i="54"/>
  <c r="K321" i="54"/>
  <c r="L321" i="54"/>
  <c r="M321" i="54"/>
  <c r="P372" i="54"/>
  <c r="Q372" i="54"/>
  <c r="C371" i="54"/>
  <c r="B371" i="54"/>
  <c r="D311" i="54"/>
  <c r="E311" i="54"/>
  <c r="F311" i="54"/>
  <c r="K322" i="54"/>
  <c r="L322" i="54"/>
  <c r="M322" i="54"/>
  <c r="R315" i="54"/>
  <c r="S315" i="54"/>
  <c r="T315" i="54"/>
  <c r="J372" i="54"/>
  <c r="I372" i="54"/>
  <c r="Q373" i="54"/>
  <c r="P373" i="54"/>
  <c r="C372" i="54"/>
  <c r="B372" i="54"/>
  <c r="D312" i="54"/>
  <c r="E312" i="54"/>
  <c r="F312" i="54"/>
  <c r="R316" i="54"/>
  <c r="S316" i="54"/>
  <c r="T316" i="54"/>
  <c r="K323" i="54"/>
  <c r="L323" i="54"/>
  <c r="M323" i="54"/>
  <c r="Q374" i="54"/>
  <c r="P374" i="54"/>
  <c r="C373" i="54"/>
  <c r="B373" i="54"/>
  <c r="I373" i="54"/>
  <c r="J373" i="54"/>
  <c r="D313" i="54"/>
  <c r="E313" i="54"/>
  <c r="F313" i="54"/>
  <c r="K324" i="54"/>
  <c r="L324" i="54"/>
  <c r="M324" i="54"/>
  <c r="R317" i="54"/>
  <c r="S317" i="54"/>
  <c r="T317" i="54"/>
  <c r="Q375" i="54"/>
  <c r="P375" i="54"/>
  <c r="C374" i="54"/>
  <c r="B374" i="54"/>
  <c r="J374" i="54"/>
  <c r="I374" i="54"/>
  <c r="D314" i="54"/>
  <c r="E314" i="54"/>
  <c r="F314" i="54"/>
  <c r="R318" i="54"/>
  <c r="S318" i="54"/>
  <c r="T318" i="54"/>
  <c r="I375" i="54"/>
  <c r="J375" i="54"/>
  <c r="C375" i="54"/>
  <c r="B375" i="54"/>
  <c r="K325" i="54"/>
  <c r="L325" i="54"/>
  <c r="M325" i="54"/>
  <c r="Q376" i="54"/>
  <c r="P376" i="54"/>
  <c r="D315" i="54"/>
  <c r="E315" i="54"/>
  <c r="F315" i="54"/>
  <c r="K326" i="54"/>
  <c r="L326" i="54"/>
  <c r="M326" i="54"/>
  <c r="R319" i="54"/>
  <c r="S319" i="54"/>
  <c r="T319" i="54"/>
  <c r="J376" i="54"/>
  <c r="I376" i="54"/>
  <c r="B376" i="54"/>
  <c r="C376" i="54"/>
  <c r="Q377" i="54"/>
  <c r="P377" i="54"/>
  <c r="D316" i="54"/>
  <c r="E316" i="54"/>
  <c r="F316" i="54"/>
  <c r="R320" i="54"/>
  <c r="S320" i="54"/>
  <c r="T320" i="54"/>
  <c r="J377" i="54"/>
  <c r="I377" i="54"/>
  <c r="C377" i="54"/>
  <c r="B377" i="54"/>
  <c r="K327" i="54"/>
  <c r="L327" i="54"/>
  <c r="M327" i="54"/>
  <c r="P378" i="54"/>
  <c r="Q378" i="54"/>
  <c r="D317" i="54"/>
  <c r="E317" i="54"/>
  <c r="F317" i="54"/>
  <c r="Q379" i="54"/>
  <c r="P379" i="54"/>
  <c r="S379" i="54"/>
  <c r="R379" i="54"/>
  <c r="T379" i="54"/>
  <c r="J378" i="54"/>
  <c r="I378" i="54"/>
  <c r="B378" i="54"/>
  <c r="C378" i="54"/>
  <c r="K328" i="54"/>
  <c r="L328" i="54"/>
  <c r="M328" i="54"/>
  <c r="R321" i="54"/>
  <c r="S321" i="54"/>
  <c r="T321" i="54"/>
  <c r="D318" i="54"/>
  <c r="E318" i="54"/>
  <c r="F318" i="54"/>
  <c r="R322" i="54"/>
  <c r="S322" i="54"/>
  <c r="T322" i="54"/>
  <c r="K329" i="54"/>
  <c r="L329" i="54"/>
  <c r="M329" i="54"/>
  <c r="R380" i="54"/>
  <c r="Q380" i="54"/>
  <c r="P380" i="54"/>
  <c r="T380" i="54"/>
  <c r="S380" i="54"/>
  <c r="E379" i="54"/>
  <c r="C379" i="54"/>
  <c r="F379" i="54"/>
  <c r="D379" i="54"/>
  <c r="B379" i="54"/>
  <c r="M379" i="54"/>
  <c r="L379" i="54"/>
  <c r="I379" i="54"/>
  <c r="J379" i="54"/>
  <c r="K379" i="54"/>
  <c r="D319" i="54"/>
  <c r="E319" i="54"/>
  <c r="F319" i="54"/>
  <c r="R323" i="54"/>
  <c r="S323" i="54"/>
  <c r="T323" i="54"/>
  <c r="K330" i="54"/>
  <c r="L330" i="54"/>
  <c r="M330" i="54"/>
  <c r="S381" i="54"/>
  <c r="R381" i="54"/>
  <c r="Q381" i="54"/>
  <c r="P381" i="54"/>
  <c r="T381" i="54"/>
  <c r="M380" i="54"/>
  <c r="J380" i="54"/>
  <c r="L380" i="54"/>
  <c r="K380" i="54"/>
  <c r="I380" i="54"/>
  <c r="F380" i="54"/>
  <c r="E380" i="54"/>
  <c r="D380" i="54"/>
  <c r="C380" i="54"/>
  <c r="B380" i="54"/>
  <c r="D320" i="54"/>
  <c r="E320" i="54"/>
  <c r="F320" i="54"/>
  <c r="K331" i="54"/>
  <c r="L331" i="54"/>
  <c r="M331" i="54"/>
  <c r="I381" i="54"/>
  <c r="K381" i="54"/>
  <c r="M381" i="54"/>
  <c r="L381" i="54"/>
  <c r="J381" i="54"/>
  <c r="T382" i="54"/>
  <c r="S382" i="54"/>
  <c r="R382" i="54"/>
  <c r="Q382" i="54"/>
  <c r="P382" i="54"/>
  <c r="F381" i="54"/>
  <c r="E381" i="54"/>
  <c r="D381" i="54"/>
  <c r="C381" i="54"/>
  <c r="B381" i="54"/>
  <c r="R324" i="54"/>
  <c r="S324" i="54"/>
  <c r="T324" i="54"/>
  <c r="D321" i="54"/>
  <c r="E321" i="54"/>
  <c r="F321" i="54"/>
  <c r="R325" i="54"/>
  <c r="S325" i="54"/>
  <c r="T325" i="54"/>
  <c r="K332" i="54"/>
  <c r="L332" i="54"/>
  <c r="M332" i="54"/>
  <c r="J382" i="54"/>
  <c r="I382" i="54"/>
  <c r="L382" i="54"/>
  <c r="M382" i="54"/>
  <c r="K382" i="54"/>
  <c r="T383" i="54"/>
  <c r="S383" i="54"/>
  <c r="R383" i="54"/>
  <c r="P383" i="54"/>
  <c r="Q383" i="54"/>
  <c r="F382" i="54"/>
  <c r="E382" i="54"/>
  <c r="B382" i="54"/>
  <c r="D382" i="54"/>
  <c r="C382" i="54"/>
  <c r="D322" i="54"/>
  <c r="E322" i="54"/>
  <c r="F322" i="54"/>
  <c r="K333" i="54"/>
  <c r="L333" i="54"/>
  <c r="M333" i="54"/>
  <c r="R326" i="54"/>
  <c r="S326" i="54"/>
  <c r="T326" i="54"/>
  <c r="K383" i="54"/>
  <c r="J383" i="54"/>
  <c r="I383" i="54"/>
  <c r="M383" i="54"/>
  <c r="L383" i="54"/>
  <c r="T384" i="54"/>
  <c r="S384" i="54"/>
  <c r="P384" i="54"/>
  <c r="R384" i="54"/>
  <c r="Q384" i="54"/>
  <c r="F383" i="54"/>
  <c r="C383" i="54"/>
  <c r="E383" i="54"/>
  <c r="D383" i="54"/>
  <c r="B383" i="54"/>
  <c r="D323" i="54"/>
  <c r="E323" i="54"/>
  <c r="F323" i="54"/>
  <c r="K334" i="54"/>
  <c r="L334" i="54"/>
  <c r="M334" i="54"/>
  <c r="L384" i="54"/>
  <c r="K384" i="54"/>
  <c r="J384" i="54"/>
  <c r="I384" i="54"/>
  <c r="M384" i="54"/>
  <c r="T385" i="54"/>
  <c r="Q385" i="54"/>
  <c r="S385" i="54"/>
  <c r="R385" i="54"/>
  <c r="P385" i="54"/>
  <c r="R327" i="54"/>
  <c r="S327" i="54"/>
  <c r="T327" i="54"/>
  <c r="B384" i="54"/>
  <c r="D384" i="54"/>
  <c r="F384" i="54"/>
  <c r="C384" i="54"/>
  <c r="E384" i="54"/>
  <c r="D324" i="54"/>
  <c r="E324" i="54"/>
  <c r="F324" i="54"/>
  <c r="R328" i="54"/>
  <c r="S328" i="54"/>
  <c r="T328" i="54"/>
  <c r="K335" i="54"/>
  <c r="L335" i="54"/>
  <c r="M335" i="54"/>
  <c r="P386" i="54"/>
  <c r="R386" i="54"/>
  <c r="S386" i="54"/>
  <c r="T386" i="54"/>
  <c r="Q386" i="54"/>
  <c r="C385" i="54"/>
  <c r="B385" i="54"/>
  <c r="E385" i="54"/>
  <c r="D385" i="54"/>
  <c r="F385" i="54"/>
  <c r="M385" i="54"/>
  <c r="L385" i="54"/>
  <c r="K385" i="54"/>
  <c r="J385" i="54"/>
  <c r="I385" i="54"/>
  <c r="D325" i="54"/>
  <c r="E325" i="54"/>
  <c r="F325" i="54"/>
  <c r="K336" i="54"/>
  <c r="L336" i="54"/>
  <c r="M336" i="54"/>
  <c r="R329" i="54"/>
  <c r="S329" i="54"/>
  <c r="T329" i="54"/>
  <c r="Q387" i="54"/>
  <c r="P387" i="54"/>
  <c r="S387" i="54"/>
  <c r="T387" i="54"/>
  <c r="R387" i="54"/>
  <c r="D386" i="54"/>
  <c r="C386" i="54"/>
  <c r="B386" i="54"/>
  <c r="F386" i="54"/>
  <c r="E386" i="54"/>
  <c r="M386" i="54"/>
  <c r="L386" i="54"/>
  <c r="K386" i="54"/>
  <c r="J386" i="54"/>
  <c r="I386" i="54"/>
  <c r="D326" i="54"/>
  <c r="E326" i="54"/>
  <c r="F326" i="54"/>
  <c r="R330" i="54"/>
  <c r="S330" i="54"/>
  <c r="T330" i="54"/>
  <c r="K337" i="54"/>
  <c r="L337" i="54"/>
  <c r="M337" i="54"/>
  <c r="E387" i="54"/>
  <c r="D387" i="54"/>
  <c r="C387" i="54"/>
  <c r="B387" i="54"/>
  <c r="F387" i="54"/>
  <c r="R388" i="54"/>
  <c r="Q388" i="54"/>
  <c r="P388" i="54"/>
  <c r="T388" i="54"/>
  <c r="S388" i="54"/>
  <c r="M387" i="54"/>
  <c r="L387" i="54"/>
  <c r="I387" i="54"/>
  <c r="K387" i="54"/>
  <c r="J387" i="54"/>
  <c r="D327" i="54"/>
  <c r="E327" i="54"/>
  <c r="F327" i="54"/>
  <c r="R331" i="54"/>
  <c r="S331" i="54"/>
  <c r="T331" i="54"/>
  <c r="K338" i="54"/>
  <c r="L338" i="54"/>
  <c r="M338" i="54"/>
  <c r="F388" i="54"/>
  <c r="E388" i="54"/>
  <c r="D388" i="54"/>
  <c r="C388" i="54"/>
  <c r="B388" i="54"/>
  <c r="S389" i="54"/>
  <c r="R389" i="54"/>
  <c r="Q389" i="54"/>
  <c r="P389" i="54"/>
  <c r="T389" i="54"/>
  <c r="M388" i="54"/>
  <c r="J388" i="54"/>
  <c r="L388" i="54"/>
  <c r="I388" i="54"/>
  <c r="K388" i="54"/>
  <c r="D328" i="54"/>
  <c r="E328" i="54"/>
  <c r="F328" i="54"/>
  <c r="K339" i="54"/>
  <c r="L339" i="54"/>
  <c r="M339" i="54"/>
  <c r="T390" i="54"/>
  <c r="S390" i="54"/>
  <c r="R390" i="54"/>
  <c r="Q390" i="54"/>
  <c r="P390" i="54"/>
  <c r="I389" i="54"/>
  <c r="K389" i="54"/>
  <c r="J389" i="54"/>
  <c r="M389" i="54"/>
  <c r="L389" i="54"/>
  <c r="R332" i="54"/>
  <c r="S332" i="54"/>
  <c r="T332" i="54"/>
  <c r="F389" i="54"/>
  <c r="E389" i="54"/>
  <c r="D389" i="54"/>
  <c r="C389" i="54"/>
  <c r="B389" i="54"/>
  <c r="D329" i="54"/>
  <c r="E329" i="54"/>
  <c r="F329" i="54"/>
  <c r="R333" i="54"/>
  <c r="S333" i="54"/>
  <c r="T333" i="54"/>
  <c r="K340" i="54"/>
  <c r="L340" i="54"/>
  <c r="M340" i="54"/>
  <c r="J390" i="54"/>
  <c r="I390" i="54"/>
  <c r="L390" i="54"/>
  <c r="M390" i="54"/>
  <c r="K390" i="54"/>
  <c r="F390" i="54"/>
  <c r="E390" i="54"/>
  <c r="B390" i="54"/>
  <c r="D390" i="54"/>
  <c r="C390" i="54"/>
  <c r="T391" i="54"/>
  <c r="S391" i="54"/>
  <c r="R391" i="54"/>
  <c r="Q391" i="54"/>
  <c r="P391" i="54"/>
  <c r="D330" i="54"/>
  <c r="E330" i="54"/>
  <c r="F330" i="54"/>
  <c r="R334" i="54"/>
  <c r="S334" i="54"/>
  <c r="T334" i="54"/>
  <c r="F391" i="54"/>
  <c r="C391" i="54"/>
  <c r="D391" i="54"/>
  <c r="E391" i="54"/>
  <c r="B391" i="54"/>
  <c r="K341" i="54"/>
  <c r="L341" i="54"/>
  <c r="M341" i="54"/>
  <c r="T392" i="54"/>
  <c r="S392" i="54"/>
  <c r="P392" i="54"/>
  <c r="R392" i="54"/>
  <c r="Q392" i="54"/>
  <c r="K391" i="54"/>
  <c r="J391" i="54"/>
  <c r="I391" i="54"/>
  <c r="M391" i="54"/>
  <c r="L391" i="54"/>
  <c r="D331" i="54"/>
  <c r="E331" i="54"/>
  <c r="F331" i="54"/>
  <c r="K342" i="54"/>
  <c r="L342" i="54"/>
  <c r="M342" i="54"/>
  <c r="R335" i="54"/>
  <c r="S335" i="54"/>
  <c r="T335" i="54"/>
  <c r="B392" i="54"/>
  <c r="D392" i="54"/>
  <c r="E392" i="54"/>
  <c r="C392" i="54"/>
  <c r="F392" i="54"/>
  <c r="T393" i="54"/>
  <c r="Q393" i="54"/>
  <c r="P393" i="54"/>
  <c r="S393" i="54"/>
  <c r="R393" i="54"/>
  <c r="L392" i="54"/>
  <c r="K392" i="54"/>
  <c r="J392" i="54"/>
  <c r="I392" i="54"/>
  <c r="M392" i="54"/>
  <c r="D332" i="54"/>
  <c r="E332" i="54"/>
  <c r="F332" i="54"/>
  <c r="R336" i="54"/>
  <c r="S336" i="54"/>
  <c r="T336" i="54"/>
  <c r="K343" i="54"/>
  <c r="L343" i="54"/>
  <c r="M343" i="54"/>
  <c r="C393" i="54"/>
  <c r="B393" i="54"/>
  <c r="E393" i="54"/>
  <c r="F393" i="54"/>
  <c r="D393" i="54"/>
  <c r="P394" i="54"/>
  <c r="R394" i="54"/>
  <c r="T394" i="54"/>
  <c r="S394" i="54"/>
  <c r="Q394" i="54"/>
  <c r="M393" i="54"/>
  <c r="L393" i="54"/>
  <c r="K393" i="54"/>
  <c r="J393" i="54"/>
  <c r="I393" i="54"/>
  <c r="D333" i="54"/>
  <c r="E333" i="54"/>
  <c r="F333" i="54"/>
  <c r="R337" i="54"/>
  <c r="S337" i="54"/>
  <c r="T337" i="54"/>
  <c r="K344" i="54"/>
  <c r="L344" i="54"/>
  <c r="M344" i="54"/>
  <c r="D394" i="54"/>
  <c r="C394" i="54"/>
  <c r="B394" i="54"/>
  <c r="F394" i="54"/>
  <c r="E394" i="54"/>
  <c r="Q395" i="54"/>
  <c r="P395" i="54"/>
  <c r="S395" i="54"/>
  <c r="T395" i="54"/>
  <c r="R395" i="54"/>
  <c r="M394" i="54"/>
  <c r="L394" i="54"/>
  <c r="K394" i="54"/>
  <c r="J394" i="54"/>
  <c r="I394" i="54"/>
  <c r="D334" i="54"/>
  <c r="E334" i="54"/>
  <c r="F334" i="54"/>
  <c r="R338" i="54"/>
  <c r="S338" i="54"/>
  <c r="T338" i="54"/>
  <c r="E395" i="54"/>
  <c r="D395" i="54"/>
  <c r="C395" i="54"/>
  <c r="B395" i="54"/>
  <c r="F395" i="54"/>
  <c r="M345" i="54"/>
  <c r="K345" i="54"/>
  <c r="L345" i="54"/>
  <c r="R396" i="54"/>
  <c r="Q396" i="54"/>
  <c r="P396" i="54"/>
  <c r="T396" i="54"/>
  <c r="S396" i="54"/>
  <c r="M395" i="54"/>
  <c r="L395" i="54"/>
  <c r="I395" i="54"/>
  <c r="J395" i="54"/>
  <c r="K395" i="54"/>
  <c r="D335" i="54"/>
  <c r="E335" i="54"/>
  <c r="F335" i="54"/>
  <c r="R339" i="54"/>
  <c r="S339" i="54"/>
  <c r="T339" i="54"/>
  <c r="K346" i="54"/>
  <c r="L346" i="54"/>
  <c r="M346" i="54"/>
  <c r="S397" i="54"/>
  <c r="R397" i="54"/>
  <c r="Q397" i="54"/>
  <c r="P397" i="54"/>
  <c r="T397" i="54"/>
  <c r="F396" i="54"/>
  <c r="E396" i="54"/>
  <c r="D396" i="54"/>
  <c r="C396" i="54"/>
  <c r="B396" i="54"/>
  <c r="M396" i="54"/>
  <c r="J396" i="54"/>
  <c r="K396" i="54"/>
  <c r="I396" i="54"/>
  <c r="L396" i="54"/>
  <c r="D336" i="54"/>
  <c r="E336" i="54"/>
  <c r="F336" i="54"/>
  <c r="R340" i="54"/>
  <c r="S340" i="54"/>
  <c r="T340" i="54"/>
  <c r="T398" i="54"/>
  <c r="S398" i="54"/>
  <c r="R398" i="54"/>
  <c r="Q398" i="54"/>
  <c r="P398" i="54"/>
  <c r="F397" i="54"/>
  <c r="E397" i="54"/>
  <c r="D397" i="54"/>
  <c r="C397" i="54"/>
  <c r="B397" i="54"/>
  <c r="K347" i="54"/>
  <c r="L347" i="54"/>
  <c r="M347" i="54"/>
  <c r="I397" i="54"/>
  <c r="K397" i="54"/>
  <c r="M397" i="54"/>
  <c r="L397" i="54"/>
  <c r="J397" i="54"/>
  <c r="D337" i="54"/>
  <c r="E337" i="54"/>
  <c r="F337" i="54"/>
  <c r="R341" i="54"/>
  <c r="S341" i="54"/>
  <c r="T341" i="54"/>
  <c r="K348" i="54"/>
  <c r="L348" i="54"/>
  <c r="M348" i="54"/>
  <c r="T399" i="54"/>
  <c r="S399" i="54"/>
  <c r="R399" i="54"/>
  <c r="P399" i="54"/>
  <c r="Q399" i="54"/>
  <c r="F398" i="54"/>
  <c r="E398" i="54"/>
  <c r="B398" i="54"/>
  <c r="D398" i="54"/>
  <c r="C398" i="54"/>
  <c r="J398" i="54"/>
  <c r="I398" i="54"/>
  <c r="L398" i="54"/>
  <c r="M398" i="54"/>
  <c r="K398" i="54"/>
  <c r="D338" i="54"/>
  <c r="E338" i="54"/>
  <c r="F338" i="54"/>
  <c r="K349" i="54"/>
  <c r="L349" i="54"/>
  <c r="M349" i="54"/>
  <c r="R342" i="54"/>
  <c r="S342" i="54"/>
  <c r="T342" i="54"/>
  <c r="K399" i="54"/>
  <c r="J399" i="54"/>
  <c r="I399" i="54"/>
  <c r="M399" i="54"/>
  <c r="L399" i="54"/>
  <c r="T400" i="54"/>
  <c r="S400" i="54"/>
  <c r="P400" i="54"/>
  <c r="Q400" i="54"/>
  <c r="R400" i="54"/>
  <c r="F399" i="54"/>
  <c r="C399" i="54"/>
  <c r="E399" i="54"/>
  <c r="D399" i="54"/>
  <c r="B399" i="54"/>
  <c r="D339" i="54"/>
  <c r="E339" i="54"/>
  <c r="F339" i="54"/>
  <c r="L400" i="54"/>
  <c r="K400" i="54"/>
  <c r="J400" i="54"/>
  <c r="I400" i="54"/>
  <c r="M400" i="54"/>
  <c r="T401" i="54"/>
  <c r="Q401" i="54"/>
  <c r="S401" i="54"/>
  <c r="R401" i="54"/>
  <c r="P401" i="54"/>
  <c r="K350" i="54"/>
  <c r="L350" i="54"/>
  <c r="M350" i="54"/>
  <c r="R343" i="54"/>
  <c r="S343" i="54"/>
  <c r="T343" i="54"/>
  <c r="B400" i="54"/>
  <c r="D400" i="54"/>
  <c r="F400" i="54"/>
  <c r="E400" i="54"/>
  <c r="C400" i="54"/>
  <c r="D340" i="54"/>
  <c r="E340" i="54"/>
  <c r="F340" i="54"/>
  <c r="R344" i="54"/>
  <c r="S344" i="54"/>
  <c r="T344" i="54"/>
  <c r="C401" i="54"/>
  <c r="B401" i="54"/>
  <c r="E401" i="54"/>
  <c r="D401" i="54"/>
  <c r="F401" i="54"/>
  <c r="M401" i="54"/>
  <c r="L401" i="54"/>
  <c r="K401" i="54"/>
  <c r="J401" i="54"/>
  <c r="I401" i="54"/>
  <c r="P402" i="54"/>
  <c r="R402" i="54"/>
  <c r="T402" i="54"/>
  <c r="S402" i="54"/>
  <c r="Q402" i="54"/>
  <c r="K351" i="54"/>
  <c r="L351" i="54"/>
  <c r="M351" i="54"/>
  <c r="D341" i="54"/>
  <c r="E341" i="54"/>
  <c r="F341" i="54"/>
  <c r="K352" i="54"/>
  <c r="L352" i="54"/>
  <c r="M352" i="54"/>
  <c r="M402" i="54"/>
  <c r="L402" i="54"/>
  <c r="K402" i="54"/>
  <c r="J402" i="54"/>
  <c r="I402" i="54"/>
  <c r="D402" i="54"/>
  <c r="C402" i="54"/>
  <c r="B402" i="54"/>
  <c r="F402" i="54"/>
  <c r="E402" i="54"/>
  <c r="Q403" i="54"/>
  <c r="P403" i="54"/>
  <c r="S403" i="54"/>
  <c r="T403" i="54"/>
  <c r="R403" i="54"/>
  <c r="R345" i="54"/>
  <c r="S345" i="54"/>
  <c r="T345" i="54"/>
  <c r="D342" i="54"/>
  <c r="E342" i="54"/>
  <c r="F342" i="54"/>
  <c r="R346" i="54"/>
  <c r="S346" i="54"/>
  <c r="T346" i="54"/>
  <c r="K353" i="54"/>
  <c r="L353" i="54"/>
  <c r="M353" i="54"/>
  <c r="M403" i="54"/>
  <c r="L403" i="54"/>
  <c r="I403" i="54"/>
  <c r="K403" i="54"/>
  <c r="J403" i="54"/>
  <c r="R404" i="54"/>
  <c r="Q404" i="54"/>
  <c r="P404" i="54"/>
  <c r="T404" i="54"/>
  <c r="S404" i="54"/>
  <c r="E403" i="54"/>
  <c r="D403" i="54"/>
  <c r="C403" i="54"/>
  <c r="B403" i="54"/>
  <c r="F403" i="54"/>
  <c r="D343" i="54"/>
  <c r="E343" i="54"/>
  <c r="F343" i="54"/>
  <c r="R347" i="54"/>
  <c r="S347" i="54"/>
  <c r="T347" i="54"/>
  <c r="M404" i="54"/>
  <c r="J404" i="54"/>
  <c r="L404" i="54"/>
  <c r="K404" i="54"/>
  <c r="I404" i="54"/>
  <c r="K354" i="54"/>
  <c r="L354" i="54"/>
  <c r="M354" i="54"/>
  <c r="S405" i="54"/>
  <c r="R405" i="54"/>
  <c r="Q405" i="54"/>
  <c r="P405" i="54"/>
  <c r="T405" i="54"/>
  <c r="F404" i="54"/>
  <c r="E404" i="54"/>
  <c r="D404" i="54"/>
  <c r="C404" i="54"/>
  <c r="B404" i="54"/>
  <c r="D344" i="54"/>
  <c r="E344" i="54"/>
  <c r="F344" i="54"/>
  <c r="K355" i="54"/>
  <c r="L355" i="54"/>
  <c r="M355" i="54"/>
  <c r="T406" i="54"/>
  <c r="S406" i="54"/>
  <c r="R406" i="54"/>
  <c r="Q406" i="54"/>
  <c r="P406" i="54"/>
  <c r="F405" i="54"/>
  <c r="E405" i="54"/>
  <c r="D405" i="54"/>
  <c r="B405" i="54"/>
  <c r="C405" i="54"/>
  <c r="I405" i="54"/>
  <c r="K405" i="54"/>
  <c r="M405" i="54"/>
  <c r="J405" i="54"/>
  <c r="L405" i="54"/>
  <c r="R348" i="54"/>
  <c r="S348" i="54"/>
  <c r="T348" i="54"/>
  <c r="D345" i="54"/>
  <c r="E345" i="54"/>
  <c r="F345" i="54"/>
  <c r="R349" i="54"/>
  <c r="S349" i="54"/>
  <c r="T349" i="54"/>
  <c r="K356" i="54"/>
  <c r="L356" i="54"/>
  <c r="M356" i="54"/>
  <c r="T407" i="54"/>
  <c r="S407" i="54"/>
  <c r="R407" i="54"/>
  <c r="Q407" i="54"/>
  <c r="P407" i="54"/>
  <c r="J406" i="54"/>
  <c r="I406" i="54"/>
  <c r="L406" i="54"/>
  <c r="K406" i="54"/>
  <c r="M406" i="54"/>
  <c r="F406" i="54"/>
  <c r="E406" i="54"/>
  <c r="B406" i="54"/>
  <c r="D406" i="54"/>
  <c r="C406" i="54"/>
  <c r="D346" i="54"/>
  <c r="E346" i="54"/>
  <c r="F346" i="54"/>
  <c r="K357" i="54"/>
  <c r="L357" i="54"/>
  <c r="M357" i="54"/>
  <c r="K407" i="54"/>
  <c r="J407" i="54"/>
  <c r="I407" i="54"/>
  <c r="M407" i="54"/>
  <c r="L407" i="54"/>
  <c r="R350" i="54"/>
  <c r="S350" i="54"/>
  <c r="T350" i="54"/>
  <c r="F407" i="54"/>
  <c r="C407" i="54"/>
  <c r="E407" i="54"/>
  <c r="D407" i="54"/>
  <c r="B407" i="54"/>
  <c r="T408" i="54"/>
  <c r="S408" i="54"/>
  <c r="P408" i="54"/>
  <c r="R408" i="54"/>
  <c r="Q408" i="54"/>
  <c r="D347" i="54"/>
  <c r="E347" i="54"/>
  <c r="F347" i="54"/>
  <c r="R351" i="54"/>
  <c r="S351" i="54"/>
  <c r="T351" i="54"/>
  <c r="K358" i="54"/>
  <c r="L358" i="54"/>
  <c r="M358" i="54"/>
  <c r="L408" i="54"/>
  <c r="K408" i="54"/>
  <c r="J408" i="54"/>
  <c r="I408" i="54"/>
  <c r="M408" i="54"/>
  <c r="B408" i="54"/>
  <c r="D408" i="54"/>
  <c r="E408" i="54"/>
  <c r="F408" i="54"/>
  <c r="C408" i="54"/>
  <c r="T409" i="54"/>
  <c r="Q409" i="54"/>
  <c r="S409" i="54"/>
  <c r="P409" i="54"/>
  <c r="R409" i="54"/>
  <c r="D348" i="54"/>
  <c r="E348" i="54"/>
  <c r="F348" i="54"/>
  <c r="K359" i="54"/>
  <c r="L359" i="54"/>
  <c r="M359" i="54"/>
  <c r="R352" i="54"/>
  <c r="S352" i="54"/>
  <c r="T352" i="54"/>
  <c r="M409" i="54"/>
  <c r="L409" i="54"/>
  <c r="K409" i="54"/>
  <c r="J409" i="54"/>
  <c r="I409" i="54"/>
  <c r="P410" i="54"/>
  <c r="R410" i="54"/>
  <c r="Q410" i="54"/>
  <c r="T410" i="54"/>
  <c r="S410" i="54"/>
  <c r="C409" i="54"/>
  <c r="B409" i="54"/>
  <c r="E409" i="54"/>
  <c r="F409" i="54"/>
  <c r="D409" i="54"/>
  <c r="D349" i="54"/>
  <c r="E349" i="54"/>
  <c r="F349" i="54"/>
  <c r="K360" i="54"/>
  <c r="L360" i="54"/>
  <c r="M360" i="54"/>
  <c r="R353" i="54"/>
  <c r="S353" i="54"/>
  <c r="T353" i="54"/>
  <c r="Q411" i="54"/>
  <c r="P411" i="54"/>
  <c r="S411" i="54"/>
  <c r="T411" i="54"/>
  <c r="R411" i="54"/>
  <c r="D410" i="54"/>
  <c r="C410" i="54"/>
  <c r="B410" i="54"/>
  <c r="F410" i="54"/>
  <c r="E410" i="54"/>
  <c r="M410" i="54"/>
  <c r="L410" i="54"/>
  <c r="K410" i="54"/>
  <c r="J410" i="54"/>
  <c r="I410" i="54"/>
  <c r="D350" i="54"/>
  <c r="E350" i="54"/>
  <c r="F350" i="54"/>
  <c r="K361" i="54"/>
  <c r="L361" i="54"/>
  <c r="M361" i="54"/>
  <c r="R412" i="54"/>
  <c r="Q412" i="54"/>
  <c r="P412" i="54"/>
  <c r="T412" i="54"/>
  <c r="S412" i="54"/>
  <c r="E411" i="54"/>
  <c r="D411" i="54"/>
  <c r="C411" i="54"/>
  <c r="B411" i="54"/>
  <c r="F411" i="54"/>
  <c r="R354" i="54"/>
  <c r="S354" i="54"/>
  <c r="T354" i="54"/>
  <c r="M411" i="54"/>
  <c r="L411" i="54"/>
  <c r="I411" i="54"/>
  <c r="K411" i="54"/>
  <c r="J411" i="54"/>
  <c r="D351" i="54"/>
  <c r="E351" i="54"/>
  <c r="F351" i="54"/>
  <c r="R355" i="54"/>
  <c r="S355" i="54"/>
  <c r="T355" i="54"/>
  <c r="K362" i="54"/>
  <c r="L362" i="54"/>
  <c r="M362" i="54"/>
  <c r="F412" i="54"/>
  <c r="E412" i="54"/>
  <c r="D412" i="54"/>
  <c r="C412" i="54"/>
  <c r="B412" i="54"/>
  <c r="S413" i="54"/>
  <c r="R413" i="54"/>
  <c r="Q413" i="54"/>
  <c r="P413" i="54"/>
  <c r="T413" i="54"/>
  <c r="M412" i="54"/>
  <c r="J412" i="54"/>
  <c r="K412" i="54"/>
  <c r="L412" i="54"/>
  <c r="I412" i="54"/>
  <c r="D352" i="54"/>
  <c r="E352" i="54"/>
  <c r="F352" i="54"/>
  <c r="K363" i="54"/>
  <c r="L363" i="54"/>
  <c r="M363" i="54"/>
  <c r="R356" i="54"/>
  <c r="S356" i="54"/>
  <c r="T356" i="54"/>
  <c r="T414" i="54"/>
  <c r="S414" i="54"/>
  <c r="R414" i="54"/>
  <c r="Q414" i="54"/>
  <c r="P414" i="54"/>
  <c r="I413" i="54"/>
  <c r="K413" i="54"/>
  <c r="L413" i="54"/>
  <c r="J413" i="54"/>
  <c r="M413" i="54"/>
  <c r="F413" i="54"/>
  <c r="E413" i="54"/>
  <c r="D413" i="54"/>
  <c r="C413" i="54"/>
  <c r="B413" i="54"/>
  <c r="D353" i="54"/>
  <c r="E353" i="54"/>
  <c r="F353" i="54"/>
  <c r="K364" i="54"/>
  <c r="L364" i="54"/>
  <c r="M364" i="54"/>
  <c r="R357" i="54"/>
  <c r="S357" i="54"/>
  <c r="T357" i="54"/>
  <c r="J414" i="54"/>
  <c r="I414" i="54"/>
  <c r="L414" i="54"/>
  <c r="M414" i="54"/>
  <c r="K414" i="54"/>
  <c r="F414" i="54"/>
  <c r="E414" i="54"/>
  <c r="B414" i="54"/>
  <c r="D414" i="54"/>
  <c r="C414" i="54"/>
  <c r="T415" i="54"/>
  <c r="S415" i="54"/>
  <c r="R415" i="54"/>
  <c r="Q415" i="54"/>
  <c r="P415" i="54"/>
  <c r="D354" i="54"/>
  <c r="E354" i="54"/>
  <c r="F354" i="54"/>
  <c r="K415" i="54"/>
  <c r="J415" i="54"/>
  <c r="I415" i="54"/>
  <c r="M415" i="54"/>
  <c r="L415" i="54"/>
  <c r="R358" i="54"/>
  <c r="S358" i="54"/>
  <c r="T358" i="54"/>
  <c r="T416" i="54"/>
  <c r="S416" i="54"/>
  <c r="P416" i="54"/>
  <c r="Q416" i="54"/>
  <c r="R416" i="54"/>
  <c r="K365" i="54"/>
  <c r="L365" i="54"/>
  <c r="M365" i="54"/>
  <c r="F415" i="54"/>
  <c r="C415" i="54"/>
  <c r="B415" i="54"/>
  <c r="E415" i="54"/>
  <c r="D415" i="54"/>
  <c r="D355" i="54"/>
  <c r="E355" i="54"/>
  <c r="F355" i="54"/>
  <c r="R359" i="54"/>
  <c r="S359" i="54"/>
  <c r="T359" i="54"/>
  <c r="K366" i="54"/>
  <c r="L366" i="54"/>
  <c r="M366" i="54"/>
  <c r="L416" i="54"/>
  <c r="K416" i="54"/>
  <c r="J416" i="54"/>
  <c r="I416" i="54"/>
  <c r="M416" i="54"/>
  <c r="T417" i="54"/>
  <c r="Q417" i="54"/>
  <c r="R417" i="54"/>
  <c r="P417" i="54"/>
  <c r="S417" i="54"/>
  <c r="B416" i="54"/>
  <c r="D416" i="54"/>
  <c r="F416" i="54"/>
  <c r="E416" i="54"/>
  <c r="C416" i="54"/>
  <c r="D356" i="54"/>
  <c r="E356" i="54"/>
  <c r="F356" i="54"/>
  <c r="K367" i="54"/>
  <c r="L367" i="54"/>
  <c r="M367" i="54"/>
  <c r="R360" i="54"/>
  <c r="S360" i="54"/>
  <c r="T360" i="54"/>
  <c r="P418" i="54"/>
  <c r="R418" i="54"/>
  <c r="T418" i="54"/>
  <c r="S418" i="54"/>
  <c r="Q418" i="54"/>
  <c r="C417" i="54"/>
  <c r="B417" i="54"/>
  <c r="E417" i="54"/>
  <c r="F417" i="54"/>
  <c r="D417" i="54"/>
  <c r="M417" i="54"/>
  <c r="L417" i="54"/>
  <c r="K417" i="54"/>
  <c r="J417" i="54"/>
  <c r="I417" i="54"/>
  <c r="D357" i="54"/>
  <c r="E357" i="54"/>
  <c r="F357" i="54"/>
  <c r="R361" i="54"/>
  <c r="S361" i="54"/>
  <c r="T361" i="54"/>
  <c r="K368" i="54"/>
  <c r="L368" i="54"/>
  <c r="M368" i="54"/>
  <c r="Q419" i="54"/>
  <c r="P419" i="54"/>
  <c r="S419" i="54"/>
  <c r="T419" i="54"/>
  <c r="R419" i="54"/>
  <c r="D418" i="54"/>
  <c r="C418" i="54"/>
  <c r="B418" i="54"/>
  <c r="F418" i="54"/>
  <c r="E418" i="54"/>
  <c r="M418" i="54"/>
  <c r="L418" i="54"/>
  <c r="K418" i="54"/>
  <c r="J418" i="54"/>
  <c r="I418" i="54"/>
  <c r="D358" i="54"/>
  <c r="E358" i="54"/>
  <c r="F358" i="54"/>
  <c r="K369" i="54"/>
  <c r="L369" i="54"/>
  <c r="M369" i="54"/>
  <c r="R362" i="54"/>
  <c r="S362" i="54"/>
  <c r="T362" i="54"/>
  <c r="R420" i="54"/>
  <c r="Q420" i="54"/>
  <c r="P420" i="54"/>
  <c r="T420" i="54"/>
  <c r="S420" i="54"/>
  <c r="E419" i="54"/>
  <c r="D419" i="54"/>
  <c r="C419" i="54"/>
  <c r="B419" i="54"/>
  <c r="F419" i="54"/>
  <c r="M419" i="54"/>
  <c r="L419" i="54"/>
  <c r="I419" i="54"/>
  <c r="K419" i="54"/>
  <c r="J419" i="54"/>
  <c r="D359" i="54"/>
  <c r="E359" i="54"/>
  <c r="F359" i="54"/>
  <c r="R363" i="54"/>
  <c r="S363" i="54"/>
  <c r="T363" i="54"/>
  <c r="K370" i="54"/>
  <c r="L370" i="54"/>
  <c r="M370" i="54"/>
  <c r="S421" i="54"/>
  <c r="R421" i="54"/>
  <c r="Q421" i="54"/>
  <c r="P421" i="54"/>
  <c r="T421" i="54"/>
  <c r="F420" i="54"/>
  <c r="E420" i="54"/>
  <c r="D420" i="54"/>
  <c r="C420" i="54"/>
  <c r="B420" i="54"/>
  <c r="M420" i="54"/>
  <c r="J420" i="54"/>
  <c r="L420" i="54"/>
  <c r="K420" i="54"/>
  <c r="I420" i="54"/>
  <c r="D360" i="54"/>
  <c r="E360" i="54"/>
  <c r="F360" i="54"/>
  <c r="K371" i="54"/>
  <c r="L371" i="54"/>
  <c r="M371" i="54"/>
  <c r="R364" i="54"/>
  <c r="S364" i="54"/>
  <c r="T364" i="54"/>
  <c r="F421" i="54"/>
  <c r="E421" i="54"/>
  <c r="D421" i="54"/>
  <c r="B421" i="54"/>
  <c r="C421" i="54"/>
  <c r="T422" i="54"/>
  <c r="S422" i="54"/>
  <c r="R422" i="54"/>
  <c r="Q422" i="54"/>
  <c r="P422" i="54"/>
  <c r="I421" i="54"/>
  <c r="K421" i="54"/>
  <c r="M421" i="54"/>
  <c r="L421" i="54"/>
  <c r="J421" i="54"/>
  <c r="D361" i="54"/>
  <c r="E361" i="54"/>
  <c r="F361" i="54"/>
  <c r="R365" i="54"/>
  <c r="S365" i="54"/>
  <c r="T365" i="54"/>
  <c r="K372" i="54"/>
  <c r="L372" i="54"/>
  <c r="M372" i="54"/>
  <c r="F422" i="54"/>
  <c r="E422" i="54"/>
  <c r="B422" i="54"/>
  <c r="C422" i="54"/>
  <c r="D422" i="54"/>
  <c r="T423" i="54"/>
  <c r="S423" i="54"/>
  <c r="R423" i="54"/>
  <c r="Q423" i="54"/>
  <c r="P423" i="54"/>
  <c r="J422" i="54"/>
  <c r="I422" i="54"/>
  <c r="L422" i="54"/>
  <c r="K422" i="54"/>
  <c r="M422" i="54"/>
  <c r="D362" i="54"/>
  <c r="E362" i="54"/>
  <c r="F362" i="54"/>
  <c r="R366" i="54"/>
  <c r="S366" i="54"/>
  <c r="T366" i="54"/>
  <c r="K423" i="54"/>
  <c r="J423" i="54"/>
  <c r="I423" i="54"/>
  <c r="M423" i="54"/>
  <c r="L423" i="54"/>
  <c r="F423" i="54"/>
  <c r="C423" i="54"/>
  <c r="E423" i="54"/>
  <c r="D423" i="54"/>
  <c r="B423" i="54"/>
  <c r="K373" i="54"/>
  <c r="L373" i="54"/>
  <c r="M373" i="54"/>
  <c r="T424" i="54"/>
  <c r="S424" i="54"/>
  <c r="P424" i="54"/>
  <c r="R424" i="54"/>
  <c r="Q424" i="54"/>
  <c r="D363" i="54"/>
  <c r="E363" i="54"/>
  <c r="F363" i="54"/>
  <c r="K374" i="54"/>
  <c r="L374" i="54"/>
  <c r="M374" i="54"/>
  <c r="R367" i="54"/>
  <c r="S367" i="54"/>
  <c r="T367" i="54"/>
  <c r="B424" i="54"/>
  <c r="D424" i="54"/>
  <c r="F424" i="54"/>
  <c r="E424" i="54"/>
  <c r="C424" i="54"/>
  <c r="L424" i="54"/>
  <c r="K424" i="54"/>
  <c r="J424" i="54"/>
  <c r="I424" i="54"/>
  <c r="M424" i="54"/>
  <c r="T425" i="54"/>
  <c r="Q425" i="54"/>
  <c r="S425" i="54"/>
  <c r="R425" i="54"/>
  <c r="P425" i="54"/>
  <c r="D364" i="54"/>
  <c r="E364" i="54"/>
  <c r="F364" i="54"/>
  <c r="R368" i="54"/>
  <c r="S368" i="54"/>
  <c r="T368" i="54"/>
  <c r="K375" i="54"/>
  <c r="L375" i="54"/>
  <c r="M375" i="54"/>
  <c r="C425" i="54"/>
  <c r="B425" i="54"/>
  <c r="E425" i="54"/>
  <c r="F425" i="54"/>
  <c r="D425" i="54"/>
  <c r="M425" i="54"/>
  <c r="L425" i="54"/>
  <c r="K425" i="54"/>
  <c r="J425" i="54"/>
  <c r="I425" i="54"/>
  <c r="P426" i="54"/>
  <c r="R426" i="54"/>
  <c r="T426" i="54"/>
  <c r="Q426" i="54"/>
  <c r="S426" i="54"/>
  <c r="D365" i="54"/>
  <c r="E365" i="54"/>
  <c r="F365" i="54"/>
  <c r="K376" i="54"/>
  <c r="L376" i="54"/>
  <c r="M376" i="54"/>
  <c r="R369" i="54"/>
  <c r="S369" i="54"/>
  <c r="T369" i="54"/>
  <c r="Q427" i="54"/>
  <c r="P427" i="54"/>
  <c r="S427" i="54"/>
  <c r="R427" i="54"/>
  <c r="T427" i="54"/>
  <c r="D426" i="54"/>
  <c r="C426" i="54"/>
  <c r="B426" i="54"/>
  <c r="F426" i="54"/>
  <c r="E426" i="54"/>
  <c r="M426" i="54"/>
  <c r="L426" i="54"/>
  <c r="K426" i="54"/>
  <c r="I426" i="54"/>
  <c r="J426" i="54"/>
  <c r="D366" i="54"/>
  <c r="E366" i="54"/>
  <c r="F366" i="54"/>
  <c r="K377" i="54"/>
  <c r="L377" i="54"/>
  <c r="M377" i="54"/>
  <c r="R370" i="54"/>
  <c r="S370" i="54"/>
  <c r="T370" i="54"/>
  <c r="E427" i="54"/>
  <c r="D427" i="54"/>
  <c r="C427" i="54"/>
  <c r="B427" i="54"/>
  <c r="F427" i="54"/>
  <c r="R428" i="54"/>
  <c r="Q428" i="54"/>
  <c r="P428" i="54"/>
  <c r="T428" i="54"/>
  <c r="S428" i="54"/>
  <c r="M427" i="54"/>
  <c r="L427" i="54"/>
  <c r="I427" i="54"/>
  <c r="K427" i="54"/>
  <c r="J427" i="54"/>
  <c r="D367" i="54"/>
  <c r="E367" i="54"/>
  <c r="F367" i="54"/>
  <c r="R371" i="54"/>
  <c r="S371" i="54"/>
  <c r="T371" i="54"/>
  <c r="F428" i="54"/>
  <c r="E428" i="54"/>
  <c r="D428" i="54"/>
  <c r="C428" i="54"/>
  <c r="B428" i="54"/>
  <c r="S429" i="54"/>
  <c r="R429" i="54"/>
  <c r="Q429" i="54"/>
  <c r="P429" i="54"/>
  <c r="T429" i="54"/>
  <c r="K378" i="54"/>
  <c r="L378" i="54"/>
  <c r="M378" i="54"/>
  <c r="M428" i="54"/>
  <c r="J428" i="54"/>
  <c r="L428" i="54"/>
  <c r="K428" i="54"/>
  <c r="I428" i="54"/>
  <c r="D368" i="54"/>
  <c r="E368" i="54"/>
  <c r="F368" i="54"/>
  <c r="T430" i="54"/>
  <c r="S430" i="54"/>
  <c r="R430" i="54"/>
  <c r="Q430" i="54"/>
  <c r="P430" i="54"/>
  <c r="F429" i="54"/>
  <c r="E429" i="54"/>
  <c r="D429" i="54"/>
  <c r="C429" i="54"/>
  <c r="B429" i="54"/>
  <c r="I429" i="54"/>
  <c r="K429" i="54"/>
  <c r="L429" i="54"/>
  <c r="M429" i="54"/>
  <c r="J429" i="54"/>
  <c r="R372" i="54"/>
  <c r="S372" i="54"/>
  <c r="T372" i="54"/>
  <c r="D369" i="54"/>
  <c r="E369" i="54"/>
  <c r="F369" i="54"/>
  <c r="T431" i="54"/>
  <c r="S431" i="54"/>
  <c r="R431" i="54"/>
  <c r="Q431" i="54"/>
  <c r="P431" i="54"/>
  <c r="J430" i="54"/>
  <c r="I430" i="54"/>
  <c r="L430" i="54"/>
  <c r="M430" i="54"/>
  <c r="K430" i="54"/>
  <c r="F430" i="54"/>
  <c r="E430" i="54"/>
  <c r="B430" i="54"/>
  <c r="D430" i="54"/>
  <c r="C430" i="54"/>
  <c r="R373" i="54"/>
  <c r="S373" i="54"/>
  <c r="T373" i="54"/>
  <c r="D370" i="54"/>
  <c r="E370" i="54"/>
  <c r="F370" i="54"/>
  <c r="R374" i="54"/>
  <c r="S374" i="54"/>
  <c r="T374" i="54"/>
  <c r="K431" i="54"/>
  <c r="J431" i="54"/>
  <c r="I431" i="54"/>
  <c r="M431" i="54"/>
  <c r="L431" i="54"/>
  <c r="F431" i="54"/>
  <c r="C431" i="54"/>
  <c r="E431" i="54"/>
  <c r="B431" i="54"/>
  <c r="D431" i="54"/>
  <c r="T432" i="54"/>
  <c r="S432" i="54"/>
  <c r="P432" i="54"/>
  <c r="R432" i="54"/>
  <c r="Q432" i="54"/>
  <c r="D371" i="54"/>
  <c r="E371" i="54"/>
  <c r="F371" i="54"/>
  <c r="R375" i="54"/>
  <c r="S375" i="54"/>
  <c r="T375" i="54"/>
  <c r="L432" i="54"/>
  <c r="K432" i="54"/>
  <c r="J432" i="54"/>
  <c r="I432" i="54"/>
  <c r="M432" i="54"/>
  <c r="T433" i="54"/>
  <c r="Q433" i="54"/>
  <c r="P433" i="54"/>
  <c r="S433" i="54"/>
  <c r="R433" i="54"/>
  <c r="B432" i="54"/>
  <c r="D432" i="54"/>
  <c r="C432" i="54"/>
  <c r="F432" i="54"/>
  <c r="E432" i="54"/>
  <c r="D372" i="54"/>
  <c r="E372" i="54"/>
  <c r="F372" i="54"/>
  <c r="R376" i="54"/>
  <c r="S376" i="54"/>
  <c r="T376" i="54"/>
  <c r="M433" i="54"/>
  <c r="L433" i="54"/>
  <c r="K433" i="54"/>
  <c r="J433" i="54"/>
  <c r="I433" i="54"/>
  <c r="P434" i="54"/>
  <c r="R434" i="54"/>
  <c r="Q434" i="54"/>
  <c r="T434" i="54"/>
  <c r="S434" i="54"/>
  <c r="C433" i="54"/>
  <c r="B433" i="54"/>
  <c r="E433" i="54"/>
  <c r="F433" i="54"/>
  <c r="D433" i="54"/>
  <c r="D373" i="54"/>
  <c r="E373" i="54"/>
  <c r="F373" i="54"/>
  <c r="R377" i="54"/>
  <c r="S377" i="54"/>
  <c r="T377" i="54"/>
  <c r="M434" i="54"/>
  <c r="L434" i="54"/>
  <c r="K434" i="54"/>
  <c r="J434" i="54"/>
  <c r="I434" i="54"/>
  <c r="D434" i="54"/>
  <c r="C434" i="54"/>
  <c r="B434" i="54"/>
  <c r="F434" i="54"/>
  <c r="E434" i="54"/>
  <c r="Q435" i="54"/>
  <c r="P435" i="54"/>
  <c r="S435" i="54"/>
  <c r="R435" i="54"/>
  <c r="T435" i="54"/>
  <c r="D374" i="54"/>
  <c r="E374" i="54"/>
  <c r="F374" i="54"/>
  <c r="R378" i="54"/>
  <c r="S378" i="54"/>
  <c r="T378" i="54"/>
  <c r="M435" i="54"/>
  <c r="L435" i="54"/>
  <c r="I435" i="54"/>
  <c r="K435" i="54"/>
  <c r="J435" i="54"/>
  <c r="E435" i="54"/>
  <c r="D435" i="54"/>
  <c r="C435" i="54"/>
  <c r="B435" i="54"/>
  <c r="F435" i="54"/>
  <c r="R436" i="54"/>
  <c r="Q436" i="54"/>
  <c r="P436" i="54"/>
  <c r="T436" i="54"/>
  <c r="S436" i="54"/>
  <c r="D375" i="54"/>
  <c r="E375" i="54"/>
  <c r="F375" i="54"/>
  <c r="S437" i="54"/>
  <c r="R437" i="54"/>
  <c r="Q437" i="54"/>
  <c r="P437" i="54"/>
  <c r="T437" i="54"/>
  <c r="F436" i="54"/>
  <c r="E436" i="54"/>
  <c r="D436" i="54"/>
  <c r="C436" i="54"/>
  <c r="B436" i="54"/>
  <c r="M436" i="54"/>
  <c r="J436" i="54"/>
  <c r="I436" i="54"/>
  <c r="L436" i="54"/>
  <c r="K436" i="54"/>
  <c r="D376" i="54"/>
  <c r="E376" i="54"/>
  <c r="F376" i="54"/>
  <c r="T438" i="54"/>
  <c r="S438" i="54"/>
  <c r="R438" i="54"/>
  <c r="Q438" i="54"/>
  <c r="P438" i="54"/>
  <c r="I437" i="54"/>
  <c r="K437" i="54"/>
  <c r="J437" i="54"/>
  <c r="M437" i="54"/>
  <c r="L437" i="54"/>
  <c r="F437" i="54"/>
  <c r="E437" i="54"/>
  <c r="D437" i="54"/>
  <c r="C437" i="54"/>
  <c r="B437" i="54"/>
  <c r="D377" i="54"/>
  <c r="E377" i="54"/>
  <c r="F377" i="54"/>
  <c r="T439" i="54"/>
  <c r="S439" i="54"/>
  <c r="R439" i="54"/>
  <c r="Q439" i="54"/>
  <c r="P439" i="54"/>
  <c r="F438" i="54"/>
  <c r="E438" i="54"/>
  <c r="B438" i="54"/>
  <c r="D438" i="54"/>
  <c r="C438" i="54"/>
  <c r="J438" i="54"/>
  <c r="I438" i="54"/>
  <c r="L438" i="54"/>
  <c r="K438" i="54"/>
  <c r="M438" i="54"/>
  <c r="D378" i="54"/>
  <c r="E378" i="54"/>
  <c r="F378" i="54"/>
  <c r="T440" i="54"/>
  <c r="S440" i="54"/>
  <c r="P440" i="54"/>
  <c r="R440" i="54"/>
  <c r="Q440" i="54"/>
  <c r="F439" i="54"/>
  <c r="C439" i="54"/>
  <c r="B439" i="54"/>
  <c r="E439" i="54"/>
  <c r="D439" i="54"/>
  <c r="K439" i="54"/>
  <c r="J439" i="54"/>
  <c r="I439" i="54"/>
  <c r="M439" i="54"/>
  <c r="L439" i="54"/>
  <c r="B440" i="54"/>
  <c r="D440" i="54"/>
  <c r="C440" i="54"/>
  <c r="F440" i="54"/>
  <c r="E440" i="54"/>
  <c r="T441" i="54"/>
  <c r="Q441" i="54"/>
  <c r="P441" i="54"/>
  <c r="S441" i="54"/>
  <c r="R441" i="54"/>
  <c r="L440" i="54"/>
  <c r="K440" i="54"/>
  <c r="J440" i="54"/>
  <c r="I440" i="54"/>
  <c r="M440" i="54"/>
  <c r="M441" i="54"/>
  <c r="L441" i="54"/>
  <c r="K441" i="54"/>
  <c r="J441" i="54"/>
  <c r="I441" i="54"/>
  <c r="P442" i="54"/>
  <c r="R442" i="54"/>
  <c r="Q442" i="54"/>
  <c r="T442" i="54"/>
  <c r="S442" i="54"/>
  <c r="C441" i="54"/>
  <c r="B441" i="54"/>
  <c r="E441" i="54"/>
  <c r="D441" i="54"/>
  <c r="F441" i="54"/>
  <c r="D442" i="54"/>
  <c r="C442" i="54"/>
  <c r="B442" i="54"/>
  <c r="F442" i="54"/>
  <c r="E442" i="54"/>
  <c r="Q443" i="54"/>
  <c r="P443" i="54"/>
  <c r="S443" i="54"/>
  <c r="R443" i="54"/>
  <c r="T443" i="54"/>
  <c r="M442" i="54"/>
  <c r="L442" i="54"/>
  <c r="K442" i="54"/>
  <c r="J442" i="54"/>
  <c r="I442" i="54"/>
  <c r="M443" i="54"/>
  <c r="L443" i="54"/>
  <c r="I443" i="54"/>
  <c r="K443" i="54"/>
  <c r="J443" i="54"/>
  <c r="E443" i="54"/>
  <c r="D443" i="54"/>
  <c r="C443" i="54"/>
  <c r="B443" i="54"/>
  <c r="F443" i="54"/>
  <c r="R444" i="54"/>
  <c r="Q444" i="54"/>
  <c r="P444" i="54"/>
  <c r="T444" i="54"/>
  <c r="S444" i="54"/>
  <c r="M444" i="54"/>
  <c r="J444" i="54"/>
  <c r="I444" i="54"/>
  <c r="L444" i="54"/>
  <c r="K444" i="54"/>
  <c r="S445" i="54"/>
  <c r="R445" i="54"/>
  <c r="Q445" i="54"/>
  <c r="P445" i="54"/>
  <c r="T445" i="54"/>
  <c r="F444" i="54"/>
  <c r="E444" i="54"/>
  <c r="D444" i="54"/>
  <c r="C444" i="54"/>
  <c r="B444" i="54"/>
  <c r="I445" i="54"/>
  <c r="K445" i="54"/>
  <c r="J445" i="54"/>
  <c r="M445" i="54"/>
  <c r="L445" i="54"/>
  <c r="F445" i="54"/>
  <c r="E445" i="54"/>
  <c r="D445" i="54"/>
  <c r="C445" i="54"/>
  <c r="B445" i="54"/>
  <c r="T446" i="54"/>
  <c r="S446" i="54"/>
  <c r="R446" i="54"/>
  <c r="Q446" i="54"/>
  <c r="P446" i="54"/>
  <c r="T447" i="54"/>
  <c r="S447" i="54"/>
  <c r="R447" i="54"/>
  <c r="Q447" i="54"/>
  <c r="P447" i="54"/>
  <c r="F446" i="54"/>
  <c r="E446" i="54"/>
  <c r="B446" i="54"/>
  <c r="D446" i="54"/>
  <c r="C446" i="54"/>
  <c r="J446" i="54"/>
  <c r="I446" i="54"/>
  <c r="L446" i="54"/>
  <c r="K446" i="54"/>
  <c r="M446" i="54"/>
  <c r="T448" i="54"/>
  <c r="S448" i="54"/>
  <c r="P448" i="54"/>
  <c r="R448" i="54"/>
  <c r="Q448" i="54"/>
  <c r="K447" i="54"/>
  <c r="J447" i="54"/>
  <c r="I447" i="54"/>
  <c r="M447" i="54"/>
  <c r="L447" i="54"/>
  <c r="F447" i="54"/>
  <c r="C447" i="54"/>
  <c r="B447" i="54"/>
  <c r="E447" i="54"/>
  <c r="D447" i="54"/>
  <c r="T449" i="54"/>
  <c r="Q449" i="54"/>
  <c r="P449" i="54"/>
  <c r="S449" i="54"/>
  <c r="R449" i="54"/>
  <c r="B448" i="54"/>
  <c r="D448" i="54"/>
  <c r="C448" i="54"/>
  <c r="F448" i="54"/>
  <c r="E448" i="54"/>
  <c r="L448" i="54"/>
  <c r="K448" i="54"/>
  <c r="J448" i="54"/>
  <c r="I448" i="54"/>
  <c r="M448" i="54"/>
  <c r="C449" i="54"/>
  <c r="B449" i="54"/>
  <c r="E449" i="54"/>
  <c r="D449" i="54"/>
  <c r="F449" i="54"/>
  <c r="P450" i="54"/>
  <c r="R450" i="54"/>
  <c r="Q450" i="54"/>
  <c r="T450" i="54"/>
  <c r="S450" i="54"/>
  <c r="M449" i="54"/>
  <c r="L449" i="54"/>
  <c r="K449" i="54"/>
  <c r="J449" i="54"/>
  <c r="I449" i="54"/>
  <c r="M450" i="54"/>
  <c r="L450" i="54"/>
  <c r="K450" i="54"/>
  <c r="J450" i="54"/>
  <c r="I450" i="54"/>
  <c r="Q451" i="54"/>
  <c r="P451" i="54"/>
  <c r="S451" i="54"/>
  <c r="R451" i="54"/>
  <c r="T451" i="54"/>
  <c r="D450" i="54"/>
  <c r="C450" i="54"/>
  <c r="B450" i="54"/>
  <c r="F450" i="54"/>
  <c r="E450" i="54"/>
  <c r="M451" i="54"/>
  <c r="L451" i="54"/>
  <c r="I451" i="54"/>
  <c r="K451" i="54"/>
  <c r="J451" i="54"/>
  <c r="E451" i="54"/>
  <c r="D451" i="54"/>
  <c r="C451" i="54"/>
  <c r="B451" i="54"/>
  <c r="F451" i="54"/>
  <c r="R452" i="54"/>
  <c r="Q452" i="54"/>
  <c r="P452" i="54"/>
  <c r="T452" i="54"/>
  <c r="S452" i="54"/>
  <c r="S453" i="54"/>
  <c r="R453" i="54"/>
  <c r="Q453" i="54"/>
  <c r="P453" i="54"/>
  <c r="T453" i="54"/>
  <c r="M452" i="54"/>
  <c r="J452" i="54"/>
  <c r="I452" i="54"/>
  <c r="L452" i="54"/>
  <c r="K452" i="54"/>
  <c r="F452" i="54"/>
  <c r="E452" i="54"/>
  <c r="D452" i="54"/>
  <c r="C452" i="54"/>
  <c r="B452" i="54"/>
  <c r="T454" i="54"/>
  <c r="S454" i="54"/>
  <c r="R454" i="54"/>
  <c r="Q454" i="54"/>
  <c r="P454" i="54"/>
  <c r="I453" i="54"/>
  <c r="K453" i="54"/>
  <c r="J453" i="54"/>
  <c r="M453" i="54"/>
  <c r="L453" i="54"/>
  <c r="F453" i="54"/>
  <c r="E453" i="54"/>
  <c r="D453" i="54"/>
  <c r="C453" i="54"/>
  <c r="B453" i="54"/>
  <c r="T455" i="54"/>
  <c r="S455" i="54"/>
  <c r="R455" i="54"/>
  <c r="Q455" i="54"/>
  <c r="P455" i="54"/>
  <c r="J454" i="54"/>
  <c r="I454" i="54"/>
  <c r="L454" i="54"/>
  <c r="K454" i="54"/>
  <c r="M454" i="54"/>
  <c r="F454" i="54"/>
  <c r="E454" i="54"/>
  <c r="B454" i="54"/>
  <c r="D454" i="54"/>
  <c r="C454" i="54"/>
  <c r="F455" i="54"/>
  <c r="C455" i="54"/>
  <c r="B455" i="54"/>
  <c r="E455" i="54"/>
  <c r="D455" i="54"/>
  <c r="T456" i="54"/>
  <c r="S456" i="54"/>
  <c r="P456" i="54"/>
  <c r="R456" i="54"/>
  <c r="Q456" i="54"/>
  <c r="K455" i="54"/>
  <c r="J455" i="54"/>
  <c r="I455" i="54"/>
  <c r="M455" i="54"/>
  <c r="L455" i="54"/>
  <c r="L456" i="54"/>
  <c r="K456" i="54"/>
  <c r="J456" i="54"/>
  <c r="I456" i="54"/>
  <c r="M456" i="54"/>
  <c r="B456" i="54"/>
  <c r="D456" i="54"/>
  <c r="C456" i="54"/>
  <c r="F456" i="54"/>
  <c r="E456" i="54"/>
  <c r="Q457" i="54"/>
  <c r="R457" i="54"/>
  <c r="P457" i="54"/>
  <c r="T457" i="54"/>
  <c r="S457" i="54"/>
  <c r="M457" i="54"/>
  <c r="L457" i="54"/>
  <c r="K457" i="54"/>
  <c r="J457" i="54"/>
  <c r="I457" i="54"/>
  <c r="C457" i="54"/>
  <c r="B457" i="54"/>
  <c r="E457" i="54"/>
  <c r="D457" i="54"/>
  <c r="F457" i="54"/>
  <c r="T458" i="54"/>
  <c r="S458" i="54"/>
  <c r="R458" i="54"/>
  <c r="P458" i="54"/>
  <c r="Q458" i="54"/>
  <c r="L458" i="54"/>
  <c r="K458" i="54"/>
  <c r="J458" i="54"/>
  <c r="I458" i="54"/>
  <c r="M458" i="54"/>
  <c r="T459" i="54"/>
  <c r="S459" i="54"/>
  <c r="Q459" i="54"/>
  <c r="R459" i="54"/>
  <c r="P459" i="54"/>
  <c r="F458" i="54"/>
  <c r="D458" i="54"/>
  <c r="E458" i="54"/>
  <c r="C458" i="54"/>
  <c r="B458" i="54"/>
  <c r="M459" i="54"/>
  <c r="L459" i="54"/>
  <c r="K459" i="54"/>
  <c r="J459" i="54"/>
  <c r="I459" i="54"/>
  <c r="C459" i="54"/>
  <c r="B459" i="54"/>
  <c r="E459" i="54"/>
  <c r="D459" i="54"/>
  <c r="F459" i="54"/>
  <c r="P460" i="54"/>
  <c r="T460" i="54"/>
  <c r="R460" i="54"/>
  <c r="Q460" i="54"/>
  <c r="S460" i="54"/>
  <c r="M460" i="54"/>
  <c r="L460" i="54"/>
  <c r="K460" i="54"/>
  <c r="J460" i="54"/>
  <c r="I460" i="54"/>
  <c r="D460" i="54"/>
  <c r="C460" i="54"/>
  <c r="B460" i="54"/>
  <c r="F460" i="54"/>
  <c r="E460" i="54"/>
  <c r="Q461" i="54"/>
  <c r="P461" i="54"/>
  <c r="S461" i="54"/>
  <c r="T461" i="54"/>
  <c r="R461" i="54"/>
  <c r="M461" i="54"/>
  <c r="L461" i="54"/>
  <c r="K461" i="54"/>
  <c r="I461" i="54"/>
  <c r="J461" i="54"/>
  <c r="E461" i="54"/>
  <c r="D461" i="54"/>
  <c r="C461" i="54"/>
  <c r="B461" i="54"/>
  <c r="F461" i="54"/>
  <c r="R462" i="54"/>
  <c r="Q462" i="54"/>
  <c r="P462" i="54"/>
  <c r="T462" i="54"/>
  <c r="S462" i="54"/>
  <c r="M462" i="54"/>
  <c r="L462" i="54"/>
  <c r="J462" i="54"/>
  <c r="K462" i="54"/>
  <c r="I462" i="54"/>
  <c r="S463" i="54"/>
  <c r="R463" i="54"/>
  <c r="Q463" i="54"/>
  <c r="P463" i="54"/>
  <c r="T463" i="54"/>
  <c r="F462" i="54"/>
  <c r="E462" i="54"/>
  <c r="D462" i="54"/>
  <c r="C462" i="54"/>
  <c r="B462" i="54"/>
  <c r="I463" i="54"/>
  <c r="M463" i="54"/>
  <c r="K463" i="54"/>
  <c r="J463" i="54"/>
  <c r="L463" i="54"/>
  <c r="F463" i="54"/>
  <c r="E463" i="54"/>
  <c r="D463" i="54"/>
  <c r="C463" i="54"/>
  <c r="B463" i="54"/>
  <c r="T464" i="54"/>
  <c r="S464" i="54"/>
  <c r="R464" i="54"/>
  <c r="Q464" i="54"/>
  <c r="P464" i="54"/>
  <c r="T465" i="54"/>
  <c r="S465" i="54"/>
  <c r="R465" i="54"/>
  <c r="Q465" i="54"/>
  <c r="P465" i="54"/>
  <c r="F464" i="54"/>
  <c r="E464" i="54"/>
  <c r="D464" i="54"/>
  <c r="B464" i="54"/>
  <c r="C464" i="54"/>
  <c r="J464" i="54"/>
  <c r="I464" i="54"/>
  <c r="L464" i="54"/>
  <c r="M464" i="54"/>
  <c r="K464" i="54"/>
  <c r="T466" i="54"/>
  <c r="S466" i="54"/>
  <c r="R466" i="54"/>
  <c r="P466" i="54"/>
  <c r="Q466" i="54"/>
  <c r="K465" i="54"/>
  <c r="J465" i="54"/>
  <c r="I465" i="54"/>
  <c r="M465" i="54"/>
  <c r="L465" i="54"/>
  <c r="F465" i="54"/>
  <c r="E465" i="54"/>
  <c r="C465" i="54"/>
  <c r="B465" i="54"/>
  <c r="D465" i="54"/>
  <c r="T467" i="54"/>
  <c r="S467" i="54"/>
  <c r="Q467" i="54"/>
  <c r="P467" i="54"/>
  <c r="R467" i="54"/>
  <c r="L466" i="54"/>
  <c r="K466" i="54"/>
  <c r="J466" i="54"/>
  <c r="I466" i="54"/>
  <c r="M466" i="54"/>
  <c r="B466" i="54"/>
  <c r="F466" i="54"/>
  <c r="D466" i="54"/>
  <c r="E466" i="54"/>
  <c r="C466" i="54"/>
  <c r="P468" i="54"/>
  <c r="T468" i="54"/>
  <c r="R468" i="54"/>
  <c r="S468" i="54"/>
  <c r="Q468" i="54"/>
  <c r="C467" i="54"/>
  <c r="B467" i="54"/>
  <c r="E467" i="54"/>
  <c r="D467" i="54"/>
  <c r="F467" i="54"/>
  <c r="M467" i="54"/>
  <c r="L467" i="54"/>
  <c r="K467" i="54"/>
  <c r="J467" i="54"/>
  <c r="I467" i="54"/>
  <c r="D468" i="54"/>
  <c r="C468" i="54"/>
  <c r="B468" i="54"/>
  <c r="F468" i="54"/>
  <c r="E468" i="54"/>
  <c r="M468" i="54"/>
  <c r="L468" i="54"/>
  <c r="K468" i="54"/>
  <c r="J468" i="54"/>
  <c r="I468" i="54"/>
  <c r="Q469" i="54"/>
  <c r="P469" i="54"/>
  <c r="S469" i="54"/>
  <c r="R469" i="54"/>
  <c r="T469" i="54"/>
  <c r="R470" i="54"/>
  <c r="Q470" i="54"/>
  <c r="P470" i="54"/>
  <c r="T470" i="54"/>
  <c r="S470" i="54"/>
  <c r="E469" i="54"/>
  <c r="D469" i="54"/>
  <c r="C469" i="54"/>
  <c r="B469" i="54"/>
  <c r="F469" i="54"/>
  <c r="M469" i="54"/>
  <c r="L469" i="54"/>
  <c r="K469" i="54"/>
  <c r="I469" i="54"/>
  <c r="J469" i="54"/>
  <c r="F470" i="54"/>
  <c r="E470" i="54"/>
  <c r="D470" i="54"/>
  <c r="C470" i="54"/>
  <c r="B470" i="54"/>
  <c r="M470" i="54"/>
  <c r="L470" i="54"/>
  <c r="J470" i="54"/>
  <c r="K470" i="54"/>
  <c r="I470" i="54"/>
  <c r="S471" i="54"/>
  <c r="R471" i="54"/>
  <c r="Q471" i="54"/>
  <c r="P471" i="54"/>
  <c r="T471" i="54"/>
  <c r="T472" i="54"/>
  <c r="S472" i="54"/>
  <c r="R472" i="54"/>
  <c r="Q472" i="54"/>
  <c r="P472" i="54"/>
  <c r="F471" i="54"/>
  <c r="E471" i="54"/>
  <c r="D471" i="54"/>
  <c r="C471" i="54"/>
  <c r="B471" i="54"/>
  <c r="I471" i="54"/>
  <c r="M471" i="54"/>
  <c r="K471" i="54"/>
  <c r="J471" i="54"/>
  <c r="L471" i="54"/>
  <c r="J472" i="54"/>
  <c r="I472" i="54"/>
  <c r="L472" i="54"/>
  <c r="M472" i="54"/>
  <c r="K472" i="54"/>
  <c r="F472" i="54"/>
  <c r="E472" i="54"/>
  <c r="D472" i="54"/>
  <c r="B472" i="54"/>
  <c r="C472" i="54"/>
  <c r="T473" i="54"/>
  <c r="S473" i="54"/>
  <c r="R473" i="54"/>
  <c r="Q473" i="54"/>
  <c r="P473" i="54"/>
  <c r="T474" i="54"/>
  <c r="S474" i="54"/>
  <c r="R474" i="54"/>
  <c r="P474" i="54"/>
  <c r="Q474" i="54"/>
  <c r="K473" i="54"/>
  <c r="J473" i="54"/>
  <c r="I473" i="54"/>
  <c r="M473" i="54"/>
  <c r="L473" i="54"/>
  <c r="F473" i="54"/>
  <c r="E473" i="54"/>
  <c r="C473" i="54"/>
  <c r="D473" i="54"/>
  <c r="B473" i="54"/>
  <c r="L474" i="54"/>
  <c r="K474" i="54"/>
  <c r="J474" i="54"/>
  <c r="I474" i="54"/>
  <c r="M474" i="54"/>
  <c r="T475" i="54"/>
  <c r="S475" i="54"/>
  <c r="Q475" i="54"/>
  <c r="P475" i="54"/>
  <c r="R475" i="54"/>
  <c r="B474" i="54"/>
  <c r="F474" i="54"/>
  <c r="D474" i="54"/>
  <c r="C474" i="54"/>
  <c r="E474" i="54"/>
  <c r="M475" i="54"/>
  <c r="L475" i="54"/>
  <c r="K475" i="54"/>
  <c r="J475" i="54"/>
  <c r="I475" i="54"/>
  <c r="C475" i="54"/>
  <c r="B475" i="54"/>
  <c r="E475" i="54"/>
  <c r="F475" i="54"/>
  <c r="D475" i="54"/>
  <c r="P476" i="54"/>
  <c r="T476" i="54"/>
  <c r="R476" i="54"/>
  <c r="S476" i="54"/>
  <c r="Q476" i="54"/>
  <c r="D476" i="54"/>
  <c r="C476" i="54"/>
  <c r="B476" i="54"/>
  <c r="F476" i="54"/>
  <c r="E476" i="54"/>
  <c r="M476" i="54"/>
  <c r="L476" i="54"/>
  <c r="K476" i="54"/>
  <c r="J476" i="54"/>
  <c r="I476" i="54"/>
  <c r="Q477" i="54"/>
  <c r="P477" i="54"/>
  <c r="S477" i="54"/>
  <c r="R477" i="54"/>
  <c r="T477" i="54"/>
  <c r="R478" i="54"/>
  <c r="Q478" i="54"/>
  <c r="P478" i="54"/>
  <c r="T478" i="54"/>
  <c r="S478" i="54"/>
  <c r="E477" i="54"/>
  <c r="D477" i="54"/>
  <c r="C477" i="54"/>
  <c r="B477" i="54"/>
  <c r="F477" i="54"/>
  <c r="M477" i="54"/>
  <c r="L477" i="54"/>
  <c r="K477" i="54"/>
  <c r="I477" i="54"/>
  <c r="J477" i="54"/>
  <c r="M478" i="54"/>
  <c r="L478" i="54"/>
  <c r="J478" i="54"/>
  <c r="I478" i="54"/>
  <c r="K478" i="54"/>
  <c r="S479" i="54"/>
  <c r="R479" i="54"/>
  <c r="Q479" i="54"/>
  <c r="P479" i="54"/>
  <c r="T479" i="54"/>
  <c r="F478" i="54"/>
  <c r="E478" i="54"/>
  <c r="D478" i="54"/>
  <c r="C478" i="54"/>
  <c r="B478" i="54"/>
  <c r="F479" i="54"/>
  <c r="E479" i="54"/>
  <c r="D479" i="54"/>
  <c r="C479" i="54"/>
  <c r="B479" i="54"/>
  <c r="I479" i="54"/>
  <c r="M479" i="54"/>
  <c r="K479" i="54"/>
  <c r="L479" i="54"/>
  <c r="J479" i="54"/>
  <c r="T480" i="54"/>
  <c r="S480" i="54"/>
  <c r="R480" i="54"/>
  <c r="Q480" i="54"/>
  <c r="P480" i="54"/>
  <c r="T481" i="54"/>
  <c r="S481" i="54"/>
  <c r="R481" i="54"/>
  <c r="Q481" i="54"/>
  <c r="P481" i="54"/>
  <c r="F480" i="54"/>
  <c r="E480" i="54"/>
  <c r="D480" i="54"/>
  <c r="B480" i="54"/>
  <c r="C480" i="54"/>
  <c r="J480" i="54"/>
  <c r="I480" i="54"/>
  <c r="L480" i="54"/>
  <c r="K480" i="54"/>
  <c r="M480" i="54"/>
  <c r="T482" i="54"/>
  <c r="S482" i="54"/>
  <c r="R482" i="54"/>
  <c r="P482" i="54"/>
  <c r="Q482" i="54"/>
  <c r="K481" i="54"/>
  <c r="J481" i="54"/>
  <c r="I481" i="54"/>
  <c r="M481" i="54"/>
  <c r="L481" i="54"/>
  <c r="F481" i="54"/>
  <c r="E481" i="54"/>
  <c r="C481" i="54"/>
  <c r="D481" i="54"/>
  <c r="B481" i="54"/>
  <c r="T483" i="54"/>
  <c r="S483" i="54"/>
  <c r="Q483" i="54"/>
  <c r="R483" i="54"/>
  <c r="P483" i="54"/>
  <c r="B482" i="54"/>
  <c r="F482" i="54"/>
  <c r="D482" i="54"/>
  <c r="C482" i="54"/>
  <c r="E482" i="54"/>
  <c r="L482" i="54"/>
  <c r="K482" i="54"/>
  <c r="J482" i="54"/>
  <c r="I482" i="54"/>
  <c r="M482" i="54"/>
  <c r="P484" i="54"/>
  <c r="T484" i="54"/>
  <c r="R484" i="54"/>
  <c r="Q484" i="54"/>
  <c r="S484" i="54"/>
  <c r="C483" i="54"/>
  <c r="B483" i="54"/>
  <c r="E483" i="54"/>
  <c r="F483" i="54"/>
  <c r="D483" i="54"/>
  <c r="M483" i="54"/>
  <c r="L483" i="54"/>
  <c r="K483" i="54"/>
  <c r="J483" i="54"/>
  <c r="I483" i="54"/>
  <c r="D484" i="54"/>
  <c r="C484" i="54"/>
  <c r="B484" i="54"/>
  <c r="F484" i="54"/>
  <c r="E484" i="54"/>
  <c r="M484" i="54"/>
  <c r="L484" i="54"/>
  <c r="K484" i="54"/>
  <c r="J484" i="54"/>
  <c r="I484" i="54"/>
  <c r="Q485" i="54"/>
  <c r="P485" i="54"/>
  <c r="S485" i="54"/>
  <c r="T485" i="54"/>
  <c r="R485" i="54"/>
  <c r="R486" i="54"/>
  <c r="Q486" i="54"/>
  <c r="P486" i="54"/>
  <c r="T486" i="54"/>
  <c r="S486" i="54"/>
  <c r="E485" i="54"/>
  <c r="D485" i="54"/>
  <c r="C485" i="54"/>
  <c r="B485" i="54"/>
  <c r="F485" i="54"/>
  <c r="M485" i="54"/>
  <c r="L485" i="54"/>
  <c r="K485" i="54"/>
  <c r="I485" i="54"/>
  <c r="J485" i="54"/>
  <c r="M486" i="54"/>
  <c r="L486" i="54"/>
  <c r="J486" i="54"/>
  <c r="I486" i="54"/>
  <c r="K486" i="54"/>
  <c r="S487" i="54"/>
  <c r="R487" i="54"/>
  <c r="Q487" i="54"/>
  <c r="P487" i="54"/>
  <c r="T487" i="54"/>
  <c r="F486" i="54"/>
  <c r="E486" i="54"/>
  <c r="D486" i="54"/>
  <c r="C486" i="54"/>
  <c r="B486" i="54"/>
  <c r="F487" i="54"/>
  <c r="E487" i="54"/>
  <c r="D487" i="54"/>
  <c r="C487" i="54"/>
  <c r="B487" i="54"/>
  <c r="I487" i="54"/>
  <c r="M487" i="54"/>
  <c r="K487" i="54"/>
  <c r="L487" i="54"/>
  <c r="J487" i="54"/>
  <c r="T488" i="54"/>
  <c r="S488" i="54"/>
  <c r="R488" i="54"/>
  <c r="Q488" i="54"/>
  <c r="P488" i="54"/>
  <c r="F488" i="54"/>
  <c r="E488" i="54"/>
  <c r="D488" i="54"/>
  <c r="B488" i="54"/>
  <c r="C488" i="54"/>
  <c r="T489" i="54"/>
  <c r="S489" i="54"/>
  <c r="R489" i="54"/>
  <c r="Q489" i="54"/>
  <c r="P489" i="54"/>
  <c r="J488" i="54"/>
  <c r="I488" i="54"/>
  <c r="L488" i="54"/>
  <c r="K488" i="54"/>
  <c r="M488" i="54"/>
  <c r="K489" i="54"/>
  <c r="J489" i="54"/>
  <c r="I489" i="54"/>
  <c r="M489" i="54"/>
  <c r="L489" i="54"/>
  <c r="F489" i="54"/>
  <c r="E489" i="54"/>
  <c r="C489" i="54"/>
  <c r="B489" i="54"/>
  <c r="D489" i="54"/>
  <c r="T490" i="54"/>
  <c r="S490" i="54"/>
  <c r="R490" i="54"/>
  <c r="P490" i="54"/>
  <c r="Q490" i="54"/>
  <c r="L490" i="54"/>
  <c r="K490" i="54"/>
  <c r="J490" i="54"/>
  <c r="I490" i="54"/>
  <c r="M490" i="54"/>
  <c r="T491" i="54"/>
  <c r="S491" i="54"/>
  <c r="Q491" i="54"/>
  <c r="R491" i="54"/>
  <c r="P491" i="54"/>
  <c r="B490" i="54"/>
  <c r="F490" i="54"/>
  <c r="D490" i="54"/>
  <c r="E490" i="54"/>
  <c r="C490" i="54"/>
  <c r="M491" i="54"/>
  <c r="L491" i="54"/>
  <c r="K491" i="54"/>
  <c r="J491" i="54"/>
  <c r="I491" i="54"/>
  <c r="C491" i="54"/>
  <c r="B491" i="54"/>
  <c r="E491" i="54"/>
  <c r="D491" i="54"/>
  <c r="F491" i="54"/>
  <c r="P492" i="54"/>
  <c r="T492" i="54"/>
  <c r="R492" i="54"/>
  <c r="Q492" i="54"/>
  <c r="S492" i="54"/>
  <c r="M492" i="54"/>
  <c r="L492" i="54"/>
  <c r="K492" i="54"/>
  <c r="J492" i="54"/>
  <c r="I492" i="54"/>
  <c r="Q493" i="54"/>
  <c r="P493" i="54"/>
  <c r="S493" i="54"/>
  <c r="T493" i="54"/>
  <c r="R493" i="54"/>
  <c r="D492" i="54"/>
  <c r="C492" i="54"/>
  <c r="B492" i="54"/>
  <c r="F492" i="54"/>
  <c r="E492" i="54"/>
  <c r="E493" i="54"/>
  <c r="D493" i="54"/>
  <c r="C493" i="54"/>
  <c r="B493" i="54"/>
  <c r="F493" i="54"/>
  <c r="M493" i="54"/>
  <c r="L493" i="54"/>
  <c r="K493" i="54"/>
  <c r="I493" i="54"/>
  <c r="J493" i="54"/>
  <c r="R494" i="54"/>
  <c r="Q494" i="54"/>
  <c r="P494" i="54"/>
  <c r="T494" i="54"/>
  <c r="S494" i="54"/>
  <c r="S495" i="54"/>
  <c r="R495" i="54"/>
  <c r="Q495" i="54"/>
  <c r="P495" i="54"/>
  <c r="T495" i="54"/>
  <c r="F494" i="54"/>
  <c r="E494" i="54"/>
  <c r="D494" i="54"/>
  <c r="C494" i="54"/>
  <c r="B494" i="54"/>
  <c r="M494" i="54"/>
  <c r="L494" i="54"/>
  <c r="J494" i="54"/>
  <c r="K494" i="54"/>
  <c r="I494" i="54"/>
  <c r="T496" i="54"/>
  <c r="S496" i="54"/>
  <c r="R496" i="54"/>
  <c r="Q496" i="54"/>
  <c r="P496" i="54"/>
  <c r="I495" i="54"/>
  <c r="M495" i="54"/>
  <c r="K495" i="54"/>
  <c r="J495" i="54"/>
  <c r="L495" i="54"/>
  <c r="F495" i="54"/>
  <c r="E495" i="54"/>
  <c r="D495" i="54"/>
  <c r="C495" i="54"/>
  <c r="B495" i="54"/>
  <c r="J496" i="54"/>
  <c r="I496" i="54"/>
  <c r="L496" i="54"/>
  <c r="M496" i="54"/>
  <c r="K496" i="54"/>
  <c r="T497" i="54"/>
  <c r="S497" i="54"/>
  <c r="R497" i="54"/>
  <c r="Q497" i="54"/>
  <c r="P497" i="54"/>
  <c r="F496" i="54"/>
  <c r="E496" i="54"/>
  <c r="D496" i="54"/>
  <c r="B496" i="54"/>
  <c r="C496" i="54"/>
  <c r="K497" i="54"/>
  <c r="J497" i="54"/>
  <c r="I497" i="54"/>
  <c r="M497" i="54"/>
  <c r="L497" i="54"/>
  <c r="F497" i="54"/>
  <c r="E497" i="54"/>
  <c r="C497" i="54"/>
  <c r="B497" i="54"/>
  <c r="D497" i="54"/>
  <c r="T498" i="54"/>
  <c r="S498" i="54"/>
  <c r="R498" i="54"/>
  <c r="P498" i="54"/>
  <c r="Q498" i="54"/>
  <c r="T499" i="54"/>
  <c r="S499" i="54"/>
  <c r="Q499" i="54"/>
  <c r="P499" i="54"/>
  <c r="R499" i="54"/>
  <c r="L498" i="54"/>
  <c r="K498" i="54"/>
  <c r="J498" i="54"/>
  <c r="I498" i="54"/>
  <c r="M498" i="54"/>
  <c r="B498" i="54"/>
  <c r="F498" i="54"/>
  <c r="D498" i="54"/>
  <c r="E498" i="54"/>
  <c r="C498" i="54"/>
  <c r="P500" i="54"/>
  <c r="T500" i="54"/>
  <c r="R500" i="54"/>
  <c r="S500" i="54"/>
  <c r="Q500" i="54"/>
  <c r="C499" i="54"/>
  <c r="B499" i="54"/>
  <c r="E499" i="54"/>
  <c r="D499" i="54"/>
  <c r="F499" i="54"/>
  <c r="M499" i="54"/>
  <c r="L499" i="54"/>
  <c r="K499" i="54"/>
  <c r="J499" i="54"/>
  <c r="I499" i="54"/>
  <c r="D500" i="54"/>
  <c r="C500" i="54"/>
  <c r="B500" i="54"/>
  <c r="F500" i="54"/>
  <c r="E500" i="54"/>
  <c r="M500" i="54"/>
  <c r="L500" i="54"/>
  <c r="K500" i="54"/>
  <c r="J500" i="54"/>
  <c r="I500" i="54"/>
  <c r="Q501" i="54"/>
  <c r="P501" i="54"/>
  <c r="S501" i="54"/>
  <c r="R501" i="54"/>
  <c r="T501" i="54"/>
  <c r="R502" i="54"/>
  <c r="O11" i="54"/>
  <c r="Q502" i="54"/>
  <c r="P502" i="54"/>
  <c r="T502" i="54"/>
  <c r="S502" i="54"/>
  <c r="E501" i="54"/>
  <c r="D501" i="54"/>
  <c r="C501" i="54"/>
  <c r="B501" i="54"/>
  <c r="F501" i="54"/>
  <c r="M501" i="54"/>
  <c r="L501" i="54"/>
  <c r="K501" i="54"/>
  <c r="I501" i="54"/>
  <c r="J501" i="54"/>
  <c r="F502" i="54"/>
  <c r="E502" i="54"/>
  <c r="D502" i="54"/>
  <c r="G11" i="54"/>
  <c r="C502" i="54"/>
  <c r="B502" i="54"/>
  <c r="M502" i="54"/>
  <c r="L502" i="54"/>
  <c r="J502" i="54"/>
  <c r="K502" i="54"/>
  <c r="I502" i="54"/>
  <c r="N11" i="54"/>
  <c r="O13" i="54"/>
  <c r="H11" i="54"/>
  <c r="H13" i="54"/>
  <c r="K29" i="17"/>
  <c r="I29" i="17"/>
  <c r="F29" i="17"/>
  <c r="J27" i="34"/>
  <c r="F27" i="34"/>
  <c r="B27" i="34"/>
  <c r="Z54" i="34"/>
  <c r="Z3" i="34"/>
  <c r="H78" i="34"/>
  <c r="B78" i="34"/>
  <c r="H76" i="34"/>
  <c r="B76" i="34"/>
  <c r="H72" i="34"/>
  <c r="B72" i="34"/>
  <c r="J64" i="34"/>
  <c r="B64" i="34"/>
  <c r="AH55" i="34" s="1"/>
  <c r="AI55" i="34" s="1"/>
  <c r="B63" i="34"/>
  <c r="G62" i="34"/>
  <c r="AT61" i="34"/>
  <c r="B61" i="34"/>
  <c r="AT60" i="34"/>
  <c r="AG60" i="34"/>
  <c r="P89" i="34" s="1"/>
  <c r="B60" i="34"/>
  <c r="AT59" i="34"/>
  <c r="AD59" i="34"/>
  <c r="P57" i="34" s="1"/>
  <c r="G58" i="34"/>
  <c r="G57" i="34"/>
  <c r="G56" i="34"/>
  <c r="Z55" i="34"/>
  <c r="G55" i="34"/>
  <c r="G54" i="34"/>
  <c r="G52" i="34"/>
  <c r="J21" i="34"/>
  <c r="F21" i="34"/>
  <c r="B21" i="34"/>
  <c r="J13" i="34"/>
  <c r="AE9" i="34" s="1"/>
  <c r="P7" i="34" s="1"/>
  <c r="G11" i="34"/>
  <c r="B13" i="34"/>
  <c r="B12" i="34"/>
  <c r="B11" i="34"/>
  <c r="I13" i="17"/>
  <c r="AD9" i="17" s="1"/>
  <c r="O7" i="17" s="1"/>
  <c r="B11" i="8" s="1"/>
  <c r="G11" i="17"/>
  <c r="B13" i="17"/>
  <c r="B12" i="17"/>
  <c r="B11" i="17"/>
  <c r="B10" i="34"/>
  <c r="AA109" i="19"/>
  <c r="M107" i="19" s="1"/>
  <c r="AA59" i="19"/>
  <c r="M57" i="19" s="1"/>
  <c r="AA8" i="19"/>
  <c r="M6" i="19" s="1"/>
  <c r="AD8" i="34"/>
  <c r="P6" i="34" s="1"/>
  <c r="AG9" i="34"/>
  <c r="P38" i="34" s="1"/>
  <c r="Z4" i="34"/>
  <c r="AC109" i="19"/>
  <c r="M118" i="19" s="1"/>
  <c r="AC59" i="19"/>
  <c r="M84" i="19" s="1"/>
  <c r="AC8" i="19"/>
  <c r="M37" i="19" s="1"/>
  <c r="W104" i="19"/>
  <c r="W3" i="19"/>
  <c r="H130" i="19"/>
  <c r="H128" i="19"/>
  <c r="H126" i="19"/>
  <c r="E130" i="19"/>
  <c r="E128" i="19"/>
  <c r="E126" i="19"/>
  <c r="E122" i="19"/>
  <c r="H114" i="19"/>
  <c r="C114" i="19"/>
  <c r="AH110" i="19" s="1"/>
  <c r="E132" i="19" s="1"/>
  <c r="C113" i="19"/>
  <c r="F112" i="19"/>
  <c r="C112" i="19"/>
  <c r="C111" i="19"/>
  <c r="C110" i="19"/>
  <c r="H64" i="19"/>
  <c r="C64" i="19"/>
  <c r="AH60" i="19" s="1"/>
  <c r="E82" i="19" s="1"/>
  <c r="C63" i="19"/>
  <c r="F62" i="19"/>
  <c r="C62" i="19"/>
  <c r="C61" i="19"/>
  <c r="C60" i="19"/>
  <c r="E80" i="19"/>
  <c r="E78" i="19"/>
  <c r="E72" i="19"/>
  <c r="C27" i="19"/>
  <c r="G21" i="19"/>
  <c r="C21" i="19"/>
  <c r="AB10" i="19" s="1"/>
  <c r="M8" i="19" s="1"/>
  <c r="H13" i="19"/>
  <c r="AB60" i="19" s="1"/>
  <c r="M58" i="19" s="1"/>
  <c r="F11" i="19"/>
  <c r="C13" i="19"/>
  <c r="C12" i="19"/>
  <c r="C11" i="19"/>
  <c r="C10" i="19"/>
  <c r="C9" i="19"/>
  <c r="AE142" i="19"/>
  <c r="AE141" i="19"/>
  <c r="W137" i="19"/>
  <c r="Y142" i="19"/>
  <c r="F108" i="19"/>
  <c r="F107" i="19"/>
  <c r="F106" i="19"/>
  <c r="F105" i="19"/>
  <c r="F104" i="19"/>
  <c r="F102" i="19"/>
  <c r="A145" i="19"/>
  <c r="AE92" i="19"/>
  <c r="AE91" i="19"/>
  <c r="W87" i="19"/>
  <c r="Y92" i="19"/>
  <c r="F58" i="19"/>
  <c r="F57" i="19"/>
  <c r="F56" i="19"/>
  <c r="I29" i="19"/>
  <c r="G29" i="19"/>
  <c r="C29" i="19"/>
  <c r="M138" i="19"/>
  <c r="M124" i="19"/>
  <c r="M132" i="19"/>
  <c r="M126" i="19"/>
  <c r="M68" i="19"/>
  <c r="M82" i="19"/>
  <c r="F7" i="19"/>
  <c r="F6" i="19"/>
  <c r="F5" i="19"/>
  <c r="F4" i="19"/>
  <c r="F3" i="19"/>
  <c r="F1" i="19"/>
  <c r="A44" i="19" s="1"/>
  <c r="G7" i="34"/>
  <c r="G6" i="34"/>
  <c r="G5" i="34"/>
  <c r="G4" i="34"/>
  <c r="G3" i="34"/>
  <c r="G1" i="34"/>
  <c r="A44" i="34" s="1"/>
  <c r="AE41" i="19"/>
  <c r="I27" i="19"/>
  <c r="I25" i="19"/>
  <c r="G27" i="19"/>
  <c r="G25" i="19"/>
  <c r="AE40" i="19"/>
  <c r="Y4" i="17"/>
  <c r="Y3" i="17"/>
  <c r="A95" i="34"/>
  <c r="B35" i="37"/>
  <c r="B18" i="37"/>
  <c r="AB34" i="37"/>
  <c r="AB33" i="37"/>
  <c r="AB32" i="37"/>
  <c r="AB31" i="37"/>
  <c r="AB30" i="37"/>
  <c r="AB29" i="37"/>
  <c r="AB28" i="37"/>
  <c r="AB27" i="37"/>
  <c r="AB26" i="37"/>
  <c r="AB25" i="37"/>
  <c r="AB24" i="37"/>
  <c r="AB23" i="37"/>
  <c r="AB17" i="37"/>
  <c r="AB16" i="37"/>
  <c r="AB15" i="37"/>
  <c r="AB14" i="37"/>
  <c r="AB13" i="37"/>
  <c r="AB12" i="37"/>
  <c r="AB11" i="37"/>
  <c r="AB10" i="37"/>
  <c r="AB9" i="37"/>
  <c r="AB8" i="37"/>
  <c r="AB7" i="37"/>
  <c r="AB6" i="37"/>
  <c r="AD18" i="37"/>
  <c r="AC18" i="37"/>
  <c r="AD35" i="37"/>
  <c r="AC35" i="37"/>
  <c r="Z35" i="37"/>
  <c r="Y35" i="37"/>
  <c r="X34" i="37"/>
  <c r="X33" i="37"/>
  <c r="X32" i="37"/>
  <c r="X31" i="37"/>
  <c r="X30" i="37"/>
  <c r="X29" i="37"/>
  <c r="X28" i="37"/>
  <c r="X27" i="37"/>
  <c r="X26" i="37"/>
  <c r="X25" i="37"/>
  <c r="X24" i="37"/>
  <c r="X23" i="37"/>
  <c r="X7" i="37"/>
  <c r="X8" i="37"/>
  <c r="X9" i="37"/>
  <c r="X10" i="37"/>
  <c r="X11" i="37"/>
  <c r="X12" i="37"/>
  <c r="X13" i="37"/>
  <c r="X14" i="37"/>
  <c r="X15" i="37"/>
  <c r="X16" i="37"/>
  <c r="X17" i="37"/>
  <c r="X6" i="37"/>
  <c r="Z18" i="37"/>
  <c r="Y18" i="37"/>
  <c r="V35" i="37"/>
  <c r="U35" i="37"/>
  <c r="V18" i="37"/>
  <c r="U18" i="37"/>
  <c r="T24" i="37"/>
  <c r="T25" i="37"/>
  <c r="T26" i="37"/>
  <c r="T27" i="37"/>
  <c r="T28" i="37"/>
  <c r="T29" i="37"/>
  <c r="T30" i="37"/>
  <c r="T31" i="37"/>
  <c r="T32" i="37"/>
  <c r="T33" i="37"/>
  <c r="T34" i="37"/>
  <c r="T23" i="37"/>
  <c r="T7" i="37"/>
  <c r="T8" i="37"/>
  <c r="T9" i="37"/>
  <c r="T10" i="37"/>
  <c r="T11" i="37"/>
  <c r="T12" i="37"/>
  <c r="T13" i="37"/>
  <c r="T14" i="37"/>
  <c r="T15" i="37"/>
  <c r="T16" i="37"/>
  <c r="T17" i="37"/>
  <c r="T6" i="37"/>
  <c r="K27" i="17"/>
  <c r="I27" i="17"/>
  <c r="AG43" i="17"/>
  <c r="I25" i="17"/>
  <c r="K25" i="17"/>
  <c r="AG42" i="17"/>
  <c r="AG40" i="17"/>
  <c r="F27" i="17"/>
  <c r="D27" i="17"/>
  <c r="B27" i="17"/>
  <c r="B25" i="17"/>
  <c r="AT10" i="34"/>
  <c r="AT9" i="34"/>
  <c r="AT8" i="34"/>
  <c r="J25" i="34"/>
  <c r="F25" i="34"/>
  <c r="AF9" i="17"/>
  <c r="O37" i="17" s="1"/>
  <c r="L20" i="8" s="1"/>
  <c r="T35" i="37"/>
  <c r="X35" i="37"/>
  <c r="AB35" i="37"/>
  <c r="AB18" i="37"/>
  <c r="X18" i="37"/>
  <c r="T18" i="37"/>
  <c r="G4" i="17"/>
  <c r="G5" i="17"/>
  <c r="G6" i="17"/>
  <c r="G7" i="17"/>
  <c r="G3" i="17"/>
  <c r="G1" i="17"/>
  <c r="A44" i="17" s="1"/>
  <c r="B21" i="17"/>
  <c r="M20" i="19"/>
  <c r="AC8" i="17"/>
  <c r="O6" i="17" s="1"/>
  <c r="B10" i="8" s="1"/>
  <c r="B10" i="17"/>
  <c r="B9" i="17"/>
  <c r="B9" i="34"/>
  <c r="A2" i="4"/>
  <c r="B2" i="4"/>
  <c r="W36" i="19"/>
  <c r="Y41" i="19"/>
  <c r="I21" i="17"/>
  <c r="F21" i="17"/>
  <c r="AH9" i="19" l="1"/>
  <c r="AH28" i="19"/>
  <c r="AH20" i="19"/>
  <c r="B31" i="17"/>
  <c r="B23" i="17" s="1"/>
  <c r="B35" i="17" s="1"/>
  <c r="AD11" i="17" s="1"/>
  <c r="D31" i="17"/>
  <c r="D23" i="17" s="1"/>
  <c r="D35" i="17" s="1"/>
  <c r="AE10" i="34"/>
  <c r="P8" i="34" s="1"/>
  <c r="C31" i="19"/>
  <c r="G31" i="19"/>
  <c r="I31" i="19"/>
  <c r="AJ45" i="17"/>
  <c r="AJ37" i="17"/>
  <c r="I31" i="17" s="1"/>
  <c r="I23" i="17" s="1"/>
  <c r="AJ27" i="17"/>
  <c r="F31" i="17" s="1"/>
  <c r="F23" i="17" s="1"/>
  <c r="K31" i="17"/>
  <c r="B31" i="34"/>
  <c r="B23" i="34" s="1"/>
  <c r="F31" i="34"/>
  <c r="F23" i="34" s="1"/>
  <c r="J31" i="34"/>
  <c r="J23" i="34" s="1"/>
  <c r="P9" i="37"/>
  <c r="P10" i="37"/>
  <c r="P11" i="37"/>
  <c r="P12" i="37"/>
  <c r="P13" i="37"/>
  <c r="P17" i="37"/>
  <c r="B65" i="4"/>
  <c r="L2" i="4" s="1"/>
  <c r="M136" i="19"/>
  <c r="M76" i="19"/>
  <c r="M71" i="19"/>
  <c r="M128" i="19"/>
  <c r="M121" i="19"/>
  <c r="M88" i="19"/>
  <c r="M134" i="19"/>
  <c r="M86" i="19"/>
  <c r="M78" i="19"/>
  <c r="M74" i="19"/>
  <c r="P16" i="37"/>
  <c r="P7" i="37"/>
  <c r="P8" i="37"/>
  <c r="D25" i="37"/>
  <c r="H12" i="37"/>
  <c r="L8" i="37"/>
  <c r="L16" i="37"/>
  <c r="H29" i="37"/>
  <c r="J36" i="73"/>
  <c r="B25" i="73"/>
  <c r="B31" i="73" s="1"/>
  <c r="AK15" i="73" s="1"/>
  <c r="B29" i="73" s="1"/>
  <c r="Z2" i="4"/>
  <c r="D29" i="37"/>
  <c r="P17" i="73"/>
  <c r="AP11" i="73"/>
  <c r="AE10" i="73" s="1"/>
  <c r="AD10" i="73" s="1"/>
  <c r="P7" i="73" s="1"/>
  <c r="M25" i="19"/>
  <c r="O25" i="17"/>
  <c r="L13" i="8" s="1"/>
  <c r="P82" i="34"/>
  <c r="M23" i="19"/>
  <c r="M27" i="19"/>
  <c r="P66" i="34"/>
  <c r="M66" i="19"/>
  <c r="M31" i="19"/>
  <c r="M33" i="19"/>
  <c r="P14" i="73"/>
  <c r="M35" i="19"/>
  <c r="M15" i="19"/>
  <c r="M17" i="19"/>
  <c r="M116" i="19"/>
  <c r="L6" i="37"/>
  <c r="D28" i="37"/>
  <c r="H28" i="37"/>
  <c r="L28" i="37"/>
  <c r="P32" i="37"/>
  <c r="H17" i="37"/>
  <c r="D33" i="37"/>
  <c r="D31" i="37"/>
  <c r="H7" i="37"/>
  <c r="AE9" i="73"/>
  <c r="P6" i="73" s="1"/>
  <c r="P33" i="73"/>
  <c r="P26" i="73"/>
  <c r="B66" i="4"/>
  <c r="M2" i="4" s="1"/>
  <c r="P14" i="37"/>
  <c r="P15" i="37"/>
  <c r="P24" i="37"/>
  <c r="D10" i="37"/>
  <c r="D16" i="37"/>
  <c r="D14" i="37"/>
  <c r="H9" i="37"/>
  <c r="L14" i="37"/>
  <c r="L17" i="37"/>
  <c r="H27" i="37"/>
  <c r="L27" i="37"/>
  <c r="P27" i="37"/>
  <c r="L12" i="37"/>
  <c r="AF16" i="37"/>
  <c r="D30" i="37"/>
  <c r="D13" i="37"/>
  <c r="D27" i="37"/>
  <c r="L23" i="37"/>
  <c r="D8" i="37"/>
  <c r="H16" i="37"/>
  <c r="D17" i="37"/>
  <c r="H11" i="37"/>
  <c r="L11" i="37"/>
  <c r="D24" i="37"/>
  <c r="D32" i="37"/>
  <c r="H24" i="37"/>
  <c r="H32" i="37"/>
  <c r="L24" i="37"/>
  <c r="L32" i="37"/>
  <c r="D23" i="37"/>
  <c r="H31" i="37"/>
  <c r="L13" i="37"/>
  <c r="D6" i="37"/>
  <c r="H25" i="37"/>
  <c r="H33" i="37"/>
  <c r="L29" i="37"/>
  <c r="L7" i="37"/>
  <c r="L15" i="37"/>
  <c r="AF13" i="37"/>
  <c r="H6" i="37"/>
  <c r="H14" i="37"/>
  <c r="AB110" i="19"/>
  <c r="M108" i="19" s="1"/>
  <c r="P71" i="34"/>
  <c r="Q18" i="37"/>
  <c r="J35" i="37"/>
  <c r="L31" i="37"/>
  <c r="P23" i="37"/>
  <c r="P31" i="37"/>
  <c r="H13" i="37"/>
  <c r="L10" i="37"/>
  <c r="AB112" i="19"/>
  <c r="M110" i="19" s="1"/>
  <c r="E84" i="19"/>
  <c r="P54" i="34"/>
  <c r="F35" i="17"/>
  <c r="AG4" i="17" s="1"/>
  <c r="AH4" i="17" s="1"/>
  <c r="O3" i="17" s="1"/>
  <c r="B7" i="8" s="1"/>
  <c r="P6" i="37"/>
  <c r="L25" i="37"/>
  <c r="L33" i="37"/>
  <c r="P25" i="37"/>
  <c r="P33" i="37"/>
  <c r="AF32" i="37"/>
  <c r="D9" i="37"/>
  <c r="H10" i="37"/>
  <c r="AF23" i="37"/>
  <c r="AF24" i="37"/>
  <c r="D12" i="37"/>
  <c r="N35" i="37"/>
  <c r="H15" i="37"/>
  <c r="H8" i="37"/>
  <c r="E18" i="37"/>
  <c r="I18" i="37"/>
  <c r="L9" i="37"/>
  <c r="D26" i="37"/>
  <c r="D34" i="37"/>
  <c r="H26" i="37"/>
  <c r="H34" i="37"/>
  <c r="H30" i="37"/>
  <c r="L26" i="37"/>
  <c r="L34" i="37"/>
  <c r="L30" i="37"/>
  <c r="P26" i="37"/>
  <c r="P34" i="37"/>
  <c r="P30" i="37"/>
  <c r="P31" i="34"/>
  <c r="O23" i="17"/>
  <c r="L12" i="8" s="1"/>
  <c r="P68" i="34"/>
  <c r="I22" i="4"/>
  <c r="N22" i="4" s="1"/>
  <c r="B68" i="4"/>
  <c r="P2" i="4" s="1"/>
  <c r="C86" i="19"/>
  <c r="P85" i="34"/>
  <c r="O20" i="17"/>
  <c r="L10" i="8" s="1"/>
  <c r="AB61" i="19"/>
  <c r="M59" i="19" s="1"/>
  <c r="P25" i="34"/>
  <c r="P23" i="34"/>
  <c r="AB111" i="19"/>
  <c r="M109" i="19" s="1"/>
  <c r="P20" i="34"/>
  <c r="O27" i="17"/>
  <c r="L14" i="8" s="1"/>
  <c r="P87" i="34"/>
  <c r="AB62" i="19"/>
  <c r="P17" i="34"/>
  <c r="P74" i="34"/>
  <c r="F35" i="37"/>
  <c r="E35" i="37"/>
  <c r="M35" i="37"/>
  <c r="D11" i="37"/>
  <c r="D15" i="37"/>
  <c r="I35" i="37"/>
  <c r="Q35" i="37"/>
  <c r="M18" i="37"/>
  <c r="D7" i="37"/>
  <c r="N18" i="37"/>
  <c r="J18" i="37"/>
  <c r="H23" i="37"/>
  <c r="F18" i="37"/>
  <c r="P29" i="37"/>
  <c r="O31" i="17"/>
  <c r="L16" i="8" s="1"/>
  <c r="P76" i="34"/>
  <c r="C136" i="19"/>
  <c r="AK62" i="34"/>
  <c r="B82" i="34" s="1"/>
  <c r="B74" i="34" s="1"/>
  <c r="B86" i="34" s="1"/>
  <c r="P36" i="34"/>
  <c r="P15" i="34"/>
  <c r="O15" i="17"/>
  <c r="L7" i="8" s="1"/>
  <c r="P78" i="34"/>
  <c r="P27" i="34"/>
  <c r="O33" i="17"/>
  <c r="L18" i="8" s="1"/>
  <c r="G23" i="19"/>
  <c r="I33" i="19" s="1"/>
  <c r="E86" i="19"/>
  <c r="AE55" i="19" s="1"/>
  <c r="AF55" i="19" s="1"/>
  <c r="M54" i="19" s="1"/>
  <c r="AB9" i="19"/>
  <c r="M7" i="19" s="1"/>
  <c r="AE60" i="34"/>
  <c r="P58" i="34" s="1"/>
  <c r="C35" i="19"/>
  <c r="AK75" i="34"/>
  <c r="H82" i="34" s="1"/>
  <c r="H74" i="34" s="1"/>
  <c r="B69" i="4"/>
  <c r="I17" i="4"/>
  <c r="N17" i="4" s="1"/>
  <c r="B63" i="4" s="1"/>
  <c r="I2" i="4" s="1"/>
  <c r="D10" i="4"/>
  <c r="R35" i="37"/>
  <c r="O35" i="17"/>
  <c r="L19" i="8" s="1"/>
  <c r="O17" i="17"/>
  <c r="L8" i="8" s="1"/>
  <c r="F33" i="17"/>
  <c r="AB11" i="19"/>
  <c r="M9" i="19" s="1"/>
  <c r="P22" i="73"/>
  <c r="P28" i="73"/>
  <c r="P15" i="73"/>
  <c r="P3" i="73"/>
  <c r="P34" i="34"/>
  <c r="E33" i="19"/>
  <c r="AD10" i="17"/>
  <c r="O8" i="17" s="1"/>
  <c r="B12" i="8" s="1"/>
  <c r="E74" i="19"/>
  <c r="AH118" i="19"/>
  <c r="H132" i="19" s="1"/>
  <c r="H124" i="19" s="1"/>
  <c r="C23" i="19"/>
  <c r="P31" i="73"/>
  <c r="P20" i="73"/>
  <c r="P24" i="73"/>
  <c r="AE61" i="34"/>
  <c r="P59" i="34" s="1"/>
  <c r="AE4" i="19"/>
  <c r="AF4" i="19" s="1"/>
  <c r="M3" i="19" s="1"/>
  <c r="AH4" i="34"/>
  <c r="AI4" i="34" s="1"/>
  <c r="P3" i="34" s="1"/>
  <c r="E124" i="19"/>
  <c r="R18" i="37"/>
  <c r="P28" i="37"/>
  <c r="K35" i="17" l="1"/>
  <c r="P18" i="37"/>
  <c r="M130" i="19"/>
  <c r="B67" i="4"/>
  <c r="O2" i="4" s="1"/>
  <c r="AF18" i="37"/>
  <c r="D35" i="37"/>
  <c r="L35" i="37"/>
  <c r="L18" i="37"/>
  <c r="H18" i="37"/>
  <c r="G35" i="19"/>
  <c r="G33" i="19"/>
  <c r="D18" i="37"/>
  <c r="H35" i="37"/>
  <c r="B84" i="34"/>
  <c r="AK60" i="34" s="1"/>
  <c r="B80" i="34" s="1"/>
  <c r="P35" i="37"/>
  <c r="M60" i="19"/>
  <c r="M80" i="19"/>
  <c r="I33" i="17"/>
  <c r="I35" i="17"/>
  <c r="M29" i="19"/>
  <c r="K33" i="17"/>
  <c r="Q2" i="4"/>
  <c r="B70" i="4"/>
  <c r="R2" i="4" s="1"/>
  <c r="D33" i="17"/>
  <c r="AJ15" i="17" s="1"/>
  <c r="B33" i="17"/>
  <c r="AJ9" i="17" s="1"/>
  <c r="E136" i="19"/>
  <c r="AE105" i="19" s="1"/>
  <c r="AF105" i="19" s="1"/>
  <c r="M104" i="19" s="1"/>
  <c r="E134" i="19"/>
  <c r="H134" i="19"/>
  <c r="H136" i="19"/>
  <c r="F35" i="34"/>
  <c r="F33" i="34"/>
  <c r="AK22" i="34" s="1"/>
  <c r="F29" i="34" s="1"/>
  <c r="O9" i="17"/>
  <c r="B13" i="8" s="1"/>
  <c r="O29" i="17"/>
  <c r="L15" i="8" s="1"/>
  <c r="B33" i="34"/>
  <c r="AK9" i="34" s="1"/>
  <c r="B29" i="34" s="1"/>
  <c r="B35" i="34"/>
  <c r="J35" i="34"/>
  <c r="J33" i="34"/>
  <c r="AK35" i="34" s="1"/>
  <c r="J29" i="34" s="1"/>
  <c r="H86" i="34"/>
  <c r="H84" i="34"/>
  <c r="AK73" i="34" s="1"/>
  <c r="H80" i="34" s="1"/>
  <c r="B29" i="17" l="1"/>
  <c r="D29" i="17"/>
  <c r="AF35" i="37"/>
  <c r="AE62" i="34"/>
  <c r="AE11" i="34"/>
  <c r="P29" i="34" l="1"/>
  <c r="P9" i="34"/>
  <c r="P60" i="34"/>
  <c r="P80"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YAVUZ YILMAZ</author>
  </authors>
  <commentList>
    <comment ref="C934" authorId="0" shapeId="0" xr:uid="{82771401-2870-4612-810C-F9DD0B11B091}">
      <text>
        <r>
          <rPr>
            <b/>
            <sz val="9"/>
            <color indexed="81"/>
            <rFont val="Tahoma"/>
            <family val="2"/>
          </rPr>
          <t>YAVUZ YILMAZ:</t>
        </r>
        <r>
          <rPr>
            <sz val="9"/>
            <color indexed="81"/>
            <rFont val="Tahoma"/>
            <family val="2"/>
          </rPr>
          <t xml:space="preserve">
Was at dinner when I had last called. Sent revised quote for 100K Only</t>
        </r>
      </text>
    </comment>
    <comment ref="C935" authorId="0" shapeId="0" xr:uid="{3E7834CF-ABB0-4B86-BB8A-68D3C90A3A3A}">
      <text>
        <r>
          <rPr>
            <b/>
            <sz val="9"/>
            <color indexed="81"/>
            <rFont val="Tahoma"/>
            <family val="2"/>
          </rPr>
          <t>YAVUZ YILMAZ:</t>
        </r>
        <r>
          <rPr>
            <sz val="9"/>
            <color indexed="81"/>
            <rFont val="Tahoma"/>
            <family val="2"/>
          </rPr>
          <t xml:space="preserve">
ch 7 BK May discharge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<sst xmlns="http://schemas.openxmlformats.org/spreadsheetml/2006/main" count="6516" uniqueCount="975">
  <si>
    <t>Lead Sources</t>
  </si>
  <si>
    <t xml:space="preserve">FRU </t>
  </si>
  <si>
    <t xml:space="preserve">Referral  </t>
  </si>
  <si>
    <t>LT Short</t>
  </si>
  <si>
    <t xml:space="preserve">LP </t>
  </si>
  <si>
    <t xml:space="preserve">LT Long </t>
  </si>
  <si>
    <t>Realtor Referrals</t>
  </si>
  <si>
    <t>LT - H</t>
  </si>
  <si>
    <t xml:space="preserve">Repeat </t>
  </si>
  <si>
    <t>Digital - Other</t>
  </si>
  <si>
    <t>Digital - Gold Lion - H</t>
  </si>
  <si>
    <t>LT Short - H</t>
  </si>
  <si>
    <t>Digital - Web - H</t>
  </si>
  <si>
    <t>iLeads</t>
  </si>
  <si>
    <t xml:space="preserve">LT Short </t>
  </si>
  <si>
    <t xml:space="preserve">Digital - Rivtec </t>
  </si>
  <si>
    <t>FRU - H</t>
  </si>
  <si>
    <t>Digital - Rivtec - H</t>
  </si>
  <si>
    <t>Agg Other</t>
  </si>
  <si>
    <t>LP - H</t>
  </si>
  <si>
    <t>Trigger - H</t>
  </si>
  <si>
    <t>Lendilio</t>
  </si>
  <si>
    <t>Digital - Marketing</t>
  </si>
  <si>
    <t>FRU</t>
  </si>
  <si>
    <t xml:space="preserve">Mail- Redstone </t>
  </si>
  <si>
    <t>LT - VA</t>
  </si>
  <si>
    <t>RGR</t>
  </si>
  <si>
    <t xml:space="preserve">Live Transfer </t>
  </si>
  <si>
    <t>Trigger</t>
  </si>
  <si>
    <t>Digital</t>
  </si>
  <si>
    <t xml:space="preserve">Retread </t>
  </si>
  <si>
    <t>LT Long - H</t>
  </si>
  <si>
    <t>Document Checklist for Intro Quotes</t>
  </si>
  <si>
    <t>Mortgage Statement</t>
  </si>
  <si>
    <t>Homeowner's Insurance</t>
  </si>
  <si>
    <t>HOA Statement</t>
  </si>
  <si>
    <t>Driver's License</t>
  </si>
  <si>
    <t>W2 for 2021 &amp; 2022</t>
  </si>
  <si>
    <t>2 Most Recent Paystubs (30 Days)</t>
  </si>
  <si>
    <t xml:space="preserve">Personal Tax </t>
  </si>
  <si>
    <t>***NEW***</t>
  </si>
  <si>
    <t>Quotes Sent</t>
  </si>
  <si>
    <t>Follow Up</t>
  </si>
  <si>
    <t>HOT!</t>
  </si>
  <si>
    <t>Long Term</t>
  </si>
  <si>
    <t>Credit Repair</t>
  </si>
  <si>
    <t>Seasoning</t>
  </si>
  <si>
    <t>No Longer Interested</t>
  </si>
  <si>
    <t>DNC</t>
  </si>
  <si>
    <t>Conventional</t>
  </si>
  <si>
    <t>FHA</t>
  </si>
  <si>
    <t>VA</t>
  </si>
  <si>
    <r>
      <t xml:space="preserve">Welcome to BrokerFlow 3.0!        </t>
    </r>
    <r>
      <rPr>
        <b/>
        <sz val="8"/>
        <color theme="1"/>
        <rFont val="Calibri"/>
        <family val="2"/>
        <scheme val="minor"/>
      </rPr>
      <t>Feb 2023 ©</t>
    </r>
  </si>
  <si>
    <t>"The Right Efficiency at the Right Time"</t>
  </si>
  <si>
    <t>By: Yavuz Yilmaz</t>
  </si>
  <si>
    <t>Please read carefully and thoroughly to learn how to use effectively.</t>
  </si>
  <si>
    <t>STEP 1</t>
  </si>
  <si>
    <t>Please "Copy" your signature and input inside of the following section below. Paste Values only.</t>
  </si>
  <si>
    <t>34 Executive Park Ste 180, Irvine, CA 92614</t>
  </si>
  <si>
    <t>Website: www.westcapitallending.com</t>
  </si>
  <si>
    <t>STEP 2</t>
  </si>
  <si>
    <t>Enter Team Name, LO Name 2 Ways, Text Tag</t>
  </si>
  <si>
    <t>Team Name:</t>
  </si>
  <si>
    <t>Loan Officer Name:</t>
  </si>
  <si>
    <t>Text Tag</t>
  </si>
  <si>
    <t>Phone Number</t>
  </si>
  <si>
    <t>#</t>
  </si>
  <si>
    <t>Date</t>
  </si>
  <si>
    <t>Status</t>
  </si>
  <si>
    <t>First</t>
  </si>
  <si>
    <t>Last</t>
  </si>
  <si>
    <t>Phone</t>
  </si>
  <si>
    <t>E-Mail</t>
  </si>
  <si>
    <t>State</t>
  </si>
  <si>
    <t>Property Address</t>
  </si>
  <si>
    <t>Property Type</t>
  </si>
  <si>
    <t>Desired Loan Program</t>
  </si>
  <si>
    <t>Property Value</t>
  </si>
  <si>
    <t xml:space="preserve">1st Mortgage </t>
  </si>
  <si>
    <t>2nd Mortgage</t>
  </si>
  <si>
    <t>Current LTV</t>
  </si>
  <si>
    <t>Desired Cash Out</t>
  </si>
  <si>
    <t>New Loan Amount</t>
  </si>
  <si>
    <t>New LTV</t>
  </si>
  <si>
    <t>Credit</t>
  </si>
  <si>
    <t>Property Use</t>
  </si>
  <si>
    <t>FHA?</t>
  </si>
  <si>
    <t>VA?</t>
  </si>
  <si>
    <t>Is Military</t>
  </si>
  <si>
    <t>Lead Type</t>
  </si>
  <si>
    <t>Lead Cost</t>
  </si>
  <si>
    <t>Cumilative Lead Cost</t>
  </si>
  <si>
    <t>Current Lead Cost</t>
  </si>
  <si>
    <t>Make Sure You Copy the Lead In Full Before Clicking To Paste and Send To Leads List</t>
  </si>
  <si>
    <t>Broker Flow Notification</t>
  </si>
  <si>
    <t>CB ={addl_PrimaryMortgageBalance}</t>
  </si>
  <si>
    <t>HELOC = {addl_HomeEquityAddlCash}</t>
  </si>
  <si>
    <t xml:space="preserve"> </t>
  </si>
  <si>
    <t>Purchase Agreement = .</t>
  </si>
  <si>
    <t>Found Home = .</t>
  </si>
  <si>
    <t>First Name</t>
  </si>
  <si>
    <t>Last Name</t>
  </si>
  <si>
    <t>Email</t>
  </si>
  <si>
    <t>Address</t>
  </si>
  <si>
    <t>Current Balance</t>
  </si>
  <si>
    <t>Cash Out</t>
  </si>
  <si>
    <t>Loan Amount</t>
  </si>
  <si>
    <t>Propery Use</t>
  </si>
  <si>
    <t>Credit Rating</t>
  </si>
  <si>
    <t>Price of Lead</t>
  </si>
  <si>
    <t>Loan Purpose</t>
  </si>
  <si>
    <t>QUOTE AND ENTER</t>
  </si>
  <si>
    <t>Street Address</t>
  </si>
  <si>
    <t>Loan Program</t>
  </si>
  <si>
    <t>Is Military?</t>
  </si>
  <si>
    <t>TEXTING TEMPLATES</t>
  </si>
  <si>
    <t>INTRO</t>
  </si>
  <si>
    <t>LEAD TRACKER</t>
  </si>
  <si>
    <t>Marketing Expenses</t>
  </si>
  <si>
    <t>Marketing Budget</t>
  </si>
  <si>
    <t>Aggregate</t>
  </si>
  <si>
    <t>Mail</t>
  </si>
  <si>
    <t>Total</t>
  </si>
  <si>
    <t>, LEADS!$X$9:$X$9997, "FRU")</t>
  </si>
  <si>
    <t>Free Rate Update</t>
  </si>
  <si>
    <t>Lead Point</t>
  </si>
  <si>
    <t>Lending Tree</t>
  </si>
  <si>
    <t>Month</t>
  </si>
  <si>
    <t>$/lead</t>
  </si>
  <si>
    <t># of Leads</t>
  </si>
  <si>
    <t>Total Cost</t>
  </si>
  <si>
    <t>, LEADS!$X$9:$X$9997, "LP")</t>
  </si>
  <si>
    <t>January</t>
  </si>
  <si>
    <t>, LEADS!$X$9:$X$9997, "LT")</t>
  </si>
  <si>
    <t>February</t>
  </si>
  <si>
    <t>March</t>
  </si>
  <si>
    <t>April</t>
  </si>
  <si>
    <t>May</t>
  </si>
  <si>
    <t>June</t>
  </si>
  <si>
    <t>July</t>
  </si>
  <si>
    <t>August</t>
  </si>
  <si>
    <t>September</t>
  </si>
  <si>
    <t>October</t>
  </si>
  <si>
    <t>November</t>
  </si>
  <si>
    <t>December</t>
  </si>
  <si>
    <t>Free Rate</t>
  </si>
  <si>
    <t>TEXT TEMPLATES</t>
  </si>
  <si>
    <t>TEXT FORMULAS</t>
  </si>
  <si>
    <t>CASH OUT</t>
  </si>
  <si>
    <t>INTRO TEXT</t>
  </si>
  <si>
    <t>Hi</t>
  </si>
  <si>
    <t>$</t>
  </si>
  <si>
    <t>L/P</t>
  </si>
  <si>
    <t>, this is</t>
  </si>
  <si>
    <t>:blush: with West Capital Lending. I just received your inquiry to take about</t>
  </si>
  <si>
    <t>Can you confirm the following:</t>
  </si>
  <si>
    <t xml:space="preserve">:moneybag: of equity from your home. I know you're shopping for the best deal so I will check with our most competitive lenders within our Broker Network. </t>
  </si>
  <si>
    <t>Term</t>
  </si>
  <si>
    <t>30 Year Fixed</t>
  </si>
  <si>
    <t>Rate 1</t>
  </si>
  <si>
    <t>This is your current address:</t>
  </si>
  <si>
    <t>Property Address:</t>
  </si>
  <si>
    <t>Home Value is:</t>
  </si>
  <si>
    <t>APR</t>
  </si>
  <si>
    <t>Client Name:</t>
  </si>
  <si>
    <t>What is your Credit Score?</t>
  </si>
  <si>
    <t>Your Current First Mortgage Balance is:</t>
  </si>
  <si>
    <t>E-Mail:</t>
  </si>
  <si>
    <t>What is your annual gross income?</t>
  </si>
  <si>
    <t>Your Desired Cash Out is:</t>
  </si>
  <si>
    <t>Fees 1</t>
  </si>
  <si>
    <t>Phone:</t>
  </si>
  <si>
    <t>What type of Loan Products: Cash Out Refinance:heavy_dollar_sign:, Home Equity Loan:moneybag:, Home Equity Line of Credit:credit_card:</t>
  </si>
  <si>
    <t xml:space="preserve">, I just wanted to follow up with you did you get the text above :point_up_2: - </t>
  </si>
  <si>
    <t>Desired Cash</t>
  </si>
  <si>
    <t>Home Value</t>
  </si>
  <si>
    <t>Rate 2</t>
  </si>
  <si>
    <t>Once I have these I can send over a formal proposal to you. Thank You! :innocent:</t>
  </si>
  <si>
    <t>, Great News! The Market took a heavy dip today :chart_with_downwards_trend: if you are at all still interested, now would be a great time to lock in your rate. :lock:</t>
  </si>
  <si>
    <t>Details</t>
  </si>
  <si>
    <t>Cash Out Refinance</t>
  </si>
  <si>
    <t>HELOC</t>
  </si>
  <si>
    <t>HELOAN</t>
  </si>
  <si>
    <t>, If the quote I sent you was not what you were looking for I can send you additional options? Did you want to look at a Line of Credit :credit_card: or an Equity Loan :moneybag: instead?</t>
  </si>
  <si>
    <t>Home Equity Line of Credit</t>
  </si>
  <si>
    <t xml:space="preserve">Home Equity Loan                               </t>
  </si>
  <si>
    <t>Market Drop</t>
  </si>
  <si>
    <t>Fees 2</t>
  </si>
  <si>
    <t xml:space="preserve">, just wanted to follow up with you did you get the text above :point_up_2: </t>
  </si>
  <si>
    <t>Loan Type</t>
  </si>
  <si>
    <t>1st Mortgage</t>
  </si>
  <si>
    <t>HELOC/HELOAN</t>
  </si>
  <si>
    <t>, I know you may already be in process with another lender. :bank: Are you satisified with rate and service? :blush: :pensive:</t>
  </si>
  <si>
    <t>Term:</t>
  </si>
  <si>
    <t>30 Year Arm</t>
  </si>
  <si>
    <t>, if you changed your mind let me know so I can stop contacting you if you wish?</t>
  </si>
  <si>
    <t>Did you get text?</t>
  </si>
  <si>
    <t>Rate</t>
  </si>
  <si>
    <t>, did you still want to take out the</t>
  </si>
  <si>
    <t>:money_with_wings: in cash from your home?</t>
  </si>
  <si>
    <t>10 Year Draw                                20 Year Repayment</t>
  </si>
  <si>
    <t>Another Lender</t>
  </si>
  <si>
    <t>, generally when I do not receive a response it is because the client was told they didn't qualify. I am broker and I can work with any credit or income profile.</t>
  </si>
  <si>
    <t>Interest Rate</t>
  </si>
  <si>
    <t>STOP Contact</t>
  </si>
  <si>
    <t>Fees</t>
  </si>
  <si>
    <t>, home values are trending up in your area. :zap: Have you had an evaluation done recently?</t>
  </si>
  <si>
    <t>Still Want Cash?</t>
  </si>
  <si>
    <t>, a lot of my clients are calling to consolidate their debt. Do you carry any High Interest Balances?</t>
  </si>
  <si>
    <t>Loan Costs</t>
  </si>
  <si>
    <t>Don’t Qualify?</t>
  </si>
  <si>
    <t>Term 1</t>
  </si>
  <si>
    <t>Do I have the right person?</t>
  </si>
  <si>
    <t>Payment</t>
  </si>
  <si>
    <t>Home Prices Up</t>
  </si>
  <si>
    <t>5 Year Fixed</t>
  </si>
  <si>
    <t>Debt Consolidation</t>
  </si>
  <si>
    <t>10 Year Fixed</t>
  </si>
  <si>
    <t>15 Year Fixed</t>
  </si>
  <si>
    <t>Documents Needed</t>
  </si>
  <si>
    <t>Right Person?</t>
  </si>
  <si>
    <t>20 Year Fixed</t>
  </si>
  <si>
    <t>25 Year Fixed</t>
  </si>
  <si>
    <t>2021 &amp; 2022 W-2</t>
  </si>
  <si>
    <t>2 Recent Paystubs - 30 Days</t>
  </si>
  <si>
    <t>Drivers License</t>
  </si>
  <si>
    <t>Term 2</t>
  </si>
  <si>
    <t>Term 3</t>
  </si>
  <si>
    <t>Term 4</t>
  </si>
  <si>
    <t>Thank you for choosing West Capital Lending for your financing needs!</t>
  </si>
  <si>
    <t>Option 1</t>
  </si>
  <si>
    <t>Option 2</t>
  </si>
  <si>
    <t>Option 3</t>
  </si>
  <si>
    <t>Did you still want cash?</t>
  </si>
  <si>
    <t>2 Recent Paystubs            30 Days</t>
  </si>
  <si>
    <t xml:space="preserve">, I just wanted to follow up with you did you get the text above :point_up_2: </t>
  </si>
  <si>
    <t>Home Equity Loan</t>
  </si>
  <si>
    <t>2nd Mortgage (Adjustable)</t>
  </si>
  <si>
    <t>2nd Mortgage (Fixed Rate)</t>
  </si>
  <si>
    <t>10 Year Draw / 20 Year Repayment</t>
  </si>
  <si>
    <t>Interest Only</t>
  </si>
  <si>
    <t>Spring EQ</t>
  </si>
  <si>
    <t>Symmetry Lending</t>
  </si>
  <si>
    <t>Origination Fee</t>
  </si>
  <si>
    <t>Document prep Fee</t>
  </si>
  <si>
    <t>orig</t>
  </si>
  <si>
    <t>Broker Fee</t>
  </si>
  <si>
    <t>Title - Electronic Document Delivery Fee</t>
  </si>
  <si>
    <t>appraisal</t>
  </si>
  <si>
    <t>Appraisal Fee</t>
  </si>
  <si>
    <t>Title - O &amp; E Property Report</t>
  </si>
  <si>
    <t>title</t>
  </si>
  <si>
    <t>Credit Report</t>
  </si>
  <si>
    <t>Title - Settlement Fee (Notary)</t>
  </si>
  <si>
    <t>RECORDING</t>
  </si>
  <si>
    <t>Flood Certification</t>
  </si>
  <si>
    <t>Title - Wire Disbursement Fee</t>
  </si>
  <si>
    <t>Compensation</t>
  </si>
  <si>
    <t>MERS Registration Fee</t>
  </si>
  <si>
    <t>Deed / Mortgage Release</t>
  </si>
  <si>
    <t>1st Mortgage Balance</t>
  </si>
  <si>
    <t>HELOC Loan Amount</t>
  </si>
  <si>
    <t>HELOC Loan Term</t>
  </si>
  <si>
    <t xml:space="preserve">10 Year Draw Period                                                </t>
  </si>
  <si>
    <t>20 Year Repayment</t>
  </si>
  <si>
    <t>Cash On Hand</t>
  </si>
  <si>
    <t>HELOAN Loan Amount</t>
  </si>
  <si>
    <t>Price</t>
  </si>
  <si>
    <t>:blush: with West Capital Lending. I just received your inquiry regarding your Home Purchase :house:</t>
  </si>
  <si>
    <t xml:space="preserve">I know you're shopping for the best deal so I will check with our most competitive lenders within our Broker Network. </t>
  </si>
  <si>
    <t>Home Purchase Price:</t>
  </si>
  <si>
    <t>Desired Term</t>
  </si>
  <si>
    <t>Down Payment Amount:</t>
  </si>
  <si>
    <t>%</t>
  </si>
  <si>
    <t>Our rates are generally up to 1% better than most lenders and we also offer 100% Financing Options! We can close your purchase within 14 Days.</t>
  </si>
  <si>
    <t>Desired Term:</t>
  </si>
  <si>
    <t>Down Payment</t>
  </si>
  <si>
    <t>Borrower Requested Down Payment</t>
  </si>
  <si>
    <t>Purchase Price</t>
  </si>
  <si>
    <t>Do you have a quick minute to chat regarding your options? Thank You! :innocent:</t>
  </si>
  <si>
    <t>, are you still in the market to purchase a new home? :house:</t>
  </si>
  <si>
    <t>, the market has shifted. We are officially is a Buyers Market! Were you still interested</t>
  </si>
  <si>
    <t>, are you still looking for a better deal? Are you confident you are getting the best rate?</t>
  </si>
  <si>
    <t>Buyers Market</t>
  </si>
  <si>
    <t>Better Deal</t>
  </si>
  <si>
    <t>Cash to Close</t>
  </si>
  <si>
    <t>With West Capital Lending we can close your Purchase Loan in 14 Days!</t>
  </si>
  <si>
    <t>Purchase Contract</t>
  </si>
  <si>
    <t>Proof of Funds</t>
  </si>
  <si>
    <t>Insurance Quote</t>
  </si>
  <si>
    <t>REFINANCE</t>
  </si>
  <si>
    <t>PURCHASE</t>
  </si>
  <si>
    <t>W-2 Employed Refinance Requested Documents</t>
  </si>
  <si>
    <t>W-2 Purchase Requested Documents</t>
  </si>
  <si>
    <t>Documents</t>
  </si>
  <si>
    <t>Mortgage Statement - all properties owned</t>
  </si>
  <si>
    <t>Pending</t>
  </si>
  <si>
    <t>Purchase Agreement</t>
  </si>
  <si>
    <r>
      <t xml:space="preserve">Homeowner's Insurance Policy - </t>
    </r>
    <r>
      <rPr>
        <sz val="11"/>
        <color rgb="FFFF0000"/>
        <rFont val="Calibri"/>
        <family val="2"/>
        <scheme val="minor"/>
      </rPr>
      <t>all properties owned</t>
    </r>
  </si>
  <si>
    <t>Homeowner's Insurance Quote</t>
  </si>
  <si>
    <r>
      <t xml:space="preserve">Homeowner's Association </t>
    </r>
    <r>
      <rPr>
        <sz val="11"/>
        <color rgb="FFFF0000"/>
        <rFont val="Calibri"/>
        <family val="2"/>
        <scheme val="minor"/>
      </rPr>
      <t>(HOA)</t>
    </r>
    <r>
      <rPr>
        <sz val="11"/>
        <color theme="1"/>
        <rFont val="Calibri"/>
        <family val="2"/>
        <scheme val="minor"/>
      </rPr>
      <t xml:space="preserve"> Statement</t>
    </r>
  </si>
  <si>
    <t>If Applicable</t>
  </si>
  <si>
    <t>Buyer's Real Estate Agent Contact Information</t>
  </si>
  <si>
    <r>
      <t xml:space="preserve">W-2 Form - </t>
    </r>
    <r>
      <rPr>
        <sz val="11"/>
        <color rgb="FFFF0000"/>
        <rFont val="Calibri"/>
        <family val="2"/>
        <scheme val="minor"/>
      </rPr>
      <t>for 2020 &amp; 2021</t>
    </r>
  </si>
  <si>
    <t>Seller's Real Estate Agent Contact Information</t>
  </si>
  <si>
    <r>
      <t xml:space="preserve">Paystubs - </t>
    </r>
    <r>
      <rPr>
        <sz val="11"/>
        <color rgb="FFFF0000"/>
        <rFont val="Calibri"/>
        <family val="2"/>
        <scheme val="minor"/>
      </rPr>
      <t>Most Recent 30 Days</t>
    </r>
  </si>
  <si>
    <t>Close of Escrow Date</t>
  </si>
  <si>
    <t>Picture of Drivers License/Passport</t>
  </si>
  <si>
    <t>Title and Escrow Contact Information</t>
  </si>
  <si>
    <t>Self-Employed Refinance Requested Documents</t>
  </si>
  <si>
    <t>Self-Employed Purchase Requested Documents</t>
  </si>
  <si>
    <r>
      <t xml:space="preserve">Federal Tax Return - for 2020 &amp; 2021 </t>
    </r>
    <r>
      <rPr>
        <sz val="11"/>
        <color rgb="FFFF0000"/>
        <rFont val="Calibri"/>
        <family val="2"/>
        <scheme val="minor"/>
      </rPr>
      <t>(Personal &amp; Business)</t>
    </r>
  </si>
  <si>
    <t>K-1's (if applicable)</t>
  </si>
  <si>
    <t>Year-To-Date Profit and Loss Statement (Signed and Dated)</t>
  </si>
  <si>
    <r>
      <t xml:space="preserve">Business Bank Statements - </t>
    </r>
    <r>
      <rPr>
        <sz val="11"/>
        <color rgb="FFFF0000"/>
        <rFont val="Calibri"/>
        <family val="2"/>
        <scheme val="minor"/>
      </rPr>
      <t>Most Recent 3 Months (All Pages)</t>
    </r>
  </si>
  <si>
    <t>Retired Refinance Requested Documents</t>
  </si>
  <si>
    <r>
      <t xml:space="preserve">Social Security Award Letter - </t>
    </r>
    <r>
      <rPr>
        <sz val="11"/>
        <color rgb="FFFF0000"/>
        <rFont val="Calibri"/>
        <family val="2"/>
        <scheme val="minor"/>
      </rPr>
      <t>(or 1099-R + 60 Days Bank Statements)</t>
    </r>
  </si>
  <si>
    <r>
      <t xml:space="preserve">Pension Award Letter  - </t>
    </r>
    <r>
      <rPr>
        <sz val="11"/>
        <color rgb="FFFF0000"/>
        <rFont val="Calibri"/>
        <family val="2"/>
        <scheme val="minor"/>
      </rPr>
      <t>(or 1099-R + 60 Days Bank Statements)</t>
    </r>
  </si>
  <si>
    <t>Retired Purchase Requested Documents</t>
  </si>
  <si>
    <r>
      <t>Federal Personal Tax Return -</t>
    </r>
    <r>
      <rPr>
        <sz val="11"/>
        <color rgb="FFFF0000"/>
        <rFont val="Calibri"/>
        <family val="2"/>
        <scheme val="minor"/>
      </rPr>
      <t xml:space="preserve"> for 2020-2021</t>
    </r>
  </si>
  <si>
    <t>Rental Income Requested Documents</t>
  </si>
  <si>
    <r>
      <t>Federal Personal Tax Return (for Rental Income) -</t>
    </r>
    <r>
      <rPr>
        <sz val="11"/>
        <color rgb="FFFF0000"/>
        <rFont val="Calibri"/>
        <family val="2"/>
        <scheme val="minor"/>
      </rPr>
      <t xml:space="preserve"> for 2020-2021</t>
    </r>
  </si>
  <si>
    <r>
      <t xml:space="preserve">3 Months Cancelled Rent Checks </t>
    </r>
    <r>
      <rPr>
        <sz val="11"/>
        <color rgb="FFFF0000"/>
        <rFont val="Calibri"/>
        <family val="2"/>
        <scheme val="minor"/>
      </rPr>
      <t>(3 Months Bank Statements showing Deposit)</t>
    </r>
  </si>
  <si>
    <t>Lease Agreements for each property</t>
  </si>
  <si>
    <r>
      <t xml:space="preserve">Mortgage Statements - </t>
    </r>
    <r>
      <rPr>
        <sz val="11"/>
        <color rgb="FFFF0000"/>
        <rFont val="Calibri"/>
        <family val="2"/>
        <scheme val="minor"/>
      </rPr>
      <t>for all Rentals</t>
    </r>
  </si>
  <si>
    <r>
      <t xml:space="preserve">Pension Award Letter - </t>
    </r>
    <r>
      <rPr>
        <sz val="11"/>
        <color rgb="FFFF0000"/>
        <rFont val="Calibri"/>
        <family val="2"/>
        <scheme val="minor"/>
      </rPr>
      <t>(or 1099-R + 60 Days Bank Statements)</t>
    </r>
  </si>
  <si>
    <r>
      <t xml:space="preserve">Homeowner's Insurance Policy - </t>
    </r>
    <r>
      <rPr>
        <sz val="11"/>
        <color rgb="FFFF0000"/>
        <rFont val="Calibri"/>
        <family val="2"/>
        <scheme val="minor"/>
      </rPr>
      <t>for all Rentals</t>
    </r>
  </si>
  <si>
    <r>
      <t xml:space="preserve">Property Tax Bill </t>
    </r>
    <r>
      <rPr>
        <sz val="11"/>
        <color rgb="FFFF0000"/>
        <rFont val="Calibri"/>
        <family val="2"/>
        <scheme val="minor"/>
      </rPr>
      <t>(if home is free and clear)</t>
    </r>
  </si>
  <si>
    <t>Other Requested Documents</t>
  </si>
  <si>
    <t>Homeowner's Assocation (HOA) Statement</t>
  </si>
  <si>
    <t>HO6 Statement for Condo Insurance Policy</t>
  </si>
  <si>
    <t>Full Solar Agreement</t>
  </si>
  <si>
    <t>Bank Statement Purchase Requested Documents</t>
  </si>
  <si>
    <t>Statement for any accounts being paid off</t>
  </si>
  <si>
    <t>12 Months Bank Statement Proof for Omitted Accounts</t>
  </si>
  <si>
    <t>Full Divorce Decree</t>
  </si>
  <si>
    <t>Picture of Drivers License</t>
  </si>
  <si>
    <t>24 Months Bank Statements</t>
  </si>
  <si>
    <t>FAQ / Info Dump</t>
  </si>
  <si>
    <t>Texas office info:</t>
  </si>
  <si>
    <t>Amrock - Amanda Peck - Account Executive</t>
  </si>
  <si>
    <t>WiFi name: GraniteEvolve</t>
  </si>
  <si>
    <t>662 Woodward Ave | Detroit, MI 48226</t>
  </si>
  <si>
    <t>WiFi password: ReadySuites+</t>
  </si>
  <si>
    <t>(888) 848-5355 ext. 94060 toll free</t>
  </si>
  <si>
    <t>Printer name: Brother MFC-L5850DW series Printer</t>
  </si>
  <si>
    <t>(313) 789-4060 direct | (844) 890-6868 direct fax</t>
  </si>
  <si>
    <t>Paesano's cafe (downstairs): 214-872-3408 - https://www.paesanoscafe.net/</t>
  </si>
  <si>
    <t>AmandaPeck@amrock.com | amrock.com | Privacy Policy</t>
  </si>
  <si>
    <t>Request a notary at Granite Park: https://www.granitepark.com/blog/on-site-notary/</t>
  </si>
  <si>
    <t>Granite Park gym waiver</t>
  </si>
  <si>
    <t>Rocket base compensation: 2% in all states across the board</t>
  </si>
  <si>
    <t>Scan documents from our printer to your email instructions</t>
  </si>
  <si>
    <t>Rocket appraisal escalations: AMSAppraisalEscalations@rocketmortgage.com</t>
  </si>
  <si>
    <t>FRU AE - Kari Hall: kari@freerateupdate.com, 610-220-6552 &amp; 610-200-6088</t>
  </si>
  <si>
    <t>When using rebump, make sure you BCC: bump@go.rebump.cc</t>
  </si>
  <si>
    <t>LendingTree AE: bradley.faries@lendingtree.com david.bentley@lendingtree.com 704.943.8031</t>
  </si>
  <si>
    <t>Advantage Credit rescore: shazen@advcredit.com</t>
  </si>
  <si>
    <t>Robert Pelaez: Robert.Pelaez@lendingtree.com</t>
  </si>
  <si>
    <t>LeadPoint AE: maurice.cathalifaud@leadpoint.com</t>
  </si>
  <si>
    <t xml:space="preserve">Amrock AE- 313-789-4097 stevesprunk@amrock.com </t>
  </si>
  <si>
    <t>Redstone mail: justin@rsmail.com, D: 813-671-2469 M: 954-899-5515</t>
  </si>
  <si>
    <t>Rocket TPO: 844-937-7567 option 2 then option 2</t>
  </si>
  <si>
    <t>Barry Mail: echo@initiateu.life barry@initiateu.life &amp; shelby@initiateu.life</t>
  </si>
  <si>
    <t>Rocket (e-sign hotline) - Client Support: 877-280-1903</t>
  </si>
  <si>
    <t>Licensing specialist: Katie Hawkins, khawkins@westcapitallending.com, 949-287-3063</t>
  </si>
  <si>
    <t>Rocket servicing: 800-508-0944, ServicingHelp@RocketMortgage.com</t>
  </si>
  <si>
    <t>Licensing: licensing@westcapitallending.com</t>
  </si>
  <si>
    <t>Submitting new files: sub@westcapitallending.com (make sure to CC Andrew and Anuj)</t>
  </si>
  <si>
    <t>Agent Legend support: support@agentlegend.com</t>
  </si>
  <si>
    <t>HELOC &amp; HEL contacts:</t>
  </si>
  <si>
    <t>Rocket account executives:</t>
  </si>
  <si>
    <t>o        Spring EQ: Shannon Aman 714-757-0099 saman@springeq.com</t>
  </si>
  <si>
    <t>o        Brittany Illbeck: D: (313) 751-9554 C: (248) 767-0395, BrittanyIllbeck@RocketMortgage.com</t>
  </si>
  <si>
    <t>o        Spring EQ SVP: psaurbier@springeq.com</t>
  </si>
  <si>
    <t>o        Mark Mohl: D: (313) 751-9609 C: (704) 236-6552, MarkMohl@rocketmortgage.com</t>
  </si>
  <si>
    <t>o        Spring EQ VP: shawn.obrien@springeq.com</t>
  </si>
  <si>
    <t>o        Stephen Colias: D: (313) 751-9784 C: (248) 894-8888, StephenCollias@rocketmortgage.com</t>
  </si>
  <si>
    <t>o        Broker experience group: BXG@springeq.com 866-834-0889</t>
  </si>
  <si>
    <t>o        Spring EQ Help Desk: 888-605-2588 option 1</t>
  </si>
  <si>
    <t>o        Button Lending: Brendan Breitinger 248-379-6757 brendan@buttonfinance.com</t>
  </si>
  <si>
    <t>o        Button's licensed states: AZ, TX, CO, DC, IL, SC, MI, UT, WA, NJ, FL and CA</t>
  </si>
  <si>
    <t>Homepoint AE</t>
  </si>
  <si>
    <t>Contract Processors:</t>
  </si>
  <si>
    <t>o        Adelfo Emanuele: D: 818-317-0150, aemanuele@hpfc.com</t>
  </si>
  <si>
    <t>o        Zoya Kayes: D:(949) 933-8098, zkayes@westcapitallending.com</t>
  </si>
  <si>
    <t>o        Wendy Yeh (his assistant and way more useful): D: 909-538-2832, wyeh@hpfc.com</t>
  </si>
  <si>
    <t>o        Carrie Luebcke: D:(949) 529-2497 C: (949) 294-2467, cluebcke@westcapitallending.com</t>
  </si>
  <si>
    <t>o        TPO help: 866-400-1362 option 1</t>
  </si>
  <si>
    <t>Click link below this block:</t>
  </si>
  <si>
    <t>Rocket UW contact info</t>
  </si>
  <si>
    <t>Contract processing fees</t>
  </si>
  <si>
    <t>All guideline questions can be found on Rocket's pathfinder: https://rocketprotpo.pathfinder.foc.zone/</t>
  </si>
  <si>
    <t xml:space="preserve">All Rocket calculators </t>
  </si>
  <si>
    <t>LendingPad Step-By-Step</t>
  </si>
  <si>
    <t>How to apply for DRE (45 hours)</t>
  </si>
  <si>
    <t>Anuj Shah's agg lead process from start to finish</t>
  </si>
  <si>
    <t>Fingerprints in Cali after DRE</t>
  </si>
  <si>
    <t>Andrew Moon's agg lead process from start to finish</t>
  </si>
  <si>
    <t>How to add BCC line (needed for Rebump)</t>
  </si>
  <si>
    <t>Kevin Maxwell's agg lead process from start to finish</t>
  </si>
  <si>
    <t>DRE rejection proper steps</t>
  </si>
  <si>
    <t>AgentLegend - HELOC campaign</t>
  </si>
  <si>
    <t>New state license must follow this</t>
  </si>
  <si>
    <t>AgentLegend - Agg campaign</t>
  </si>
  <si>
    <t>How to contact MLO licensing by state</t>
  </si>
  <si>
    <t>AgentLegend integration process</t>
  </si>
  <si>
    <t>MLO lisensing - state contacts</t>
  </si>
  <si>
    <t>AgentLegend Follow-Up Campaign</t>
  </si>
  <si>
    <t>WCL licensed states</t>
  </si>
  <si>
    <t>Conventional Email Quote</t>
  </si>
  <si>
    <t>Colorado surety and E&amp;O insurance coverage</t>
  </si>
  <si>
    <t>VA Email Quote</t>
  </si>
  <si>
    <t>Requesting Comp</t>
  </si>
  <si>
    <t>Rebump Templates</t>
  </si>
  <si>
    <t>Onboarding Checklist (printable)</t>
  </si>
  <si>
    <t>Text rebuttals</t>
  </si>
  <si>
    <t>Onboarding Services Checklist</t>
  </si>
  <si>
    <t>LeadPoint Step-By-Step</t>
  </si>
  <si>
    <t>What does the rocket portal look like?</t>
  </si>
  <si>
    <t>Leadpoint - how to provide feedback and returns</t>
  </si>
  <si>
    <t>Rocket e-sign walkthrough</t>
  </si>
  <si>
    <t>Spring EQ step-by-step</t>
  </si>
  <si>
    <t>Cardinal e-sign walkthrough</t>
  </si>
  <si>
    <t>Spring EQ - Texas HELOC A6</t>
  </si>
  <si>
    <t>Homepoint e-sign walkthrough</t>
  </si>
  <si>
    <t>Spring EQ max rate/APR</t>
  </si>
  <si>
    <t>Spring EQ e-sign walkthrough</t>
  </si>
  <si>
    <t>Spring EQ FICO vs Advantage Credit</t>
  </si>
  <si>
    <t>Income Calculator (download)</t>
  </si>
  <si>
    <t>Spring EQ HELOC</t>
  </si>
  <si>
    <t>Amortization Calculator (download)</t>
  </si>
  <si>
    <t>Spring EQ registration</t>
  </si>
  <si>
    <t>HELOC interest only calculator (download)</t>
  </si>
  <si>
    <t>Spring EQ post closing / servicing</t>
  </si>
  <si>
    <t>All-in-one Calculator (download)</t>
  </si>
  <si>
    <t>Spring EQ full appraisal vs drive-by vs AVM</t>
  </si>
  <si>
    <t>Sarah Escobar's 1003 template (download)</t>
  </si>
  <si>
    <t>Pulling tax transcript</t>
  </si>
  <si>
    <t>Pre-qualification template (download)</t>
  </si>
  <si>
    <t>Fannie Average FICO</t>
  </si>
  <si>
    <t>Texas pre-qualification guide</t>
  </si>
  <si>
    <t>Fresh Start - improving credit to fund your loan</t>
  </si>
  <si>
    <t>How to submit a loan to WCL</t>
  </si>
  <si>
    <t>Can't find W2's or 1099's?</t>
  </si>
  <si>
    <t>Submission form - Contract Processor (download)</t>
  </si>
  <si>
    <t>See what your borrower's potential FICO score can be</t>
  </si>
  <si>
    <t>Submission form - CORE (download)</t>
  </si>
  <si>
    <t>FRU and LeadPoint - MORE DATA</t>
  </si>
  <si>
    <t>Submission form - Long Form (download)</t>
  </si>
  <si>
    <t>BCHH TitleClose price quoting workflow</t>
  </si>
  <si>
    <t>Submission form - Short Form (self-process) - (download)</t>
  </si>
  <si>
    <t>BCHH dedicated team</t>
  </si>
  <si>
    <t>TX A6 calculator (download)</t>
  </si>
  <si>
    <t>DTI help with HOI</t>
  </si>
  <si>
    <t>Blended rate calculator (download)</t>
  </si>
  <si>
    <t>Credit pull error - invalid address</t>
  </si>
  <si>
    <t>How to fix QM (most of the times)</t>
  </si>
  <si>
    <t>How to order Redstone mailers</t>
  </si>
  <si>
    <t>Funded loans - referral template email</t>
  </si>
  <si>
    <t>Upload Redstone data to LMB</t>
  </si>
  <si>
    <t>Oregon lock agreement instructions</t>
  </si>
  <si>
    <t>Mass email past leads</t>
  </si>
  <si>
    <t>New state license requirements</t>
  </si>
  <si>
    <t>Outlook search not working?</t>
  </si>
  <si>
    <t>Rocket e-sign not sending (fix)</t>
  </si>
  <si>
    <t>Text conversation that led to a phone call that led to a deal</t>
  </si>
  <si>
    <t>Val-Chris programs and states</t>
  </si>
  <si>
    <t>Lump your email conversations together</t>
  </si>
  <si>
    <t>Apply now link - how to</t>
  </si>
  <si>
    <t>Cardinal Support Resources</t>
  </si>
  <si>
    <t>How to find 1003</t>
  </si>
  <si>
    <t>Reverse Mortgage 101 (link)</t>
  </si>
  <si>
    <t>Button post closing</t>
  </si>
  <si>
    <t xml:space="preserve">Reverse Mortgage split </t>
  </si>
  <si>
    <t>Spring EQ rate sheet</t>
  </si>
  <si>
    <t>Creating an itemized fee sheet</t>
  </si>
  <si>
    <t>Button Finance rate sheet</t>
  </si>
  <si>
    <t>Continuing education - discount</t>
  </si>
  <si>
    <t>Pre-Pay effective rate calculator</t>
  </si>
  <si>
    <t>Withdrawing loans in LendingPad</t>
  </si>
  <si>
    <t>Spam likely removal</t>
  </si>
  <si>
    <t>Lender Price (no more LoanSifter)</t>
  </si>
  <si>
    <t>Rental estimated (great for DSCR calculation) - link</t>
  </si>
  <si>
    <t>Calculating commission on CORE</t>
  </si>
  <si>
    <t>EPO Protected lenders</t>
  </si>
  <si>
    <t>Under 580 FICO lenders</t>
  </si>
  <si>
    <t>Buying out lender fee differences</t>
  </si>
  <si>
    <t>Business card templates (download)</t>
  </si>
  <si>
    <t>Lender list</t>
  </si>
  <si>
    <t>MLO and Real Estate Agent</t>
  </si>
  <si>
    <t>Approved in-house processing list</t>
  </si>
  <si>
    <t>LPC vs BPC</t>
  </si>
  <si>
    <t>Loan Amortization Table</t>
  </si>
  <si>
    <t>Enter Loan Amount            &gt;&gt;&gt;</t>
  </si>
  <si>
    <t>Enter Term in Months         &gt;&gt;&gt;</t>
  </si>
  <si>
    <t>Enter Interest Rate             &gt;&gt;&gt;</t>
  </si>
  <si>
    <t>Total Payments</t>
  </si>
  <si>
    <t>Interest Paid</t>
  </si>
  <si>
    <t>Principal Paid</t>
  </si>
  <si>
    <t>Year End Balance</t>
  </si>
  <si>
    <t>Total Int. Pmt.</t>
  </si>
  <si>
    <t>Year 1</t>
  </si>
  <si>
    <t>Year 2</t>
  </si>
  <si>
    <t>Year 3</t>
  </si>
  <si>
    <t>Difference</t>
  </si>
  <si>
    <t>Year 4</t>
  </si>
  <si>
    <t>Year 5</t>
  </si>
  <si>
    <t>Mthly Savings</t>
  </si>
  <si>
    <t>Ann. Savings</t>
  </si>
  <si>
    <t>Totals</t>
  </si>
  <si>
    <t>Period</t>
  </si>
  <si>
    <t>Interest</t>
  </si>
  <si>
    <t>Principal</t>
  </si>
  <si>
    <t>Balance</t>
  </si>
  <si>
    <t>Password = "amort"</t>
  </si>
  <si>
    <t>HELOC Payment Calculator</t>
  </si>
  <si>
    <t>Line Amount</t>
  </si>
  <si>
    <t>Initital Draw/Balance</t>
  </si>
  <si>
    <t>Start rate</t>
  </si>
  <si>
    <t>Qualifying Rate</t>
  </si>
  <si>
    <t>Months</t>
  </si>
  <si>
    <t>Interest Only Payment</t>
  </si>
  <si>
    <t>Qualifying Payment</t>
  </si>
  <si>
    <t>Blending Rate Calculator</t>
  </si>
  <si>
    <t>Loan 1</t>
  </si>
  <si>
    <t>Loan 2</t>
  </si>
  <si>
    <t>Loan 3</t>
  </si>
  <si>
    <t>Loan 4</t>
  </si>
  <si>
    <t>Original Term (in years)</t>
  </si>
  <si>
    <t>Total Balance</t>
  </si>
  <si>
    <t>Blended Rate</t>
  </si>
  <si>
    <r>
      <t xml:space="preserve">Income Calculator
</t>
    </r>
    <r>
      <rPr>
        <sz val="8"/>
        <color theme="1"/>
        <rFont val="Calibri"/>
        <family val="2"/>
        <scheme val="minor"/>
      </rPr>
      <t xml:space="preserve">Use this set of calculators for the following types of income: Salary, Hourly, Commission, Tip, Overtime, 2106 Expense &amp; Social Security Income. </t>
    </r>
  </si>
  <si>
    <t>Completed by</t>
  </si>
  <si>
    <t>Shannon Quackenbush</t>
  </si>
  <si>
    <t>Title</t>
  </si>
  <si>
    <t>Borrower:</t>
  </si>
  <si>
    <t>Hala Soujan Brooks</t>
  </si>
  <si>
    <t>Loan #</t>
  </si>
  <si>
    <t>R3001123</t>
  </si>
  <si>
    <t xml:space="preserve">Notes:
General Notes
    - Use of these calculators does not supercede Underwriter Discretion, industry standards, 
      Agency or Investor guidelines
Period Start &amp; End Date
       - Always use the MOST RECENT paystubs provided by the borrower
       - If period start &amp; end dates are not listed on paystub use day after previous pay date
          through current pay date
Months elapsed year to date
    -  The system will automatically calculated the YTD months, and it will add this figure to 
        the appropriate average based on the income trend for the last two years and YTD. 
Social Security
    - Calculator is only for use when taking SSI from the most recent Federal tax return 
       AND grossing up the non-taxable portion
    - If SSI does not need to be grossed up use the monthly income figure from the  
       SSA Award Letter.
Mileage Deduction Add Back
    - Business miles written off on the 2106 may be added back PROVIDED that
       the borrower's employment would require them to drive (not commute)
        for work.  e.x. At Home Health Care Provider, Regional Sales person, etc...
Required Documentation
    - Document per AUS findings or Investor guidelines
</t>
  </si>
  <si>
    <r>
      <rPr>
        <b/>
        <u/>
        <sz val="14"/>
        <color theme="1"/>
        <rFont val="Calibri"/>
        <family val="2"/>
        <scheme val="minor"/>
      </rPr>
      <t>Pay Frequency</t>
    </r>
    <r>
      <rPr>
        <b/>
        <u/>
        <sz val="11"/>
        <color theme="1"/>
        <rFont val="Calibri"/>
        <family val="2"/>
        <scheme val="minor"/>
      </rPr>
      <t xml:space="preserve">
</t>
    </r>
    <r>
      <rPr>
        <sz val="8"/>
        <color theme="1"/>
        <rFont val="Calibri"/>
        <family val="2"/>
        <scheme val="minor"/>
      </rPr>
      <t>Complete the Pay Period, and the Pay Frequency will automatically populate and change calculations through out the form.</t>
    </r>
  </si>
  <si>
    <t>Pay Period</t>
  </si>
  <si>
    <t>Enter most recent pay period start date:</t>
  </si>
  <si>
    <t>Pay Frequency</t>
  </si>
  <si>
    <t>Enter most recent pay period end date:</t>
  </si>
  <si>
    <r>
      <rPr>
        <u/>
        <sz val="14"/>
        <color theme="1"/>
        <rFont val="Calibri"/>
        <family val="2"/>
        <scheme val="minor"/>
      </rPr>
      <t>Months to average for variable income</t>
    </r>
    <r>
      <rPr>
        <sz val="11"/>
        <color theme="1"/>
        <rFont val="Calibri"/>
        <family val="2"/>
        <scheme val="minor"/>
      </rPr>
      <t xml:space="preserve">
</t>
    </r>
    <r>
      <rPr>
        <sz val="8"/>
        <color theme="1"/>
        <rFont val="Calibri"/>
        <family val="2"/>
        <scheme val="minor"/>
      </rPr>
      <t xml:space="preserve">The calculator will automatically use a default worst case (12 or 24 month + YTD)  average 
</t>
    </r>
    <r>
      <rPr>
        <sz val="10"/>
        <color theme="1"/>
        <rFont val="Calibri"/>
        <family val="2"/>
        <scheme val="minor"/>
      </rPr>
      <t/>
    </r>
  </si>
  <si>
    <t>Months elapsed year to date:</t>
  </si>
  <si>
    <t>OPTIONAL Months to manually average
 variable income ***see notes***</t>
  </si>
  <si>
    <t>Select total # of months to average</t>
  </si>
  <si>
    <t>Salary Income</t>
  </si>
  <si>
    <t>Commission Income</t>
  </si>
  <si>
    <t>Pay Period Salary</t>
  </si>
  <si>
    <t>Year to date from most recent paystub</t>
  </si>
  <si>
    <t>WVOE Commissions (most recent year)</t>
  </si>
  <si>
    <t>Current Average:</t>
  </si>
  <si>
    <t>WVOE Commissions (previous year)</t>
  </si>
  <si>
    <t xml:space="preserve">Suggested: </t>
  </si>
  <si>
    <t>YTD Average:</t>
  </si>
  <si>
    <t>Monthly Commission Income</t>
  </si>
  <si>
    <r>
      <t xml:space="preserve">Monthly Salary Income
</t>
    </r>
    <r>
      <rPr>
        <sz val="8"/>
        <color theme="1"/>
        <rFont val="Calibri"/>
        <family val="2"/>
        <scheme val="minor"/>
      </rPr>
      <t>You may use the current average above if there is an explanation for the lower YTD average</t>
    </r>
  </si>
  <si>
    <t>Tip Income</t>
  </si>
  <si>
    <t>Hourly Income</t>
  </si>
  <si>
    <t>Hourly Pay Rate</t>
  </si>
  <si>
    <t>WVOE Tip (most recent year)</t>
  </si>
  <si>
    <t>Average Hours Worked per Week</t>
  </si>
  <si>
    <t>WVOE Tip (previous year)</t>
  </si>
  <si>
    <t xml:space="preserve">Monthly Hourly Income </t>
  </si>
  <si>
    <t>Monthly Tip Income</t>
  </si>
  <si>
    <t>Overtime Income</t>
  </si>
  <si>
    <r>
      <t xml:space="preserve">Social Security Income </t>
    </r>
    <r>
      <rPr>
        <sz val="8"/>
        <color theme="1"/>
        <rFont val="Calibri"/>
        <family val="2"/>
        <scheme val="minor"/>
      </rPr>
      <t>(Use to gross up)</t>
    </r>
  </si>
  <si>
    <t>1040 Line 20a Social Security Benefits</t>
  </si>
  <si>
    <t>WVOE Overtime (most recent year)</t>
  </si>
  <si>
    <t>1040 Line 20b Taxable Amount</t>
  </si>
  <si>
    <t>WVOE Overtime (previous year)</t>
  </si>
  <si>
    <t>Monthly Income</t>
  </si>
  <si>
    <t xml:space="preserve">Monthly Overtime Income </t>
  </si>
  <si>
    <t>Secondary or Seasonal Income</t>
  </si>
  <si>
    <t>Mileage Deduction Add Back</t>
  </si>
  <si>
    <r>
      <t xml:space="preserve">Enter number of Business miles
</t>
    </r>
    <r>
      <rPr>
        <sz val="8"/>
        <color theme="1"/>
        <rFont val="Calibri"/>
        <family val="2"/>
        <scheme val="minor"/>
      </rPr>
      <t>(Find figure on form 2106)</t>
    </r>
  </si>
  <si>
    <t>Most recent year W2</t>
  </si>
  <si>
    <r>
      <rPr>
        <b/>
        <sz val="10"/>
        <color theme="1"/>
        <rFont val="Calibri"/>
        <family val="2"/>
        <scheme val="minor"/>
      </rPr>
      <t>Monthly Income</t>
    </r>
    <r>
      <rPr>
        <b/>
        <sz val="11"/>
        <color theme="1"/>
        <rFont val="Calibri"/>
        <family val="2"/>
        <scheme val="minor"/>
      </rPr>
      <t xml:space="preserve">
- </t>
    </r>
    <r>
      <rPr>
        <sz val="11"/>
        <color theme="1"/>
        <rFont val="Calibri"/>
        <family val="2"/>
        <scheme val="minor"/>
      </rPr>
      <t>Enter this number on 1003 pg. 2 as" Other Income"</t>
    </r>
  </si>
  <si>
    <t>Previous year W2</t>
  </si>
  <si>
    <t>Borrower's employer recently switched from bi-weekly pay periods to semi-monthly.</t>
  </si>
  <si>
    <t>Safety For Commissions</t>
  </si>
  <si>
    <t>if/then for commissions</t>
  </si>
  <si>
    <t>Commission calc with auto months</t>
  </si>
  <si>
    <t>Commission calc with manual months</t>
  </si>
  <si>
    <t>Safety for OT</t>
  </si>
  <si>
    <t>if/then for OT</t>
  </si>
  <si>
    <t>OT calc with auto months</t>
  </si>
  <si>
    <t>OT calc with manual months</t>
  </si>
  <si>
    <t>Safety for Tip</t>
  </si>
  <si>
    <t>if/then for tip</t>
  </si>
  <si>
    <t>Tip calc with auto months</t>
  </si>
  <si>
    <t>Tip calc with manual months</t>
  </si>
  <si>
    <t>Vice President of Mortgage Lending</t>
  </si>
  <si>
    <t>Pay start</t>
  </si>
  <si>
    <t>pay period days</t>
  </si>
  <si>
    <t>Mortgage Consultant</t>
  </si>
  <si>
    <t>pay end</t>
  </si>
  <si>
    <t>Jan</t>
  </si>
  <si>
    <t>salary</t>
  </si>
  <si>
    <t>Loan Coordinator</t>
  </si>
  <si>
    <t>Feb</t>
  </si>
  <si>
    <t>Underwriter</t>
  </si>
  <si>
    <t>Mar</t>
  </si>
  <si>
    <t>Apr</t>
  </si>
  <si>
    <t>Jun</t>
  </si>
  <si>
    <t>Jul</t>
  </si>
  <si>
    <t>hourly</t>
  </si>
  <si>
    <t>Aug</t>
  </si>
  <si>
    <t>Sept</t>
  </si>
  <si>
    <t>number of months</t>
  </si>
  <si>
    <t>Oct</t>
  </si>
  <si>
    <t>Nov</t>
  </si>
  <si>
    <t>Dec</t>
  </si>
  <si>
    <t>overtime paystub average</t>
  </si>
  <si>
    <t>bonus paystub average</t>
  </si>
  <si>
    <t>commission paystub average</t>
  </si>
  <si>
    <t>hourly average</t>
  </si>
  <si>
    <t>tip paystub average</t>
  </si>
  <si>
    <t>ot paystub/monthly average</t>
  </si>
  <si>
    <t>bonus paystub/monthly avg</t>
  </si>
  <si>
    <t>commission paystub/monthly avg</t>
  </si>
  <si>
    <t>tip paystub/monthly avg</t>
  </si>
  <si>
    <t xml:space="preserve">ot monthly  </t>
  </si>
  <si>
    <t xml:space="preserve">bonus monthly  </t>
  </si>
  <si>
    <t>comm monthly</t>
  </si>
  <si>
    <t xml:space="preserve">tip monthly  </t>
  </si>
  <si>
    <t>salary monthly</t>
  </si>
  <si>
    <t>OT</t>
  </si>
  <si>
    <t>comm</t>
  </si>
  <si>
    <t>bonus</t>
  </si>
  <si>
    <t>tip</t>
  </si>
  <si>
    <r>
      <t xml:space="preserve">Bonus Calculator
</t>
    </r>
    <r>
      <rPr>
        <sz val="8"/>
        <rFont val="Calibri"/>
        <family val="2"/>
        <scheme val="minor"/>
      </rPr>
      <t>Use this to determine the amount of bonus income your borrower can use for qualifying.</t>
    </r>
  </si>
  <si>
    <r>
      <rPr>
        <b/>
        <u/>
        <sz val="11"/>
        <rFont val="Calibri"/>
        <family val="2"/>
        <scheme val="minor"/>
      </rPr>
      <t>Notes:</t>
    </r>
    <r>
      <rPr>
        <b/>
        <sz val="11"/>
        <rFont val="Calibri"/>
        <family val="2"/>
        <scheme val="minor"/>
      </rPr>
      <t xml:space="preserve">
</t>
    </r>
    <r>
      <rPr>
        <b/>
        <u/>
        <sz val="10"/>
        <rFont val="Calibri"/>
        <family val="2"/>
        <scheme val="minor"/>
      </rPr>
      <t>General Notes</t>
    </r>
    <r>
      <rPr>
        <sz val="8"/>
        <rFont val="Calibri"/>
        <family val="2"/>
        <scheme val="minor"/>
      </rPr>
      <t xml:space="preserve">
    - Use of these calculators does not supersede Underwriter Discretion, industry standards, 
      Agency or Investor guidelines
    - Your underwriter </t>
    </r>
    <r>
      <rPr>
        <i/>
        <sz val="8"/>
        <rFont val="Calibri"/>
        <family val="2"/>
        <scheme val="minor"/>
      </rPr>
      <t>may</t>
    </r>
    <r>
      <rPr>
        <sz val="8"/>
        <rFont val="Calibri"/>
        <family val="2"/>
        <scheme val="minor"/>
      </rPr>
      <t xml:space="preserve"> arrive at a different income figure if the documentation
       doesn't support the information entered here
</t>
    </r>
    <r>
      <rPr>
        <sz val="11"/>
        <rFont val="Calibri"/>
        <family val="2"/>
        <scheme val="minor"/>
      </rPr>
      <t xml:space="preserve">
</t>
    </r>
    <r>
      <rPr>
        <b/>
        <u/>
        <sz val="10"/>
        <rFont val="Calibri"/>
        <family val="2"/>
        <scheme val="minor"/>
      </rPr>
      <t xml:space="preserve">Period Start &amp; End Date
</t>
    </r>
    <r>
      <rPr>
        <sz val="8"/>
        <rFont val="Calibri"/>
        <family val="2"/>
        <scheme val="minor"/>
      </rPr>
      <t xml:space="preserve">    - Always use the MOST RECENT paystubs provided by the borrower
    - If period start &amp; end dates are not listed on paystub use day after previous pay date
      through current pay date
    - If the "freqency" doesn't auto-populate, add or subtract a day from the period end date
</t>
    </r>
    <r>
      <rPr>
        <b/>
        <sz val="10"/>
        <rFont val="Calibri"/>
        <family val="2"/>
        <scheme val="minor"/>
      </rPr>
      <t xml:space="preserve">
</t>
    </r>
    <r>
      <rPr>
        <b/>
        <u/>
        <sz val="10"/>
        <rFont val="Calibri"/>
        <family val="2"/>
        <scheme val="minor"/>
      </rPr>
      <t>Months elapsed year to date</t>
    </r>
    <r>
      <rPr>
        <b/>
        <u/>
        <sz val="8"/>
        <rFont val="Calibri"/>
        <family val="2"/>
        <scheme val="minor"/>
      </rPr>
      <t xml:space="preserve">
</t>
    </r>
    <r>
      <rPr>
        <sz val="8"/>
        <rFont val="Calibri"/>
        <family val="2"/>
        <scheme val="minor"/>
      </rPr>
      <t xml:space="preserve">    -  The system will automatically calculated the YTD months, and it will add this figure to 
        the appropriate average based on the income trend for the last two years. 
    -  NOTE: If you believe the calculator is in error, you may enter the income amount
        you believe is correct, along with an explanation, in the notes section.
</t>
    </r>
    <r>
      <rPr>
        <b/>
        <u/>
        <sz val="10"/>
        <rFont val="Calibri"/>
        <family val="2"/>
        <scheme val="minor"/>
      </rPr>
      <t>Frequency</t>
    </r>
    <r>
      <rPr>
        <sz val="8"/>
        <rFont val="Calibri"/>
        <family val="2"/>
        <scheme val="minor"/>
      </rPr>
      <t xml:space="preserve">
    -  This is how frequently the borrower receives their bonus, and it must be manually selected. 
        The frequency will determine what figure to analyze the YTD average by.
</t>
    </r>
    <r>
      <rPr>
        <b/>
        <u/>
        <sz val="11"/>
        <rFont val="Calibri"/>
        <family val="2"/>
        <scheme val="minor"/>
      </rPr>
      <t>Required Documentation</t>
    </r>
    <r>
      <rPr>
        <sz val="8"/>
        <rFont val="Calibri"/>
        <family val="2"/>
        <scheme val="minor"/>
      </rPr>
      <t xml:space="preserve">
    - Written VOE
    - Most recent paystub
</t>
    </r>
    <r>
      <rPr>
        <b/>
        <sz val="11"/>
        <color theme="1"/>
        <rFont val="Calibri"/>
        <family val="2"/>
        <scheme val="minor"/>
      </rPr>
      <t/>
    </r>
  </si>
  <si>
    <r>
      <rPr>
        <b/>
        <u/>
        <sz val="14"/>
        <rFont val="Calibri"/>
        <family val="2"/>
        <scheme val="minor"/>
      </rPr>
      <t>Pay Frequency</t>
    </r>
    <r>
      <rPr>
        <b/>
        <u/>
        <sz val="11"/>
        <rFont val="Calibri"/>
        <family val="2"/>
        <scheme val="minor"/>
      </rPr>
      <t xml:space="preserve">
</t>
    </r>
    <r>
      <rPr>
        <sz val="8"/>
        <rFont val="Calibri"/>
        <family val="2"/>
        <scheme val="minor"/>
      </rPr>
      <t>Complete the Pay Period, and the Pay Frequency will automatically populate and change calculations through out the form.</t>
    </r>
  </si>
  <si>
    <r>
      <rPr>
        <b/>
        <u/>
        <sz val="14"/>
        <rFont val="Calibri"/>
        <family val="2"/>
        <scheme val="minor"/>
      </rPr>
      <t>Months to average for variable income</t>
    </r>
    <r>
      <rPr>
        <b/>
        <sz val="12"/>
        <rFont val="Calibri"/>
        <family val="2"/>
        <scheme val="minor"/>
      </rPr>
      <t xml:space="preserve">
</t>
    </r>
    <r>
      <rPr>
        <sz val="8"/>
        <rFont val="Calibri"/>
        <family val="2"/>
        <scheme val="minor"/>
      </rPr>
      <t xml:space="preserve">The calculator will automatically use a default worst case average of either 12 or 24 months + YTD, or YTD depending on the income trend.
</t>
    </r>
    <r>
      <rPr>
        <b/>
        <sz val="10"/>
        <rFont val="Calibri"/>
        <family val="2"/>
        <scheme val="minor"/>
      </rPr>
      <t/>
    </r>
  </si>
  <si>
    <t>Bonus Income</t>
  </si>
  <si>
    <t>Your income will be calculated three ways (Income / Time), and the most conservative figure will be displayed:
Most recent VOE + Current / (12mos + YTDmos)
Previous VOE + Most Recent VOE + Current / (24mos + YTDmos)
(Current / YTD Mos) x 12 / appropriate # months</t>
  </si>
  <si>
    <t>Annually</t>
  </si>
  <si>
    <t>WVOE Bonus (most recent year)</t>
  </si>
  <si>
    <t>WVOE Bonus (previous year)</t>
  </si>
  <si>
    <t xml:space="preserve">Monthly Bonus Income </t>
  </si>
  <si>
    <t>explain the income you used here</t>
  </si>
  <si>
    <t>Formulas for bonus calculator</t>
  </si>
  <si>
    <t>Monthly</t>
  </si>
  <si>
    <t>Quarterly</t>
  </si>
  <si>
    <t>Semi-Annual</t>
  </si>
  <si>
    <t>Annual</t>
  </si>
  <si>
    <t>Month Count</t>
  </si>
  <si>
    <t>qtr count</t>
  </si>
  <si>
    <t>semi-an count</t>
  </si>
  <si>
    <t>annual</t>
  </si>
  <si>
    <t>Month.Day count from pay period dates</t>
  </si>
  <si>
    <t>12+YTDmos</t>
  </si>
  <si>
    <t>Month.Day count with ceiling</t>
  </si>
  <si>
    <t>24+YTDmos</t>
  </si>
  <si>
    <t>YTD Annualized</t>
  </si>
  <si>
    <t>lowest average</t>
  </si>
  <si>
    <t>Answer based on frequency</t>
  </si>
  <si>
    <t>Bonus freq selections:</t>
  </si>
  <si>
    <t>Select Pay Frequency</t>
  </si>
  <si>
    <t>Semi-Annually</t>
  </si>
  <si>
    <t>Choose Lender</t>
  </si>
  <si>
    <t>FNMA</t>
  </si>
  <si>
    <t>FHLMC</t>
  </si>
  <si>
    <t>Other</t>
  </si>
  <si>
    <r>
      <t xml:space="preserve">Sole Proprietorship
</t>
    </r>
    <r>
      <rPr>
        <sz val="8"/>
        <color theme="1"/>
        <rFont val="Calibri"/>
        <family val="2"/>
        <scheme val="minor"/>
      </rPr>
      <t xml:space="preserve">Sole Propietor income is reported on schedule C. Complete all of the applicable white boxes to calculate borrower's qualifying income. 
</t>
    </r>
  </si>
  <si>
    <r>
      <rPr>
        <b/>
        <u/>
        <sz val="16"/>
        <rFont val="Calibri"/>
        <family val="2"/>
        <scheme val="minor"/>
      </rPr>
      <t>Notes:</t>
    </r>
    <r>
      <rPr>
        <sz val="11"/>
        <rFont val="Calibri"/>
        <family val="2"/>
        <scheme val="minor"/>
      </rPr>
      <t xml:space="preserve"> 
</t>
    </r>
    <r>
      <rPr>
        <b/>
        <u/>
        <sz val="12"/>
        <rFont val="Calibri"/>
        <family val="2"/>
        <scheme val="minor"/>
      </rPr>
      <t xml:space="preserve">Add Backs  </t>
    </r>
    <r>
      <rPr>
        <sz val="9"/>
        <rFont val="Calibri"/>
        <family val="2"/>
        <scheme val="minor"/>
      </rPr>
      <t xml:space="preserve">*you are NOT required to add back additional income... do so only when necessary
    - </t>
    </r>
    <r>
      <rPr>
        <b/>
        <sz val="11"/>
        <rFont val="Calibri"/>
        <family val="2"/>
        <scheme val="minor"/>
      </rPr>
      <t>Depletion</t>
    </r>
    <r>
      <rPr>
        <sz val="9"/>
        <rFont val="Calibri"/>
        <family val="2"/>
        <scheme val="minor"/>
      </rPr>
      <t xml:space="preserve"> - May be added back to income
    - </t>
    </r>
    <r>
      <rPr>
        <b/>
        <sz val="11"/>
        <rFont val="Calibri"/>
        <family val="2"/>
        <scheme val="minor"/>
      </rPr>
      <t>Depreciation</t>
    </r>
    <r>
      <rPr>
        <sz val="9"/>
        <rFont val="Calibri"/>
        <family val="2"/>
        <scheme val="minor"/>
      </rPr>
      <t xml:space="preserve"> - May be added back to income
    - </t>
    </r>
    <r>
      <rPr>
        <b/>
        <sz val="11"/>
        <rFont val="Calibri"/>
        <family val="2"/>
        <scheme val="minor"/>
      </rPr>
      <t>Business Use of Vehicle</t>
    </r>
    <r>
      <rPr>
        <sz val="9"/>
        <rFont val="Calibri"/>
        <family val="2"/>
        <scheme val="minor"/>
      </rPr>
      <t xml:space="preserve"> - Enter the number of Business Miles from Schedule C pg2 or from the 
                                                                       2106;  calculator will add income credits per mile. Current factor is .24
    - </t>
    </r>
    <r>
      <rPr>
        <b/>
        <sz val="11"/>
        <rFont val="Calibri"/>
        <family val="2"/>
        <scheme val="minor"/>
      </rPr>
      <t>Amortization</t>
    </r>
    <r>
      <rPr>
        <sz val="9"/>
        <rFont val="Calibri"/>
        <family val="2"/>
        <scheme val="minor"/>
      </rPr>
      <t xml:space="preserve"> - Only use Amortization from Part V
    - </t>
    </r>
    <r>
      <rPr>
        <b/>
        <sz val="11"/>
        <rFont val="Calibri"/>
        <family val="2"/>
        <scheme val="minor"/>
      </rPr>
      <t>Business Use of Home</t>
    </r>
    <r>
      <rPr>
        <sz val="9"/>
        <rFont val="Calibri"/>
        <family val="2"/>
        <scheme val="minor"/>
      </rPr>
      <t xml:space="preserve"> - May be added back to income  ***FOR CONVENTIONAL ONLY; NOT FHA!
</t>
    </r>
    <r>
      <rPr>
        <u/>
        <sz val="11"/>
        <rFont val="Calibri"/>
        <family val="2"/>
        <scheme val="minor"/>
      </rPr>
      <t xml:space="preserve">
</t>
    </r>
    <r>
      <rPr>
        <b/>
        <u/>
        <sz val="12"/>
        <rFont val="Calibri"/>
        <family val="2"/>
        <scheme val="minor"/>
      </rPr>
      <t>Required Documentation</t>
    </r>
    <r>
      <rPr>
        <sz val="11"/>
        <rFont val="Calibri"/>
        <family val="2"/>
        <scheme val="minor"/>
      </rPr>
      <t xml:space="preserve">
</t>
    </r>
    <r>
      <rPr>
        <sz val="9"/>
        <rFont val="Calibri"/>
        <family val="2"/>
        <scheme val="minor"/>
      </rPr>
      <t xml:space="preserve">    - </t>
    </r>
    <r>
      <rPr>
        <b/>
        <sz val="11"/>
        <rFont val="Calibri"/>
        <family val="2"/>
        <scheme val="minor"/>
      </rPr>
      <t>1040</t>
    </r>
    <r>
      <rPr>
        <sz val="9"/>
        <rFont val="Calibri"/>
        <family val="2"/>
        <scheme val="minor"/>
      </rPr>
      <t xml:space="preserve"> - Most recent two years (or per AUS) complete personal tax returns 
                         (1040,  schedules, statements) 
    - </t>
    </r>
    <r>
      <rPr>
        <b/>
        <sz val="11"/>
        <rFont val="Calibri"/>
        <family val="2"/>
        <scheme val="minor"/>
      </rPr>
      <t>1099 / W2</t>
    </r>
  </si>
  <si>
    <t>Borrower's Name:</t>
  </si>
  <si>
    <t>Ronald Hatfield</t>
  </si>
  <si>
    <t>Loan Number:</t>
  </si>
  <si>
    <t>Business Name:</t>
  </si>
  <si>
    <t>Schedule C</t>
  </si>
  <si>
    <t>Most Recent</t>
  </si>
  <si>
    <t>Previous</t>
  </si>
  <si>
    <t>Calc 1</t>
  </si>
  <si>
    <r>
      <t xml:space="preserve">Net Profit/Loss </t>
    </r>
    <r>
      <rPr>
        <sz val="8"/>
        <color theme="1"/>
        <rFont val="Calibri"/>
        <family val="2"/>
        <scheme val="minor"/>
      </rPr>
      <t>(Line 31)</t>
    </r>
  </si>
  <si>
    <t>Only using current Y/N</t>
  </si>
  <si>
    <t>*Add Backs (schedule C)</t>
  </si>
  <si>
    <t>Current &lt; previous  Y/N</t>
  </si>
  <si>
    <t>Sales Assistant</t>
  </si>
  <si>
    <r>
      <rPr>
        <b/>
        <sz val="11"/>
        <color theme="1"/>
        <rFont val="Calibri"/>
        <family val="2"/>
        <scheme val="minor"/>
      </rPr>
      <t>Depletion</t>
    </r>
    <r>
      <rPr>
        <sz val="11"/>
        <color theme="1"/>
        <rFont val="Calibri"/>
        <family val="2"/>
        <scheme val="minor"/>
      </rPr>
      <t xml:space="preserve"> </t>
    </r>
    <r>
      <rPr>
        <sz val="8"/>
        <color theme="1"/>
        <rFont val="Calibri"/>
        <family val="2"/>
        <scheme val="minor"/>
      </rPr>
      <t>(Line 12 )</t>
    </r>
  </si>
  <si>
    <t>12 month avg? Y/N</t>
  </si>
  <si>
    <r>
      <rPr>
        <b/>
        <sz val="11"/>
        <color theme="1"/>
        <rFont val="Calibri"/>
        <family val="2"/>
        <scheme val="minor"/>
      </rPr>
      <t>Depreciation</t>
    </r>
    <r>
      <rPr>
        <sz val="11"/>
        <color theme="1"/>
        <rFont val="Calibri"/>
        <family val="2"/>
        <scheme val="minor"/>
      </rPr>
      <t xml:space="preserve"> </t>
    </r>
    <r>
      <rPr>
        <sz val="8"/>
        <color theme="1"/>
        <rFont val="Calibri"/>
        <family val="2"/>
        <scheme val="minor"/>
      </rPr>
      <t>(Line 13)</t>
    </r>
  </si>
  <si>
    <r>
      <rPr>
        <b/>
        <sz val="11"/>
        <color theme="1"/>
        <rFont val="Calibri"/>
        <family val="2"/>
        <scheme val="minor"/>
      </rPr>
      <t>Business Use of Vehicle*</t>
    </r>
    <r>
      <rPr>
        <sz val="8"/>
        <color theme="1"/>
        <rFont val="Calibri"/>
        <family val="2"/>
        <scheme val="minor"/>
      </rPr>
      <t xml:space="preserve"> (SEE NOTES)</t>
    </r>
  </si>
  <si>
    <t>Enter Miles:</t>
  </si>
  <si>
    <t>12 month average</t>
  </si>
  <si>
    <r>
      <rPr>
        <b/>
        <sz val="11"/>
        <color theme="1"/>
        <rFont val="Calibri"/>
        <family val="2"/>
        <scheme val="minor"/>
      </rPr>
      <t>Amortization</t>
    </r>
    <r>
      <rPr>
        <sz val="11"/>
        <color theme="1"/>
        <rFont val="Calibri"/>
        <family val="2"/>
        <scheme val="minor"/>
      </rPr>
      <t xml:space="preserve"> </t>
    </r>
    <r>
      <rPr>
        <sz val="8"/>
        <color theme="1"/>
        <rFont val="Calibri"/>
        <family val="2"/>
        <scheme val="minor"/>
      </rPr>
      <t>(pg2 Part V)</t>
    </r>
  </si>
  <si>
    <t>24 Month Average</t>
  </si>
  <si>
    <r>
      <rPr>
        <b/>
        <sz val="11"/>
        <color theme="1"/>
        <rFont val="Calibri"/>
        <family val="2"/>
        <scheme val="minor"/>
      </rPr>
      <t>Business Use of Home*</t>
    </r>
    <r>
      <rPr>
        <sz val="11"/>
        <color theme="1"/>
        <rFont val="Calibri"/>
        <family val="2"/>
        <scheme val="minor"/>
      </rPr>
      <t xml:space="preserve"> </t>
    </r>
    <r>
      <rPr>
        <sz val="8"/>
        <color theme="1"/>
        <rFont val="Calibri"/>
        <family val="2"/>
        <scheme val="minor"/>
      </rPr>
      <t>(line 30)</t>
    </r>
  </si>
  <si>
    <t>*Deductions (schedule C)</t>
  </si>
  <si>
    <r>
      <t xml:space="preserve">Meals &amp; Entertainment </t>
    </r>
    <r>
      <rPr>
        <sz val="8"/>
        <color theme="1"/>
        <rFont val="Calibri"/>
        <family val="2"/>
        <scheme val="minor"/>
      </rPr>
      <t>(line</t>
    </r>
    <r>
      <rPr>
        <sz val="9"/>
        <color theme="1"/>
        <rFont val="Calibri"/>
        <family val="2"/>
        <scheme val="minor"/>
      </rPr>
      <t xml:space="preserve"> 24b)</t>
    </r>
  </si>
  <si>
    <t>Yearly Totals</t>
  </si>
  <si>
    <t>12 or 24 Month Average</t>
  </si>
  <si>
    <t>Average Monthly Income</t>
  </si>
  <si>
    <t>Calc 2</t>
  </si>
  <si>
    <t>explain the income you chose to use here</t>
  </si>
  <si>
    <t>Calc 3</t>
  </si>
  <si>
    <t>Calc 4</t>
  </si>
  <si>
    <t>Calc 5</t>
  </si>
  <si>
    <t>Calc 6</t>
  </si>
  <si>
    <t>Calc 7</t>
  </si>
  <si>
    <t>Calc 8</t>
  </si>
  <si>
    <t>Calc 9</t>
  </si>
  <si>
    <t>Calc 10</t>
  </si>
  <si>
    <r>
      <t xml:space="preserve">Partnership / LLC Calculator
</t>
    </r>
    <r>
      <rPr>
        <sz val="8"/>
        <color theme="1"/>
        <rFont val="Calibri"/>
        <family val="2"/>
        <scheme val="minor"/>
      </rPr>
      <t xml:space="preserve">This income will appear on Line 17 of the 1040 and reports on Schedule E. On Schedule E Partnership / LLC Income is indicated by "P". 
Fill in all of the white spaces in the form using the borrower's K1 and 1065 Partnership returns. </t>
    </r>
  </si>
  <si>
    <r>
      <rPr>
        <b/>
        <u/>
        <sz val="16"/>
        <rFont val="Calibri"/>
        <family val="2"/>
        <scheme val="minor"/>
      </rPr>
      <t>Notes</t>
    </r>
    <r>
      <rPr>
        <sz val="11"/>
        <rFont val="Calibri"/>
        <family val="2"/>
        <scheme val="minor"/>
      </rPr>
      <t xml:space="preserve">
</t>
    </r>
    <r>
      <rPr>
        <sz val="9"/>
        <rFont val="Calibri"/>
        <family val="2"/>
        <scheme val="minor"/>
      </rPr>
      <t xml:space="preserve">    - Income may only be used if the Borrower can document ownership and access to income; The business has adequate liquidity; 
       The business has a positive sales and earnings trend.
    - Any loss must be deducted from the borrower's income</t>
    </r>
    <r>
      <rPr>
        <sz val="11"/>
        <rFont val="Calibri"/>
        <family val="2"/>
        <scheme val="minor"/>
      </rPr>
      <t xml:space="preserve">
</t>
    </r>
    <r>
      <rPr>
        <b/>
        <u/>
        <sz val="12"/>
        <rFont val="Calibri"/>
        <family val="2"/>
        <scheme val="minor"/>
      </rPr>
      <t>W2</t>
    </r>
    <r>
      <rPr>
        <sz val="11"/>
        <rFont val="Calibri"/>
        <family val="2"/>
        <scheme val="minor"/>
      </rPr>
      <t xml:space="preserve"> 
</t>
    </r>
    <r>
      <rPr>
        <sz val="9"/>
        <rFont val="Calibri"/>
        <family val="2"/>
        <scheme val="minor"/>
      </rPr>
      <t xml:space="preserve">    - Only enter income from a W2 for this specific business paid to borrower as salary.
    - You may use income from line 1 or line 5 of the W2
</t>
    </r>
    <r>
      <rPr>
        <b/>
        <u/>
        <sz val="12"/>
        <rFont val="Calibri"/>
        <family val="2"/>
        <scheme val="minor"/>
      </rPr>
      <t>K1</t>
    </r>
    <r>
      <rPr>
        <u/>
        <sz val="8"/>
        <rFont val="Calibri"/>
        <family val="2"/>
        <scheme val="minor"/>
      </rPr>
      <t xml:space="preserve">
</t>
    </r>
    <r>
      <rPr>
        <sz val="8"/>
        <rFont val="Calibri"/>
        <family val="2"/>
        <scheme val="minor"/>
      </rPr>
      <t xml:space="preserve">   </t>
    </r>
    <r>
      <rPr>
        <sz val="9"/>
        <rFont val="Calibri"/>
        <family val="2"/>
        <scheme val="minor"/>
      </rPr>
      <t xml:space="preserve">-  Net Income/Loss &amp; Guaranteed Payment may only be used if regular &amp; recurring
   -  Distribution income: If the borrower’s K1s do not show consistent amounts of distributions year to year then you must review the 
        distribution method release on the Resource Center, search "Distribution Method"
</t>
    </r>
    <r>
      <rPr>
        <sz val="11"/>
        <rFont val="Calibri"/>
        <family val="2"/>
        <scheme val="minor"/>
      </rPr>
      <t xml:space="preserve">
</t>
    </r>
    <r>
      <rPr>
        <b/>
        <u/>
        <sz val="12"/>
        <color rgb="FF700000"/>
        <rFont val="Calibri"/>
        <family val="2"/>
        <scheme val="minor"/>
      </rPr>
      <t>Negate</t>
    </r>
    <r>
      <rPr>
        <b/>
        <sz val="12"/>
        <color rgb="FF700000"/>
        <rFont val="Calibri"/>
        <family val="2"/>
        <scheme val="minor"/>
      </rPr>
      <t xml:space="preserve"> - ONLY USE THESE FIELDS FOR NON-RECURRING INCOME/LOSS</t>
    </r>
    <r>
      <rPr>
        <sz val="11"/>
        <color rgb="FF700000"/>
        <rFont val="Calibri"/>
        <family val="2"/>
        <scheme val="minor"/>
      </rPr>
      <t xml:space="preserve">
</t>
    </r>
    <r>
      <rPr>
        <sz val="9"/>
        <color rgb="FF700000"/>
        <rFont val="Calibri"/>
        <family val="2"/>
        <scheme val="minor"/>
      </rPr>
      <t xml:space="preserve">   - It is imperative that you confirm that amounts entered into this section are trully NOT regular or recurring. A recurring loss will be 
       counted against the qualifying income, and, in the same way, regular/recurring income may be included in qualifying income. 
   - Enter figures as they appear on the tax form; negatives figures must be preceeded by a "minus symbol" (ex. -400,000)</t>
    </r>
    <r>
      <rPr>
        <sz val="11"/>
        <rFont val="Calibri"/>
        <family val="2"/>
        <scheme val="minor"/>
      </rPr>
      <t xml:space="preserve">
</t>
    </r>
    <r>
      <rPr>
        <b/>
        <u/>
        <sz val="12"/>
        <rFont val="Calibri"/>
        <family val="2"/>
        <scheme val="minor"/>
      </rPr>
      <t>Add Backs</t>
    </r>
    <r>
      <rPr>
        <b/>
        <sz val="12"/>
        <rFont val="Calibri"/>
        <family val="2"/>
        <scheme val="minor"/>
      </rPr>
      <t xml:space="preserve"> - </t>
    </r>
    <r>
      <rPr>
        <sz val="9"/>
        <rFont val="Calibri"/>
        <family val="2"/>
        <scheme val="minor"/>
      </rPr>
      <t xml:space="preserve">You are NOT required to add back additional income... do so only when necessary
   - </t>
    </r>
    <r>
      <rPr>
        <b/>
        <sz val="11"/>
        <rFont val="Calibri"/>
        <family val="2"/>
        <scheme val="minor"/>
      </rPr>
      <t>Depletion</t>
    </r>
    <r>
      <rPr>
        <sz val="9"/>
        <rFont val="Calibri"/>
        <family val="2"/>
        <scheme val="minor"/>
      </rPr>
      <t xml:space="preserve"> - May be added back to income 
   - </t>
    </r>
    <r>
      <rPr>
        <b/>
        <sz val="11"/>
        <rFont val="Calibri"/>
        <family val="2"/>
        <scheme val="minor"/>
      </rPr>
      <t>Depreciation</t>
    </r>
    <r>
      <rPr>
        <sz val="9"/>
        <rFont val="Calibri"/>
        <family val="2"/>
        <scheme val="minor"/>
      </rPr>
      <t xml:space="preserve"> - May be added back to income
   - </t>
    </r>
    <r>
      <rPr>
        <b/>
        <sz val="11"/>
        <rFont val="Calibri"/>
        <family val="2"/>
        <scheme val="minor"/>
      </rPr>
      <t>Other deductions</t>
    </r>
    <r>
      <rPr>
        <sz val="9"/>
        <rFont val="Calibri"/>
        <family val="2"/>
        <scheme val="minor"/>
      </rPr>
      <t xml:space="preserve"> - 1065 Line 20. May only add back Amortization and non-recurring Casualty Loss. Must include detailed
                                                      statement from 1065.
   - </t>
    </r>
    <r>
      <rPr>
        <b/>
        <sz val="11"/>
        <rFont val="Calibri"/>
        <family val="2"/>
        <scheme val="minor"/>
      </rPr>
      <t xml:space="preserve"> Form 8825</t>
    </r>
    <r>
      <rPr>
        <sz val="9"/>
        <rFont val="Calibri"/>
        <family val="2"/>
        <scheme val="minor"/>
      </rPr>
      <t xml:space="preserve"> - If the Partnership is a property, and the borrower completes form 8825, you may add back depreciation; found on
                                       Line 14.</t>
    </r>
    <r>
      <rPr>
        <sz val="11"/>
        <rFont val="Calibri"/>
        <family val="2"/>
        <scheme val="minor"/>
      </rPr>
      <t xml:space="preserve">
</t>
    </r>
    <r>
      <rPr>
        <b/>
        <u/>
        <sz val="12"/>
        <rFont val="Calibri"/>
        <family val="2"/>
        <scheme val="minor"/>
      </rPr>
      <t>Required Subtractions</t>
    </r>
    <r>
      <rPr>
        <sz val="12"/>
        <rFont val="Calibri"/>
        <family val="2"/>
        <scheme val="minor"/>
      </rPr>
      <t xml:space="preserve"> </t>
    </r>
    <r>
      <rPr>
        <sz val="11"/>
        <rFont val="Calibri"/>
        <family val="2"/>
        <scheme val="minor"/>
      </rPr>
      <t xml:space="preserve">
</t>
    </r>
    <r>
      <rPr>
        <sz val="9"/>
        <rFont val="Calibri"/>
        <family val="2"/>
        <scheme val="minor"/>
      </rPr>
      <t xml:space="preserve">   - If there are numbers in these box you must subtractthe borrower's share of the loss from their income. Enter the total number, and the form automatically calculates the borrower's percentage of loss.
    - Mortgage, notes, bonds payable less than 1yr - Not required to be deducted from business income if documentation is provided demonstrating the debt is rolled over yearly</t>
    </r>
    <r>
      <rPr>
        <sz val="11"/>
        <rFont val="Calibri"/>
        <family val="2"/>
        <scheme val="minor"/>
      </rPr>
      <t xml:space="preserve">
</t>
    </r>
    <r>
      <rPr>
        <b/>
        <u/>
        <sz val="11"/>
        <rFont val="Calibri"/>
        <family val="2"/>
        <scheme val="minor"/>
      </rPr>
      <t xml:space="preserve">
</t>
    </r>
    <r>
      <rPr>
        <b/>
        <u/>
        <sz val="12"/>
        <rFont val="Calibri"/>
        <family val="2"/>
        <scheme val="minor"/>
      </rPr>
      <t>Required Documents</t>
    </r>
    <r>
      <rPr>
        <sz val="11"/>
        <rFont val="Calibri"/>
        <family val="2"/>
        <scheme val="minor"/>
      </rPr>
      <t xml:space="preserve">
</t>
    </r>
    <r>
      <rPr>
        <sz val="8"/>
        <rFont val="Calibri"/>
        <family val="2"/>
        <scheme val="minor"/>
      </rPr>
      <t xml:space="preserve">   - 1040 - Most recent two years (or per AUS) complete personal tax returns (1040,  schedules, statements and forms) 
   - K1 - Most recent two years (or per AUS). 
   - 1065s - (if borrower is =/&gt;25% owner) Most recent two years (or per AUS) complete bueinss tax returns. (1065, schedules, statements and forms)
   -  W2s - Most recent two years W2s from business salary (only applicable if borrower pays themself a salary)</t>
    </r>
  </si>
  <si>
    <t>Completed by:</t>
  </si>
  <si>
    <t>Title:</t>
  </si>
  <si>
    <t>Date:</t>
  </si>
  <si>
    <t>Tax Year:</t>
  </si>
  <si>
    <t>Year End Profit%</t>
  </si>
  <si>
    <t>Year End Loss%</t>
  </si>
  <si>
    <t>Year end Capital%</t>
  </si>
  <si>
    <t>Current % ownership error</t>
  </si>
  <si>
    <t>*W2</t>
  </si>
  <si>
    <t>Type below</t>
  </si>
  <si>
    <t>Previous % ownership error</t>
  </si>
  <si>
    <r>
      <t xml:space="preserve">Wages, Tips, Other Income </t>
    </r>
    <r>
      <rPr>
        <sz val="8"/>
        <color theme="1"/>
        <rFont val="Calibri"/>
        <family val="2"/>
        <scheme val="minor"/>
      </rPr>
      <t>(Line 1 or line 5 - See notes)</t>
    </r>
  </si>
  <si>
    <t>K1</t>
  </si>
  <si>
    <r>
      <t xml:space="preserve">Ordinary Business Income/Loss </t>
    </r>
    <r>
      <rPr>
        <sz val="8"/>
        <color theme="1"/>
        <rFont val="Calibri"/>
        <family val="2"/>
        <scheme val="minor"/>
      </rPr>
      <t>(Line 1)</t>
    </r>
  </si>
  <si>
    <r>
      <t>Net Income/Loss</t>
    </r>
    <r>
      <rPr>
        <sz val="8"/>
        <color theme="1"/>
        <rFont val="Calibri"/>
        <family val="2"/>
        <scheme val="minor"/>
      </rPr>
      <t xml:space="preserve"> (Line 2 &amp; 3 - if verified recurring)</t>
    </r>
  </si>
  <si>
    <r>
      <t xml:space="preserve">Guaranteed Payments </t>
    </r>
    <r>
      <rPr>
        <sz val="8"/>
        <color theme="1"/>
        <rFont val="Calibri"/>
        <family val="2"/>
        <scheme val="minor"/>
      </rPr>
      <t>(Line 4 - if verified recurring)</t>
    </r>
  </si>
  <si>
    <t>Negate (1065 pg1) **SEE NOTES**</t>
  </si>
  <si>
    <r>
      <t xml:space="preserve">Ordinary Income (loss) from other partnerships... </t>
    </r>
    <r>
      <rPr>
        <sz val="8"/>
        <color rgb="FF960000"/>
        <rFont val="Calibri"/>
        <family val="2"/>
        <scheme val="minor"/>
      </rPr>
      <t>(Line 4)</t>
    </r>
  </si>
  <si>
    <r>
      <t xml:space="preserve">Net farm profit (loss) </t>
    </r>
    <r>
      <rPr>
        <sz val="8"/>
        <color rgb="FF960000"/>
        <rFont val="Calibri"/>
        <family val="2"/>
        <scheme val="minor"/>
      </rPr>
      <t>(Line 5)</t>
    </r>
  </si>
  <si>
    <r>
      <t>Net Gain (loss) from Form 4797, Part II, Line 17</t>
    </r>
    <r>
      <rPr>
        <sz val="10"/>
        <color rgb="FF960000"/>
        <rFont val="Calibri"/>
        <family val="2"/>
        <scheme val="minor"/>
      </rPr>
      <t xml:space="preserve"> </t>
    </r>
    <r>
      <rPr>
        <sz val="8"/>
        <color rgb="FF960000"/>
        <rFont val="Calibri"/>
        <family val="2"/>
        <scheme val="minor"/>
      </rPr>
      <t>(Line 6)</t>
    </r>
  </si>
  <si>
    <r>
      <t xml:space="preserve">Other Income (loss) </t>
    </r>
    <r>
      <rPr>
        <sz val="8"/>
        <color rgb="FF960000"/>
        <rFont val="Calibri"/>
        <family val="2"/>
        <scheme val="minor"/>
      </rPr>
      <t>(Line 7)</t>
    </r>
  </si>
  <si>
    <t>*Add Backs (1065 pg1)</t>
  </si>
  <si>
    <r>
      <rPr>
        <b/>
        <sz val="11"/>
        <color theme="1"/>
        <rFont val="Calibri"/>
        <family val="2"/>
        <scheme val="minor"/>
      </rPr>
      <t>Depreciation</t>
    </r>
    <r>
      <rPr>
        <sz val="11"/>
        <color theme="1"/>
        <rFont val="Calibri"/>
        <family val="2"/>
        <scheme val="minor"/>
      </rPr>
      <t xml:space="preserve"> </t>
    </r>
    <r>
      <rPr>
        <sz val="8"/>
        <color theme="1"/>
        <rFont val="Calibri"/>
        <family val="2"/>
        <scheme val="minor"/>
      </rPr>
      <t xml:space="preserve">(Line  - 16C)  </t>
    </r>
  </si>
  <si>
    <r>
      <rPr>
        <b/>
        <sz val="11"/>
        <color theme="1"/>
        <rFont val="Calibri"/>
        <family val="2"/>
        <scheme val="minor"/>
      </rPr>
      <t>Depletion</t>
    </r>
    <r>
      <rPr>
        <sz val="11"/>
        <color theme="1"/>
        <rFont val="Calibri"/>
        <family val="2"/>
        <scheme val="minor"/>
      </rPr>
      <t xml:space="preserve"> </t>
    </r>
    <r>
      <rPr>
        <sz val="8"/>
        <color theme="1"/>
        <rFont val="Calibri"/>
        <family val="2"/>
        <scheme val="minor"/>
      </rPr>
      <t>(Line 17)</t>
    </r>
  </si>
  <si>
    <r>
      <rPr>
        <b/>
        <sz val="11"/>
        <color theme="1"/>
        <rFont val="Calibri"/>
        <family val="2"/>
        <scheme val="minor"/>
      </rPr>
      <t>Other deductions</t>
    </r>
    <r>
      <rPr>
        <sz val="11"/>
        <color theme="1"/>
        <rFont val="Calibri"/>
        <family val="2"/>
        <scheme val="minor"/>
      </rPr>
      <t xml:space="preserve"> </t>
    </r>
    <r>
      <rPr>
        <sz val="8"/>
        <color theme="1"/>
        <rFont val="Calibri"/>
        <family val="2"/>
        <scheme val="minor"/>
      </rPr>
      <t>(SEE NOTES)</t>
    </r>
  </si>
  <si>
    <t>*Add Backs (8825)</t>
  </si>
  <si>
    <r>
      <rPr>
        <b/>
        <sz val="11"/>
        <color theme="1"/>
        <rFont val="Calibri"/>
        <family val="2"/>
        <scheme val="minor"/>
      </rPr>
      <t>Depreciation</t>
    </r>
    <r>
      <rPr>
        <sz val="11"/>
        <color theme="1"/>
        <rFont val="Calibri"/>
        <family val="2"/>
        <scheme val="minor"/>
      </rPr>
      <t xml:space="preserve"> </t>
    </r>
    <r>
      <rPr>
        <sz val="8"/>
        <color theme="1"/>
        <rFont val="Calibri"/>
        <family val="2"/>
        <scheme val="minor"/>
      </rPr>
      <t>(Line 14)</t>
    </r>
  </si>
  <si>
    <t>*Required Subtractions (1065 pg5)</t>
  </si>
  <si>
    <r>
      <rPr>
        <b/>
        <sz val="11"/>
        <color theme="1"/>
        <rFont val="Calibri"/>
        <family val="2"/>
        <scheme val="minor"/>
      </rPr>
      <t>Mortgages, notes, bonds payable less than 1 yr</t>
    </r>
    <r>
      <rPr>
        <sz val="11"/>
        <color theme="1"/>
        <rFont val="Calibri"/>
        <family val="2"/>
        <scheme val="minor"/>
      </rPr>
      <t xml:space="preserve"> 
</t>
    </r>
    <r>
      <rPr>
        <sz val="8"/>
        <color theme="1"/>
        <rFont val="Calibri"/>
        <family val="2"/>
        <scheme val="minor"/>
      </rPr>
      <t>(Schedule L, line 16, column D)</t>
    </r>
  </si>
  <si>
    <r>
      <rPr>
        <b/>
        <sz val="11"/>
        <color theme="1"/>
        <rFont val="Calibri"/>
        <family val="2"/>
        <scheme val="minor"/>
      </rPr>
      <t xml:space="preserve">Travel &amp; Entertainment </t>
    </r>
    <r>
      <rPr>
        <sz val="11"/>
        <color theme="1"/>
        <rFont val="Calibri"/>
        <family val="2"/>
        <scheme val="minor"/>
      </rPr>
      <t xml:space="preserve">
</t>
    </r>
    <r>
      <rPr>
        <sz val="8"/>
        <color theme="1"/>
        <rFont val="Calibri"/>
        <family val="2"/>
        <scheme val="minor"/>
      </rPr>
      <t xml:space="preserve">(Schedule M-1,  line 4) </t>
    </r>
  </si>
  <si>
    <t>Yearly Totals:</t>
  </si>
  <si>
    <r>
      <t>S-Corporation</t>
    </r>
    <r>
      <rPr>
        <b/>
        <sz val="8"/>
        <color theme="1"/>
        <rFont val="Calibri"/>
        <family val="2"/>
        <scheme val="minor"/>
      </rPr>
      <t xml:space="preserve">
</t>
    </r>
    <r>
      <rPr>
        <sz val="8"/>
        <color theme="1"/>
        <rFont val="Calibri"/>
        <family val="2"/>
        <scheme val="minor"/>
      </rPr>
      <t xml:space="preserve">This income will appear on Line 17 of the 1040 as it carries over from Schedule E. On Schedule E S-Corporation income is indicated by "S". Fill in all of the white spaces in the form using the borrower's K1 and 1120S S-Corporation returns. </t>
    </r>
  </si>
  <si>
    <r>
      <rPr>
        <b/>
        <u/>
        <sz val="16"/>
        <color theme="1"/>
        <rFont val="Calibri"/>
        <family val="2"/>
        <scheme val="minor"/>
      </rPr>
      <t>Notes</t>
    </r>
    <r>
      <rPr>
        <sz val="11"/>
        <color theme="1"/>
        <rFont val="Calibri"/>
        <family val="2"/>
        <scheme val="minor"/>
      </rPr>
      <t xml:space="preserve">
</t>
    </r>
    <r>
      <rPr>
        <sz val="8"/>
        <color theme="1"/>
        <rFont val="Calibri"/>
        <family val="2"/>
        <scheme val="minor"/>
      </rPr>
      <t xml:space="preserve">    - Income may only be used if the Borrower can document ownership and access to income; The business has adequate
       liquidity; The business has a positive sales and earnings trend.
    - Any Loss must be deducted from the borrower's income
</t>
    </r>
    <r>
      <rPr>
        <sz val="11"/>
        <color theme="1"/>
        <rFont val="Calibri"/>
        <family val="2"/>
        <scheme val="minor"/>
      </rPr>
      <t xml:space="preserve">
</t>
    </r>
    <r>
      <rPr>
        <b/>
        <u/>
        <sz val="12"/>
        <color theme="1"/>
        <rFont val="Calibri"/>
        <family val="2"/>
        <scheme val="minor"/>
      </rPr>
      <t>W2</t>
    </r>
    <r>
      <rPr>
        <sz val="11"/>
        <color theme="1"/>
        <rFont val="Calibri"/>
        <family val="2"/>
        <scheme val="minor"/>
      </rPr>
      <t xml:space="preserve"> 
</t>
    </r>
    <r>
      <rPr>
        <sz val="8"/>
        <color theme="1"/>
        <rFont val="Calibri"/>
        <family val="2"/>
        <scheme val="minor"/>
      </rPr>
      <t xml:space="preserve">    </t>
    </r>
    <r>
      <rPr>
        <sz val="11"/>
        <color theme="1"/>
        <rFont val="Calibri"/>
        <family val="2"/>
        <scheme val="minor"/>
      </rPr>
      <t xml:space="preserve">- </t>
    </r>
    <r>
      <rPr>
        <sz val="8"/>
        <color theme="1"/>
        <rFont val="Calibri"/>
        <family val="2"/>
        <scheme val="minor"/>
      </rPr>
      <t xml:space="preserve">Only enter income from a  W2 for this specific business paid to borrower as salary.
    -  You may use income from line 1 or line 5 of the W2
</t>
    </r>
    <r>
      <rPr>
        <b/>
        <u/>
        <sz val="12"/>
        <color theme="1"/>
        <rFont val="Calibri"/>
        <family val="2"/>
        <scheme val="minor"/>
      </rPr>
      <t>K1</t>
    </r>
    <r>
      <rPr>
        <sz val="8"/>
        <color theme="1"/>
        <rFont val="Calibri"/>
        <family val="2"/>
        <scheme val="minor"/>
      </rPr>
      <t xml:space="preserve">
    -  Net Income/Loss &amp; Guaranteed Payment may only be used if regular &amp; recurring
    -  Distribution income: If the borrower’s K1s do not show consistent amounts of distributions year to year then you must 
        review the distribution method release on the Resource Center, search "Distribution Method"
</t>
    </r>
    <r>
      <rPr>
        <b/>
        <u/>
        <sz val="12"/>
        <color rgb="FF700000"/>
        <rFont val="Calibri"/>
        <family val="2"/>
        <scheme val="minor"/>
      </rPr>
      <t>Negate</t>
    </r>
    <r>
      <rPr>
        <b/>
        <sz val="12"/>
        <color rgb="FF700000"/>
        <rFont val="Calibri"/>
        <family val="2"/>
        <scheme val="minor"/>
      </rPr>
      <t xml:space="preserve"> - ONLY USE THESE FIELDS FOR NON-RECURRING INCOME/LOSS</t>
    </r>
    <r>
      <rPr>
        <b/>
        <u/>
        <sz val="11"/>
        <color rgb="FF700000"/>
        <rFont val="Calibri"/>
        <family val="2"/>
        <scheme val="minor"/>
      </rPr>
      <t xml:space="preserve">
</t>
    </r>
    <r>
      <rPr>
        <sz val="11"/>
        <color rgb="FF700000"/>
        <rFont val="Calibri"/>
        <family val="2"/>
        <scheme val="minor"/>
      </rPr>
      <t xml:space="preserve">   -</t>
    </r>
    <r>
      <rPr>
        <sz val="8"/>
        <color rgb="FF700000"/>
        <rFont val="Calibri"/>
        <family val="2"/>
        <scheme val="minor"/>
      </rPr>
      <t xml:space="preserve"> It is imperative that you confirm that amounts entered into this section are trully NOT regular or recurring. A recurring 
        loss will be counted against the qualifying income, and, in the same way, regular/recurring income may be included in 
        qualifying income. 
</t>
    </r>
    <r>
      <rPr>
        <sz val="11"/>
        <color rgb="FF700000"/>
        <rFont val="Calibri"/>
        <family val="2"/>
        <scheme val="minor"/>
      </rPr>
      <t xml:space="preserve">   -</t>
    </r>
    <r>
      <rPr>
        <sz val="8"/>
        <color rgb="FF700000"/>
        <rFont val="Calibri"/>
        <family val="2"/>
        <scheme val="minor"/>
      </rPr>
      <t xml:space="preserve"> Enter figures as they appear on the tax form; negatives figures must be preceeded by a "minus symbol" (ex. -400,000)</t>
    </r>
    <r>
      <rPr>
        <sz val="8"/>
        <color theme="1"/>
        <rFont val="Calibri"/>
        <family val="2"/>
        <scheme val="minor"/>
      </rPr>
      <t xml:space="preserve">
</t>
    </r>
    <r>
      <rPr>
        <sz val="11"/>
        <color theme="1"/>
        <rFont val="Calibri"/>
        <family val="2"/>
        <scheme val="minor"/>
      </rPr>
      <t xml:space="preserve">
</t>
    </r>
    <r>
      <rPr>
        <b/>
        <u/>
        <sz val="12"/>
        <color theme="1"/>
        <rFont val="Calibri"/>
        <family val="2"/>
        <scheme val="minor"/>
      </rPr>
      <t>Add Backs</t>
    </r>
    <r>
      <rPr>
        <b/>
        <sz val="12"/>
        <color theme="1"/>
        <rFont val="Calibri"/>
        <family val="2"/>
        <scheme val="minor"/>
      </rPr>
      <t xml:space="preserve"> - </t>
    </r>
    <r>
      <rPr>
        <b/>
        <sz val="11"/>
        <color theme="1"/>
        <rFont val="Calibri"/>
        <family val="2"/>
        <scheme val="minor"/>
      </rPr>
      <t>*</t>
    </r>
    <r>
      <rPr>
        <sz val="8"/>
        <color theme="1"/>
        <rFont val="Calibri"/>
        <family val="2"/>
        <scheme val="minor"/>
      </rPr>
      <t>You are NOT required to add back additional income... do so only when necessary</t>
    </r>
    <r>
      <rPr>
        <sz val="11"/>
        <color theme="1"/>
        <rFont val="Calibri"/>
        <family val="2"/>
        <scheme val="minor"/>
      </rPr>
      <t xml:space="preserve">
</t>
    </r>
    <r>
      <rPr>
        <sz val="8"/>
        <color theme="1"/>
        <rFont val="Calibri"/>
        <family val="2"/>
        <scheme val="minor"/>
      </rPr>
      <t xml:space="preserve">    </t>
    </r>
    <r>
      <rPr>
        <sz val="11"/>
        <color theme="1"/>
        <rFont val="Calibri"/>
        <family val="2"/>
        <scheme val="minor"/>
      </rPr>
      <t xml:space="preserve">- </t>
    </r>
    <r>
      <rPr>
        <b/>
        <sz val="11"/>
        <color theme="1"/>
        <rFont val="Calibri"/>
        <family val="2"/>
        <scheme val="minor"/>
      </rPr>
      <t>Depletion</t>
    </r>
    <r>
      <rPr>
        <sz val="11"/>
        <color theme="1"/>
        <rFont val="Calibri"/>
        <family val="2"/>
        <scheme val="minor"/>
      </rPr>
      <t xml:space="preserve"> </t>
    </r>
    <r>
      <rPr>
        <sz val="8"/>
        <color theme="1"/>
        <rFont val="Calibri"/>
        <family val="2"/>
        <scheme val="minor"/>
      </rPr>
      <t xml:space="preserve">- May only be added back if the business earns it's income from a "depletable natural resource" I.E. Coal, 
                                    Oil, Lumber… </t>
    </r>
    <r>
      <rPr>
        <sz val="11"/>
        <color theme="1"/>
        <rFont val="Calibri"/>
        <family val="2"/>
        <scheme val="minor"/>
      </rPr>
      <t xml:space="preserve">
 </t>
    </r>
    <r>
      <rPr>
        <sz val="8"/>
        <color theme="1"/>
        <rFont val="Calibri"/>
        <family val="2"/>
        <scheme val="minor"/>
      </rPr>
      <t xml:space="preserve">   </t>
    </r>
    <r>
      <rPr>
        <sz val="11"/>
        <color theme="1"/>
        <rFont val="Calibri"/>
        <family val="2"/>
        <scheme val="minor"/>
      </rPr>
      <t xml:space="preserve">- </t>
    </r>
    <r>
      <rPr>
        <b/>
        <sz val="11"/>
        <color theme="1"/>
        <rFont val="Calibri"/>
        <family val="2"/>
        <scheme val="minor"/>
      </rPr>
      <t xml:space="preserve">Other deductions </t>
    </r>
    <r>
      <rPr>
        <sz val="11"/>
        <color theme="1"/>
        <rFont val="Calibri"/>
        <family val="2"/>
        <scheme val="minor"/>
      </rPr>
      <t xml:space="preserve">- </t>
    </r>
    <r>
      <rPr>
        <sz val="8"/>
        <color theme="1"/>
        <rFont val="Calibri"/>
        <family val="2"/>
        <scheme val="minor"/>
      </rPr>
      <t>1120s</t>
    </r>
    <r>
      <rPr>
        <sz val="11"/>
        <color theme="1"/>
        <rFont val="Calibri"/>
        <family val="2"/>
        <scheme val="minor"/>
      </rPr>
      <t xml:space="preserve"> </t>
    </r>
    <r>
      <rPr>
        <sz val="8"/>
        <color theme="1"/>
        <rFont val="Calibri"/>
        <family val="2"/>
        <scheme val="minor"/>
      </rPr>
      <t>Line 19 -</t>
    </r>
    <r>
      <rPr>
        <sz val="11"/>
        <color theme="1"/>
        <rFont val="Calibri"/>
        <family val="2"/>
        <scheme val="minor"/>
      </rPr>
      <t xml:space="preserve"> O</t>
    </r>
    <r>
      <rPr>
        <sz val="8"/>
        <color theme="1"/>
        <rFont val="Calibri"/>
        <family val="2"/>
        <scheme val="minor"/>
      </rPr>
      <t xml:space="preserve">nly add back  Amortization and non-recurring Casualty Loss. Must include 
                                                       detailed statement from 1120s.
</t>
    </r>
    <r>
      <rPr>
        <sz val="11"/>
        <color theme="1"/>
        <rFont val="Calibri"/>
        <family val="2"/>
        <scheme val="minor"/>
      </rPr>
      <t xml:space="preserve">
</t>
    </r>
    <r>
      <rPr>
        <b/>
        <u/>
        <sz val="12"/>
        <color theme="1"/>
        <rFont val="Calibri"/>
        <family val="2"/>
        <scheme val="minor"/>
      </rPr>
      <t>Required Subtractions</t>
    </r>
    <r>
      <rPr>
        <b/>
        <sz val="11"/>
        <color theme="1"/>
        <rFont val="Calibri"/>
        <family val="2"/>
        <scheme val="minor"/>
      </rPr>
      <t xml:space="preserve"> 
</t>
    </r>
    <r>
      <rPr>
        <b/>
        <sz val="8"/>
        <color theme="1"/>
        <rFont val="Calibri"/>
        <family val="2"/>
        <scheme val="minor"/>
      </rPr>
      <t xml:space="preserve">    </t>
    </r>
    <r>
      <rPr>
        <b/>
        <sz val="11"/>
        <color theme="1"/>
        <rFont val="Calibri"/>
        <family val="2"/>
        <scheme val="minor"/>
      </rPr>
      <t xml:space="preserve">- </t>
    </r>
    <r>
      <rPr>
        <sz val="8"/>
        <color theme="1"/>
        <rFont val="Calibri"/>
        <family val="2"/>
        <scheme val="minor"/>
      </rPr>
      <t>If there are numbers in these box you must subtractthe borrower's share of the loss from their income. Enter the total
          number, and the form automatically calculates the borrower's percentage of loss.
       - Mortgage, notes, bonds payable less than 1yr - Not required to be deducted from business income if documentation is provided demonstrating the debt is rolled over yearly</t>
    </r>
    <r>
      <rPr>
        <sz val="11"/>
        <color theme="1"/>
        <rFont val="Calibri"/>
        <family val="2"/>
        <scheme val="minor"/>
      </rPr>
      <t xml:space="preserve">
</t>
    </r>
    <r>
      <rPr>
        <b/>
        <u/>
        <sz val="12"/>
        <color theme="1"/>
        <rFont val="Calibri"/>
        <family val="2"/>
        <scheme val="minor"/>
      </rPr>
      <t>Required Documents</t>
    </r>
    <r>
      <rPr>
        <sz val="11"/>
        <color theme="1"/>
        <rFont val="Calibri"/>
        <family val="2"/>
        <scheme val="minor"/>
      </rPr>
      <t xml:space="preserve">
</t>
    </r>
    <r>
      <rPr>
        <sz val="8"/>
        <color theme="1"/>
        <rFont val="Calibri"/>
        <family val="2"/>
        <scheme val="minor"/>
      </rPr>
      <t xml:space="preserve">    </t>
    </r>
    <r>
      <rPr>
        <sz val="11"/>
        <color theme="1"/>
        <rFont val="Calibri"/>
        <family val="2"/>
        <scheme val="minor"/>
      </rPr>
      <t xml:space="preserve">- </t>
    </r>
    <r>
      <rPr>
        <b/>
        <sz val="11"/>
        <color theme="1"/>
        <rFont val="Calibri"/>
        <family val="2"/>
        <scheme val="minor"/>
      </rPr>
      <t>1040</t>
    </r>
    <r>
      <rPr>
        <sz val="11"/>
        <color theme="1"/>
        <rFont val="Calibri"/>
        <family val="2"/>
        <scheme val="minor"/>
      </rPr>
      <t xml:space="preserve"> </t>
    </r>
    <r>
      <rPr>
        <sz val="8"/>
        <color theme="1"/>
        <rFont val="Calibri"/>
        <family val="2"/>
        <scheme val="minor"/>
      </rPr>
      <t xml:space="preserve">- Most recent two years (or per AUS) complete personal tax returns (1040,  schedules, statements) </t>
    </r>
    <r>
      <rPr>
        <sz val="11"/>
        <color theme="1"/>
        <rFont val="Calibri"/>
        <family val="2"/>
        <scheme val="minor"/>
      </rPr>
      <t xml:space="preserve">
</t>
    </r>
    <r>
      <rPr>
        <sz val="8"/>
        <color theme="1"/>
        <rFont val="Calibri"/>
        <family val="2"/>
        <scheme val="minor"/>
      </rPr>
      <t xml:space="preserve">    </t>
    </r>
    <r>
      <rPr>
        <sz val="11"/>
        <color theme="1"/>
        <rFont val="Calibri"/>
        <family val="2"/>
        <scheme val="minor"/>
      </rPr>
      <t xml:space="preserve">- </t>
    </r>
    <r>
      <rPr>
        <b/>
        <sz val="11"/>
        <color theme="1"/>
        <rFont val="Calibri"/>
        <family val="2"/>
        <scheme val="minor"/>
      </rPr>
      <t>K1</t>
    </r>
    <r>
      <rPr>
        <sz val="11"/>
        <color theme="1"/>
        <rFont val="Calibri"/>
        <family val="2"/>
        <scheme val="minor"/>
      </rPr>
      <t xml:space="preserve"> -</t>
    </r>
    <r>
      <rPr>
        <sz val="8"/>
        <color theme="1"/>
        <rFont val="Calibri"/>
        <family val="2"/>
        <scheme val="minor"/>
      </rPr>
      <t xml:space="preserve"> Most recent two years (or per AUS). </t>
    </r>
    <r>
      <rPr>
        <sz val="11"/>
        <color theme="1"/>
        <rFont val="Calibri"/>
        <family val="2"/>
        <scheme val="minor"/>
      </rPr>
      <t xml:space="preserve">
</t>
    </r>
    <r>
      <rPr>
        <sz val="8"/>
        <color theme="1"/>
        <rFont val="Calibri"/>
        <family val="2"/>
        <scheme val="minor"/>
      </rPr>
      <t xml:space="preserve">    </t>
    </r>
    <r>
      <rPr>
        <sz val="11"/>
        <color theme="1"/>
        <rFont val="Calibri"/>
        <family val="2"/>
        <scheme val="minor"/>
      </rPr>
      <t xml:space="preserve">- </t>
    </r>
    <r>
      <rPr>
        <b/>
        <sz val="11"/>
        <color theme="1"/>
        <rFont val="Calibri"/>
        <family val="2"/>
        <scheme val="minor"/>
      </rPr>
      <t>1120s</t>
    </r>
    <r>
      <rPr>
        <sz val="11"/>
        <color theme="1"/>
        <rFont val="Calibri"/>
        <family val="2"/>
        <scheme val="minor"/>
      </rPr>
      <t xml:space="preserve"> - </t>
    </r>
    <r>
      <rPr>
        <sz val="8"/>
        <color theme="1"/>
        <rFont val="Calibri"/>
        <family val="2"/>
        <scheme val="minor"/>
      </rPr>
      <t xml:space="preserve">(if =/&gt;25% owner) Most recent two years bueinss tax returns (or per AUS). 1120s is 4 pages.
    -  </t>
    </r>
    <r>
      <rPr>
        <b/>
        <sz val="10"/>
        <color theme="1"/>
        <rFont val="Calibri"/>
        <family val="2"/>
        <scheme val="minor"/>
      </rPr>
      <t>W2s</t>
    </r>
    <r>
      <rPr>
        <sz val="10"/>
        <color theme="1"/>
        <rFont val="Calibri"/>
        <family val="2"/>
        <scheme val="minor"/>
      </rPr>
      <t xml:space="preserve"> - </t>
    </r>
    <r>
      <rPr>
        <sz val="8"/>
        <color theme="1"/>
        <rFont val="Calibri"/>
        <family val="2"/>
        <scheme val="minor"/>
      </rPr>
      <t>Most recent two years W2s from business salary (only applicable if borrower pays themself a salary)</t>
    </r>
  </si>
  <si>
    <t>Ownership%</t>
  </si>
  <si>
    <t>W2</t>
  </si>
  <si>
    <r>
      <rPr>
        <b/>
        <sz val="11"/>
        <color theme="1"/>
        <rFont val="Calibri"/>
        <family val="2"/>
        <scheme val="minor"/>
      </rPr>
      <t>Wages, Tips, Other Income</t>
    </r>
    <r>
      <rPr>
        <b/>
        <sz val="8"/>
        <color theme="1"/>
        <rFont val="Calibri"/>
        <family val="2"/>
        <scheme val="minor"/>
      </rPr>
      <t xml:space="preserve"> </t>
    </r>
    <r>
      <rPr>
        <sz val="8"/>
        <color theme="1"/>
        <rFont val="Calibri"/>
        <family val="2"/>
        <scheme val="minor"/>
      </rPr>
      <t>(Line 1 or line 5 - see notes)</t>
    </r>
  </si>
  <si>
    <r>
      <t xml:space="preserve">Ordinary Business Income/Loss </t>
    </r>
    <r>
      <rPr>
        <sz val="8"/>
        <color theme="1"/>
        <rFont val="Calibri"/>
        <family val="2"/>
        <scheme val="minor"/>
      </rPr>
      <t>(Line 1 and/or 19)</t>
    </r>
  </si>
  <si>
    <r>
      <rPr>
        <b/>
        <sz val="11"/>
        <color theme="1"/>
        <rFont val="Calibri"/>
        <family val="2"/>
        <scheme val="minor"/>
      </rPr>
      <t>Net Income/Loss</t>
    </r>
    <r>
      <rPr>
        <sz val="11"/>
        <color theme="1"/>
        <rFont val="Calibri"/>
        <family val="2"/>
        <scheme val="minor"/>
      </rPr>
      <t xml:space="preserve"> </t>
    </r>
    <r>
      <rPr>
        <sz val="8"/>
        <color theme="1"/>
        <rFont val="Calibri"/>
        <family val="2"/>
        <scheme val="minor"/>
      </rPr>
      <t>(Lines 2 &amp; 3 - If verified recurring)</t>
    </r>
  </si>
  <si>
    <t>Negate (1120s pg1) **SEE NOTES**</t>
  </si>
  <si>
    <r>
      <rPr>
        <b/>
        <sz val="11"/>
        <color rgb="FF700000"/>
        <rFont val="Calibri"/>
        <family val="2"/>
        <scheme val="minor"/>
      </rPr>
      <t>Net Gain (loss) from Form 4797, Line 17</t>
    </r>
    <r>
      <rPr>
        <sz val="8"/>
        <color rgb="FF700000"/>
        <rFont val="Calibri"/>
        <family val="2"/>
        <scheme val="minor"/>
      </rPr>
      <t xml:space="preserve"> (Line 4)</t>
    </r>
  </si>
  <si>
    <r>
      <t xml:space="preserve">Other income (loss) </t>
    </r>
    <r>
      <rPr>
        <sz val="8"/>
        <color rgb="FF700000"/>
        <rFont val="Calibri"/>
        <family val="2"/>
        <scheme val="minor"/>
      </rPr>
      <t>(Line 5)</t>
    </r>
  </si>
  <si>
    <t>Add Backs (1120s pg1)</t>
  </si>
  <si>
    <r>
      <rPr>
        <b/>
        <sz val="11"/>
        <color theme="1"/>
        <rFont val="Calibri"/>
        <family val="2"/>
        <scheme val="minor"/>
      </rPr>
      <t>Depreciation</t>
    </r>
    <r>
      <rPr>
        <sz val="11"/>
        <color theme="1"/>
        <rFont val="Calibri"/>
        <family val="2"/>
        <scheme val="minor"/>
      </rPr>
      <t xml:space="preserve"> </t>
    </r>
    <r>
      <rPr>
        <sz val="8"/>
        <color theme="1"/>
        <rFont val="Calibri"/>
        <family val="2"/>
        <scheme val="minor"/>
      </rPr>
      <t xml:space="preserve">(Line  - 14)  </t>
    </r>
  </si>
  <si>
    <r>
      <rPr>
        <b/>
        <sz val="11"/>
        <color theme="1"/>
        <rFont val="Calibri"/>
        <family val="2"/>
        <scheme val="minor"/>
      </rPr>
      <t>Depletion</t>
    </r>
    <r>
      <rPr>
        <sz val="11"/>
        <color theme="1"/>
        <rFont val="Calibri"/>
        <family val="2"/>
        <scheme val="minor"/>
      </rPr>
      <t xml:space="preserve"> </t>
    </r>
    <r>
      <rPr>
        <sz val="8"/>
        <color theme="1"/>
        <rFont val="Calibri"/>
        <family val="2"/>
        <scheme val="minor"/>
      </rPr>
      <t>(Line 15)</t>
    </r>
  </si>
  <si>
    <r>
      <rPr>
        <b/>
        <sz val="11"/>
        <color theme="1"/>
        <rFont val="Calibri"/>
        <family val="2"/>
        <scheme val="minor"/>
      </rPr>
      <t>Other deductions</t>
    </r>
    <r>
      <rPr>
        <sz val="11"/>
        <color theme="1"/>
        <rFont val="Calibri"/>
        <family val="2"/>
        <scheme val="minor"/>
      </rPr>
      <t xml:space="preserve"> </t>
    </r>
    <r>
      <rPr>
        <sz val="8"/>
        <color theme="1"/>
        <rFont val="Calibri"/>
        <family val="2"/>
        <scheme val="minor"/>
      </rPr>
      <t>(SEE NOTES BELOW)</t>
    </r>
  </si>
  <si>
    <t>Add Backs (8825)</t>
  </si>
  <si>
    <r>
      <rPr>
        <b/>
        <sz val="11"/>
        <color theme="1"/>
        <rFont val="Calibri"/>
        <family val="2"/>
        <scheme val="minor"/>
      </rPr>
      <t>Depreciation</t>
    </r>
    <r>
      <rPr>
        <sz val="8"/>
        <color theme="1"/>
        <rFont val="Calibri"/>
        <family val="2"/>
        <scheme val="minor"/>
      </rPr>
      <t xml:space="preserve"> (Line  - 14)  </t>
    </r>
  </si>
  <si>
    <t>Required Subtractions (1120s pg4)</t>
  </si>
  <si>
    <r>
      <rPr>
        <b/>
        <sz val="11"/>
        <color theme="1"/>
        <rFont val="Calibri"/>
        <family val="2"/>
        <scheme val="minor"/>
      </rPr>
      <t>Mortgages, notes, bonds payable less than 1 yr</t>
    </r>
    <r>
      <rPr>
        <sz val="11"/>
        <color theme="1"/>
        <rFont val="Calibri"/>
        <family val="2"/>
        <scheme val="minor"/>
      </rPr>
      <t xml:space="preserve"> 
</t>
    </r>
    <r>
      <rPr>
        <sz val="8"/>
        <color theme="1"/>
        <rFont val="Calibri"/>
        <family val="2"/>
        <scheme val="minor"/>
      </rPr>
      <t>(Schedule L, line 17, column D)</t>
    </r>
  </si>
  <si>
    <r>
      <rPr>
        <b/>
        <sz val="11"/>
        <color theme="1"/>
        <rFont val="Calibri"/>
        <family val="2"/>
        <scheme val="minor"/>
      </rPr>
      <t xml:space="preserve">Travel &amp; Entertainment </t>
    </r>
    <r>
      <rPr>
        <sz val="11"/>
        <color theme="1"/>
        <rFont val="Calibri"/>
        <family val="2"/>
        <scheme val="minor"/>
      </rPr>
      <t xml:space="preserve">
</t>
    </r>
    <r>
      <rPr>
        <sz val="8"/>
        <color theme="1"/>
        <rFont val="Calibri"/>
        <family val="2"/>
        <scheme val="minor"/>
      </rPr>
      <t xml:space="preserve">(Schedule M-1, line 3b) </t>
    </r>
  </si>
  <si>
    <t>12  or 24 Month Average</t>
  </si>
  <si>
    <t>Explain the income you used here</t>
  </si>
  <si>
    <r>
      <t xml:space="preserve">Real Estate Owned / Rental Income Calculators
</t>
    </r>
    <r>
      <rPr>
        <sz val="8"/>
        <color theme="1"/>
        <rFont val="Calibri"/>
        <family val="2"/>
        <scheme val="minor"/>
      </rPr>
      <t>Complete this form using the borrower's most recent tax return unless the lender's guidelines state otherwise. If not using rental income you can use this form to enter the monthy PITIA for other REO properties on your borrower(s)' 1003.
***It is not necessary to complete two years of history unless the lender requires it.  (Always necessary for Jumbo loans)
***Please note - Complete 1 form per property; print to PDF, and upload a copy to the file with all required documentation</t>
    </r>
  </si>
  <si>
    <r>
      <t xml:space="preserve">NOTES
</t>
    </r>
    <r>
      <rPr>
        <b/>
        <sz val="11"/>
        <color theme="1"/>
        <rFont val="Calibri"/>
        <family val="2"/>
        <scheme val="minor"/>
      </rPr>
      <t xml:space="preserve">
Jumbo Investors</t>
    </r>
    <r>
      <rPr>
        <b/>
        <u/>
        <sz val="16"/>
        <color theme="1"/>
        <rFont val="Calibri"/>
        <family val="2"/>
        <scheme val="minor"/>
      </rPr>
      <t xml:space="preserve">
</t>
    </r>
    <r>
      <rPr>
        <sz val="8"/>
        <color theme="1"/>
        <rFont val="Calibri"/>
        <family val="2"/>
        <scheme val="minor"/>
      </rPr>
      <t xml:space="preserve">    - All Jumbo investors require 2yr history of rental management
    - Must use a 2yr average of rental income</t>
    </r>
  </si>
  <si>
    <r>
      <t xml:space="preserve">Use this side for </t>
    </r>
    <r>
      <rPr>
        <sz val="22"/>
        <color theme="1"/>
        <rFont val="Myriad Pro"/>
        <family val="2"/>
      </rPr>
      <t>most recent</t>
    </r>
    <r>
      <rPr>
        <b/>
        <sz val="8"/>
        <color theme="1"/>
        <rFont val="Myriad Pro"/>
        <family val="2"/>
      </rPr>
      <t xml:space="preserve"> Schedule E</t>
    </r>
  </si>
  <si>
    <r>
      <rPr>
        <b/>
        <sz val="8"/>
        <color theme="1"/>
        <rFont val="Myriad Pro"/>
        <family val="2"/>
      </rPr>
      <t xml:space="preserve">Use this side for </t>
    </r>
    <r>
      <rPr>
        <sz val="22"/>
        <color theme="1"/>
        <rFont val="Myriad Pro"/>
        <family val="2"/>
      </rPr>
      <t>previous</t>
    </r>
    <r>
      <rPr>
        <b/>
        <sz val="26"/>
        <color theme="1"/>
        <rFont val="Myriad Pro"/>
        <family val="2"/>
      </rPr>
      <t xml:space="preserve"> </t>
    </r>
    <r>
      <rPr>
        <b/>
        <sz val="8"/>
        <color theme="1"/>
        <rFont val="Myriad Pro"/>
        <family val="2"/>
      </rPr>
      <t>Schedule E</t>
    </r>
  </si>
  <si>
    <t>Property Address: __bolinas_____________________</t>
  </si>
  <si>
    <t>Property Address: _______________________</t>
  </si>
  <si>
    <t>Number of owned during tax year</t>
  </si>
  <si>
    <r>
      <t xml:space="preserve">Rents received </t>
    </r>
    <r>
      <rPr>
        <sz val="8"/>
        <rFont val="Arial"/>
        <family val="2"/>
      </rPr>
      <t>(Line 3)</t>
    </r>
  </si>
  <si>
    <r>
      <t xml:space="preserve">- Total Expenses </t>
    </r>
    <r>
      <rPr>
        <sz val="8"/>
        <rFont val="Arial"/>
        <family val="2"/>
      </rPr>
      <t>(Line 20)</t>
    </r>
  </si>
  <si>
    <r>
      <t xml:space="preserve">+ depreciation or depletion </t>
    </r>
    <r>
      <rPr>
        <sz val="8"/>
        <rFont val="Arial"/>
        <family val="2"/>
      </rPr>
      <t>(Line 18)</t>
    </r>
  </si>
  <si>
    <r>
      <t xml:space="preserve">+ Insurance </t>
    </r>
    <r>
      <rPr>
        <sz val="8"/>
        <rFont val="Arial"/>
        <family val="2"/>
      </rPr>
      <t>(Line 9)</t>
    </r>
  </si>
  <si>
    <r>
      <rPr>
        <b/>
        <sz val="8"/>
        <rFont val="Arial"/>
        <family val="2"/>
      </rPr>
      <t>+</t>
    </r>
    <r>
      <rPr>
        <sz val="8"/>
        <rFont val="Arial"/>
        <family val="2"/>
      </rPr>
      <t xml:space="preserve"> </t>
    </r>
    <r>
      <rPr>
        <b/>
        <sz val="8"/>
        <rFont val="Arial"/>
        <family val="2"/>
      </rPr>
      <t>Interest</t>
    </r>
    <r>
      <rPr>
        <sz val="8"/>
        <rFont val="Arial"/>
        <family val="2"/>
      </rPr>
      <t xml:space="preserve"> (Line 12)</t>
    </r>
  </si>
  <si>
    <r>
      <rPr>
        <b/>
        <sz val="8"/>
        <rFont val="Arial"/>
        <family val="2"/>
      </rPr>
      <t>+</t>
    </r>
    <r>
      <rPr>
        <sz val="8"/>
        <rFont val="Arial"/>
        <family val="2"/>
      </rPr>
      <t xml:space="preserve"> </t>
    </r>
    <r>
      <rPr>
        <b/>
        <sz val="8"/>
        <rFont val="Arial"/>
        <family val="2"/>
      </rPr>
      <t>Taxes</t>
    </r>
    <r>
      <rPr>
        <sz val="8"/>
        <rFont val="Arial"/>
        <family val="2"/>
      </rPr>
      <t xml:space="preserve"> (Line 16)</t>
    </r>
  </si>
  <si>
    <r>
      <t>+ Eligible Other Expenses</t>
    </r>
    <r>
      <rPr>
        <sz val="8"/>
        <rFont val="Arial"/>
        <family val="2"/>
      </rPr>
      <t xml:space="preserve"> (Fire, Theft, or HOA dues) (Line 19 - with itemized statement)</t>
    </r>
  </si>
  <si>
    <t>= Gross Yearly Rental Income</t>
  </si>
  <si>
    <t>=Gross Monthly Rental Income</t>
  </si>
  <si>
    <r>
      <t>- Current monthly mortgage payment</t>
    </r>
    <r>
      <rPr>
        <sz val="8"/>
        <color rgb="FFFF0000"/>
        <rFont val="Arial"/>
        <family val="2"/>
      </rPr>
      <t xml:space="preserve"> (You must document the current principal, &amp; interest payment. Enter the monthly  expense here. Leave blank if free &amp; clear.)</t>
    </r>
  </si>
  <si>
    <r>
      <t>- Current monthly mortgage payment</t>
    </r>
    <r>
      <rPr>
        <sz val="8"/>
        <color rgb="FFFF0000"/>
        <rFont val="Arial"/>
        <family val="2"/>
      </rPr>
      <t xml:space="preserve"> (You must document the current principal, &amp; interest payment. Enter the monthly expense. Leave blank if free &amp; clear.)</t>
    </r>
  </si>
  <si>
    <r>
      <t xml:space="preserve">- Current monthly taxes, insurance &amp; HOA dues </t>
    </r>
    <r>
      <rPr>
        <sz val="8"/>
        <color rgb="FFFF0000"/>
        <rFont val="Arial"/>
        <family val="2"/>
      </rPr>
      <t>(You must  document the current monthly expense for each of these items as applicable. Enter the monthly expnse here.)</t>
    </r>
  </si>
  <si>
    <r>
      <t xml:space="preserve">- Current monthly taxes, insurance &amp; HOA dues </t>
    </r>
    <r>
      <rPr>
        <sz val="8"/>
        <color rgb="FFFF0000"/>
        <rFont val="Arial"/>
        <family val="2"/>
      </rPr>
      <t>(You must document the current monthly expense for each of these items as applicaple. Enter the monthly expense here.)</t>
    </r>
  </si>
  <si>
    <t>=Net Monthly Income(Loss) for most recent</t>
  </si>
  <si>
    <t>=Net Monthly Income(Loss) for previous</t>
  </si>
  <si>
    <t>Does the lender require a 24 month average of rental income?</t>
  </si>
  <si>
    <t>y</t>
  </si>
  <si>
    <r>
      <rPr>
        <b/>
        <sz val="8"/>
        <color theme="1"/>
        <rFont val="Arial"/>
        <family val="2"/>
      </rPr>
      <t>2yr Average Net Income/Loss</t>
    </r>
    <r>
      <rPr>
        <sz val="8"/>
        <color theme="1"/>
        <rFont val="Arial"/>
        <family val="2"/>
      </rPr>
      <t xml:space="preserve"> </t>
    </r>
  </si>
  <si>
    <t xml:space="preserve">Notes to Underwriter: </t>
  </si>
  <si>
    <t>=Net Monthly Income(Loss) for 2013</t>
  </si>
  <si>
    <t>=Net Monthly Income(Loss) for 2012</t>
  </si>
  <si>
    <t>Enter "Y" or "N"</t>
  </si>
  <si>
    <r>
      <t>Corporation</t>
    </r>
    <r>
      <rPr>
        <b/>
        <sz val="8"/>
        <color theme="1"/>
        <rFont val="Calibri"/>
        <family val="2"/>
        <scheme val="minor"/>
      </rPr>
      <t xml:space="preserve">
</t>
    </r>
    <r>
      <rPr>
        <sz val="8"/>
        <color theme="1"/>
        <rFont val="Calibri"/>
        <family val="2"/>
        <scheme val="minor"/>
      </rPr>
      <t xml:space="preserve">Business income from a corporation  will not appear on the borrower personal returns. Any eligible income will carry to the borrower through their W2s or 1099-DIV.  Fill in all of the white spaces in the form, W2 income may be used to qualify the borrower. If the borrower owns 100% of the Corporation, and the business income is eligible per Agency Guidelines (see notes), then it may be added to the qualifying income. </t>
    </r>
  </si>
  <si>
    <r>
      <rPr>
        <b/>
        <u/>
        <sz val="16"/>
        <color theme="1"/>
        <rFont val="Calibri"/>
        <family val="2"/>
        <scheme val="minor"/>
      </rPr>
      <t>Notes</t>
    </r>
    <r>
      <rPr>
        <b/>
        <u/>
        <sz val="14"/>
        <color theme="1"/>
        <rFont val="Calibri"/>
        <family val="2"/>
        <scheme val="minor"/>
      </rPr>
      <t xml:space="preserve">
</t>
    </r>
    <r>
      <rPr>
        <sz val="8"/>
        <color theme="1"/>
        <rFont val="Calibri"/>
        <family val="2"/>
        <scheme val="minor"/>
      </rPr>
      <t xml:space="preserve">    -</t>
    </r>
    <r>
      <rPr>
        <sz val="11"/>
        <color theme="1"/>
        <rFont val="Calibri"/>
        <family val="2"/>
        <scheme val="minor"/>
      </rPr>
      <t xml:space="preserve"> </t>
    </r>
    <r>
      <rPr>
        <b/>
        <sz val="11"/>
        <color theme="1"/>
        <rFont val="Calibri"/>
        <family val="2"/>
        <scheme val="minor"/>
      </rPr>
      <t>If the "Total Business Income" box is positive</t>
    </r>
    <r>
      <rPr>
        <sz val="8"/>
        <color theme="1"/>
        <rFont val="Calibri"/>
        <family val="2"/>
        <scheme val="minor"/>
      </rPr>
      <t>: Income may only be used if the Borrower can 
       document 100% ownership and access to income; The business has adequate liquidity; The business has a 
        positive sales and earnings trend
    -</t>
    </r>
    <r>
      <rPr>
        <sz val="11"/>
        <color theme="1"/>
        <rFont val="Calibri"/>
        <family val="2"/>
        <scheme val="minor"/>
      </rPr>
      <t xml:space="preserve"> </t>
    </r>
    <r>
      <rPr>
        <b/>
        <sz val="11"/>
        <color theme="1"/>
        <rFont val="Calibri"/>
        <family val="2"/>
        <scheme val="minor"/>
      </rPr>
      <t>If the "Total Business Income" box is negative</t>
    </r>
    <r>
      <rPr>
        <sz val="8"/>
        <color theme="1"/>
        <rFont val="Calibri"/>
        <family val="2"/>
        <scheme val="minor"/>
      </rPr>
      <t>: Losses from the 1120 Tax Return may need to be 
       deducted from the borrower’s Income.  The business loss must be evaluated and determined if the W-2 
        wages are stable and can be used to qualify since the business is operating in a loss</t>
    </r>
    <r>
      <rPr>
        <i/>
        <sz val="8"/>
        <color theme="1"/>
        <rFont val="Calibri"/>
        <family val="2"/>
        <scheme val="minor"/>
      </rPr>
      <t xml:space="preserve">
</t>
    </r>
    <r>
      <rPr>
        <sz val="11"/>
        <color theme="1"/>
        <rFont val="Calibri"/>
        <family val="2"/>
        <scheme val="minor"/>
      </rPr>
      <t xml:space="preserve">
</t>
    </r>
    <r>
      <rPr>
        <b/>
        <u/>
        <sz val="12"/>
        <color theme="1"/>
        <rFont val="Calibri"/>
        <family val="2"/>
        <scheme val="minor"/>
      </rPr>
      <t>W2</t>
    </r>
    <r>
      <rPr>
        <sz val="11"/>
        <color theme="1"/>
        <rFont val="Calibri"/>
        <family val="2"/>
        <scheme val="minor"/>
      </rPr>
      <t xml:space="preserve">
</t>
    </r>
    <r>
      <rPr>
        <sz val="8"/>
        <color theme="1"/>
        <rFont val="Calibri"/>
        <family val="2"/>
        <scheme val="minor"/>
      </rPr>
      <t xml:space="preserve">    - Only enter income from a W2 for this specific business paid to the borrower as salary
    - You may use income from line 1 or line 5 of the W2</t>
    </r>
    <r>
      <rPr>
        <sz val="11"/>
        <color theme="1"/>
        <rFont val="Calibri"/>
        <family val="2"/>
        <scheme val="minor"/>
      </rPr>
      <t xml:space="preserve">
</t>
    </r>
    <r>
      <rPr>
        <b/>
        <u/>
        <sz val="12"/>
        <color rgb="FF700000"/>
        <rFont val="Calibri"/>
        <family val="2"/>
        <scheme val="minor"/>
      </rPr>
      <t>Negate</t>
    </r>
    <r>
      <rPr>
        <b/>
        <sz val="12"/>
        <color rgb="FF700000"/>
        <rFont val="Calibri"/>
        <family val="2"/>
        <scheme val="minor"/>
      </rPr>
      <t xml:space="preserve"> - ONLY USE THESE FIELDS FOR NON-RECURRING INCOME/LOSS</t>
    </r>
    <r>
      <rPr>
        <sz val="11"/>
        <color rgb="FF700000"/>
        <rFont val="Calibri"/>
        <family val="2"/>
        <scheme val="minor"/>
      </rPr>
      <t xml:space="preserve">
   - </t>
    </r>
    <r>
      <rPr>
        <sz val="8"/>
        <color rgb="FF700000"/>
        <rFont val="Calibri"/>
        <family val="2"/>
        <scheme val="minor"/>
      </rPr>
      <t xml:space="preserve">It is imperative that you confirm that amounts entered into this section are trully NOT regular or recurring. 
        A recurring loss will be counted against the qualifying income, and, in the same way, regular/recurring 
        income may be included in qualifying income. 
</t>
    </r>
    <r>
      <rPr>
        <sz val="11"/>
        <color rgb="FF700000"/>
        <rFont val="Calibri"/>
        <family val="2"/>
        <scheme val="minor"/>
      </rPr>
      <t xml:space="preserve">   -</t>
    </r>
    <r>
      <rPr>
        <sz val="8"/>
        <color rgb="FF700000"/>
        <rFont val="Calibri"/>
        <family val="2"/>
        <scheme val="minor"/>
      </rPr>
      <t xml:space="preserve"> Enter figures as they appear on the tax form; negative figures must be preceeded by a "minus symbol" 
        (ex. -400,000)</t>
    </r>
    <r>
      <rPr>
        <sz val="11"/>
        <color theme="1"/>
        <rFont val="Calibri"/>
        <family val="2"/>
        <scheme val="minor"/>
      </rPr>
      <t xml:space="preserve">
</t>
    </r>
    <r>
      <rPr>
        <b/>
        <u/>
        <sz val="12"/>
        <color theme="1"/>
        <rFont val="Calibri"/>
        <family val="2"/>
        <scheme val="minor"/>
      </rPr>
      <t>Add Backs</t>
    </r>
    <r>
      <rPr>
        <b/>
        <sz val="12"/>
        <color theme="1"/>
        <rFont val="Calibri"/>
        <family val="2"/>
        <scheme val="minor"/>
      </rPr>
      <t xml:space="preserve"> </t>
    </r>
    <r>
      <rPr>
        <b/>
        <sz val="11"/>
        <color theme="1"/>
        <rFont val="Calibri"/>
        <family val="2"/>
        <scheme val="minor"/>
      </rPr>
      <t>- *</t>
    </r>
    <r>
      <rPr>
        <sz val="8"/>
        <color theme="1"/>
        <rFont val="Calibri"/>
        <family val="2"/>
        <scheme val="minor"/>
      </rPr>
      <t xml:space="preserve">You are NOT required to add back additional income... do so only when necessary
    </t>
    </r>
    <r>
      <rPr>
        <sz val="11"/>
        <color theme="1"/>
        <rFont val="Calibri"/>
        <family val="2"/>
        <scheme val="minor"/>
      </rPr>
      <t xml:space="preserve">- </t>
    </r>
    <r>
      <rPr>
        <b/>
        <sz val="11"/>
        <color theme="1"/>
        <rFont val="Calibri"/>
        <family val="2"/>
        <scheme val="minor"/>
      </rPr>
      <t>Depletion</t>
    </r>
    <r>
      <rPr>
        <sz val="11"/>
        <color theme="1"/>
        <rFont val="Calibri"/>
        <family val="2"/>
        <scheme val="minor"/>
      </rPr>
      <t xml:space="preserve"> </t>
    </r>
    <r>
      <rPr>
        <sz val="8"/>
        <color theme="1"/>
        <rFont val="Calibri"/>
        <family val="2"/>
        <scheme val="minor"/>
      </rPr>
      <t xml:space="preserve">- May be added back to business income 
    </t>
    </r>
    <r>
      <rPr>
        <sz val="11"/>
        <color theme="1"/>
        <rFont val="Calibri"/>
        <family val="2"/>
        <scheme val="minor"/>
      </rPr>
      <t xml:space="preserve">- </t>
    </r>
    <r>
      <rPr>
        <b/>
        <sz val="11"/>
        <color theme="1"/>
        <rFont val="Calibri"/>
        <family val="2"/>
        <scheme val="minor"/>
      </rPr>
      <t>Depreciation</t>
    </r>
    <r>
      <rPr>
        <sz val="8"/>
        <color theme="1"/>
        <rFont val="Calibri"/>
        <family val="2"/>
        <scheme val="minor"/>
      </rPr>
      <t xml:space="preserve"> - May be added back to income
    </t>
    </r>
    <r>
      <rPr>
        <sz val="11"/>
        <color theme="1"/>
        <rFont val="Calibri"/>
        <family val="2"/>
        <scheme val="minor"/>
      </rPr>
      <t xml:space="preserve">- </t>
    </r>
    <r>
      <rPr>
        <b/>
        <sz val="11"/>
        <color theme="1"/>
        <rFont val="Calibri"/>
        <family val="2"/>
        <scheme val="minor"/>
      </rPr>
      <t xml:space="preserve">Other deductions </t>
    </r>
    <r>
      <rPr>
        <sz val="11"/>
        <color theme="1"/>
        <rFont val="Calibri"/>
        <family val="2"/>
        <scheme val="minor"/>
      </rPr>
      <t xml:space="preserve">- </t>
    </r>
    <r>
      <rPr>
        <sz val="8"/>
        <color theme="1"/>
        <rFont val="Calibri"/>
        <family val="2"/>
        <scheme val="minor"/>
      </rPr>
      <t>May only add back amortization &amp; casualty loss to business income. 
                                                       Must include detailed statement.</t>
    </r>
    <r>
      <rPr>
        <sz val="11"/>
        <color theme="1"/>
        <rFont val="Calibri"/>
        <family val="2"/>
        <scheme val="minor"/>
      </rPr>
      <t xml:space="preserve">
</t>
    </r>
    <r>
      <rPr>
        <b/>
        <u/>
        <sz val="12"/>
        <color theme="1"/>
        <rFont val="Calibri"/>
        <family val="2"/>
        <scheme val="minor"/>
      </rPr>
      <t>Required Subtractions</t>
    </r>
    <r>
      <rPr>
        <b/>
        <sz val="11"/>
        <color theme="1"/>
        <rFont val="Calibri"/>
        <family val="2"/>
        <scheme val="minor"/>
      </rPr>
      <t xml:space="preserve"> </t>
    </r>
    <r>
      <rPr>
        <b/>
        <sz val="8"/>
        <color theme="1"/>
        <rFont val="Calibri"/>
        <family val="2"/>
        <scheme val="minor"/>
      </rPr>
      <t xml:space="preserve">
    </t>
    </r>
    <r>
      <rPr>
        <b/>
        <sz val="11"/>
        <color theme="1"/>
        <rFont val="Calibri"/>
        <family val="2"/>
        <scheme val="minor"/>
      </rPr>
      <t xml:space="preserve">- </t>
    </r>
    <r>
      <rPr>
        <sz val="8"/>
        <color theme="1"/>
        <rFont val="Calibri"/>
        <family val="2"/>
        <scheme val="minor"/>
      </rPr>
      <t>If there are numbers in these boxes you must subtract the borrower's share of the loss from their income. 
          Enter the total number, and the form automatically calculates the borrower's percentage of loss.
    - Mortgage, notes, bonds payable less than 1yr - Not required to be deducted from business income if documentation is provided demonstrating the debt is rolled over yearly</t>
    </r>
    <r>
      <rPr>
        <sz val="11"/>
        <color theme="1"/>
        <rFont val="Calibri"/>
        <family val="2"/>
        <scheme val="minor"/>
      </rPr>
      <t xml:space="preserve">
</t>
    </r>
    <r>
      <rPr>
        <b/>
        <u/>
        <sz val="11"/>
        <color theme="1"/>
        <rFont val="Calibri"/>
        <family val="2"/>
        <scheme val="minor"/>
      </rPr>
      <t>Required Documents</t>
    </r>
    <r>
      <rPr>
        <b/>
        <u/>
        <sz val="8"/>
        <color theme="1"/>
        <rFont val="Calibri"/>
        <family val="2"/>
        <scheme val="minor"/>
      </rPr>
      <t xml:space="preserve">
</t>
    </r>
    <r>
      <rPr>
        <sz val="8"/>
        <color theme="1"/>
        <rFont val="Calibri"/>
        <family val="2"/>
        <scheme val="minor"/>
      </rPr>
      <t xml:space="preserve">    </t>
    </r>
    <r>
      <rPr>
        <sz val="11"/>
        <color theme="1"/>
        <rFont val="Calibri"/>
        <family val="2"/>
        <scheme val="minor"/>
      </rPr>
      <t xml:space="preserve">- </t>
    </r>
    <r>
      <rPr>
        <b/>
        <sz val="11"/>
        <color theme="1"/>
        <rFont val="Calibri"/>
        <family val="2"/>
        <scheme val="minor"/>
      </rPr>
      <t>1040</t>
    </r>
    <r>
      <rPr>
        <sz val="11"/>
        <color theme="1"/>
        <rFont val="Calibri"/>
        <family val="2"/>
        <scheme val="minor"/>
      </rPr>
      <t xml:space="preserve"> </t>
    </r>
    <r>
      <rPr>
        <sz val="8"/>
        <color theme="1"/>
        <rFont val="Calibri"/>
        <family val="2"/>
        <scheme val="minor"/>
      </rPr>
      <t xml:space="preserve">- Most recent two years (or per AUS) complete personal tax returns (1040,  schedules, statements) 
    </t>
    </r>
    <r>
      <rPr>
        <sz val="11"/>
        <color theme="1"/>
        <rFont val="Calibri"/>
        <family val="2"/>
        <scheme val="minor"/>
      </rPr>
      <t xml:space="preserve">- </t>
    </r>
    <r>
      <rPr>
        <b/>
        <sz val="11"/>
        <color theme="1"/>
        <rFont val="Calibri"/>
        <family val="2"/>
        <scheme val="minor"/>
      </rPr>
      <t>W2</t>
    </r>
    <r>
      <rPr>
        <sz val="11"/>
        <color theme="1"/>
        <rFont val="Calibri"/>
        <family val="2"/>
        <scheme val="minor"/>
      </rPr>
      <t xml:space="preserve"> -</t>
    </r>
    <r>
      <rPr>
        <sz val="8"/>
        <color theme="1"/>
        <rFont val="Calibri"/>
        <family val="2"/>
        <scheme val="minor"/>
      </rPr>
      <t xml:space="preserve"> Most recent two years (or per AUS). 
    </t>
    </r>
    <r>
      <rPr>
        <sz val="11"/>
        <color theme="1"/>
        <rFont val="Calibri"/>
        <family val="2"/>
        <scheme val="minor"/>
      </rPr>
      <t xml:space="preserve">- </t>
    </r>
    <r>
      <rPr>
        <b/>
        <sz val="11"/>
        <color theme="1"/>
        <rFont val="Calibri"/>
        <family val="2"/>
        <scheme val="minor"/>
      </rPr>
      <t>1120</t>
    </r>
    <r>
      <rPr>
        <sz val="11"/>
        <color theme="1"/>
        <rFont val="Calibri"/>
        <family val="2"/>
        <scheme val="minor"/>
      </rPr>
      <t xml:space="preserve"> - </t>
    </r>
    <r>
      <rPr>
        <sz val="8"/>
        <color theme="1"/>
        <rFont val="Calibri"/>
        <family val="2"/>
        <scheme val="minor"/>
      </rPr>
      <t>Most recent two years business tax returns (or per AUS). 1120 is 4 pages.</t>
    </r>
  </si>
  <si>
    <t>Most Recent Business Income - Error trigger</t>
  </si>
  <si>
    <t>Previous Business Income - Error trigger</t>
  </si>
  <si>
    <t>Shareholder%</t>
  </si>
  <si>
    <t>Curr business Income</t>
  </si>
  <si>
    <t>Previous Business Income</t>
  </si>
  <si>
    <r>
      <t xml:space="preserve">Wages, Tips, Other Income </t>
    </r>
    <r>
      <rPr>
        <sz val="8"/>
        <color theme="1"/>
        <rFont val="Calibri"/>
        <family val="2"/>
        <scheme val="minor"/>
      </rPr>
      <t>(Line 1 or line 5 - see notes)</t>
    </r>
  </si>
  <si>
    <t>Most Recent Shareholder %</t>
  </si>
  <si>
    <r>
      <t xml:space="preserve">Taxable Income </t>
    </r>
    <r>
      <rPr>
        <sz val="8"/>
        <color theme="1"/>
        <rFont val="Calibri"/>
        <family val="2"/>
        <scheme val="minor"/>
      </rPr>
      <t>(Line 30)</t>
    </r>
  </si>
  <si>
    <t>Previous Shareholder %</t>
  </si>
  <si>
    <t>Negate (1120 pg1) **SEE NOTES**</t>
  </si>
  <si>
    <t>Current Total</t>
  </si>
  <si>
    <r>
      <t xml:space="preserve">Capital gain net income </t>
    </r>
    <r>
      <rPr>
        <sz val="8"/>
        <color rgb="FF700000"/>
        <rFont val="Calibri"/>
        <family val="2"/>
        <scheme val="minor"/>
      </rPr>
      <t>(Line 8)</t>
    </r>
  </si>
  <si>
    <t>24 Month Total</t>
  </si>
  <si>
    <r>
      <t xml:space="preserve">Net gain of (loss) from Form 4797, Part II, Line 17 </t>
    </r>
    <r>
      <rPr>
        <sz val="8"/>
        <color rgb="FF700000"/>
        <rFont val="Calibri"/>
        <family val="2"/>
        <scheme val="minor"/>
      </rPr>
      <t>(Line 9)</t>
    </r>
  </si>
  <si>
    <r>
      <t xml:space="preserve">Other Income </t>
    </r>
    <r>
      <rPr>
        <sz val="8"/>
        <color rgb="FF700000"/>
        <rFont val="Calibri"/>
        <family val="2"/>
        <scheme val="minor"/>
      </rPr>
      <t>(line 10)</t>
    </r>
  </si>
  <si>
    <t>Only using current? Y/N</t>
  </si>
  <si>
    <t>*Add Backs (1120 pg1)</t>
  </si>
  <si>
    <t>Current &lt; Previous Y/N</t>
  </si>
  <si>
    <r>
      <rPr>
        <b/>
        <sz val="11"/>
        <color theme="1"/>
        <rFont val="Calibri"/>
        <family val="2"/>
        <scheme val="minor"/>
      </rPr>
      <t>Depreciation</t>
    </r>
    <r>
      <rPr>
        <sz val="11"/>
        <color theme="1"/>
        <rFont val="Calibri"/>
        <family val="2"/>
        <scheme val="minor"/>
      </rPr>
      <t xml:space="preserve"> </t>
    </r>
    <r>
      <rPr>
        <sz val="8"/>
        <color theme="1"/>
        <rFont val="Calibri"/>
        <family val="2"/>
        <scheme val="minor"/>
      </rPr>
      <t xml:space="preserve">(Line  - 20)  </t>
    </r>
  </si>
  <si>
    <t>12 Month Avg?</t>
  </si>
  <si>
    <r>
      <t>Depletion</t>
    </r>
    <r>
      <rPr>
        <sz val="8"/>
        <color theme="1"/>
        <rFont val="Calibri"/>
        <family val="2"/>
        <scheme val="minor"/>
      </rPr>
      <t xml:space="preserve"> (Line 21)</t>
    </r>
  </si>
  <si>
    <r>
      <rPr>
        <b/>
        <sz val="11"/>
        <color theme="1"/>
        <rFont val="Calibri"/>
        <family val="2"/>
        <scheme val="minor"/>
      </rPr>
      <t>Other deductions</t>
    </r>
    <r>
      <rPr>
        <sz val="11"/>
        <color theme="1"/>
        <rFont val="Calibri"/>
        <family val="2"/>
        <scheme val="minor"/>
      </rPr>
      <t xml:space="preserve"> </t>
    </r>
    <r>
      <rPr>
        <sz val="8"/>
        <color theme="1"/>
        <rFont val="Calibri"/>
        <family val="2"/>
        <scheme val="minor"/>
      </rPr>
      <t>(Line 26)</t>
    </r>
  </si>
  <si>
    <r>
      <rPr>
        <b/>
        <sz val="11"/>
        <color theme="1"/>
        <rFont val="Calibri"/>
        <family val="2"/>
        <scheme val="minor"/>
      </rPr>
      <t>Net Operating Loss and Special Deductions</t>
    </r>
    <r>
      <rPr>
        <sz val="11"/>
        <color theme="1"/>
        <rFont val="Calibri"/>
        <family val="2"/>
        <scheme val="minor"/>
      </rPr>
      <t xml:space="preserve"> </t>
    </r>
    <r>
      <rPr>
        <sz val="8"/>
        <color theme="1"/>
        <rFont val="Calibri"/>
        <family val="2"/>
        <scheme val="minor"/>
      </rPr>
      <t>(Line 29c)</t>
    </r>
  </si>
  <si>
    <t>*Required Subtractions (1120)</t>
  </si>
  <si>
    <r>
      <rPr>
        <b/>
        <sz val="11"/>
        <color theme="1"/>
        <rFont val="Calibri"/>
        <family val="2"/>
        <scheme val="minor"/>
      </rPr>
      <t>Total Tax</t>
    </r>
    <r>
      <rPr>
        <sz val="11"/>
        <color theme="1"/>
        <rFont val="Calibri"/>
        <family val="2"/>
        <scheme val="minor"/>
      </rPr>
      <t xml:space="preserve"> </t>
    </r>
    <r>
      <rPr>
        <sz val="8"/>
        <color theme="1"/>
        <rFont val="Calibri"/>
        <family val="2"/>
        <scheme val="minor"/>
      </rPr>
      <t>(Page 1, Line 31)</t>
    </r>
  </si>
  <si>
    <r>
      <rPr>
        <b/>
        <sz val="11"/>
        <color theme="1"/>
        <rFont val="Calibri"/>
        <family val="2"/>
        <scheme val="minor"/>
      </rPr>
      <t>Mortgages, notes, bonds payable less than 1 yr</t>
    </r>
    <r>
      <rPr>
        <sz val="11"/>
        <color theme="1"/>
        <rFont val="Calibri"/>
        <family val="2"/>
        <scheme val="minor"/>
      </rPr>
      <t xml:space="preserve"> 
</t>
    </r>
    <r>
      <rPr>
        <sz val="8"/>
        <color theme="1"/>
        <rFont val="Calibri"/>
        <family val="2"/>
        <scheme val="minor"/>
      </rPr>
      <t>(Page 4, Schedule L, line 17, column D)</t>
    </r>
  </si>
  <si>
    <r>
      <rPr>
        <b/>
        <sz val="11"/>
        <color theme="1"/>
        <rFont val="Calibri"/>
        <family val="2"/>
        <scheme val="minor"/>
      </rPr>
      <t xml:space="preserve">Travel &amp; Entertainment </t>
    </r>
    <r>
      <rPr>
        <sz val="8"/>
        <color theme="1"/>
        <rFont val="Calibri"/>
        <family val="2"/>
        <scheme val="minor"/>
      </rPr>
      <t xml:space="preserve">(Page 4, Schedule M-1, line 5c) </t>
    </r>
  </si>
  <si>
    <r>
      <rPr>
        <b/>
        <sz val="11"/>
        <color theme="1"/>
        <rFont val="Calibri"/>
        <family val="2"/>
        <scheme val="minor"/>
      </rPr>
      <t xml:space="preserve">Dividends paid to the borrower </t>
    </r>
    <r>
      <rPr>
        <sz val="8"/>
        <color theme="1"/>
        <rFont val="Calibri"/>
        <family val="2"/>
        <scheme val="minor"/>
      </rPr>
      <t xml:space="preserve">(Page 5, Schedule M-2, line 5) </t>
    </r>
  </si>
  <si>
    <r>
      <t>Depreciation</t>
    </r>
    <r>
      <rPr>
        <sz val="11"/>
        <color theme="1"/>
        <rFont val="Calibri"/>
        <family val="2"/>
        <scheme val="minor"/>
      </rPr>
      <t xml:space="preserve"> </t>
    </r>
    <r>
      <rPr>
        <sz val="8"/>
        <color theme="1"/>
        <rFont val="Calibri"/>
        <family val="2"/>
        <scheme val="minor"/>
      </rPr>
      <t>(Line 14)</t>
    </r>
  </si>
  <si>
    <t>Total Yearly Income</t>
  </si>
  <si>
    <t xml:space="preserve">12 month or  24 month Average? </t>
  </si>
  <si>
    <r>
      <rPr>
        <b/>
        <sz val="14"/>
        <color theme="1"/>
        <rFont val="Calibri"/>
        <family val="2"/>
        <scheme val="minor"/>
      </rPr>
      <t>Average Monthly Income</t>
    </r>
    <r>
      <rPr>
        <b/>
        <sz val="11"/>
        <color theme="1"/>
        <rFont val="Calibri"/>
        <family val="2"/>
        <scheme val="minor"/>
      </rPr>
      <t xml:space="preserve"> 
</t>
    </r>
    <r>
      <rPr>
        <sz val="8"/>
        <color theme="1"/>
        <rFont val="Calibri"/>
        <family val="2"/>
        <scheme val="minor"/>
      </rPr>
      <t>Enter this figure into Encompass</t>
    </r>
  </si>
  <si>
    <r>
      <rPr>
        <b/>
        <sz val="11"/>
        <color theme="1"/>
        <rFont val="Calibri"/>
        <family val="2"/>
        <scheme val="minor"/>
      </rPr>
      <t>Net Operating Income and Special Deductions</t>
    </r>
    <r>
      <rPr>
        <sz val="11"/>
        <color theme="1"/>
        <rFont val="Calibri"/>
        <family val="2"/>
        <scheme val="minor"/>
      </rPr>
      <t xml:space="preserve"> </t>
    </r>
    <r>
      <rPr>
        <sz val="8"/>
        <color theme="1"/>
        <rFont val="Calibri"/>
        <family val="2"/>
        <scheme val="minor"/>
      </rPr>
      <t>(Line 29c)</t>
    </r>
  </si>
  <si>
    <t>no</t>
  </si>
  <si>
    <t>Loan Purpose = refinance.</t>
  </si>
  <si>
    <t>Loan Type = .</t>
  </si>
  <si>
    <t>Property Use = primary.</t>
  </si>
  <si>
    <t>Property Type = Single.</t>
  </si>
  <si>
    <t>IsMilitary = .</t>
  </si>
  <si>
    <t>curentVALoan = .</t>
  </si>
  <si>
    <t>Ellis Andersen | Branch Manager</t>
  </si>
  <si>
    <t>Direct/Fax: (949) 892-1736</t>
  </si>
  <si>
    <t>Email: eandersen@westcapitallending.com</t>
  </si>
  <si>
    <t>NMLS 1912260 | NMLS 02196940</t>
  </si>
  <si>
    <t>Team Closers</t>
  </si>
  <si>
    <t>Ellis Andersen</t>
  </si>
  <si>
    <t>Andersen</t>
  </si>
  <si>
    <t>[Ellis w/ West Capital Lending]</t>
  </si>
  <si>
    <t>(949) 892-1736</t>
  </si>
  <si>
    <t>Campaign = FRU:Ellis Andersen.</t>
  </si>
  <si>
    <t>PhysicalAddress = .</t>
  </si>
  <si>
    <t>Phys Zip = .</t>
  </si>
  <si>
    <t>Credit Rating = Excellent.</t>
  </si>
  <si>
    <t>Price = 27</t>
  </si>
  <si>
    <t>Sabrina</t>
  </si>
  <si>
    <t>Robinson</t>
  </si>
  <si>
    <t>(303)419-4145</t>
  </si>
  <si>
    <t>grr04@msn.com</t>
  </si>
  <si>
    <t>CO</t>
  </si>
  <si>
    <t>9827, Geneva Creek Ln, Littleton, CO, 80125</t>
  </si>
  <si>
    <t>Single</t>
  </si>
  <si>
    <t>refinance</t>
  </si>
  <si>
    <t>Excellent</t>
  </si>
  <si>
    <t>primary</t>
  </si>
  <si>
    <t>yes</t>
  </si>
  <si>
    <t>Jo</t>
  </si>
  <si>
    <t>Roberts</t>
  </si>
  <si>
    <t>(360)281-7210</t>
  </si>
  <si>
    <t>roberts.jojo@gmail.com</t>
  </si>
  <si>
    <t>WA</t>
  </si>
  <si>
    <t>15315 Nw 21St Avenue, Vancouver, WA, 98685</t>
  </si>
  <si>
    <t>Joyce</t>
  </si>
  <si>
    <t>Hubbard</t>
  </si>
  <si>
    <t>(904)307-5561</t>
  </si>
  <si>
    <t>rhub7@bellsouth.net</t>
  </si>
  <si>
    <t>FL</t>
  </si>
  <si>
    <t>2388 Country Club Blvd, Orange Park, FL, 32073</t>
  </si>
  <si>
    <t>Good</t>
  </si>
  <si>
    <t>Reimar</t>
  </si>
  <si>
    <t>Soriano</t>
  </si>
  <si>
    <t>(843)513-5499</t>
  </si>
  <si>
    <t>reimarsoriano@gmail.com</t>
  </si>
  <si>
    <t>HI</t>
  </si>
  <si>
    <t>1128 Ala Napunani St, Unit #307, Honolulu, HI, 96818</t>
  </si>
  <si>
    <t>Condo</t>
  </si>
  <si>
    <t>Lesa</t>
  </si>
  <si>
    <t>Souza</t>
  </si>
  <si>
    <t>(208)627-2898</t>
  </si>
  <si>
    <t>souzalesa15@gmail.com</t>
  </si>
  <si>
    <t>ID</t>
  </si>
  <si>
    <t>547 Three Bears Rd, Priest Lake, ID, 83856</t>
  </si>
  <si>
    <t>Jon</t>
  </si>
  <si>
    <t>Snyder</t>
  </si>
  <si>
    <t>(219)617-1023</t>
  </si>
  <si>
    <t>jon@shorelineapps.com</t>
  </si>
  <si>
    <t>12834 Timber Ridge Dr, Fort Myers, FL, 33913</t>
  </si>
  <si>
    <t>secondary</t>
  </si>
  <si>
    <t>Anthony</t>
  </si>
  <si>
    <t>Ebersole</t>
  </si>
  <si>
    <t>(360)896-4381</t>
  </si>
  <si>
    <t>tebersole@gmail.com</t>
  </si>
  <si>
    <t>19313 Ne 15Th Cir, Camas, WA, 98607</t>
  </si>
  <si>
    <t>Kathy</t>
  </si>
  <si>
    <t>Kroupa</t>
  </si>
  <si>
    <t>(843)751-3528</t>
  </si>
  <si>
    <t>kkgc0500@gmail.com</t>
  </si>
  <si>
    <t>8281 Cedar Hollow Ln, Boca Raton, FL, 33433</t>
  </si>
  <si>
    <t>Pasha</t>
  </si>
  <si>
    <t>Amani</t>
  </si>
  <si>
    <t>(720)404-0323</t>
  </si>
  <si>
    <t>pashaamani@yahoo.com</t>
  </si>
  <si>
    <t>20704 E Peakview Pl, Aurora, CO, 80016</t>
  </si>
  <si>
    <t>Polatsek</t>
  </si>
  <si>
    <t>(520)909-5929</t>
  </si>
  <si>
    <t>june2polatsek@gmail.com</t>
  </si>
  <si>
    <t>AZ</t>
  </si>
  <si>
    <t>1380 S Freeman, Rincon, AZ, 85748</t>
  </si>
  <si>
    <t>James</t>
  </si>
  <si>
    <t>Truhett</t>
  </si>
  <si>
    <t>(240)682-4684</t>
  </si>
  <si>
    <t>altruhett@comcast.net</t>
  </si>
  <si>
    <t>TN</t>
  </si>
  <si>
    <t>115 Maple Dr, La Follette, TN, 37766</t>
  </si>
  <si>
    <t>Xianglin</t>
  </si>
  <si>
    <t>Xu</t>
  </si>
  <si>
    <t>(917)588-9359</t>
  </si>
  <si>
    <t>0013rb@gmail.com</t>
  </si>
  <si>
    <t>245 Montrose Ave, Honolulu, HI, 96815</t>
  </si>
  <si>
    <t>investment</t>
  </si>
  <si>
    <t>Jeff</t>
  </si>
  <si>
    <t>Clouse</t>
  </si>
  <si>
    <t>(503)484-8071</t>
  </si>
  <si>
    <t>JeffClouse65@gmail.com</t>
  </si>
  <si>
    <t>9309 Ne 84Th Ct, Orchards, WA, 98662</t>
  </si>
  <si>
    <t>currentFHALoan = yes.</t>
  </si>
  <si>
    <t>Shane</t>
  </si>
  <si>
    <t>Stailey</t>
  </si>
  <si>
    <t>(720)305-8320</t>
  </si>
  <si>
    <t>sdstailey@gmail.com</t>
  </si>
  <si>
    <t>Matthew</t>
  </si>
  <si>
    <t>Pasiuk</t>
  </si>
  <si>
    <t>(720)788-0594</t>
  </si>
  <si>
    <t>mattpasiuk@gmail.com</t>
  </si>
  <si>
    <t>15244 W Auburn Ave, Denver, CO, 80228</t>
  </si>
  <si>
    <t>State = FL.</t>
  </si>
  <si>
    <t>Phys State = FL.</t>
  </si>
  <si>
    <t>Ivan</t>
  </si>
  <si>
    <t>Padua</t>
  </si>
  <si>
    <t>(202)445-3750</t>
  </si>
  <si>
    <t>RUZZOE@GMAIL.COM</t>
  </si>
  <si>
    <t>32214 Sw 199 Place, Everglades National Park, FL, 33030</t>
  </si>
  <si>
    <t>Bruce</t>
  </si>
  <si>
    <t>Anguay</t>
  </si>
  <si>
    <t>(808)429-6873</t>
  </si>
  <si>
    <t>manguay54@gmail.com</t>
  </si>
  <si>
    <t>94-872 Lumiiki Street, Waipahu, HI, 96797</t>
  </si>
  <si>
    <t>Property Value = 400000</t>
  </si>
  <si>
    <t>Sheila</t>
  </si>
  <si>
    <t>Harrison</t>
  </si>
  <si>
    <t>(352)614-2344</t>
  </si>
  <si>
    <t>saltizer26@gmail.com</t>
  </si>
  <si>
    <t>970 Nw 232Nd Drive, Jonesville, FL, 32669</t>
  </si>
  <si>
    <t xml:space="preserve">  </t>
  </si>
  <si>
    <t>347 N 4000 E, Rigby, ID 83442</t>
  </si>
  <si>
    <t>First Name = Rob.</t>
  </si>
  <si>
    <t>Last Name = Crerar.</t>
  </si>
  <si>
    <t>Phone = (813)312-6000.</t>
  </si>
  <si>
    <t>Email = robmcrerar@gmail.com</t>
  </si>
  <si>
    <t>Address = 1714 Citron Court.</t>
  </si>
  <si>
    <t>City = New Port Richey.</t>
  </si>
  <si>
    <t>Zip = 34655.</t>
  </si>
  <si>
    <t>Phys City = New Port Richey.</t>
  </si>
  <si>
    <t>Current Balance = 258678</t>
  </si>
  <si>
    <t>Property LTV = 64.67</t>
  </si>
  <si>
    <t>Cash out = 100000</t>
  </si>
  <si>
    <t>Loan Amount = 358678</t>
  </si>
  <si>
    <t>https://v2.leadmailbox.com/ui/lead/33873169</t>
  </si>
  <si>
    <t>Rob</t>
  </si>
  <si>
    <t>Crerar</t>
  </si>
  <si>
    <t>(813)312-6000</t>
  </si>
  <si>
    <t>robmcrerar@gmail.com</t>
  </si>
  <si>
    <t>1714 Citron Court, New Port Richey, FL, 34655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</si>
</sst>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7" formatCode="&quot;$&quot;#,##0.00_);\(&quot;$&quot;#,##0.00\)"/>
    <numFmt numFmtId="8" formatCode="&quot;$&quot;#,##0.00_);[Red]\(&quot;$&quot;#,##0.00\)"/>
    <numFmt numFmtId="44" formatCode="_(&quot;$&quot;* #,##0.00_);_(&quot;$&quot;* \(#,##0.00\);_(&quot;$&quot;* &quot;-&quot;??_);_(@_)"/>
    <numFmt numFmtId="164" formatCode="[&lt;=9999999]###\-####;\(###\)\ ###\-####"/>
    <numFmt numFmtId="165" formatCode="0.000%"/>
    <numFmt numFmtId="166" formatCode="&quot;$&quot;#,##0.00"/>
    <numFmt numFmtId="167" formatCode="m/d;@"/>
    <numFmt numFmtId="168" formatCode="&quot;$&quot;#,##0"/>
    <numFmt numFmtId="169" formatCode="0.0000"/>
    <numFmt numFmtId="170" formatCode="#,##0.0"/>
    <numFmt numFmtId="171" formatCode="0.000000"/>
    <numFmt numFmtId="172" formatCode="0.0000%"/>
  </numFmts>
  <fonts count="142">
    <font>
      <sz val="11"/>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11"/>
      <color rgb="FFFF0000"/>
      <name val="Calibri"/>
      <family val="2"/>
      <scheme val="minor"/>
    </font>
    <font>
      <b/>
      <sz val="12"/>
      <color theme="1"/>
      <name val="Calibri"/>
      <family val="2"/>
      <scheme val="minor"/>
    </font>
    <font>
      <b/>
      <sz val="11"/>
      <color rgb="FFFF0000"/>
      <name val="Calibri"/>
      <family val="2"/>
      <scheme val="minor"/>
    </font>
    <font>
      <b/>
      <sz val="24"/>
      <color theme="1"/>
      <name val="Calibri"/>
      <family val="2"/>
      <scheme val="minor"/>
    </font>
    <font>
      <b/>
      <sz val="14"/>
      <color theme="1"/>
      <name val="Calibri"/>
      <family val="2"/>
      <scheme val="minor"/>
    </font>
    <font>
      <b/>
      <sz val="12"/>
      <color rgb="FFFF0000"/>
      <name val="Calibri"/>
      <family val="2"/>
      <scheme val="minor"/>
    </font>
    <font>
      <b/>
      <sz val="20"/>
      <color theme="1"/>
      <name val="Calibri"/>
      <family val="2"/>
      <scheme val="minor"/>
    </font>
    <font>
      <b/>
      <sz val="22"/>
      <color theme="1"/>
      <name val="Calibri"/>
      <family val="2"/>
      <scheme val="minor"/>
    </font>
    <font>
      <sz val="11"/>
      <color theme="1"/>
      <name val="Arial"/>
      <family val="2"/>
    </font>
    <font>
      <b/>
      <sz val="12"/>
      <color theme="1"/>
      <name val="Arial"/>
      <family val="2"/>
    </font>
    <font>
      <sz val="12"/>
      <color theme="1"/>
      <name val="Arial"/>
      <family val="2"/>
    </font>
    <font>
      <b/>
      <sz val="14"/>
      <color theme="1"/>
      <name val="Arial"/>
      <family val="2"/>
    </font>
    <font>
      <b/>
      <sz val="11"/>
      <color theme="1"/>
      <name val="Arial"/>
      <family val="2"/>
    </font>
    <font>
      <sz val="11"/>
      <color theme="1"/>
      <name val="Trebuchet MS"/>
      <family val="2"/>
    </font>
    <font>
      <b/>
      <sz val="14"/>
      <color theme="1"/>
      <name val="Trebuchet MS"/>
      <family val="2"/>
    </font>
    <font>
      <b/>
      <sz val="12"/>
      <color theme="1"/>
      <name val="Trebuchet MS"/>
      <family val="2"/>
    </font>
    <font>
      <sz val="8"/>
      <name val="Calibri"/>
      <family val="2"/>
      <scheme val="minor"/>
    </font>
    <font>
      <sz val="11"/>
      <name val="Calibri"/>
      <family val="2"/>
      <scheme val="minor"/>
    </font>
    <font>
      <b/>
      <sz val="16"/>
      <color theme="1"/>
      <name val="Calibri"/>
      <family val="2"/>
      <scheme val="minor"/>
    </font>
    <font>
      <sz val="9"/>
      <color indexed="81"/>
      <name val="Tahoma"/>
      <family val="2"/>
    </font>
    <font>
      <b/>
      <sz val="9"/>
      <color indexed="81"/>
      <name val="Tahoma"/>
      <family val="2"/>
    </font>
    <font>
      <sz val="11"/>
      <color rgb="FF006100"/>
      <name val="Calibri"/>
      <family val="2"/>
      <scheme val="minor"/>
    </font>
    <font>
      <b/>
      <sz val="11"/>
      <color theme="1"/>
      <name val="Trebuchet MS"/>
      <family val="2"/>
    </font>
    <font>
      <sz val="10"/>
      <name val="Arial"/>
      <family val="2"/>
    </font>
    <font>
      <sz val="14"/>
      <color theme="1"/>
      <name val="Calibri"/>
      <family val="2"/>
      <scheme val="minor"/>
    </font>
    <font>
      <sz val="16"/>
      <color theme="1"/>
      <name val="Calibri"/>
      <family val="2"/>
      <scheme val="minor"/>
    </font>
    <font>
      <b/>
      <sz val="12"/>
      <color rgb="FF006100"/>
      <name val="Calibri"/>
      <family val="2"/>
      <scheme val="minor"/>
    </font>
    <font>
      <b/>
      <sz val="14"/>
      <color theme="0"/>
      <name val="Calibri"/>
      <family val="2"/>
      <scheme val="minor"/>
    </font>
    <font>
      <b/>
      <sz val="8"/>
      <color theme="1"/>
      <name val="Calibri"/>
      <family val="2"/>
      <scheme val="minor"/>
    </font>
    <font>
      <i/>
      <sz val="11"/>
      <color theme="1"/>
      <name val="Calibri"/>
      <family val="2"/>
      <scheme val="minor"/>
    </font>
    <font>
      <i/>
      <sz val="10"/>
      <color theme="1"/>
      <name val="Calibri"/>
      <family val="2"/>
      <scheme val="minor"/>
    </font>
    <font>
      <b/>
      <sz val="14"/>
      <color rgb="FF002060"/>
      <name val="Arial"/>
      <family val="2"/>
    </font>
    <font>
      <b/>
      <sz val="16"/>
      <color theme="1"/>
      <name val="Arial"/>
      <family val="2"/>
    </font>
    <font>
      <b/>
      <sz val="18"/>
      <color theme="1"/>
      <name val="Arial"/>
      <family val="2"/>
    </font>
    <font>
      <b/>
      <sz val="11"/>
      <color theme="0"/>
      <name val="Calibri"/>
      <family val="2"/>
      <scheme val="minor"/>
    </font>
    <font>
      <sz val="18"/>
      <name val="Arial"/>
      <family val="2"/>
    </font>
    <font>
      <b/>
      <sz val="14"/>
      <name val="Arial Rounded MT Bold"/>
      <family val="2"/>
    </font>
    <font>
      <b/>
      <sz val="10"/>
      <name val="Arial"/>
      <family val="2"/>
    </font>
    <font>
      <b/>
      <sz val="10"/>
      <color indexed="62"/>
      <name val="Arial"/>
      <family val="2"/>
    </font>
    <font>
      <b/>
      <sz val="10"/>
      <color indexed="10"/>
      <name val="Arial"/>
      <family val="2"/>
    </font>
    <font>
      <sz val="10"/>
      <color theme="1"/>
      <name val="Calibri"/>
      <family val="2"/>
      <scheme val="minor"/>
    </font>
    <font>
      <b/>
      <sz val="10"/>
      <color theme="1"/>
      <name val="Calibri"/>
      <family val="2"/>
      <scheme val="minor"/>
    </font>
    <font>
      <sz val="10"/>
      <name val="Tahoma"/>
      <family val="2"/>
    </font>
    <font>
      <u/>
      <sz val="10"/>
      <color indexed="12"/>
      <name val="Tahoma"/>
      <family val="2"/>
    </font>
    <font>
      <b/>
      <u/>
      <sz val="10"/>
      <color rgb="FF000000"/>
      <name val="Arial"/>
      <family val="2"/>
    </font>
    <font>
      <sz val="10"/>
      <color rgb="FF000000"/>
      <name val="Arial"/>
      <family val="2"/>
    </font>
    <font>
      <i/>
      <sz val="20"/>
      <color theme="0" tint="-4.9989318521683403E-2"/>
      <name val="Calibri"/>
      <family val="2"/>
      <scheme val="minor"/>
    </font>
    <font>
      <i/>
      <sz val="10"/>
      <color theme="0" tint="-4.9989318521683403E-2"/>
      <name val="Calibri"/>
      <family val="2"/>
      <scheme val="minor"/>
    </font>
    <font>
      <b/>
      <sz val="15"/>
      <color theme="3"/>
      <name val="Calibri"/>
      <family val="2"/>
      <scheme val="minor"/>
    </font>
    <font>
      <b/>
      <sz val="11"/>
      <color rgb="FF3F3F3F"/>
      <name val="Calibri"/>
      <family val="2"/>
      <scheme val="minor"/>
    </font>
    <font>
      <b/>
      <sz val="36"/>
      <color theme="0"/>
      <name val="Abadi"/>
      <family val="2"/>
    </font>
    <font>
      <b/>
      <sz val="15"/>
      <color theme="0"/>
      <name val="Calibri"/>
      <family val="2"/>
      <scheme val="minor"/>
    </font>
    <font>
      <sz val="14"/>
      <color rgb="FF3F3F3F"/>
      <name val="Calibri"/>
      <family val="2"/>
      <scheme val="minor"/>
    </font>
    <font>
      <b/>
      <sz val="14"/>
      <color rgb="FF3F3F3F"/>
      <name val="Calibri"/>
      <family val="2"/>
      <scheme val="minor"/>
    </font>
    <font>
      <b/>
      <sz val="18"/>
      <color rgb="FFFF0000"/>
      <name val="Calibri"/>
      <family val="2"/>
      <scheme val="minor"/>
    </font>
    <font>
      <sz val="11"/>
      <color theme="0"/>
      <name val="Calibri"/>
      <family val="2"/>
      <scheme val="minor"/>
    </font>
    <font>
      <b/>
      <sz val="18"/>
      <name val="Calibri"/>
      <family val="2"/>
      <scheme val="minor"/>
    </font>
    <font>
      <sz val="8"/>
      <color theme="1"/>
      <name val="Calibri"/>
      <family val="2"/>
      <scheme val="minor"/>
    </font>
    <font>
      <sz val="18"/>
      <name val="Calibri"/>
      <family val="2"/>
      <scheme val="minor"/>
    </font>
    <font>
      <b/>
      <sz val="11"/>
      <name val="Calibri"/>
      <family val="2"/>
      <scheme val="minor"/>
    </font>
    <font>
      <b/>
      <sz val="10"/>
      <name val="Calibri"/>
      <family val="2"/>
      <scheme val="minor"/>
    </font>
    <font>
      <sz val="12"/>
      <name val="Calibri"/>
      <family val="2"/>
      <scheme val="minor"/>
    </font>
    <font>
      <sz val="16"/>
      <name val="Calibri"/>
      <family val="2"/>
      <scheme val="minor"/>
    </font>
    <font>
      <b/>
      <sz val="20"/>
      <name val="Calibri"/>
      <family val="2"/>
      <scheme val="minor"/>
    </font>
    <font>
      <b/>
      <u/>
      <sz val="14"/>
      <color theme="1"/>
      <name val="Calibri"/>
      <family val="2"/>
      <scheme val="minor"/>
    </font>
    <font>
      <b/>
      <u/>
      <sz val="11"/>
      <color theme="1"/>
      <name val="Calibri"/>
      <family val="2"/>
      <scheme val="minor"/>
    </font>
    <font>
      <sz val="10"/>
      <name val="Calibri"/>
      <family val="2"/>
      <scheme val="minor"/>
    </font>
    <font>
      <b/>
      <sz val="12"/>
      <name val="Calibri"/>
      <family val="2"/>
      <scheme val="minor"/>
    </font>
    <font>
      <u/>
      <sz val="14"/>
      <color theme="1"/>
      <name val="Calibri"/>
      <family val="2"/>
      <scheme val="minor"/>
    </font>
    <font>
      <sz val="8"/>
      <color rgb="FFC00000"/>
      <name val="Calibri"/>
      <family val="2"/>
      <scheme val="minor"/>
    </font>
    <font>
      <sz val="8"/>
      <color theme="0" tint="-0.34998626667073579"/>
      <name val="Calibri"/>
      <family val="2"/>
      <scheme val="minor"/>
    </font>
    <font>
      <sz val="10"/>
      <color theme="0" tint="-0.34998626667073579"/>
      <name val="Calibri"/>
      <family val="2"/>
      <scheme val="minor"/>
    </font>
    <font>
      <sz val="9"/>
      <name val="Calibri"/>
      <family val="2"/>
      <scheme val="minor"/>
    </font>
    <font>
      <b/>
      <sz val="11"/>
      <color rgb="FF00B050"/>
      <name val="Calibri"/>
      <family val="2"/>
      <scheme val="minor"/>
    </font>
    <font>
      <b/>
      <sz val="14"/>
      <name val="Calibri"/>
      <family val="2"/>
      <scheme val="minor"/>
    </font>
    <font>
      <b/>
      <sz val="10"/>
      <color theme="0"/>
      <name val="Calibri"/>
      <family val="2"/>
      <scheme val="minor"/>
    </font>
    <font>
      <i/>
      <sz val="11"/>
      <name val="Calibri"/>
      <family val="2"/>
      <scheme val="minor"/>
    </font>
    <font>
      <sz val="10"/>
      <color theme="0"/>
      <name val="Calibri"/>
      <family val="2"/>
      <scheme val="minor"/>
    </font>
    <font>
      <sz val="10"/>
      <color theme="0"/>
      <name val="Courier"/>
      <family val="3"/>
    </font>
    <font>
      <b/>
      <u/>
      <sz val="11"/>
      <name val="Calibri"/>
      <family val="2"/>
      <scheme val="minor"/>
    </font>
    <font>
      <b/>
      <u/>
      <sz val="10"/>
      <name val="Calibri"/>
      <family val="2"/>
      <scheme val="minor"/>
    </font>
    <font>
      <i/>
      <sz val="8"/>
      <name val="Calibri"/>
      <family val="2"/>
      <scheme val="minor"/>
    </font>
    <font>
      <b/>
      <u/>
      <sz val="8"/>
      <name val="Calibri"/>
      <family val="2"/>
      <scheme val="minor"/>
    </font>
    <font>
      <b/>
      <u/>
      <sz val="14"/>
      <name val="Calibri"/>
      <family val="2"/>
      <scheme val="minor"/>
    </font>
    <font>
      <i/>
      <sz val="9"/>
      <color rgb="FFFF0000"/>
      <name val="Calibri"/>
      <family val="2"/>
      <scheme val="minor"/>
    </font>
    <font>
      <sz val="8"/>
      <color theme="2" tint="-0.249977111117893"/>
      <name val="Calibri"/>
      <family val="2"/>
      <scheme val="minor"/>
    </font>
    <font>
      <sz val="10"/>
      <color theme="2" tint="-0.249977111117893"/>
      <name val="Calibri"/>
      <family val="2"/>
      <scheme val="minor"/>
    </font>
    <font>
      <sz val="8"/>
      <color theme="0"/>
      <name val="Calibri"/>
      <family val="2"/>
      <scheme val="minor"/>
    </font>
    <font>
      <b/>
      <u/>
      <sz val="16"/>
      <name val="Calibri"/>
      <family val="2"/>
      <scheme val="minor"/>
    </font>
    <font>
      <b/>
      <u/>
      <sz val="12"/>
      <name val="Calibri"/>
      <family val="2"/>
      <scheme val="minor"/>
    </font>
    <font>
      <u/>
      <sz val="11"/>
      <name val="Calibri"/>
      <family val="2"/>
      <scheme val="minor"/>
    </font>
    <font>
      <sz val="12"/>
      <color theme="1"/>
      <name val="Calibri"/>
      <family val="2"/>
      <scheme val="minor"/>
    </font>
    <font>
      <b/>
      <sz val="9"/>
      <color theme="1"/>
      <name val="Calibri"/>
      <family val="2"/>
      <scheme val="minor"/>
    </font>
    <font>
      <b/>
      <u/>
      <sz val="11"/>
      <color theme="0"/>
      <name val="Calibri"/>
      <family val="2"/>
      <scheme val="minor"/>
    </font>
    <font>
      <sz val="9"/>
      <color theme="1"/>
      <name val="Calibri"/>
      <family val="2"/>
      <scheme val="minor"/>
    </font>
    <font>
      <b/>
      <sz val="14"/>
      <color rgb="FFFF0000"/>
      <name val="Calibri"/>
      <family val="2"/>
      <scheme val="minor"/>
    </font>
    <font>
      <b/>
      <sz val="26"/>
      <color theme="1"/>
      <name val="Calibri"/>
      <family val="2"/>
      <scheme val="minor"/>
    </font>
    <font>
      <u/>
      <sz val="8"/>
      <name val="Calibri"/>
      <family val="2"/>
      <scheme val="minor"/>
    </font>
    <font>
      <b/>
      <u/>
      <sz val="12"/>
      <color rgb="FF700000"/>
      <name val="Calibri"/>
      <family val="2"/>
      <scheme val="minor"/>
    </font>
    <font>
      <b/>
      <sz val="12"/>
      <color rgb="FF700000"/>
      <name val="Calibri"/>
      <family val="2"/>
      <scheme val="minor"/>
    </font>
    <font>
      <sz val="11"/>
      <color rgb="FF700000"/>
      <name val="Calibri"/>
      <family val="2"/>
      <scheme val="minor"/>
    </font>
    <font>
      <sz val="9"/>
      <color rgb="FF700000"/>
      <name val="Calibri"/>
      <family val="2"/>
      <scheme val="minor"/>
    </font>
    <font>
      <b/>
      <sz val="10"/>
      <color rgb="FF960000"/>
      <name val="Calibri"/>
      <family val="2"/>
      <scheme val="minor"/>
    </font>
    <font>
      <b/>
      <sz val="8"/>
      <color rgb="FF960000"/>
      <name val="Calibri"/>
      <family val="2"/>
      <scheme val="minor"/>
    </font>
    <font>
      <sz val="11"/>
      <color rgb="FF960000"/>
      <name val="Calibri"/>
      <family val="2"/>
      <scheme val="minor"/>
    </font>
    <font>
      <sz val="8"/>
      <color rgb="FF960000"/>
      <name val="Calibri"/>
      <family val="2"/>
      <scheme val="minor"/>
    </font>
    <font>
      <sz val="10"/>
      <color rgb="FF960000"/>
      <name val="Calibri"/>
      <family val="2"/>
      <scheme val="minor"/>
    </font>
    <font>
      <b/>
      <u/>
      <sz val="16"/>
      <color theme="1"/>
      <name val="Calibri"/>
      <family val="2"/>
      <scheme val="minor"/>
    </font>
    <font>
      <b/>
      <u/>
      <sz val="12"/>
      <color theme="1"/>
      <name val="Calibri"/>
      <family val="2"/>
      <scheme val="minor"/>
    </font>
    <font>
      <b/>
      <u/>
      <sz val="11"/>
      <color rgb="FF700000"/>
      <name val="Calibri"/>
      <family val="2"/>
      <scheme val="minor"/>
    </font>
    <font>
      <sz val="8"/>
      <color rgb="FF700000"/>
      <name val="Calibri"/>
      <family val="2"/>
      <scheme val="minor"/>
    </font>
    <font>
      <b/>
      <sz val="10"/>
      <color rgb="FF700000"/>
      <name val="Calibri"/>
      <family val="2"/>
      <scheme val="minor"/>
    </font>
    <font>
      <b/>
      <sz val="8"/>
      <color rgb="FF700000"/>
      <name val="Calibri"/>
      <family val="2"/>
      <scheme val="minor"/>
    </font>
    <font>
      <b/>
      <sz val="11"/>
      <color rgb="FF700000"/>
      <name val="Calibri"/>
      <family val="2"/>
      <scheme val="minor"/>
    </font>
    <font>
      <b/>
      <sz val="16"/>
      <color rgb="FFFF0000"/>
      <name val="Calibri"/>
      <family val="2"/>
      <scheme val="minor"/>
    </font>
    <font>
      <b/>
      <sz val="8"/>
      <color theme="1"/>
      <name val="Myriad Pro"/>
      <family val="2"/>
    </font>
    <font>
      <sz val="22"/>
      <color theme="1"/>
      <name val="Myriad Pro"/>
      <family val="2"/>
    </font>
    <font>
      <b/>
      <sz val="26"/>
      <color theme="1"/>
      <name val="Myriad Pro"/>
      <family val="2"/>
    </font>
    <font>
      <b/>
      <sz val="8"/>
      <color theme="1"/>
      <name val="Arial"/>
      <family val="2"/>
    </font>
    <font>
      <sz val="10"/>
      <color theme="1"/>
      <name val="Arial"/>
      <family val="2"/>
    </font>
    <font>
      <b/>
      <sz val="8"/>
      <name val="Arial"/>
      <family val="2"/>
    </font>
    <font>
      <sz val="8"/>
      <name val="Arial"/>
      <family val="2"/>
    </font>
    <font>
      <b/>
      <sz val="8"/>
      <color rgb="FFFF0000"/>
      <name val="Arial"/>
      <family val="2"/>
    </font>
    <font>
      <sz val="8"/>
      <color rgb="FFFF0000"/>
      <name val="Arial"/>
      <family val="2"/>
    </font>
    <font>
      <b/>
      <sz val="18"/>
      <name val="Arial"/>
      <family val="2"/>
    </font>
    <font>
      <sz val="8"/>
      <color theme="1"/>
      <name val="Arial"/>
      <family val="2"/>
    </font>
    <font>
      <b/>
      <sz val="14"/>
      <color theme="0"/>
      <name val="Arial"/>
      <family val="2"/>
    </font>
    <font>
      <i/>
      <sz val="8"/>
      <color theme="1"/>
      <name val="Calibri"/>
      <family val="2"/>
      <scheme val="minor"/>
    </font>
    <font>
      <b/>
      <u/>
      <sz val="8"/>
      <color theme="1"/>
      <name val="Calibri"/>
      <family val="2"/>
      <scheme val="minor"/>
    </font>
    <font>
      <sz val="11"/>
      <color indexed="8"/>
      <name val="Calibri"/>
      <family val="2"/>
      <scheme val="minor"/>
    </font>
    <font>
      <b/>
      <sz val="10"/>
      <color indexed="8"/>
      <name val="Calibri"/>
      <family val="2"/>
      <scheme val="minor"/>
    </font>
    <font>
      <b/>
      <sz val="12"/>
      <color rgb="FF002060"/>
      <name val="Arial"/>
      <family val="2"/>
    </font>
    <font>
      <b/>
      <sz val="22"/>
      <color rgb="FF002060"/>
      <name val="Arial"/>
      <family val="2"/>
    </font>
    <font>
      <b/>
      <sz val="18"/>
      <color theme="1"/>
      <name val="Calibri"/>
      <family val="2"/>
      <scheme val="minor"/>
    </font>
    <font>
      <b/>
      <sz val="12"/>
      <color rgb="FF000000"/>
      <name val="Calibri"/>
      <family val="2"/>
    </font>
    <font>
      <sz val="11"/>
      <color rgb="FF000000"/>
      <name val="Calibri"/>
      <family val="2"/>
    </font>
    <font>
      <b/>
      <sz val="22"/>
      <color rgb="FF000000"/>
      <name val="Calibri"/>
      <family val="2"/>
    </font>
    <font>
      <b/>
      <sz val="20"/>
      <color rgb="FF000000"/>
      <name val="Calibri"/>
      <family val="2"/>
    </font>
  </fonts>
  <fills count="39">
    <fill>
      <patternFill patternType="none"/>
    </fill>
    <fill>
      <patternFill patternType="gray125"/>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C6EFCE"/>
      </patternFill>
    </fill>
    <fill>
      <patternFill patternType="solid">
        <fgColor theme="4"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indexed="9"/>
        <bgColor indexed="64"/>
      </patternFill>
    </fill>
    <fill>
      <patternFill patternType="solid">
        <fgColor indexed="47"/>
        <bgColor indexed="64"/>
      </patternFill>
    </fill>
    <fill>
      <patternFill patternType="solid">
        <fgColor indexed="46"/>
        <bgColor indexed="64"/>
      </patternFill>
    </fill>
    <fill>
      <patternFill patternType="solid">
        <fgColor indexed="22"/>
        <bgColor indexed="64"/>
      </patternFill>
    </fill>
    <fill>
      <patternFill patternType="solid">
        <fgColor theme="8" tint="0.79998168889431442"/>
        <bgColor indexed="64"/>
      </patternFill>
    </fill>
    <fill>
      <patternFill patternType="solid">
        <fgColor rgb="FFF2F2F2"/>
      </patternFill>
    </fill>
    <fill>
      <patternFill patternType="solid">
        <fgColor theme="9" tint="0.79998168889431442"/>
        <bgColor indexed="65"/>
      </patternFill>
    </fill>
    <fill>
      <patternFill patternType="solid">
        <fgColor theme="9"/>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249977111117893"/>
        <bgColor indexed="64"/>
      </patternFill>
    </fill>
    <fill>
      <patternFill patternType="solid">
        <fgColor theme="2"/>
        <bgColor indexed="64"/>
      </patternFill>
    </fill>
    <fill>
      <patternFill patternType="solid">
        <fgColor theme="3" tint="0.79998168889431442"/>
        <bgColor indexed="64"/>
      </patternFill>
    </fill>
    <fill>
      <patternFill patternType="solid">
        <fgColor theme="6" tint="0.39997558519241921"/>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bottom/>
      <diagonal/>
    </border>
    <border>
      <left/>
      <right style="thin">
        <color indexed="64"/>
      </right>
      <top/>
      <bottom/>
      <diagonal/>
    </border>
    <border>
      <left/>
      <right style="thin">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double">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hair">
        <color theme="3" tint="-0.499984740745262"/>
      </left>
      <right style="hair">
        <color theme="3" tint="-0.499984740745262"/>
      </right>
      <top style="hair">
        <color theme="3" tint="-0.499984740745262"/>
      </top>
      <bottom style="hair">
        <color theme="3" tint="-0.499984740745262"/>
      </bottom>
      <diagonal/>
    </border>
    <border>
      <left style="hair">
        <color theme="3" tint="-0.499984740745262"/>
      </left>
      <right style="hair">
        <color theme="3" tint="-0.499984740745262"/>
      </right>
      <top/>
      <bottom/>
      <diagonal/>
    </border>
    <border>
      <left style="hair">
        <color indexed="64"/>
      </left>
      <right style="hair">
        <color indexed="64"/>
      </right>
      <top style="hair">
        <color indexed="64"/>
      </top>
      <bottom style="hair">
        <color indexed="64"/>
      </bottom>
      <diagonal/>
    </border>
    <border>
      <left style="double">
        <color auto="1"/>
      </left>
      <right/>
      <top/>
      <bottom style="double">
        <color auto="1"/>
      </bottom>
      <diagonal/>
    </border>
    <border>
      <left/>
      <right style="double">
        <color auto="1"/>
      </right>
      <top/>
      <bottom style="double">
        <color auto="1"/>
      </bottom>
      <diagonal/>
    </border>
    <border>
      <left/>
      <right/>
      <top/>
      <bottom style="thick">
        <color theme="4"/>
      </bottom>
      <diagonal/>
    </border>
    <border>
      <left style="thin">
        <color rgb="FF3F3F3F"/>
      </left>
      <right style="thin">
        <color rgb="FF3F3F3F"/>
      </right>
      <top style="thin">
        <color rgb="FF3F3F3F"/>
      </top>
      <bottom style="thin">
        <color rgb="FF3F3F3F"/>
      </bottom>
      <diagonal/>
    </border>
    <border>
      <left/>
      <right/>
      <top/>
      <bottom style="thin">
        <color theme="0" tint="-0.249977111117893"/>
      </bottom>
      <diagonal/>
    </border>
    <border>
      <left style="thin">
        <color indexed="64"/>
      </left>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diagonal/>
    </border>
    <border>
      <left/>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bottom style="medium">
        <color indexed="64"/>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14">
    <xf numFmtId="0" fontId="0" fillId="0" borderId="0"/>
    <xf numFmtId="44" fontId="1" fillId="0" borderId="0" applyFont="0" applyFill="0" applyBorder="0" applyAlignment="0" applyProtection="0"/>
    <xf numFmtId="9" fontId="1" fillId="0" borderId="0" applyFont="0" applyFill="0" applyBorder="0" applyAlignment="0" applyProtection="0"/>
    <xf numFmtId="0" fontId="3" fillId="0" borderId="0" applyNumberFormat="0" applyFill="0" applyBorder="0" applyAlignment="0" applyProtection="0"/>
    <xf numFmtId="0" fontId="25" fillId="13" borderId="0" applyNumberFormat="0" applyBorder="0" applyAlignment="0" applyProtection="0"/>
    <xf numFmtId="0" fontId="27" fillId="0" borderId="0"/>
    <xf numFmtId="44" fontId="27" fillId="0" borderId="0" applyFont="0" applyFill="0" applyBorder="0" applyAlignment="0" applyProtection="0"/>
    <xf numFmtId="0" fontId="27" fillId="0" borderId="0"/>
    <xf numFmtId="9" fontId="27" fillId="0" borderId="0" applyFont="0" applyFill="0" applyBorder="0" applyAlignment="0" applyProtection="0"/>
    <xf numFmtId="0" fontId="46" fillId="0" borderId="0"/>
    <xf numFmtId="0" fontId="47" fillId="0" borderId="0" applyNumberFormat="0" applyFill="0" applyBorder="0" applyAlignment="0" applyProtection="0">
      <alignment vertical="top"/>
      <protection locked="0"/>
    </xf>
    <xf numFmtId="0" fontId="52" fillId="0" borderId="65" applyNumberFormat="0" applyFill="0" applyAlignment="0" applyProtection="0"/>
    <xf numFmtId="0" fontId="53" fillId="25" borderId="66" applyNumberFormat="0" applyAlignment="0" applyProtection="0"/>
    <xf numFmtId="0" fontId="1" fillId="26" borderId="0" applyNumberFormat="0" applyBorder="0" applyAlignment="0" applyProtection="0"/>
  </cellStyleXfs>
  <cellXfs count="1409">
    <xf numFmtId="0" fontId="0" fillId="0" borderId="0" xfId="0"/>
    <xf numFmtId="44" fontId="0" fillId="0" borderId="0" xfId="1" applyFont="1"/>
    <xf numFmtId="14" fontId="0" fillId="0" borderId="0" xfId="0" applyNumberFormat="1"/>
    <xf numFmtId="0" fontId="0" fillId="0" borderId="0" xfId="0" applyAlignment="1">
      <alignment horizontal="center"/>
    </xf>
    <xf numFmtId="44" fontId="0" fillId="0" borderId="0" xfId="0" applyNumberFormat="1"/>
    <xf numFmtId="0" fontId="2" fillId="0" borderId="0" xfId="0" applyFont="1"/>
    <xf numFmtId="0" fontId="0" fillId="0" borderId="0" xfId="0" applyAlignment="1">
      <alignment vertical="center"/>
    </xf>
    <xf numFmtId="0" fontId="2" fillId="2" borderId="20" xfId="0" applyFont="1" applyFill="1" applyBorder="1" applyAlignment="1">
      <alignment horizontal="center" vertical="center" wrapText="1"/>
    </xf>
    <xf numFmtId="3" fontId="0" fillId="0" borderId="0" xfId="0" applyNumberFormat="1"/>
    <xf numFmtId="44" fontId="2" fillId="2" borderId="20" xfId="0" applyNumberFormat="1" applyFont="1" applyFill="1" applyBorder="1" applyAlignment="1">
      <alignment horizontal="center" vertical="center" wrapText="1"/>
    </xf>
    <xf numFmtId="10" fontId="0" fillId="0" borderId="0" xfId="0" applyNumberFormat="1"/>
    <xf numFmtId="10" fontId="2" fillId="2" borderId="20" xfId="0" applyNumberFormat="1" applyFont="1" applyFill="1" applyBorder="1" applyAlignment="1">
      <alignment horizontal="center" vertical="center" wrapText="1"/>
    </xf>
    <xf numFmtId="44" fontId="2" fillId="2" borderId="20" xfId="1" applyFont="1" applyFill="1" applyBorder="1" applyAlignment="1">
      <alignment horizontal="center" vertical="center" wrapText="1"/>
    </xf>
    <xf numFmtId="167" fontId="0" fillId="0" borderId="0" xfId="0" applyNumberFormat="1"/>
    <xf numFmtId="167" fontId="2" fillId="2" borderId="20" xfId="0" applyNumberFormat="1" applyFont="1" applyFill="1" applyBorder="1" applyAlignment="1">
      <alignment horizontal="center" vertical="center" wrapText="1"/>
    </xf>
    <xf numFmtId="10" fontId="21" fillId="0" borderId="0" xfId="2" applyNumberFormat="1" applyFont="1" applyFill="1"/>
    <xf numFmtId="0" fontId="2" fillId="0" borderId="0" xfId="0" applyFont="1" applyAlignment="1">
      <alignment horizontal="center"/>
    </xf>
    <xf numFmtId="0" fontId="3" fillId="0" borderId="0" xfId="3" applyAlignment="1">
      <alignment vertical="center"/>
    </xf>
    <xf numFmtId="165" fontId="0" fillId="0" borderId="0" xfId="2" applyNumberFormat="1" applyFont="1"/>
    <xf numFmtId="0" fontId="0" fillId="0" borderId="0" xfId="0" applyAlignment="1">
      <alignment horizontal="left"/>
    </xf>
    <xf numFmtId="166" fontId="0" fillId="0" borderId="0" xfId="0" applyNumberFormat="1" applyAlignment="1">
      <alignment horizontal="left"/>
    </xf>
    <xf numFmtId="8" fontId="0" fillId="0" borderId="0" xfId="0" applyNumberFormat="1"/>
    <xf numFmtId="166" fontId="0" fillId="0" borderId="0" xfId="0" applyNumberFormat="1"/>
    <xf numFmtId="0" fontId="0" fillId="10" borderId="0" xfId="0" applyFill="1" applyAlignment="1">
      <alignment vertical="center"/>
    </xf>
    <xf numFmtId="0" fontId="0" fillId="10" borderId="0" xfId="0" applyFill="1"/>
    <xf numFmtId="44" fontId="2" fillId="2" borderId="2" xfId="1" applyFont="1" applyFill="1" applyBorder="1" applyAlignment="1">
      <alignment horizontal="right" vertical="center" wrapText="1"/>
    </xf>
    <xf numFmtId="44" fontId="0" fillId="0" borderId="0" xfId="1" applyFont="1" applyAlignment="1">
      <alignment horizontal="right"/>
    </xf>
    <xf numFmtId="44" fontId="0" fillId="0" borderId="0" xfId="1" applyFont="1" applyFill="1" applyAlignment="1">
      <alignment horizontal="right"/>
    </xf>
    <xf numFmtId="44" fontId="0" fillId="0" borderId="0" xfId="1" applyFont="1" applyFill="1"/>
    <xf numFmtId="9" fontId="0" fillId="0" borderId="0" xfId="0" applyNumberFormat="1"/>
    <xf numFmtId="0" fontId="29" fillId="11" borderId="20" xfId="0" applyFont="1" applyFill="1" applyBorder="1" applyAlignment="1">
      <alignment horizontal="center" vertical="center"/>
    </xf>
    <xf numFmtId="16" fontId="29" fillId="11" borderId="22" xfId="0" applyNumberFormat="1" applyFont="1" applyFill="1" applyBorder="1" applyAlignment="1">
      <alignment horizontal="center" vertical="center"/>
    </xf>
    <xf numFmtId="0" fontId="0" fillId="5" borderId="22" xfId="0" applyFill="1" applyBorder="1"/>
    <xf numFmtId="0" fontId="0" fillId="5" borderId="35" xfId="0" applyFill="1" applyBorder="1"/>
    <xf numFmtId="0" fontId="0" fillId="5" borderId="20" xfId="0" applyFill="1" applyBorder="1"/>
    <xf numFmtId="0" fontId="0" fillId="5" borderId="9" xfId="0" applyFill="1" applyBorder="1"/>
    <xf numFmtId="0" fontId="8" fillId="7" borderId="9" xfId="0" applyFont="1" applyFill="1" applyBorder="1" applyAlignment="1">
      <alignment horizontal="center" vertical="center"/>
    </xf>
    <xf numFmtId="0" fontId="8" fillId="7" borderId="7" xfId="0" applyFont="1" applyFill="1" applyBorder="1" applyAlignment="1">
      <alignment horizontal="center" vertical="center"/>
    </xf>
    <xf numFmtId="0" fontId="2" fillId="8" borderId="9" xfId="0" applyFont="1" applyFill="1" applyBorder="1" applyAlignment="1">
      <alignment horizontal="center"/>
    </xf>
    <xf numFmtId="0" fontId="0" fillId="8" borderId="16" xfId="0" applyFill="1" applyBorder="1" applyAlignment="1">
      <alignment horizontal="left" indent="1"/>
    </xf>
    <xf numFmtId="0" fontId="0" fillId="2" borderId="9" xfId="0" applyFill="1" applyBorder="1" applyAlignment="1">
      <alignment horizontal="center"/>
    </xf>
    <xf numFmtId="0" fontId="2" fillId="7" borderId="9" xfId="0" applyFont="1" applyFill="1" applyBorder="1" applyAlignment="1">
      <alignment horizontal="center"/>
    </xf>
    <xf numFmtId="0" fontId="2" fillId="7" borderId="9" xfId="0" applyFont="1" applyFill="1" applyBorder="1" applyAlignment="1">
      <alignment horizontal="left"/>
    </xf>
    <xf numFmtId="0" fontId="2" fillId="7" borderId="7" xfId="0" applyFont="1" applyFill="1" applyBorder="1" applyAlignment="1">
      <alignment horizontal="left"/>
    </xf>
    <xf numFmtId="0" fontId="27" fillId="0" borderId="0" xfId="7"/>
    <xf numFmtId="0" fontId="27" fillId="20" borderId="0" xfId="7" applyFill="1"/>
    <xf numFmtId="0" fontId="40" fillId="20" borderId="0" xfId="7" applyFont="1" applyFill="1" applyAlignment="1">
      <alignment horizontal="center"/>
    </xf>
    <xf numFmtId="0" fontId="41" fillId="20" borderId="0" xfId="7" applyFont="1" applyFill="1"/>
    <xf numFmtId="44" fontId="42" fillId="21" borderId="14" xfId="6" applyFont="1" applyFill="1" applyBorder="1" applyProtection="1">
      <protection locked="0"/>
    </xf>
    <xf numFmtId="0" fontId="42" fillId="21" borderId="14" xfId="7" applyFont="1" applyFill="1" applyBorder="1" applyProtection="1">
      <protection locked="0"/>
    </xf>
    <xf numFmtId="165" fontId="42" fillId="21" borderId="14" xfId="8" applyNumberFormat="1" applyFont="1" applyFill="1" applyBorder="1" applyProtection="1">
      <protection locked="0"/>
    </xf>
    <xf numFmtId="8" fontId="41" fillId="22" borderId="0" xfId="7" applyNumberFormat="1" applyFont="1" applyFill="1"/>
    <xf numFmtId="8" fontId="41" fillId="20" borderId="0" xfId="7" applyNumberFormat="1" applyFont="1" applyFill="1"/>
    <xf numFmtId="8" fontId="43" fillId="20" borderId="0" xfId="7" applyNumberFormat="1" applyFont="1" applyFill="1"/>
    <xf numFmtId="0" fontId="41" fillId="20" borderId="0" xfId="7" applyFont="1" applyFill="1" applyAlignment="1">
      <alignment horizontal="right"/>
    </xf>
    <xf numFmtId="44" fontId="41" fillId="23" borderId="1" xfId="6" applyFont="1" applyFill="1" applyBorder="1"/>
    <xf numFmtId="44" fontId="41" fillId="20" borderId="1" xfId="7" applyNumberFormat="1" applyFont="1" applyFill="1" applyBorder="1"/>
    <xf numFmtId="44" fontId="41" fillId="20" borderId="1" xfId="6" applyFont="1" applyFill="1" applyBorder="1"/>
    <xf numFmtId="0" fontId="41" fillId="0" borderId="0" xfId="7" applyFont="1"/>
    <xf numFmtId="44" fontId="41" fillId="20" borderId="0" xfId="7" applyNumberFormat="1" applyFont="1" applyFill="1"/>
    <xf numFmtId="8" fontId="41" fillId="20" borderId="1" xfId="7" applyNumberFormat="1" applyFont="1" applyFill="1" applyBorder="1"/>
    <xf numFmtId="0" fontId="41" fillId="23" borderId="2" xfId="7" applyFont="1" applyFill="1" applyBorder="1"/>
    <xf numFmtId="44" fontId="41" fillId="23" borderId="0" xfId="6" applyFont="1" applyFill="1"/>
    <xf numFmtId="44" fontId="27" fillId="20" borderId="0" xfId="7" applyNumberFormat="1" applyFill="1"/>
    <xf numFmtId="0" fontId="41" fillId="23" borderId="23" xfId="7" applyFont="1" applyFill="1" applyBorder="1"/>
    <xf numFmtId="44" fontId="27" fillId="23" borderId="23" xfId="7" applyNumberFormat="1" applyFill="1" applyBorder="1"/>
    <xf numFmtId="44" fontId="0" fillId="23" borderId="23" xfId="6" applyFont="1" applyFill="1" applyBorder="1"/>
    <xf numFmtId="44" fontId="0" fillId="20" borderId="0" xfId="6" applyFont="1" applyFill="1"/>
    <xf numFmtId="0" fontId="41" fillId="23" borderId="5" xfId="7" applyFont="1" applyFill="1" applyBorder="1"/>
    <xf numFmtId="44" fontId="27" fillId="23" borderId="5" xfId="7" applyNumberFormat="1" applyFill="1" applyBorder="1"/>
    <xf numFmtId="44" fontId="0" fillId="23" borderId="5" xfId="6" applyFont="1" applyFill="1" applyBorder="1"/>
    <xf numFmtId="0" fontId="41" fillId="23" borderId="0" xfId="7" applyFont="1" applyFill="1"/>
    <xf numFmtId="44" fontId="27" fillId="23" borderId="0" xfId="7" applyNumberFormat="1" applyFill="1"/>
    <xf numFmtId="44" fontId="0" fillId="23" borderId="0" xfId="6" applyFont="1" applyFill="1" applyBorder="1"/>
    <xf numFmtId="44" fontId="0" fillId="23" borderId="0" xfId="6" applyFont="1" applyFill="1"/>
    <xf numFmtId="165" fontId="0" fillId="0" borderId="0" xfId="8" applyNumberFormat="1" applyFont="1"/>
    <xf numFmtId="165" fontId="27" fillId="0" borderId="0" xfId="7" applyNumberFormat="1"/>
    <xf numFmtId="0" fontId="0" fillId="0" borderId="0" xfId="1" applyNumberFormat="1" applyFont="1"/>
    <xf numFmtId="0" fontId="0" fillId="0" borderId="0" xfId="0" applyProtection="1">
      <protection hidden="1"/>
    </xf>
    <xf numFmtId="0" fontId="0" fillId="6" borderId="0" xfId="0" applyFill="1" applyProtection="1">
      <protection hidden="1"/>
    </xf>
    <xf numFmtId="0" fontId="0" fillId="0" borderId="0" xfId="0" applyAlignment="1" applyProtection="1">
      <alignment horizontal="right"/>
      <protection hidden="1"/>
    </xf>
    <xf numFmtId="44" fontId="0" fillId="0" borderId="0" xfId="0" applyNumberFormat="1" applyAlignment="1" applyProtection="1">
      <alignment horizontal="right"/>
      <protection hidden="1"/>
    </xf>
    <xf numFmtId="165" fontId="0" fillId="0" borderId="0" xfId="0" applyNumberFormat="1" applyAlignment="1" applyProtection="1">
      <alignment horizontal="right"/>
      <protection hidden="1"/>
    </xf>
    <xf numFmtId="0" fontId="17" fillId="6" borderId="0" xfId="0" applyFont="1" applyFill="1" applyProtection="1">
      <protection hidden="1"/>
    </xf>
    <xf numFmtId="0" fontId="12" fillId="6" borderId="0" xfId="0" applyFont="1" applyFill="1" applyProtection="1">
      <protection hidden="1"/>
    </xf>
    <xf numFmtId="0" fontId="13" fillId="14" borderId="10" xfId="0" applyFont="1" applyFill="1" applyBorder="1" applyAlignment="1" applyProtection="1">
      <alignment horizontal="left"/>
      <protection hidden="1"/>
    </xf>
    <xf numFmtId="0" fontId="13" fillId="14" borderId="17" xfId="0" applyFont="1" applyFill="1" applyBorder="1" applyAlignment="1" applyProtection="1">
      <alignment vertical="center" wrapText="1"/>
      <protection hidden="1"/>
    </xf>
    <xf numFmtId="0" fontId="13" fillId="14" borderId="17" xfId="0" applyFont="1" applyFill="1" applyBorder="1" applyAlignment="1" applyProtection="1">
      <alignment horizontal="left"/>
      <protection hidden="1"/>
    </xf>
    <xf numFmtId="0" fontId="13" fillId="14" borderId="13" xfId="0" applyFont="1" applyFill="1" applyBorder="1" applyAlignment="1" applyProtection="1">
      <alignment horizontal="left" vertical="center"/>
      <protection hidden="1"/>
    </xf>
    <xf numFmtId="0" fontId="14" fillId="6" borderId="0" xfId="0" applyFont="1" applyFill="1" applyProtection="1">
      <protection hidden="1"/>
    </xf>
    <xf numFmtId="0" fontId="12" fillId="0" borderId="0" xfId="0" applyFont="1" applyProtection="1">
      <protection hidden="1"/>
    </xf>
    <xf numFmtId="0" fontId="16" fillId="6" borderId="17" xfId="0" applyFont="1" applyFill="1" applyBorder="1" applyAlignment="1" applyProtection="1">
      <alignment horizontal="left" vertical="center" wrapText="1"/>
      <protection hidden="1"/>
    </xf>
    <xf numFmtId="0" fontId="14" fillId="6" borderId="17" xfId="0" applyFont="1" applyFill="1" applyBorder="1" applyProtection="1">
      <protection hidden="1"/>
    </xf>
    <xf numFmtId="0" fontId="14" fillId="6" borderId="21" xfId="0" applyFont="1" applyFill="1" applyBorder="1" applyProtection="1">
      <protection hidden="1"/>
    </xf>
    <xf numFmtId="0" fontId="16" fillId="6" borderId="17" xfId="0" applyFont="1" applyFill="1" applyBorder="1" applyAlignment="1" applyProtection="1">
      <alignment horizontal="left" vertical="center" wrapText="1" indent="1"/>
      <protection hidden="1"/>
    </xf>
    <xf numFmtId="0" fontId="13" fillId="14" borderId="17" xfId="0" applyFont="1" applyFill="1" applyBorder="1" applyAlignment="1" applyProtection="1">
      <alignment wrapText="1"/>
      <protection hidden="1"/>
    </xf>
    <xf numFmtId="0" fontId="13" fillId="14" borderId="13" xfId="0" applyFont="1" applyFill="1" applyBorder="1" applyAlignment="1" applyProtection="1">
      <alignment horizontal="left"/>
      <protection hidden="1"/>
    </xf>
    <xf numFmtId="0" fontId="0" fillId="0" borderId="1"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48" fillId="0" borderId="0" xfId="0" applyFont="1"/>
    <xf numFmtId="0" fontId="49" fillId="0" borderId="0" xfId="0" applyFont="1"/>
    <xf numFmtId="0" fontId="27" fillId="0" borderId="0" xfId="0" applyFont="1" applyAlignment="1">
      <alignment wrapText="1"/>
    </xf>
    <xf numFmtId="0" fontId="49" fillId="0" borderId="0" xfId="0" applyFont="1" applyAlignment="1">
      <alignment wrapText="1"/>
    </xf>
    <xf numFmtId="0" fontId="3" fillId="0" borderId="0" xfId="3" applyAlignment="1">
      <alignment wrapText="1"/>
    </xf>
    <xf numFmtId="0" fontId="3" fillId="0" borderId="0" xfId="3"/>
    <xf numFmtId="0" fontId="44" fillId="0" borderId="0" xfId="0" applyFont="1" applyProtection="1">
      <protection locked="0"/>
    </xf>
    <xf numFmtId="0" fontId="44" fillId="0" borderId="55" xfId="0" applyFont="1" applyBorder="1" applyProtection="1">
      <protection locked="0"/>
    </xf>
    <xf numFmtId="0" fontId="51" fillId="0" borderId="56" xfId="0" applyFont="1" applyBorder="1" applyAlignment="1" applyProtection="1">
      <alignment horizontal="center" vertical="center"/>
      <protection locked="0"/>
    </xf>
    <xf numFmtId="0" fontId="44" fillId="0" borderId="57" xfId="0" applyFont="1" applyBorder="1" applyProtection="1">
      <protection locked="0"/>
    </xf>
    <xf numFmtId="0" fontId="44" fillId="0" borderId="58" xfId="0" applyFont="1" applyBorder="1" applyProtection="1">
      <protection locked="0"/>
    </xf>
    <xf numFmtId="0" fontId="45" fillId="0" borderId="0" xfId="0" applyFont="1" applyAlignment="1" applyProtection="1">
      <alignment horizontal="center"/>
      <protection locked="0"/>
    </xf>
    <xf numFmtId="0" fontId="44" fillId="0" borderId="59" xfId="0" applyFont="1" applyBorder="1" applyProtection="1">
      <protection locked="0"/>
    </xf>
    <xf numFmtId="168" fontId="44" fillId="24" borderId="60" xfId="0" applyNumberFormat="1" applyFont="1" applyFill="1" applyBorder="1" applyProtection="1">
      <protection locked="0"/>
    </xf>
    <xf numFmtId="168" fontId="44" fillId="0" borderId="61" xfId="0" applyNumberFormat="1" applyFont="1" applyBorder="1" applyProtection="1">
      <protection locked="0"/>
    </xf>
    <xf numFmtId="168" fontId="44" fillId="0" borderId="0" xfId="0" applyNumberFormat="1" applyFont="1" applyProtection="1">
      <protection locked="0"/>
    </xf>
    <xf numFmtId="165" fontId="44" fillId="24" borderId="60" xfId="0" applyNumberFormat="1" applyFont="1" applyFill="1" applyBorder="1" applyProtection="1">
      <protection locked="0"/>
    </xf>
    <xf numFmtId="165" fontId="44" fillId="0" borderId="61" xfId="0" applyNumberFormat="1" applyFont="1" applyBorder="1" applyProtection="1">
      <protection locked="0"/>
    </xf>
    <xf numFmtId="10" fontId="44" fillId="0" borderId="0" xfId="0" applyNumberFormat="1" applyFont="1" applyProtection="1">
      <protection locked="0"/>
    </xf>
    <xf numFmtId="0" fontId="45" fillId="0" borderId="0" xfId="0" applyFont="1" applyProtection="1">
      <protection locked="0"/>
    </xf>
    <xf numFmtId="168" fontId="44" fillId="15" borderId="62" xfId="0" applyNumberFormat="1" applyFont="1" applyFill="1" applyBorder="1" applyProtection="1">
      <protection hidden="1"/>
    </xf>
    <xf numFmtId="168" fontId="44" fillId="0" borderId="0" xfId="0" applyNumberFormat="1" applyFont="1" applyProtection="1">
      <protection hidden="1"/>
    </xf>
    <xf numFmtId="165" fontId="44" fillId="15" borderId="62" xfId="0" applyNumberFormat="1" applyFont="1" applyFill="1" applyBorder="1" applyProtection="1">
      <protection hidden="1"/>
    </xf>
    <xf numFmtId="0" fontId="44" fillId="0" borderId="63" xfId="0" applyFont="1" applyBorder="1" applyProtection="1">
      <protection locked="0"/>
    </xf>
    <xf numFmtId="0" fontId="44" fillId="0" borderId="54" xfId="0" applyFont="1" applyBorder="1" applyProtection="1">
      <protection locked="0"/>
    </xf>
    <xf numFmtId="0" fontId="44" fillId="0" borderId="64" xfId="0" applyFont="1" applyBorder="1" applyProtection="1">
      <protection locked="0"/>
    </xf>
    <xf numFmtId="0" fontId="38" fillId="27" borderId="0" xfId="0" applyFont="1" applyFill="1"/>
    <xf numFmtId="0" fontId="54" fillId="27" borderId="0" xfId="11" applyFont="1" applyFill="1" applyBorder="1" applyAlignment="1">
      <alignment vertical="center"/>
    </xf>
    <xf numFmtId="0" fontId="55" fillId="27" borderId="0" xfId="11" applyFont="1" applyFill="1" applyBorder="1"/>
    <xf numFmtId="0" fontId="8" fillId="0" borderId="67" xfId="0" applyFont="1" applyBorder="1" applyAlignment="1">
      <alignment horizontal="center"/>
    </xf>
    <xf numFmtId="0" fontId="8" fillId="0" borderId="67" xfId="0" applyFont="1" applyBorder="1"/>
    <xf numFmtId="3" fontId="0" fillId="0" borderId="0" xfId="0" applyNumberFormat="1" applyProtection="1">
      <protection locked="0"/>
    </xf>
    <xf numFmtId="10" fontId="28" fillId="26" borderId="0" xfId="13" applyNumberFormat="1" applyFont="1" applyBorder="1" applyAlignment="1" applyProtection="1">
      <alignment horizontal="center"/>
      <protection locked="0"/>
    </xf>
    <xf numFmtId="10" fontId="56" fillId="25" borderId="0" xfId="12" applyNumberFormat="1" applyFont="1" applyBorder="1" applyAlignment="1">
      <alignment horizontal="center"/>
    </xf>
    <xf numFmtId="0" fontId="56" fillId="25" borderId="0" xfId="12" applyFont="1" applyBorder="1" applyAlignment="1">
      <alignment horizontal="center"/>
    </xf>
    <xf numFmtId="0" fontId="28" fillId="0" borderId="0" xfId="0" applyFont="1"/>
    <xf numFmtId="166" fontId="57" fillId="25" borderId="67" xfId="12" applyNumberFormat="1" applyFont="1" applyBorder="1" applyAlignment="1">
      <alignment horizontal="center"/>
    </xf>
    <xf numFmtId="10" fontId="0" fillId="0" borderId="0" xfId="2" applyNumberFormat="1" applyFont="1" applyBorder="1"/>
    <xf numFmtId="8" fontId="57" fillId="25" borderId="67" xfId="12" applyNumberFormat="1" applyFont="1" applyBorder="1" applyAlignment="1">
      <alignment horizontal="center"/>
    </xf>
    <xf numFmtId="0" fontId="8" fillId="17" borderId="1" xfId="0" applyFont="1" applyFill="1" applyBorder="1" applyAlignment="1" applyProtection="1">
      <alignment horizontal="center" vertical="center"/>
      <protection hidden="1"/>
    </xf>
    <xf numFmtId="0" fontId="8" fillId="11" borderId="1" xfId="0" applyFont="1" applyFill="1" applyBorder="1" applyAlignment="1" applyProtection="1">
      <alignment horizontal="center" vertical="center"/>
      <protection hidden="1"/>
    </xf>
    <xf numFmtId="0" fontId="8" fillId="16" borderId="1" xfId="0" applyFont="1" applyFill="1" applyBorder="1" applyAlignment="1" applyProtection="1">
      <alignment horizontal="center" vertical="center"/>
      <protection hidden="1"/>
    </xf>
    <xf numFmtId="0" fontId="8" fillId="2" borderId="1" xfId="0" applyFont="1" applyFill="1" applyBorder="1" applyAlignment="1" applyProtection="1">
      <alignment horizontal="left"/>
      <protection hidden="1"/>
    </xf>
    <xf numFmtId="0" fontId="5" fillId="18" borderId="1" xfId="0" applyFont="1" applyFill="1" applyBorder="1" applyAlignment="1" applyProtection="1">
      <alignment horizontal="center" vertical="center"/>
      <protection hidden="1"/>
    </xf>
    <xf numFmtId="0" fontId="5" fillId="17" borderId="1" xfId="0" applyFont="1" applyFill="1" applyBorder="1" applyAlignment="1" applyProtection="1">
      <alignment horizontal="center" vertical="center"/>
      <protection hidden="1"/>
    </xf>
    <xf numFmtId="0" fontId="5" fillId="12" borderId="1" xfId="0" applyFont="1" applyFill="1" applyBorder="1" applyAlignment="1" applyProtection="1">
      <alignment horizontal="center" vertical="center"/>
      <protection hidden="1"/>
    </xf>
    <xf numFmtId="0" fontId="5" fillId="11" borderId="1" xfId="0" applyFont="1" applyFill="1" applyBorder="1" applyAlignment="1" applyProtection="1">
      <alignment horizontal="center" vertical="center"/>
      <protection hidden="1"/>
    </xf>
    <xf numFmtId="0" fontId="5" fillId="16" borderId="1" xfId="0" applyFont="1" applyFill="1" applyBorder="1" applyAlignment="1" applyProtection="1">
      <alignment horizontal="center" vertical="center"/>
      <protection hidden="1"/>
    </xf>
    <xf numFmtId="0" fontId="2" fillId="0" borderId="1" xfId="0" applyFont="1" applyBorder="1" applyAlignment="1" applyProtection="1">
      <alignment horizontal="left"/>
      <protection hidden="1"/>
    </xf>
    <xf numFmtId="166" fontId="0" fillId="0" borderId="1" xfId="0" applyNumberFormat="1" applyBorder="1" applyAlignment="1" applyProtection="1">
      <alignment horizontal="center"/>
      <protection hidden="1"/>
    </xf>
    <xf numFmtId="0" fontId="5" fillId="2" borderId="1" xfId="0" applyFont="1" applyFill="1" applyBorder="1" applyAlignment="1" applyProtection="1">
      <alignment horizontal="left" vertical="center"/>
      <protection hidden="1"/>
    </xf>
    <xf numFmtId="166" fontId="5" fillId="2" borderId="1" xfId="0" applyNumberFormat="1" applyFont="1" applyFill="1" applyBorder="1" applyAlignment="1" applyProtection="1">
      <alignment horizontal="center" vertical="center"/>
      <protection hidden="1"/>
    </xf>
    <xf numFmtId="166" fontId="5" fillId="18" borderId="1" xfId="0" applyNumberFormat="1" applyFont="1" applyFill="1" applyBorder="1" applyAlignment="1" applyProtection="1">
      <alignment horizontal="center" vertical="center"/>
      <protection hidden="1"/>
    </xf>
    <xf numFmtId="166" fontId="5" fillId="17" borderId="1" xfId="0" applyNumberFormat="1" applyFont="1" applyFill="1" applyBorder="1" applyAlignment="1" applyProtection="1">
      <alignment horizontal="center" vertical="center"/>
      <protection hidden="1"/>
    </xf>
    <xf numFmtId="166" fontId="5" fillId="12" borderId="1" xfId="0" applyNumberFormat="1" applyFont="1" applyFill="1" applyBorder="1" applyAlignment="1" applyProtection="1">
      <alignment horizontal="center" vertical="center"/>
      <protection hidden="1"/>
    </xf>
    <xf numFmtId="166" fontId="5" fillId="11" borderId="1" xfId="0" applyNumberFormat="1" applyFont="1" applyFill="1" applyBorder="1" applyAlignment="1" applyProtection="1">
      <alignment horizontal="center" vertical="center"/>
      <protection hidden="1"/>
    </xf>
    <xf numFmtId="166" fontId="30" fillId="13" borderId="1" xfId="4" applyNumberFormat="1" applyFont="1" applyBorder="1" applyAlignment="1" applyProtection="1">
      <alignment horizontal="center" vertical="center"/>
      <protection hidden="1"/>
    </xf>
    <xf numFmtId="0" fontId="8" fillId="10" borderId="1" xfId="0" applyFont="1" applyFill="1" applyBorder="1" applyAlignment="1" applyProtection="1">
      <alignment vertical="center"/>
      <protection hidden="1"/>
    </xf>
    <xf numFmtId="0" fontId="0" fillId="6" borderId="0" xfId="0" applyFill="1" applyAlignment="1">
      <alignment vertical="center"/>
    </xf>
    <xf numFmtId="0" fontId="0" fillId="6" borderId="0" xfId="0" applyFill="1"/>
    <xf numFmtId="0" fontId="0" fillId="6" borderId="0" xfId="0" applyFill="1" applyAlignment="1">
      <alignment horizontal="center"/>
    </xf>
    <xf numFmtId="0" fontId="3" fillId="6" borderId="0" xfId="3" applyFill="1" applyAlignment="1">
      <alignment vertical="center"/>
    </xf>
    <xf numFmtId="44" fontId="0" fillId="6" borderId="0" xfId="0" applyNumberFormat="1" applyFill="1" applyProtection="1">
      <protection hidden="1"/>
    </xf>
    <xf numFmtId="164" fontId="0" fillId="6" borderId="0" xfId="0" applyNumberFormat="1" applyFill="1"/>
    <xf numFmtId="164" fontId="0" fillId="6" borderId="0" xfId="0" applyNumberFormat="1" applyFill="1" applyAlignment="1">
      <alignment horizontal="center"/>
    </xf>
    <xf numFmtId="44" fontId="0" fillId="6" borderId="0" xfId="1" applyFont="1" applyFill="1"/>
    <xf numFmtId="10" fontId="0" fillId="6" borderId="0" xfId="2" applyNumberFormat="1" applyFont="1" applyFill="1"/>
    <xf numFmtId="44" fontId="0" fillId="6" borderId="0" xfId="0" applyNumberFormat="1" applyFill="1"/>
    <xf numFmtId="9" fontId="0" fillId="6" borderId="0" xfId="2" applyFont="1" applyFill="1"/>
    <xf numFmtId="14" fontId="0" fillId="6" borderId="0" xfId="0" applyNumberFormat="1" applyFill="1"/>
    <xf numFmtId="0" fontId="2" fillId="2" borderId="1" xfId="0" applyFont="1" applyFill="1" applyBorder="1" applyAlignment="1">
      <alignment horizontal="center" vertical="center" wrapText="1"/>
    </xf>
    <xf numFmtId="0" fontId="2" fillId="2" borderId="35" xfId="0" applyFont="1" applyFill="1" applyBorder="1" applyAlignment="1">
      <alignment horizontal="center" vertical="center" wrapText="1"/>
    </xf>
    <xf numFmtId="14" fontId="2" fillId="2" borderId="35" xfId="0" applyNumberFormat="1" applyFont="1" applyFill="1" applyBorder="1" applyAlignment="1">
      <alignment horizontal="center" vertical="center" wrapText="1"/>
    </xf>
    <xf numFmtId="44" fontId="2" fillId="2" borderId="35" xfId="0" applyNumberFormat="1" applyFont="1" applyFill="1" applyBorder="1" applyAlignment="1">
      <alignment horizontal="center" vertical="center" wrapText="1"/>
    </xf>
    <xf numFmtId="0" fontId="2" fillId="2" borderId="0" xfId="0" applyFont="1" applyFill="1" applyAlignment="1">
      <alignment horizontal="center" vertical="center" wrapText="1"/>
    </xf>
    <xf numFmtId="10" fontId="2" fillId="2" borderId="35" xfId="0" applyNumberFormat="1" applyFont="1" applyFill="1" applyBorder="1" applyAlignment="1">
      <alignment horizontal="center" vertical="center" wrapText="1"/>
    </xf>
    <xf numFmtId="0" fontId="0" fillId="6" borderId="1" xfId="0" applyFill="1" applyBorder="1" applyProtection="1">
      <protection hidden="1"/>
    </xf>
    <xf numFmtId="14" fontId="0" fillId="6" borderId="1" xfId="0" applyNumberFormat="1" applyFill="1" applyBorder="1" applyProtection="1">
      <protection hidden="1"/>
    </xf>
    <xf numFmtId="164" fontId="0" fillId="6" borderId="1" xfId="0" applyNumberFormat="1" applyFill="1" applyBorder="1" applyProtection="1">
      <protection hidden="1"/>
    </xf>
    <xf numFmtId="0" fontId="0" fillId="6" borderId="1" xfId="0" applyFill="1" applyBorder="1" applyAlignment="1" applyProtection="1">
      <alignment horizontal="center"/>
      <protection hidden="1"/>
    </xf>
    <xf numFmtId="44" fontId="0" fillId="6" borderId="1" xfId="1" applyFont="1" applyFill="1" applyBorder="1" applyProtection="1">
      <protection hidden="1"/>
    </xf>
    <xf numFmtId="10" fontId="0" fillId="6" borderId="1" xfId="2" applyNumberFormat="1" applyFont="1" applyFill="1" applyBorder="1" applyProtection="1">
      <protection hidden="1"/>
    </xf>
    <xf numFmtId="44" fontId="0" fillId="6" borderId="1" xfId="0" applyNumberFormat="1" applyFill="1" applyBorder="1" applyProtection="1">
      <protection hidden="1"/>
    </xf>
    <xf numFmtId="0" fontId="21" fillId="29" borderId="10" xfId="0" applyFont="1" applyFill="1" applyBorder="1" applyProtection="1">
      <protection hidden="1"/>
    </xf>
    <xf numFmtId="0" fontId="21" fillId="29" borderId="11" xfId="0" applyFont="1" applyFill="1" applyBorder="1" applyProtection="1">
      <protection hidden="1"/>
    </xf>
    <xf numFmtId="0" fontId="21" fillId="29" borderId="12" xfId="0" applyFont="1" applyFill="1" applyBorder="1" applyProtection="1">
      <protection hidden="1"/>
    </xf>
    <xf numFmtId="0" fontId="21" fillId="6" borderId="0" xfId="0" applyFont="1" applyFill="1" applyProtection="1">
      <protection hidden="1"/>
    </xf>
    <xf numFmtId="0" fontId="21" fillId="29" borderId="17" xfId="0" applyFont="1" applyFill="1" applyBorder="1" applyProtection="1">
      <protection hidden="1"/>
    </xf>
    <xf numFmtId="0" fontId="21" fillId="29" borderId="21" xfId="0" applyFont="1" applyFill="1" applyBorder="1" applyProtection="1">
      <protection hidden="1"/>
    </xf>
    <xf numFmtId="0" fontId="20" fillId="29" borderId="21" xfId="0" applyFont="1" applyFill="1" applyBorder="1" applyAlignment="1" applyProtection="1">
      <alignment horizontal="right"/>
      <protection hidden="1"/>
    </xf>
    <xf numFmtId="0" fontId="63" fillId="6" borderId="0" xfId="0" applyFont="1" applyFill="1" applyAlignment="1" applyProtection="1">
      <alignment vertical="top" wrapText="1"/>
      <protection hidden="1"/>
    </xf>
    <xf numFmtId="0" fontId="64" fillId="29" borderId="17" xfId="0" applyFont="1" applyFill="1" applyBorder="1" applyAlignment="1" applyProtection="1">
      <alignment horizontal="right"/>
      <protection hidden="1"/>
    </xf>
    <xf numFmtId="0" fontId="64" fillId="29" borderId="0" xfId="0" applyFont="1" applyFill="1" applyAlignment="1" applyProtection="1">
      <alignment horizontal="right"/>
      <protection hidden="1"/>
    </xf>
    <xf numFmtId="0" fontId="64" fillId="29" borderId="17" xfId="0" applyFont="1" applyFill="1" applyBorder="1" applyAlignment="1" applyProtection="1">
      <alignment horizontal="right" vertical="top" wrapText="1"/>
      <protection hidden="1"/>
    </xf>
    <xf numFmtId="0" fontId="64" fillId="29" borderId="0" xfId="0" applyFont="1" applyFill="1" applyAlignment="1" applyProtection="1">
      <alignment vertical="top" wrapText="1"/>
      <protection hidden="1"/>
    </xf>
    <xf numFmtId="0" fontId="67" fillId="29" borderId="0" xfId="0" applyFont="1" applyFill="1" applyAlignment="1" applyProtection="1">
      <alignment vertical="top" wrapText="1"/>
      <protection hidden="1"/>
    </xf>
    <xf numFmtId="0" fontId="67" fillId="29" borderId="21" xfId="0" applyFont="1" applyFill="1" applyBorder="1" applyAlignment="1" applyProtection="1">
      <alignment vertical="top" wrapText="1"/>
      <protection hidden="1"/>
    </xf>
    <xf numFmtId="0" fontId="63" fillId="29" borderId="13" xfId="0" applyFont="1" applyFill="1" applyBorder="1" applyProtection="1">
      <protection hidden="1"/>
    </xf>
    <xf numFmtId="0" fontId="21" fillId="29" borderId="14" xfId="0" applyFont="1" applyFill="1" applyBorder="1" applyAlignment="1" applyProtection="1">
      <alignment horizontal="center"/>
      <protection hidden="1"/>
    </xf>
    <xf numFmtId="0" fontId="21" fillId="29" borderId="14" xfId="0" applyFont="1" applyFill="1" applyBorder="1" applyProtection="1">
      <protection hidden="1"/>
    </xf>
    <xf numFmtId="0" fontId="21" fillId="29" borderId="14" xfId="0" applyFont="1" applyFill="1" applyBorder="1" applyAlignment="1" applyProtection="1">
      <alignment horizontal="left"/>
      <protection hidden="1"/>
    </xf>
    <xf numFmtId="0" fontId="21" fillId="29" borderId="15" xfId="0" applyFont="1" applyFill="1" applyBorder="1" applyAlignment="1" applyProtection="1">
      <alignment horizontal="left"/>
      <protection hidden="1"/>
    </xf>
    <xf numFmtId="0" fontId="63" fillId="11" borderId="10" xfId="0" applyFont="1" applyFill="1" applyBorder="1" applyProtection="1">
      <protection hidden="1"/>
    </xf>
    <xf numFmtId="0" fontId="21" fillId="11" borderId="11" xfId="0" applyFont="1" applyFill="1" applyBorder="1" applyAlignment="1" applyProtection="1">
      <alignment horizontal="center"/>
      <protection hidden="1"/>
    </xf>
    <xf numFmtId="0" fontId="21" fillId="11" borderId="11" xfId="0" applyFont="1" applyFill="1" applyBorder="1" applyProtection="1">
      <protection hidden="1"/>
    </xf>
    <xf numFmtId="0" fontId="21" fillId="11" borderId="11" xfId="0" applyFont="1" applyFill="1" applyBorder="1" applyAlignment="1" applyProtection="1">
      <alignment horizontal="left"/>
      <protection hidden="1"/>
    </xf>
    <xf numFmtId="0" fontId="21" fillId="11" borderId="12" xfId="0" applyFont="1" applyFill="1" applyBorder="1" applyAlignment="1" applyProtection="1">
      <alignment horizontal="left"/>
      <protection hidden="1"/>
    </xf>
    <xf numFmtId="0" fontId="63" fillId="11" borderId="17" xfId="0" applyFont="1" applyFill="1" applyBorder="1" applyProtection="1">
      <protection hidden="1"/>
    </xf>
    <xf numFmtId="0" fontId="21" fillId="11" borderId="21" xfId="0" applyFont="1" applyFill="1" applyBorder="1" applyAlignment="1" applyProtection="1">
      <alignment horizontal="left"/>
      <protection hidden="1"/>
    </xf>
    <xf numFmtId="0" fontId="21" fillId="11" borderId="17" xfId="0" applyFont="1" applyFill="1" applyBorder="1" applyProtection="1">
      <protection hidden="1"/>
    </xf>
    <xf numFmtId="0" fontId="21" fillId="11" borderId="21" xfId="0" applyFont="1" applyFill="1" applyBorder="1" applyProtection="1">
      <protection hidden="1"/>
    </xf>
    <xf numFmtId="0" fontId="21" fillId="30" borderId="17" xfId="0" applyFont="1" applyFill="1" applyBorder="1" applyProtection="1">
      <protection hidden="1"/>
    </xf>
    <xf numFmtId="14" fontId="21" fillId="30" borderId="0" xfId="0" applyNumberFormat="1" applyFont="1" applyFill="1" applyAlignment="1" applyProtection="1">
      <alignment horizontal="center"/>
      <protection hidden="1"/>
    </xf>
    <xf numFmtId="0" fontId="21" fillId="30" borderId="0" xfId="0" applyFont="1" applyFill="1" applyProtection="1">
      <protection hidden="1"/>
    </xf>
    <xf numFmtId="0" fontId="21" fillId="30" borderId="21" xfId="0" applyFont="1" applyFill="1" applyBorder="1" applyProtection="1">
      <protection hidden="1"/>
    </xf>
    <xf numFmtId="0" fontId="70" fillId="11" borderId="17" xfId="0" applyFont="1" applyFill="1" applyBorder="1" applyProtection="1">
      <protection hidden="1"/>
    </xf>
    <xf numFmtId="0" fontId="63" fillId="30" borderId="32" xfId="0" applyFont="1" applyFill="1" applyBorder="1" applyAlignment="1" applyProtection="1">
      <alignment horizontal="center"/>
      <protection hidden="1"/>
    </xf>
    <xf numFmtId="0" fontId="63" fillId="30" borderId="0" xfId="0" applyFont="1" applyFill="1" applyAlignment="1" applyProtection="1">
      <alignment vertical="center"/>
      <protection hidden="1"/>
    </xf>
    <xf numFmtId="0" fontId="63" fillId="17" borderId="69" xfId="0" applyFont="1" applyFill="1" applyBorder="1" applyProtection="1">
      <protection hidden="1"/>
    </xf>
    <xf numFmtId="0" fontId="20" fillId="31" borderId="17" xfId="0" applyFont="1" applyFill="1" applyBorder="1" applyAlignment="1" applyProtection="1">
      <alignment horizontal="right"/>
      <protection hidden="1"/>
    </xf>
    <xf numFmtId="14" fontId="21" fillId="6" borderId="1" xfId="0" applyNumberFormat="1" applyFont="1" applyFill="1" applyBorder="1" applyAlignment="1" applyProtection="1">
      <alignment horizontal="center"/>
      <protection locked="0" hidden="1"/>
    </xf>
    <xf numFmtId="0" fontId="63" fillId="30" borderId="8" xfId="0" applyFont="1" applyFill="1" applyBorder="1" applyAlignment="1" applyProtection="1">
      <alignment horizontal="center" vertical="center"/>
      <protection hidden="1"/>
    </xf>
    <xf numFmtId="0" fontId="63" fillId="17" borderId="70" xfId="0" applyFont="1" applyFill="1" applyBorder="1" applyProtection="1">
      <protection hidden="1"/>
    </xf>
    <xf numFmtId="0" fontId="20" fillId="31" borderId="36" xfId="0" applyFont="1" applyFill="1" applyBorder="1" applyAlignment="1" applyProtection="1">
      <alignment horizontal="right"/>
      <protection hidden="1"/>
    </xf>
    <xf numFmtId="0" fontId="20" fillId="30" borderId="17" xfId="0" applyFont="1" applyFill="1" applyBorder="1" applyAlignment="1" applyProtection="1">
      <alignment horizontal="right"/>
      <protection hidden="1"/>
    </xf>
    <xf numFmtId="0" fontId="63" fillId="17" borderId="37" xfId="0" applyFont="1" applyFill="1" applyBorder="1" applyProtection="1">
      <protection hidden="1"/>
    </xf>
    <xf numFmtId="0" fontId="63" fillId="30" borderId="21" xfId="0" applyFont="1" applyFill="1" applyBorder="1" applyProtection="1">
      <protection hidden="1"/>
    </xf>
    <xf numFmtId="0" fontId="71" fillId="30" borderId="17" xfId="0" applyFont="1" applyFill="1" applyBorder="1" applyAlignment="1" applyProtection="1">
      <alignment horizontal="center" vertical="center" wrapText="1"/>
      <protection hidden="1"/>
    </xf>
    <xf numFmtId="0" fontId="71" fillId="30" borderId="0" xfId="0" applyFont="1" applyFill="1" applyAlignment="1" applyProtection="1">
      <alignment horizontal="center" vertical="center"/>
      <protection hidden="1"/>
    </xf>
    <xf numFmtId="0" fontId="71" fillId="30" borderId="21" xfId="0" applyFont="1" applyFill="1" applyBorder="1" applyAlignment="1" applyProtection="1">
      <alignment horizontal="center" vertical="center"/>
      <protection hidden="1"/>
    </xf>
    <xf numFmtId="0" fontId="20" fillId="31" borderId="28" xfId="0" applyFont="1" applyFill="1" applyBorder="1" applyAlignment="1" applyProtection="1">
      <alignment horizontal="right"/>
      <protection hidden="1"/>
    </xf>
    <xf numFmtId="169" fontId="21" fillId="17" borderId="1" xfId="0" applyNumberFormat="1" applyFont="1" applyFill="1" applyBorder="1" applyAlignment="1" applyProtection="1">
      <alignment horizontal="center"/>
      <protection hidden="1"/>
    </xf>
    <xf numFmtId="0" fontId="74" fillId="30" borderId="17" xfId="0" applyFont="1" applyFill="1" applyBorder="1" applyAlignment="1" applyProtection="1">
      <alignment horizontal="right" wrapText="1"/>
      <protection hidden="1"/>
    </xf>
    <xf numFmtId="0" fontId="75" fillId="30" borderId="0" xfId="0" applyFont="1" applyFill="1" applyAlignment="1" applyProtection="1">
      <alignment horizontal="center" wrapText="1"/>
      <protection hidden="1"/>
    </xf>
    <xf numFmtId="0" fontId="74" fillId="30" borderId="0" xfId="0" applyFont="1" applyFill="1" applyAlignment="1" applyProtection="1">
      <alignment horizontal="left" vertical="center"/>
      <protection hidden="1"/>
    </xf>
    <xf numFmtId="0" fontId="20" fillId="30" borderId="0" xfId="0" applyFont="1" applyFill="1" applyAlignment="1" applyProtection="1">
      <alignment vertical="top" wrapText="1"/>
      <protection hidden="1"/>
    </xf>
    <xf numFmtId="0" fontId="21" fillId="30" borderId="13" xfId="0" applyFont="1" applyFill="1" applyBorder="1" applyProtection="1">
      <protection hidden="1"/>
    </xf>
    <xf numFmtId="0" fontId="21" fillId="30" borderId="14" xfId="0" applyFont="1" applyFill="1" applyBorder="1" applyProtection="1">
      <protection hidden="1"/>
    </xf>
    <xf numFmtId="0" fontId="20" fillId="30" borderId="14" xfId="0" applyFont="1" applyFill="1" applyBorder="1" applyAlignment="1" applyProtection="1">
      <alignment vertical="top" wrapText="1"/>
      <protection hidden="1"/>
    </xf>
    <xf numFmtId="0" fontId="63" fillId="30" borderId="15" xfId="0" applyFont="1" applyFill="1" applyBorder="1" applyProtection="1">
      <protection hidden="1"/>
    </xf>
    <xf numFmtId="0" fontId="21" fillId="11" borderId="0" xfId="0" applyFont="1" applyFill="1" applyProtection="1">
      <protection hidden="1"/>
    </xf>
    <xf numFmtId="0" fontId="71" fillId="32" borderId="24" xfId="0" applyFont="1" applyFill="1" applyBorder="1" applyAlignment="1" applyProtection="1">
      <alignment horizontal="center"/>
      <protection hidden="1"/>
    </xf>
    <xf numFmtId="0" fontId="71" fillId="32" borderId="25" xfId="0" applyFont="1" applyFill="1" applyBorder="1" applyAlignment="1" applyProtection="1">
      <alignment horizontal="center"/>
      <protection hidden="1"/>
    </xf>
    <xf numFmtId="0" fontId="76" fillId="31" borderId="17" xfId="0" applyFont="1" applyFill="1" applyBorder="1" applyAlignment="1" applyProtection="1">
      <alignment horizontal="left"/>
      <protection hidden="1"/>
    </xf>
    <xf numFmtId="166" fontId="21" fillId="6" borderId="37" xfId="0" applyNumberFormat="1" applyFont="1" applyFill="1" applyBorder="1" applyProtection="1">
      <protection locked="0" hidden="1"/>
    </xf>
    <xf numFmtId="166" fontId="21" fillId="6" borderId="29" xfId="0" applyNumberFormat="1" applyFont="1" applyFill="1" applyBorder="1" applyProtection="1">
      <protection locked="0" hidden="1"/>
    </xf>
    <xf numFmtId="0" fontId="76" fillId="31" borderId="32" xfId="0" applyFont="1" applyFill="1" applyBorder="1" applyAlignment="1" applyProtection="1">
      <alignment horizontal="left"/>
      <protection hidden="1"/>
    </xf>
    <xf numFmtId="166" fontId="21" fillId="6" borderId="69" xfId="0" applyNumberFormat="1" applyFont="1" applyFill="1" applyBorder="1" applyProtection="1">
      <protection locked="0" hidden="1"/>
    </xf>
    <xf numFmtId="0" fontId="64" fillId="11" borderId="17" xfId="0" applyFont="1" applyFill="1" applyBorder="1" applyAlignment="1" applyProtection="1">
      <alignment vertical="top" wrapText="1"/>
      <protection hidden="1"/>
    </xf>
    <xf numFmtId="0" fontId="64" fillId="32" borderId="17" xfId="0" applyFont="1" applyFill="1" applyBorder="1" applyAlignment="1" applyProtection="1">
      <alignment horizontal="right"/>
      <protection hidden="1"/>
    </xf>
    <xf numFmtId="166" fontId="21" fillId="17" borderId="29" xfId="0" applyNumberFormat="1" applyFont="1" applyFill="1" applyBorder="1" applyProtection="1">
      <protection hidden="1"/>
    </xf>
    <xf numFmtId="0" fontId="77" fillId="11" borderId="21" xfId="0" applyFont="1" applyFill="1" applyBorder="1" applyAlignment="1" applyProtection="1">
      <alignment horizontal="left"/>
      <protection hidden="1"/>
    </xf>
    <xf numFmtId="0" fontId="64" fillId="32" borderId="13" xfId="0" applyFont="1" applyFill="1" applyBorder="1" applyAlignment="1" applyProtection="1">
      <alignment horizontal="right" wrapText="1"/>
      <protection hidden="1"/>
    </xf>
    <xf numFmtId="166" fontId="78" fillId="17" borderId="27" xfId="0" applyNumberFormat="1" applyFont="1" applyFill="1" applyBorder="1" applyAlignment="1" applyProtection="1">
      <alignment horizontal="right"/>
      <protection hidden="1"/>
    </xf>
    <xf numFmtId="0" fontId="77" fillId="11" borderId="21" xfId="0" applyFont="1" applyFill="1" applyBorder="1" applyAlignment="1" applyProtection="1">
      <alignment horizontal="left" vertical="top"/>
      <protection hidden="1"/>
    </xf>
    <xf numFmtId="166" fontId="78" fillId="17" borderId="73" xfId="0" applyNumberFormat="1" applyFont="1" applyFill="1" applyBorder="1" applyProtection="1">
      <protection hidden="1"/>
    </xf>
    <xf numFmtId="0" fontId="21" fillId="11" borderId="21" xfId="0" applyFont="1" applyFill="1" applyBorder="1" applyAlignment="1" applyProtection="1">
      <alignment horizontal="right"/>
      <protection hidden="1"/>
    </xf>
    <xf numFmtId="0" fontId="64" fillId="11" borderId="35" xfId="0" applyFont="1" applyFill="1" applyBorder="1" applyAlignment="1" applyProtection="1">
      <alignment vertical="top" wrapText="1"/>
      <protection hidden="1"/>
    </xf>
    <xf numFmtId="0" fontId="76" fillId="31" borderId="36" xfId="0" applyFont="1" applyFill="1" applyBorder="1" applyAlignment="1" applyProtection="1">
      <alignment horizontal="left"/>
      <protection hidden="1"/>
    </xf>
    <xf numFmtId="4" fontId="21" fillId="6" borderId="69" xfId="0" applyNumberFormat="1" applyFont="1" applyFill="1" applyBorder="1" applyProtection="1">
      <protection locked="0" hidden="1"/>
    </xf>
    <xf numFmtId="166" fontId="78" fillId="17" borderId="27" xfId="0" applyNumberFormat="1" applyFont="1" applyFill="1" applyBorder="1" applyProtection="1">
      <protection hidden="1"/>
    </xf>
    <xf numFmtId="0" fontId="64" fillId="32" borderId="13" xfId="0" applyFont="1" applyFill="1" applyBorder="1" applyAlignment="1" applyProtection="1">
      <alignment horizontal="right"/>
      <protection hidden="1"/>
    </xf>
    <xf numFmtId="0" fontId="64" fillId="11" borderId="0" xfId="0" applyFont="1" applyFill="1" applyAlignment="1" applyProtection="1">
      <alignment vertical="top" wrapText="1"/>
      <protection hidden="1"/>
    </xf>
    <xf numFmtId="0" fontId="64" fillId="11" borderId="21" xfId="0" applyFont="1" applyFill="1" applyBorder="1" applyAlignment="1" applyProtection="1">
      <alignment vertical="top" wrapText="1"/>
      <protection hidden="1"/>
    </xf>
    <xf numFmtId="0" fontId="77" fillId="11" borderId="35" xfId="0" applyFont="1" applyFill="1" applyBorder="1" applyAlignment="1" applyProtection="1">
      <alignment horizontal="right"/>
      <protection hidden="1"/>
    </xf>
    <xf numFmtId="0" fontId="21" fillId="11" borderId="21" xfId="0" applyFont="1" applyFill="1" applyBorder="1" applyAlignment="1" applyProtection="1">
      <alignment horizontal="center"/>
      <protection hidden="1"/>
    </xf>
    <xf numFmtId="0" fontId="64" fillId="32" borderId="38" xfId="0" applyFont="1" applyFill="1" applyBorder="1" applyAlignment="1" applyProtection="1">
      <alignment horizontal="right"/>
      <protection hidden="1"/>
    </xf>
    <xf numFmtId="0" fontId="77" fillId="11" borderId="35" xfId="0" applyFont="1" applyFill="1" applyBorder="1" applyAlignment="1" applyProtection="1">
      <alignment horizontal="right" vertical="top"/>
      <protection hidden="1"/>
    </xf>
    <xf numFmtId="0" fontId="21" fillId="11" borderId="0" xfId="0" applyFont="1" applyFill="1" applyAlignment="1" applyProtection="1">
      <alignment horizontal="center" vertical="top"/>
      <protection hidden="1"/>
    </xf>
    <xf numFmtId="0" fontId="76" fillId="6" borderId="74" xfId="0" applyFont="1" applyFill="1" applyBorder="1" applyAlignment="1" applyProtection="1">
      <alignment vertical="center" wrapText="1"/>
      <protection hidden="1"/>
    </xf>
    <xf numFmtId="0" fontId="20" fillId="33" borderId="26" xfId="0" applyFont="1" applyFill="1" applyBorder="1" applyAlignment="1" applyProtection="1">
      <alignment horizontal="right" vertical="center" wrapText="1"/>
      <protection hidden="1"/>
    </xf>
    <xf numFmtId="0" fontId="64" fillId="11" borderId="0" xfId="0" applyFont="1" applyFill="1" applyAlignment="1" applyProtection="1">
      <alignment horizontal="right"/>
      <protection hidden="1"/>
    </xf>
    <xf numFmtId="166" fontId="78" fillId="11" borderId="0" xfId="0" applyNumberFormat="1" applyFont="1" applyFill="1" applyProtection="1">
      <protection hidden="1"/>
    </xf>
    <xf numFmtId="0" fontId="21" fillId="11" borderId="13" xfId="0" applyFont="1" applyFill="1" applyBorder="1" applyProtection="1">
      <protection hidden="1"/>
    </xf>
    <xf numFmtId="0" fontId="59" fillId="11" borderId="14" xfId="0" applyFont="1" applyFill="1" applyBorder="1" applyProtection="1">
      <protection hidden="1"/>
    </xf>
    <xf numFmtId="0" fontId="79" fillId="11" borderId="14" xfId="0" applyFont="1" applyFill="1" applyBorder="1" applyAlignment="1" applyProtection="1">
      <alignment horizontal="right" vertical="center" wrapText="1"/>
      <protection hidden="1"/>
    </xf>
    <xf numFmtId="8" fontId="31" fillId="11" borderId="14" xfId="0" applyNumberFormat="1" applyFont="1" applyFill="1" applyBorder="1" applyProtection="1">
      <protection hidden="1"/>
    </xf>
    <xf numFmtId="0" fontId="21" fillId="11" borderId="15" xfId="0" applyFont="1" applyFill="1" applyBorder="1" applyProtection="1">
      <protection hidden="1"/>
    </xf>
    <xf numFmtId="0" fontId="59" fillId="6" borderId="0" xfId="0" applyFont="1" applyFill="1" applyProtection="1">
      <protection hidden="1"/>
    </xf>
    <xf numFmtId="0" fontId="79" fillId="6" borderId="0" xfId="0" applyFont="1" applyFill="1" applyAlignment="1" applyProtection="1">
      <alignment vertical="top" wrapText="1"/>
      <protection hidden="1"/>
    </xf>
    <xf numFmtId="0" fontId="59" fillId="6" borderId="0" xfId="0" applyFont="1" applyFill="1" applyAlignment="1" applyProtection="1">
      <alignment horizontal="center"/>
      <protection hidden="1"/>
    </xf>
    <xf numFmtId="0" fontId="59" fillId="0" borderId="0" xfId="0" applyFont="1" applyProtection="1">
      <protection hidden="1"/>
    </xf>
    <xf numFmtId="0" fontId="38" fillId="6" borderId="0" xfId="0" applyFont="1" applyFill="1" applyProtection="1">
      <protection hidden="1"/>
    </xf>
    <xf numFmtId="0" fontId="81" fillId="6" borderId="0" xfId="0" applyFont="1" applyFill="1" applyAlignment="1" applyProtection="1">
      <alignment horizontal="left"/>
      <protection hidden="1"/>
    </xf>
    <xf numFmtId="0" fontId="79" fillId="6" borderId="0" xfId="0" applyFont="1" applyFill="1" applyAlignment="1" applyProtection="1">
      <alignment horizontal="center"/>
      <protection hidden="1"/>
    </xf>
    <xf numFmtId="0" fontId="79" fillId="6" borderId="0" xfId="0" applyFont="1" applyFill="1" applyProtection="1">
      <protection hidden="1"/>
    </xf>
    <xf numFmtId="0" fontId="38" fillId="6" borderId="0" xfId="0" applyFont="1" applyFill="1" applyAlignment="1" applyProtection="1">
      <alignment horizontal="center"/>
      <protection hidden="1"/>
    </xf>
    <xf numFmtId="7" fontId="59" fillId="6" borderId="0" xfId="1" applyNumberFormat="1" applyFont="1" applyFill="1" applyAlignment="1" applyProtection="1">
      <alignment horizontal="right"/>
      <protection hidden="1"/>
    </xf>
    <xf numFmtId="7" fontId="81" fillId="6" borderId="0" xfId="1" applyNumberFormat="1" applyFont="1" applyFill="1" applyAlignment="1" applyProtection="1">
      <alignment horizontal="right"/>
      <protection hidden="1"/>
    </xf>
    <xf numFmtId="0" fontId="59" fillId="6" borderId="0" xfId="0" applyFont="1" applyFill="1" applyAlignment="1" applyProtection="1">
      <alignment horizontal="left" vertical="top"/>
      <protection hidden="1"/>
    </xf>
    <xf numFmtId="166" fontId="59" fillId="6" borderId="0" xfId="0" applyNumberFormat="1" applyFont="1" applyFill="1" applyProtection="1">
      <protection hidden="1"/>
    </xf>
    <xf numFmtId="4" fontId="59" fillId="6" borderId="0" xfId="0" applyNumberFormat="1" applyFont="1" applyFill="1" applyProtection="1">
      <protection hidden="1"/>
    </xf>
    <xf numFmtId="14" fontId="59" fillId="6" borderId="0" xfId="0" applyNumberFormat="1" applyFont="1" applyFill="1" applyProtection="1">
      <protection hidden="1"/>
    </xf>
    <xf numFmtId="0" fontId="38" fillId="6" borderId="69" xfId="0" applyFont="1" applyFill="1" applyBorder="1" applyProtection="1">
      <protection hidden="1"/>
    </xf>
    <xf numFmtId="0" fontId="38" fillId="6" borderId="70" xfId="0" applyFont="1" applyFill="1" applyBorder="1" applyProtection="1">
      <protection hidden="1"/>
    </xf>
    <xf numFmtId="0" fontId="38" fillId="6" borderId="37" xfId="0" applyFont="1" applyFill="1" applyBorder="1" applyProtection="1">
      <protection hidden="1"/>
    </xf>
    <xf numFmtId="166" fontId="59" fillId="6" borderId="0" xfId="0" applyNumberFormat="1" applyFont="1" applyFill="1" applyAlignment="1" applyProtection="1">
      <alignment horizontal="left"/>
      <protection hidden="1"/>
    </xf>
    <xf numFmtId="0" fontId="59" fillId="6" borderId="0" xfId="0" applyFont="1" applyFill="1" applyAlignment="1" applyProtection="1">
      <alignment vertical="center"/>
      <protection hidden="1"/>
    </xf>
    <xf numFmtId="0" fontId="59" fillId="6" borderId="0" xfId="0" applyFont="1" applyFill="1" applyAlignment="1" applyProtection="1">
      <alignment horizontal="left"/>
      <protection hidden="1"/>
    </xf>
    <xf numFmtId="14" fontId="59" fillId="6" borderId="0" xfId="0" applyNumberFormat="1" applyFont="1" applyFill="1" applyAlignment="1" applyProtection="1">
      <alignment horizontal="left" vertical="center"/>
      <protection hidden="1"/>
    </xf>
    <xf numFmtId="170" fontId="59" fillId="6" borderId="0" xfId="0" applyNumberFormat="1" applyFont="1" applyFill="1" applyProtection="1">
      <protection hidden="1"/>
    </xf>
    <xf numFmtId="170" fontId="59" fillId="6" borderId="0" xfId="0" applyNumberFormat="1" applyFont="1" applyFill="1" applyAlignment="1" applyProtection="1">
      <alignment horizontal="left"/>
      <protection hidden="1"/>
    </xf>
    <xf numFmtId="0" fontId="82" fillId="6" borderId="0" xfId="0" applyFont="1" applyFill="1" applyProtection="1">
      <protection hidden="1"/>
    </xf>
    <xf numFmtId="171" fontId="59" fillId="6" borderId="0" xfId="0" applyNumberFormat="1" applyFont="1" applyFill="1" applyProtection="1">
      <protection hidden="1"/>
    </xf>
    <xf numFmtId="166" fontId="59" fillId="6" borderId="0" xfId="0" applyNumberFormat="1" applyFont="1" applyFill="1" applyAlignment="1" applyProtection="1">
      <alignment horizontal="center"/>
      <protection hidden="1"/>
    </xf>
    <xf numFmtId="0" fontId="21" fillId="0" borderId="0" xfId="0" applyFont="1" applyProtection="1">
      <protection hidden="1"/>
    </xf>
    <xf numFmtId="0" fontId="20" fillId="31" borderId="40" xfId="0" applyFont="1" applyFill="1" applyBorder="1" applyAlignment="1" applyProtection="1">
      <alignment horizontal="right" vertical="center"/>
      <protection hidden="1"/>
    </xf>
    <xf numFmtId="169" fontId="21" fillId="17" borderId="4" xfId="0" applyNumberFormat="1" applyFont="1" applyFill="1" applyBorder="1" applyAlignment="1" applyProtection="1">
      <alignment horizontal="center" vertical="center"/>
      <protection hidden="1"/>
    </xf>
    <xf numFmtId="0" fontId="89" fillId="30" borderId="17" xfId="0" applyFont="1" applyFill="1" applyBorder="1" applyAlignment="1" applyProtection="1">
      <alignment horizontal="right" wrapText="1"/>
      <protection hidden="1"/>
    </xf>
    <xf numFmtId="0" fontId="90" fillId="30" borderId="0" xfId="0" applyFont="1" applyFill="1" applyAlignment="1" applyProtection="1">
      <alignment horizontal="center" wrapText="1"/>
      <protection hidden="1"/>
    </xf>
    <xf numFmtId="0" fontId="20" fillId="30" borderId="0" xfId="0" applyFont="1" applyFill="1" applyAlignment="1" applyProtection="1">
      <alignment horizontal="left" vertical="center"/>
      <protection hidden="1"/>
    </xf>
    <xf numFmtId="0" fontId="70" fillId="31" borderId="17" xfId="0" applyFont="1" applyFill="1" applyBorder="1" applyAlignment="1" applyProtection="1">
      <alignment horizontal="right"/>
      <protection hidden="1"/>
    </xf>
    <xf numFmtId="0" fontId="70" fillId="31" borderId="32" xfId="0" applyFont="1" applyFill="1" applyBorder="1" applyAlignment="1" applyProtection="1">
      <alignment horizontal="right"/>
      <protection hidden="1"/>
    </xf>
    <xf numFmtId="166" fontId="78" fillId="17" borderId="27" xfId="0" applyNumberFormat="1" applyFont="1" applyFill="1" applyBorder="1" applyAlignment="1" applyProtection="1">
      <alignment horizontal="center"/>
      <protection hidden="1"/>
    </xf>
    <xf numFmtId="0" fontId="64" fillId="11" borderId="13" xfId="0" applyFont="1" applyFill="1" applyBorder="1" applyAlignment="1" applyProtection="1">
      <alignment vertical="top" wrapText="1"/>
      <protection hidden="1"/>
    </xf>
    <xf numFmtId="0" fontId="76" fillId="11" borderId="14" xfId="0" applyFont="1" applyFill="1" applyBorder="1" applyAlignment="1" applyProtection="1">
      <alignment horizontal="left"/>
      <protection hidden="1"/>
    </xf>
    <xf numFmtId="166" fontId="21" fillId="11" borderId="14" xfId="0" applyNumberFormat="1" applyFont="1" applyFill="1" applyBorder="1" applyProtection="1">
      <protection hidden="1"/>
    </xf>
    <xf numFmtId="0" fontId="21" fillId="11" borderId="14" xfId="0" applyFont="1" applyFill="1" applyBorder="1" applyProtection="1">
      <protection hidden="1"/>
    </xf>
    <xf numFmtId="0" fontId="21" fillId="11" borderId="15" xfId="0" applyFont="1" applyFill="1" applyBorder="1" applyAlignment="1" applyProtection="1">
      <alignment horizontal="right"/>
      <protection hidden="1"/>
    </xf>
    <xf numFmtId="0" fontId="21" fillId="6" borderId="0" xfId="0" applyFont="1" applyFill="1" applyAlignment="1" applyProtection="1">
      <alignment horizontal="center"/>
      <protection hidden="1"/>
    </xf>
    <xf numFmtId="0" fontId="59" fillId="6" borderId="0" xfId="0" applyFont="1" applyFill="1" applyAlignment="1" applyProtection="1">
      <alignment horizontal="right"/>
      <protection hidden="1"/>
    </xf>
    <xf numFmtId="0" fontId="91" fillId="6" borderId="0" xfId="0" applyFont="1" applyFill="1" applyAlignment="1" applyProtection="1">
      <alignment horizontal="center"/>
      <protection hidden="1"/>
    </xf>
    <xf numFmtId="169" fontId="59" fillId="6" borderId="0" xfId="0" applyNumberFormat="1" applyFont="1" applyFill="1" applyAlignment="1" applyProtection="1">
      <alignment horizontal="right"/>
      <protection hidden="1"/>
    </xf>
    <xf numFmtId="7" fontId="79" fillId="6" borderId="0" xfId="1" applyNumberFormat="1" applyFont="1" applyFill="1" applyAlignment="1" applyProtection="1">
      <alignment horizontal="right"/>
      <protection hidden="1"/>
    </xf>
    <xf numFmtId="166" fontId="81" fillId="6" borderId="0" xfId="0" applyNumberFormat="1" applyFont="1" applyFill="1" applyProtection="1">
      <protection hidden="1"/>
    </xf>
    <xf numFmtId="0" fontId="81" fillId="6" borderId="0" xfId="0" applyFont="1" applyFill="1" applyAlignment="1" applyProtection="1">
      <alignment horizontal="center"/>
      <protection hidden="1"/>
    </xf>
    <xf numFmtId="0" fontId="81" fillId="6" borderId="0" xfId="0" applyFont="1" applyFill="1" applyProtection="1">
      <protection hidden="1"/>
    </xf>
    <xf numFmtId="0" fontId="79" fillId="6" borderId="0" xfId="0" applyFont="1" applyFill="1" applyAlignment="1" applyProtection="1">
      <alignment horizontal="right"/>
      <protection hidden="1"/>
    </xf>
    <xf numFmtId="166" fontId="59" fillId="6" borderId="0" xfId="0" applyNumberFormat="1" applyFont="1" applyFill="1" applyAlignment="1" applyProtection="1">
      <alignment horizontal="right"/>
      <protection hidden="1"/>
    </xf>
    <xf numFmtId="166" fontId="81" fillId="6" borderId="0" xfId="0" applyNumberFormat="1" applyFont="1" applyFill="1" applyAlignment="1" applyProtection="1">
      <alignment horizontal="right"/>
      <protection hidden="1"/>
    </xf>
    <xf numFmtId="0" fontId="64" fillId="6" borderId="0" xfId="0" applyFont="1" applyFill="1" applyProtection="1">
      <protection hidden="1"/>
    </xf>
    <xf numFmtId="166" fontId="0" fillId="0" borderId="0" xfId="0" applyNumberFormat="1" applyAlignment="1" applyProtection="1">
      <alignment horizontal="right"/>
      <protection hidden="1"/>
    </xf>
    <xf numFmtId="0" fontId="61" fillId="29" borderId="12" xfId="0" applyFont="1" applyFill="1" applyBorder="1" applyAlignment="1" applyProtection="1">
      <alignment horizontal="right"/>
      <protection hidden="1"/>
    </xf>
    <xf numFmtId="0" fontId="10" fillId="29" borderId="17" xfId="0" applyFont="1" applyFill="1" applyBorder="1" applyAlignment="1" applyProtection="1">
      <alignment horizontal="left" vertical="top" wrapText="1"/>
      <protection hidden="1"/>
    </xf>
    <xf numFmtId="0" fontId="22" fillId="29" borderId="0" xfId="0" applyFont="1" applyFill="1" applyAlignment="1" applyProtection="1">
      <alignment horizontal="left" vertical="top"/>
      <protection hidden="1"/>
    </xf>
    <xf numFmtId="0" fontId="22" fillId="29" borderId="21" xfId="0" applyFont="1" applyFill="1" applyBorder="1" applyAlignment="1" applyProtection="1">
      <alignment horizontal="left" vertical="top"/>
      <protection hidden="1"/>
    </xf>
    <xf numFmtId="0" fontId="21" fillId="0" borderId="0" xfId="0" applyFont="1" applyAlignment="1" applyProtection="1">
      <alignment horizontal="left" vertical="top" wrapText="1"/>
      <protection hidden="1"/>
    </xf>
    <xf numFmtId="0" fontId="2" fillId="29" borderId="0" xfId="0" applyFont="1" applyFill="1" applyAlignment="1" applyProtection="1">
      <alignment horizontal="right"/>
      <protection hidden="1"/>
    </xf>
    <xf numFmtId="0" fontId="10" fillId="29" borderId="17" xfId="0" applyFont="1" applyFill="1" applyBorder="1" applyAlignment="1" applyProtection="1">
      <alignment vertical="top" wrapText="1"/>
      <protection hidden="1"/>
    </xf>
    <xf numFmtId="0" fontId="2" fillId="29" borderId="0" xfId="0" applyFont="1" applyFill="1" applyAlignment="1" applyProtection="1">
      <alignment horizontal="right" vertical="top" wrapText="1"/>
      <protection hidden="1"/>
    </xf>
    <xf numFmtId="0" fontId="10" fillId="29" borderId="0" xfId="0" applyFont="1" applyFill="1" applyAlignment="1" applyProtection="1">
      <alignment vertical="top" wrapText="1"/>
      <protection hidden="1"/>
    </xf>
    <xf numFmtId="0" fontId="10" fillId="29" borderId="21" xfId="0" applyFont="1" applyFill="1" applyBorder="1" applyAlignment="1" applyProtection="1">
      <alignment vertical="top" wrapText="1"/>
      <protection hidden="1"/>
    </xf>
    <xf numFmtId="0" fontId="5" fillId="29" borderId="14" xfId="0" applyFont="1" applyFill="1" applyBorder="1" applyAlignment="1" applyProtection="1">
      <alignment horizontal="right"/>
      <protection hidden="1"/>
    </xf>
    <xf numFmtId="0" fontId="96" fillId="32" borderId="11" xfId="0" applyFont="1" applyFill="1" applyBorder="1" applyAlignment="1" applyProtection="1">
      <alignment horizontal="center"/>
      <protection hidden="1"/>
    </xf>
    <xf numFmtId="0" fontId="96" fillId="32" borderId="75" xfId="0" applyFont="1" applyFill="1" applyBorder="1" applyAlignment="1" applyProtection="1">
      <alignment horizontal="center"/>
      <protection hidden="1"/>
    </xf>
    <xf numFmtId="0" fontId="96" fillId="32" borderId="72" xfId="0" applyFont="1" applyFill="1" applyBorder="1" applyAlignment="1" applyProtection="1">
      <alignment horizontal="center"/>
      <protection hidden="1"/>
    </xf>
    <xf numFmtId="166" fontId="0" fillId="32" borderId="76" xfId="0" applyNumberFormat="1" applyFill="1" applyBorder="1" applyProtection="1">
      <protection hidden="1"/>
    </xf>
    <xf numFmtId="166" fontId="0" fillId="6" borderId="1" xfId="0" applyNumberFormat="1" applyFill="1" applyBorder="1" applyAlignment="1" applyProtection="1">
      <alignment horizontal="right"/>
      <protection locked="0"/>
    </xf>
    <xf numFmtId="166" fontId="0" fillId="32" borderId="18" xfId="0" applyNumberFormat="1" applyFill="1" applyBorder="1" applyProtection="1">
      <protection hidden="1"/>
    </xf>
    <xf numFmtId="166" fontId="0" fillId="6" borderId="29" xfId="0" applyNumberFormat="1" applyFill="1" applyBorder="1" applyAlignment="1" applyProtection="1">
      <alignment horizontal="right"/>
      <protection locked="0"/>
    </xf>
    <xf numFmtId="166" fontId="59" fillId="0" borderId="0" xfId="0" applyNumberFormat="1" applyFont="1" applyAlignment="1" applyProtection="1">
      <alignment horizontal="right"/>
      <protection hidden="1"/>
    </xf>
    <xf numFmtId="166" fontId="0" fillId="32" borderId="0" xfId="0" applyNumberFormat="1" applyFill="1" applyProtection="1">
      <protection hidden="1"/>
    </xf>
    <xf numFmtId="166" fontId="0" fillId="32" borderId="0" xfId="0" applyNumberFormat="1" applyFill="1" applyAlignment="1" applyProtection="1">
      <alignment horizontal="right"/>
      <protection hidden="1"/>
    </xf>
    <xf numFmtId="166" fontId="0" fillId="32" borderId="21" xfId="0" applyNumberFormat="1" applyFill="1" applyBorder="1" applyAlignment="1" applyProtection="1">
      <alignment horizontal="right"/>
      <protection hidden="1"/>
    </xf>
    <xf numFmtId="0" fontId="0" fillId="31" borderId="17" xfId="0" applyFill="1" applyBorder="1" applyProtection="1">
      <protection hidden="1"/>
    </xf>
    <xf numFmtId="0" fontId="0" fillId="31" borderId="0" xfId="0" applyFill="1" applyProtection="1">
      <protection hidden="1"/>
    </xf>
    <xf numFmtId="166" fontId="0" fillId="6" borderId="39" xfId="0" applyNumberFormat="1" applyFill="1" applyBorder="1" applyAlignment="1" applyProtection="1">
      <alignment horizontal="right"/>
      <protection locked="0"/>
    </xf>
    <xf numFmtId="0" fontId="2" fillId="31" borderId="0" xfId="0" applyFont="1" applyFill="1" applyAlignment="1" applyProtection="1">
      <alignment horizontal="right"/>
      <protection hidden="1"/>
    </xf>
    <xf numFmtId="0" fontId="45" fillId="31" borderId="0" xfId="0" applyFont="1" applyFill="1" applyAlignment="1" applyProtection="1">
      <alignment horizontal="right"/>
      <protection hidden="1"/>
    </xf>
    <xf numFmtId="0" fontId="0" fillId="6" borderId="77" xfId="0" applyFill="1" applyBorder="1" applyProtection="1">
      <protection locked="0"/>
    </xf>
    <xf numFmtId="166" fontId="2" fillId="17" borderId="1" xfId="0" applyNumberFormat="1" applyFont="1" applyFill="1" applyBorder="1" applyAlignment="1" applyProtection="1">
      <alignment horizontal="right"/>
      <protection hidden="1"/>
    </xf>
    <xf numFmtId="0" fontId="0" fillId="6" borderId="1" xfId="0" applyFill="1" applyBorder="1" applyAlignment="1" applyProtection="1">
      <alignment horizontal="right"/>
      <protection locked="0"/>
    </xf>
    <xf numFmtId="166" fontId="2" fillId="17" borderId="39" xfId="0" applyNumberFormat="1" applyFont="1" applyFill="1" applyBorder="1" applyAlignment="1" applyProtection="1">
      <alignment horizontal="right"/>
      <protection hidden="1"/>
    </xf>
    <xf numFmtId="166" fontId="59" fillId="0" borderId="0" xfId="0" applyNumberFormat="1" applyFont="1" applyProtection="1">
      <protection hidden="1"/>
    </xf>
    <xf numFmtId="166" fontId="0" fillId="32" borderId="77" xfId="0" applyNumberFormat="1" applyFill="1" applyBorder="1" applyProtection="1">
      <protection hidden="1"/>
    </xf>
    <xf numFmtId="166" fontId="0" fillId="6" borderId="4" xfId="0" applyNumberFormat="1" applyFill="1" applyBorder="1" applyAlignment="1" applyProtection="1">
      <alignment horizontal="right"/>
      <protection locked="0"/>
    </xf>
    <xf numFmtId="166" fontId="0" fillId="32" borderId="78" xfId="0" applyNumberFormat="1" applyFill="1" applyBorder="1" applyProtection="1">
      <protection hidden="1"/>
    </xf>
    <xf numFmtId="166" fontId="21" fillId="0" borderId="0" xfId="0" applyNumberFormat="1" applyFont="1" applyAlignment="1" applyProtection="1">
      <alignment horizontal="right"/>
      <protection hidden="1"/>
    </xf>
    <xf numFmtId="0" fontId="21" fillId="0" borderId="0" xfId="0" applyFont="1" applyAlignment="1" applyProtection="1">
      <alignment vertical="top"/>
      <protection hidden="1"/>
    </xf>
    <xf numFmtId="0" fontId="2" fillId="29" borderId="0" xfId="0" applyFont="1" applyFill="1" applyAlignment="1" applyProtection="1">
      <alignment horizontal="right" vertical="top"/>
      <protection hidden="1"/>
    </xf>
    <xf numFmtId="0" fontId="95" fillId="6" borderId="68" xfId="0" applyFont="1" applyFill="1" applyBorder="1" applyProtection="1">
      <protection hidden="1"/>
    </xf>
    <xf numFmtId="0" fontId="5" fillId="6" borderId="15" xfId="0" applyFont="1" applyFill="1" applyBorder="1" applyProtection="1">
      <protection locked="0"/>
    </xf>
    <xf numFmtId="0" fontId="96" fillId="32" borderId="36" xfId="0" applyFont="1" applyFill="1" applyBorder="1" applyAlignment="1" applyProtection="1">
      <alignment horizontal="right"/>
      <protection hidden="1"/>
    </xf>
    <xf numFmtId="0" fontId="45" fillId="32" borderId="2" xfId="0" applyFont="1" applyFill="1" applyBorder="1" applyAlignment="1" applyProtection="1">
      <alignment horizontal="center"/>
      <protection hidden="1"/>
    </xf>
    <xf numFmtId="0" fontId="45" fillId="32" borderId="72" xfId="0" applyFont="1" applyFill="1" applyBorder="1" applyAlignment="1" applyProtection="1">
      <alignment horizontal="center"/>
      <protection hidden="1"/>
    </xf>
    <xf numFmtId="166" fontId="21" fillId="0" borderId="0" xfId="0" applyNumberFormat="1" applyFont="1" applyProtection="1">
      <protection hidden="1"/>
    </xf>
    <xf numFmtId="0" fontId="32" fillId="8" borderId="82" xfId="0" applyFont="1" applyFill="1" applyBorder="1" applyAlignment="1" applyProtection="1">
      <alignment horizontal="right"/>
      <protection hidden="1"/>
    </xf>
    <xf numFmtId="172" fontId="0" fillId="0" borderId="1" xfId="0" applyNumberFormat="1" applyBorder="1" applyAlignment="1" applyProtection="1">
      <alignment horizontal="right"/>
      <protection locked="0"/>
    </xf>
    <xf numFmtId="0" fontId="96" fillId="32" borderId="0" xfId="0" applyFont="1" applyFill="1" applyAlignment="1" applyProtection="1">
      <alignment horizontal="center"/>
      <protection hidden="1"/>
    </xf>
    <xf numFmtId="172" fontId="0" fillId="0" borderId="29" xfId="0" applyNumberFormat="1" applyBorder="1" applyAlignment="1" applyProtection="1">
      <alignment horizontal="right"/>
      <protection locked="0"/>
    </xf>
    <xf numFmtId="0" fontId="32" fillId="8" borderId="28" xfId="0" applyFont="1" applyFill="1" applyBorder="1" applyAlignment="1" applyProtection="1">
      <alignment horizontal="right"/>
      <protection hidden="1"/>
    </xf>
    <xf numFmtId="172" fontId="0" fillId="0" borderId="78" xfId="0" applyNumberFormat="1" applyBorder="1" applyAlignment="1" applyProtection="1">
      <alignment horizontal="right"/>
      <protection locked="0"/>
    </xf>
    <xf numFmtId="10" fontId="0" fillId="32" borderId="0" xfId="0" applyNumberFormat="1" applyFill="1" applyProtection="1">
      <protection hidden="1"/>
    </xf>
    <xf numFmtId="10" fontId="0" fillId="32" borderId="21" xfId="0" applyNumberFormat="1" applyFill="1" applyBorder="1" applyProtection="1">
      <protection hidden="1"/>
    </xf>
    <xf numFmtId="166" fontId="78" fillId="0" borderId="0" xfId="0" applyNumberFormat="1" applyFont="1" applyProtection="1">
      <protection hidden="1"/>
    </xf>
    <xf numFmtId="166" fontId="2" fillId="17" borderId="1" xfId="0" applyNumberFormat="1" applyFont="1" applyFill="1" applyBorder="1" applyProtection="1">
      <protection hidden="1"/>
    </xf>
    <xf numFmtId="166" fontId="2" fillId="17" borderId="29" xfId="0" applyNumberFormat="1" applyFont="1" applyFill="1" applyBorder="1" applyProtection="1">
      <protection hidden="1"/>
    </xf>
    <xf numFmtId="0" fontId="96" fillId="32" borderId="2" xfId="0" applyFont="1" applyFill="1" applyBorder="1" applyAlignment="1" applyProtection="1">
      <alignment horizontal="center"/>
      <protection hidden="1"/>
    </xf>
    <xf numFmtId="166" fontId="2" fillId="34" borderId="1" xfId="0" applyNumberFormat="1" applyFont="1" applyFill="1" applyBorder="1" applyAlignment="1" applyProtection="1">
      <alignment horizontal="right"/>
      <protection hidden="1"/>
    </xf>
    <xf numFmtId="166" fontId="2" fillId="34" borderId="29" xfId="0" applyNumberFormat="1" applyFont="1" applyFill="1" applyBorder="1" applyAlignment="1" applyProtection="1">
      <alignment horizontal="right"/>
      <protection hidden="1"/>
    </xf>
    <xf numFmtId="166" fontId="2" fillId="32" borderId="0" xfId="0" applyNumberFormat="1" applyFont="1" applyFill="1" applyAlignment="1" applyProtection="1">
      <alignment horizontal="right"/>
      <protection hidden="1"/>
    </xf>
    <xf numFmtId="166" fontId="2" fillId="32" borderId="21" xfId="0" applyNumberFormat="1" applyFont="1" applyFill="1" applyBorder="1" applyAlignment="1" applyProtection="1">
      <alignment horizontal="right"/>
      <protection hidden="1"/>
    </xf>
    <xf numFmtId="166" fontId="108" fillId="32" borderId="0" xfId="0" applyNumberFormat="1" applyFont="1" applyFill="1" applyProtection="1">
      <protection hidden="1"/>
    </xf>
    <xf numFmtId="166" fontId="108" fillId="32" borderId="0" xfId="0" applyNumberFormat="1" applyFont="1" applyFill="1" applyAlignment="1" applyProtection="1">
      <alignment horizontal="right"/>
      <protection hidden="1"/>
    </xf>
    <xf numFmtId="166" fontId="108" fillId="32" borderId="21" xfId="0" applyNumberFormat="1" applyFont="1" applyFill="1" applyBorder="1" applyAlignment="1" applyProtection="1">
      <alignment horizontal="right"/>
      <protection hidden="1"/>
    </xf>
    <xf numFmtId="166" fontId="108" fillId="0" borderId="1" xfId="0" applyNumberFormat="1" applyFont="1" applyBorder="1" applyProtection="1">
      <protection locked="0"/>
    </xf>
    <xf numFmtId="166" fontId="108" fillId="17" borderId="1" xfId="0" applyNumberFormat="1" applyFont="1" applyFill="1" applyBorder="1" applyAlignment="1" applyProtection="1">
      <alignment horizontal="right"/>
      <protection hidden="1"/>
    </xf>
    <xf numFmtId="166" fontId="108" fillId="17" borderId="29" xfId="0" applyNumberFormat="1" applyFont="1" applyFill="1" applyBorder="1" applyAlignment="1" applyProtection="1">
      <alignment horizontal="right"/>
      <protection hidden="1"/>
    </xf>
    <xf numFmtId="166" fontId="2" fillId="32" borderId="0" xfId="0" applyNumberFormat="1" applyFont="1" applyFill="1" applyProtection="1">
      <protection hidden="1"/>
    </xf>
    <xf numFmtId="166" fontId="2" fillId="32" borderId="21" xfId="0" applyNumberFormat="1" applyFont="1" applyFill="1" applyBorder="1" applyProtection="1">
      <protection hidden="1"/>
    </xf>
    <xf numFmtId="166" fontId="0" fillId="6" borderId="5" xfId="0" applyNumberFormat="1" applyFill="1" applyBorder="1" applyAlignment="1" applyProtection="1">
      <alignment horizontal="right"/>
      <protection locked="0"/>
    </xf>
    <xf numFmtId="166" fontId="2" fillId="17" borderId="29" xfId="0" applyNumberFormat="1" applyFont="1" applyFill="1" applyBorder="1" applyAlignment="1" applyProtection="1">
      <alignment horizontal="right"/>
      <protection hidden="1"/>
    </xf>
    <xf numFmtId="166" fontId="2" fillId="17" borderId="78" xfId="0" applyNumberFormat="1" applyFont="1" applyFill="1" applyBorder="1" applyAlignment="1" applyProtection="1">
      <alignment horizontal="right"/>
      <protection hidden="1"/>
    </xf>
    <xf numFmtId="166" fontId="2" fillId="17" borderId="37" xfId="0" applyNumberFormat="1" applyFont="1" applyFill="1" applyBorder="1" applyAlignment="1" applyProtection="1">
      <alignment horizontal="right"/>
      <protection hidden="1"/>
    </xf>
    <xf numFmtId="0" fontId="21" fillId="0" borderId="0" xfId="0" applyFont="1" applyAlignment="1" applyProtection="1">
      <alignment vertical="top" wrapText="1"/>
      <protection hidden="1"/>
    </xf>
    <xf numFmtId="0" fontId="0" fillId="0" borderId="0" xfId="0" applyAlignment="1" applyProtection="1">
      <alignment vertical="top"/>
      <protection hidden="1"/>
    </xf>
    <xf numFmtId="0" fontId="59" fillId="0" borderId="0" xfId="0" applyFont="1" applyAlignment="1" applyProtection="1">
      <alignment vertical="top"/>
      <protection hidden="1"/>
    </xf>
    <xf numFmtId="0" fontId="96" fillId="32" borderId="32" xfId="0" applyFont="1" applyFill="1" applyBorder="1" applyAlignment="1" applyProtection="1">
      <alignment horizontal="right"/>
      <protection hidden="1"/>
    </xf>
    <xf numFmtId="0" fontId="45" fillId="32" borderId="33" xfId="0" applyFont="1" applyFill="1" applyBorder="1" applyAlignment="1" applyProtection="1">
      <alignment horizontal="center"/>
      <protection hidden="1"/>
    </xf>
    <xf numFmtId="0" fontId="96" fillId="8" borderId="28" xfId="0" applyFont="1" applyFill="1" applyBorder="1" applyAlignment="1" applyProtection="1">
      <alignment horizontal="right"/>
      <protection hidden="1"/>
    </xf>
    <xf numFmtId="172" fontId="0" fillId="0" borderId="1" xfId="0" applyNumberFormat="1" applyBorder="1" applyProtection="1">
      <protection locked="0"/>
    </xf>
    <xf numFmtId="172" fontId="0" fillId="0" borderId="29" xfId="0" applyNumberFormat="1" applyBorder="1" applyProtection="1">
      <protection locked="0"/>
    </xf>
    <xf numFmtId="0" fontId="0" fillId="6" borderId="4" xfId="0" applyFill="1" applyBorder="1" applyAlignment="1" applyProtection="1">
      <alignment horizontal="right"/>
      <protection locked="0"/>
    </xf>
    <xf numFmtId="0" fontId="96" fillId="32" borderId="0" xfId="0" applyFont="1" applyFill="1" applyAlignment="1" applyProtection="1">
      <alignment horizontal="right"/>
      <protection hidden="1"/>
    </xf>
    <xf numFmtId="10" fontId="0" fillId="32" borderId="0" xfId="0" applyNumberFormat="1" applyFill="1" applyAlignment="1" applyProtection="1">
      <alignment horizontal="right"/>
      <protection hidden="1"/>
    </xf>
    <xf numFmtId="0" fontId="96" fillId="32" borderId="2" xfId="0" applyFont="1" applyFill="1" applyBorder="1" applyAlignment="1" applyProtection="1">
      <alignment horizontal="right"/>
      <protection hidden="1"/>
    </xf>
    <xf numFmtId="10" fontId="0" fillId="32" borderId="21" xfId="0" applyNumberFormat="1" applyFill="1" applyBorder="1" applyAlignment="1" applyProtection="1">
      <alignment horizontal="right"/>
      <protection hidden="1"/>
    </xf>
    <xf numFmtId="166" fontId="104" fillId="32" borderId="0" xfId="0" applyNumberFormat="1" applyFont="1" applyFill="1" applyAlignment="1" applyProtection="1">
      <alignment horizontal="right"/>
      <protection hidden="1"/>
    </xf>
    <xf numFmtId="166" fontId="104" fillId="32" borderId="21" xfId="0" applyNumberFormat="1" applyFont="1" applyFill="1" applyBorder="1" applyAlignment="1" applyProtection="1">
      <alignment horizontal="right"/>
      <protection hidden="1"/>
    </xf>
    <xf numFmtId="166" fontId="104" fillId="6" borderId="1" xfId="0" applyNumberFormat="1" applyFont="1" applyFill="1" applyBorder="1" applyAlignment="1" applyProtection="1">
      <alignment horizontal="right"/>
      <protection locked="0"/>
    </xf>
    <xf numFmtId="166" fontId="104" fillId="17" borderId="1" xfId="0" applyNumberFormat="1" applyFont="1" applyFill="1" applyBorder="1" applyAlignment="1" applyProtection="1">
      <alignment horizontal="right"/>
      <protection hidden="1"/>
    </xf>
    <xf numFmtId="166" fontId="104" fillId="17" borderId="29" xfId="0" applyNumberFormat="1" applyFont="1" applyFill="1" applyBorder="1" applyAlignment="1" applyProtection="1">
      <alignment horizontal="right"/>
      <protection hidden="1"/>
    </xf>
    <xf numFmtId="166" fontId="0" fillId="6" borderId="77" xfId="0" applyNumberFormat="1" applyFill="1" applyBorder="1" applyAlignment="1" applyProtection="1">
      <alignment horizontal="right"/>
      <protection locked="0"/>
    </xf>
    <xf numFmtId="166" fontId="0" fillId="6" borderId="78" xfId="0" applyNumberFormat="1" applyFill="1" applyBorder="1" applyAlignment="1" applyProtection="1">
      <alignment horizontal="right"/>
      <protection locked="0"/>
    </xf>
    <xf numFmtId="0" fontId="33" fillId="0" borderId="0" xfId="0" applyFont="1" applyAlignment="1" applyProtection="1">
      <alignment vertical="top" wrapText="1"/>
      <protection locked="0"/>
    </xf>
    <xf numFmtId="0" fontId="0" fillId="0" borderId="0" xfId="0" applyAlignment="1" applyProtection="1">
      <alignment vertical="top" wrapText="1"/>
      <protection hidden="1"/>
    </xf>
    <xf numFmtId="0" fontId="0" fillId="11" borderId="0" xfId="0" applyFill="1" applyProtection="1">
      <protection hidden="1"/>
    </xf>
    <xf numFmtId="166" fontId="0" fillId="11" borderId="0" xfId="0" applyNumberFormat="1" applyFill="1" applyProtection="1">
      <protection hidden="1"/>
    </xf>
    <xf numFmtId="0" fontId="0" fillId="29" borderId="13" xfId="0" applyFill="1" applyBorder="1" applyAlignment="1" applyProtection="1">
      <alignment horizontal="left" vertical="top"/>
      <protection hidden="1"/>
    </xf>
    <xf numFmtId="0" fontId="0" fillId="29" borderId="14" xfId="0" applyFill="1" applyBorder="1" applyAlignment="1" applyProtection="1">
      <alignment horizontal="left" vertical="top"/>
      <protection hidden="1"/>
    </xf>
    <xf numFmtId="0" fontId="61" fillId="29" borderId="15" xfId="0" applyFont="1" applyFill="1" applyBorder="1" applyAlignment="1" applyProtection="1">
      <alignment horizontal="right"/>
      <protection hidden="1"/>
    </xf>
    <xf numFmtId="0" fontId="0" fillId="11" borderId="0" xfId="0" applyFill="1" applyAlignment="1" applyProtection="1">
      <alignment horizontal="center"/>
      <protection hidden="1"/>
    </xf>
    <xf numFmtId="0" fontId="122" fillId="36" borderId="32" xfId="0" applyFont="1" applyFill="1" applyBorder="1" applyAlignment="1" applyProtection="1">
      <alignment vertical="center" wrapText="1"/>
      <protection hidden="1"/>
    </xf>
    <xf numFmtId="0" fontId="123" fillId="6" borderId="29" xfId="0" applyFont="1" applyFill="1" applyBorder="1" applyAlignment="1" applyProtection="1">
      <alignment horizontal="center"/>
      <protection locked="0"/>
    </xf>
    <xf numFmtId="0" fontId="124" fillId="36" borderId="28" xfId="7" applyFont="1" applyFill="1" applyBorder="1" applyAlignment="1" applyProtection="1">
      <alignment vertical="center" wrapText="1"/>
      <protection hidden="1"/>
    </xf>
    <xf numFmtId="166" fontId="27" fillId="6" borderId="29" xfId="7" applyNumberFormat="1" applyFill="1" applyBorder="1" applyProtection="1">
      <protection locked="0"/>
    </xf>
    <xf numFmtId="0" fontId="124" fillId="36" borderId="28" xfId="7" quotePrefix="1" applyFont="1" applyFill="1" applyBorder="1" applyAlignment="1" applyProtection="1">
      <alignment vertical="center" wrapText="1"/>
      <protection hidden="1"/>
    </xf>
    <xf numFmtId="0" fontId="125" fillId="36" borderId="28" xfId="7" quotePrefix="1" applyFont="1" applyFill="1" applyBorder="1" applyAlignment="1" applyProtection="1">
      <alignment vertical="center" wrapText="1"/>
      <protection hidden="1"/>
    </xf>
    <xf numFmtId="166" fontId="27" fillId="17" borderId="29" xfId="7" applyNumberFormat="1" applyFill="1" applyBorder="1" applyProtection="1">
      <protection hidden="1"/>
    </xf>
    <xf numFmtId="0" fontId="126" fillId="36" borderId="28" xfId="7" quotePrefix="1" applyFont="1" applyFill="1" applyBorder="1" applyAlignment="1" applyProtection="1">
      <alignment vertical="center" wrapText="1"/>
      <protection hidden="1"/>
    </xf>
    <xf numFmtId="0" fontId="126" fillId="36" borderId="74" xfId="7" quotePrefix="1" applyFont="1" applyFill="1" applyBorder="1" applyAlignment="1" applyProtection="1">
      <alignment vertical="center" wrapText="1"/>
      <protection hidden="1"/>
    </xf>
    <xf numFmtId="166" fontId="27" fillId="6" borderId="69" xfId="7" applyNumberFormat="1" applyFill="1" applyBorder="1" applyProtection="1">
      <protection locked="0"/>
    </xf>
    <xf numFmtId="0" fontId="124" fillId="36" borderId="26" xfId="7" quotePrefix="1" applyFont="1" applyFill="1" applyBorder="1" applyAlignment="1" applyProtection="1">
      <alignment wrapText="1"/>
      <protection hidden="1"/>
    </xf>
    <xf numFmtId="166" fontId="128" fillId="17" borderId="27" xfId="7" applyNumberFormat="1" applyFont="1" applyFill="1" applyBorder="1" applyProtection="1">
      <protection hidden="1"/>
    </xf>
    <xf numFmtId="166" fontId="8" fillId="11" borderId="0" xfId="0" applyNumberFormat="1" applyFont="1" applyFill="1" applyAlignment="1" applyProtection="1">
      <alignment horizontal="center"/>
      <protection hidden="1"/>
    </xf>
    <xf numFmtId="0" fontId="122" fillId="36" borderId="6" xfId="0" applyFont="1" applyFill="1" applyBorder="1" applyAlignment="1" applyProtection="1">
      <alignment horizontal="left" vertical="center" wrapText="1"/>
      <protection hidden="1"/>
    </xf>
    <xf numFmtId="166" fontId="0" fillId="6" borderId="50" xfId="0" applyNumberFormat="1" applyFill="1" applyBorder="1" applyAlignment="1" applyProtection="1">
      <alignment horizontal="center" vertical="center"/>
      <protection locked="0"/>
    </xf>
    <xf numFmtId="166" fontId="15" fillId="37" borderId="16" xfId="0" applyNumberFormat="1" applyFont="1" applyFill="1" applyBorder="1" applyAlignment="1" applyProtection="1">
      <alignment horizontal="center"/>
      <protection hidden="1"/>
    </xf>
    <xf numFmtId="166" fontId="129" fillId="36" borderId="6" xfId="0" applyNumberFormat="1" applyFont="1" applyFill="1" applyBorder="1" applyAlignment="1" applyProtection="1">
      <alignment horizontal="left" vertical="center" wrapText="1"/>
      <protection hidden="1"/>
    </xf>
    <xf numFmtId="166" fontId="15" fillId="38" borderId="50" xfId="0" applyNumberFormat="1" applyFont="1" applyFill="1" applyBorder="1" applyAlignment="1" applyProtection="1">
      <alignment horizontal="center"/>
      <protection hidden="1"/>
    </xf>
    <xf numFmtId="166" fontId="130" fillId="6" borderId="0" xfId="0" applyNumberFormat="1" applyFont="1" applyFill="1" applyAlignment="1" applyProtection="1">
      <alignment horizontal="right"/>
      <protection hidden="1"/>
    </xf>
    <xf numFmtId="166" fontId="0" fillId="0" borderId="0" xfId="0" applyNumberFormat="1" applyProtection="1">
      <protection hidden="1"/>
    </xf>
    <xf numFmtId="0" fontId="59" fillId="0" borderId="0" xfId="0" applyFont="1" applyAlignment="1" applyProtection="1">
      <alignment horizontal="right"/>
      <protection hidden="1"/>
    </xf>
    <xf numFmtId="0" fontId="45" fillId="29" borderId="0" xfId="0" applyFont="1" applyFill="1" applyAlignment="1" applyProtection="1">
      <alignment horizontal="right" wrapText="1"/>
      <protection hidden="1"/>
    </xf>
    <xf numFmtId="0" fontId="96" fillId="32" borderId="24" xfId="0" applyFont="1" applyFill="1" applyBorder="1" applyAlignment="1" applyProtection="1">
      <alignment horizontal="right"/>
      <protection hidden="1"/>
    </xf>
    <xf numFmtId="0" fontId="45" fillId="32" borderId="75" xfId="0" applyFont="1" applyFill="1" applyBorder="1" applyAlignment="1" applyProtection="1">
      <alignment horizontal="center"/>
      <protection hidden="1"/>
    </xf>
    <xf numFmtId="0" fontId="61" fillId="32" borderId="0" xfId="0" applyFont="1" applyFill="1" applyAlignment="1" applyProtection="1">
      <alignment horizontal="center"/>
      <protection hidden="1"/>
    </xf>
    <xf numFmtId="0" fontId="61" fillId="32" borderId="2" xfId="0" applyFont="1" applyFill="1" applyBorder="1" applyAlignment="1" applyProtection="1">
      <alignment horizontal="center"/>
      <protection hidden="1"/>
    </xf>
    <xf numFmtId="166" fontId="0" fillId="6" borderId="1" xfId="0" applyNumberFormat="1" applyFill="1" applyBorder="1" applyProtection="1">
      <protection locked="0"/>
    </xf>
    <xf numFmtId="166" fontId="63" fillId="17" borderId="1" xfId="0" applyNumberFormat="1" applyFont="1" applyFill="1" applyBorder="1" applyAlignment="1" applyProtection="1">
      <alignment horizontal="right"/>
      <protection hidden="1"/>
    </xf>
    <xf numFmtId="166" fontId="133" fillId="6" borderId="1" xfId="0" applyNumberFormat="1" applyFont="1" applyFill="1" applyBorder="1" applyAlignment="1" applyProtection="1">
      <alignment horizontal="right"/>
      <protection locked="0"/>
    </xf>
    <xf numFmtId="166" fontId="104" fillId="32" borderId="0" xfId="0" applyNumberFormat="1" applyFont="1" applyFill="1" applyProtection="1">
      <protection hidden="1"/>
    </xf>
    <xf numFmtId="166" fontId="104" fillId="6" borderId="1" xfId="0" applyNumberFormat="1" applyFont="1" applyFill="1" applyBorder="1" applyProtection="1">
      <protection locked="0"/>
    </xf>
    <xf numFmtId="0" fontId="59" fillId="0" borderId="0" xfId="0" applyFont="1" applyAlignment="1" applyProtection="1">
      <alignment horizontal="center"/>
      <protection hidden="1"/>
    </xf>
    <xf numFmtId="9" fontId="0" fillId="0" borderId="0" xfId="2" applyFont="1"/>
    <xf numFmtId="44" fontId="0" fillId="0" borderId="0" xfId="1" applyFont="1" applyFill="1" applyAlignment="1" applyProtection="1">
      <alignment horizontal="right"/>
    </xf>
    <xf numFmtId="10" fontId="21" fillId="0" borderId="0" xfId="2" applyNumberFormat="1" applyFont="1" applyFill="1" applyProtection="1"/>
    <xf numFmtId="44" fontId="0" fillId="0" borderId="0" xfId="1" applyFont="1" applyFill="1" applyProtection="1"/>
    <xf numFmtId="0" fontId="0" fillId="5" borderId="7" xfId="0" applyFill="1" applyBorder="1"/>
    <xf numFmtId="0" fontId="2" fillId="3" borderId="22" xfId="0" applyFont="1" applyFill="1" applyBorder="1" applyAlignment="1">
      <alignment horizontal="center" vertical="center" wrapText="1"/>
    </xf>
    <xf numFmtId="167" fontId="2" fillId="3" borderId="22" xfId="0" applyNumberFormat="1" applyFont="1" applyFill="1" applyBorder="1" applyAlignment="1">
      <alignment horizontal="center" vertical="center" wrapText="1"/>
    </xf>
    <xf numFmtId="44" fontId="2" fillId="3" borderId="22" xfId="0" applyNumberFormat="1" applyFont="1" applyFill="1" applyBorder="1" applyAlignment="1">
      <alignment horizontal="center" vertical="center" wrapText="1"/>
    </xf>
    <xf numFmtId="44" fontId="2" fillId="3" borderId="0" xfId="1" applyFont="1" applyFill="1" applyBorder="1" applyAlignment="1">
      <alignment horizontal="right" vertical="center" wrapText="1"/>
    </xf>
    <xf numFmtId="10" fontId="2" fillId="3" borderId="22" xfId="0" applyNumberFormat="1" applyFont="1" applyFill="1" applyBorder="1" applyAlignment="1">
      <alignment horizontal="center" vertical="center" wrapText="1"/>
    </xf>
    <xf numFmtId="44" fontId="2" fillId="3" borderId="22" xfId="1" applyFont="1" applyFill="1" applyBorder="1" applyAlignment="1">
      <alignment horizontal="center" vertical="center" wrapText="1"/>
    </xf>
    <xf numFmtId="0" fontId="2" fillId="2" borderId="9" xfId="0" applyFont="1" applyFill="1" applyBorder="1" applyAlignment="1">
      <alignment horizontal="center" vertical="center"/>
    </xf>
    <xf numFmtId="0" fontId="2" fillId="2" borderId="22" xfId="0" applyFont="1" applyFill="1" applyBorder="1" applyAlignment="1">
      <alignment horizontal="center" vertical="center"/>
    </xf>
    <xf numFmtId="0" fontId="0" fillId="28" borderId="6" xfId="0" applyFill="1" applyBorder="1"/>
    <xf numFmtId="14" fontId="0" fillId="28" borderId="6" xfId="0" applyNumberFormat="1" applyFill="1" applyBorder="1"/>
    <xf numFmtId="0" fontId="2" fillId="28" borderId="16" xfId="0" applyFont="1" applyFill="1" applyBorder="1"/>
    <xf numFmtId="0" fontId="0" fillId="28" borderId="16" xfId="0" applyFill="1" applyBorder="1"/>
    <xf numFmtId="0" fontId="2" fillId="28" borderId="16" xfId="0" applyFont="1" applyFill="1" applyBorder="1" applyAlignment="1">
      <alignment horizontal="center"/>
    </xf>
    <xf numFmtId="0" fontId="0" fillId="28" borderId="16" xfId="0" applyFill="1" applyBorder="1" applyAlignment="1">
      <alignment horizontal="center"/>
    </xf>
    <xf numFmtId="44" fontId="0" fillId="28" borderId="16" xfId="0" applyNumberFormat="1" applyFill="1" applyBorder="1"/>
    <xf numFmtId="44" fontId="0" fillId="28" borderId="16" xfId="1" applyFont="1" applyFill="1" applyBorder="1" applyAlignment="1" applyProtection="1">
      <alignment horizontal="right"/>
    </xf>
    <xf numFmtId="10" fontId="0" fillId="28" borderId="16" xfId="0" applyNumberFormat="1" applyFill="1" applyBorder="1"/>
    <xf numFmtId="10" fontId="21" fillId="28" borderId="16" xfId="2" applyNumberFormat="1" applyFont="1" applyFill="1" applyBorder="1" applyProtection="1"/>
    <xf numFmtId="44" fontId="0" fillId="28" borderId="7" xfId="1" applyFont="1" applyFill="1" applyBorder="1" applyProtection="1"/>
    <xf numFmtId="0" fontId="35" fillId="6" borderId="0" xfId="0" applyFont="1" applyFill="1" applyAlignment="1" applyProtection="1">
      <alignment horizontal="center"/>
      <protection hidden="1"/>
    </xf>
    <xf numFmtId="0" fontId="29" fillId="2" borderId="10" xfId="0" applyFont="1" applyFill="1" applyBorder="1" applyAlignment="1">
      <alignment horizontal="center" vertical="center"/>
    </xf>
    <xf numFmtId="0" fontId="29" fillId="2" borderId="12" xfId="0" applyFont="1" applyFill="1" applyBorder="1" applyAlignment="1">
      <alignment horizontal="center" vertical="center"/>
    </xf>
    <xf numFmtId="0" fontId="29" fillId="2" borderId="13" xfId="0" applyFont="1" applyFill="1" applyBorder="1" applyAlignment="1">
      <alignment horizontal="center" vertical="center"/>
    </xf>
    <xf numFmtId="0" fontId="29" fillId="2" borderId="15" xfId="0" applyFont="1" applyFill="1" applyBorder="1" applyAlignment="1">
      <alignment horizontal="center" vertical="center"/>
    </xf>
    <xf numFmtId="0" fontId="29" fillId="6" borderId="16" xfId="0" applyFont="1" applyFill="1" applyBorder="1" applyAlignment="1">
      <alignment horizontal="center" vertical="center"/>
    </xf>
    <xf numFmtId="0" fontId="0" fillId="10" borderId="0" xfId="0" applyFill="1" applyAlignment="1">
      <alignment horizontal="center"/>
    </xf>
    <xf numFmtId="0" fontId="0" fillId="6" borderId="6" xfId="0" applyFill="1" applyBorder="1" applyAlignment="1">
      <alignment horizontal="center"/>
    </xf>
    <xf numFmtId="0" fontId="0" fillId="6" borderId="16" xfId="0" applyFill="1" applyBorder="1" applyAlignment="1">
      <alignment horizontal="center"/>
    </xf>
    <xf numFmtId="0" fontId="0" fillId="6" borderId="7" xfId="0" applyFill="1" applyBorder="1" applyAlignment="1">
      <alignment horizontal="center"/>
    </xf>
    <xf numFmtId="0" fontId="0" fillId="6" borderId="22" xfId="0" applyFill="1" applyBorder="1" applyAlignment="1">
      <alignment horizontal="center"/>
    </xf>
    <xf numFmtId="0" fontId="0" fillId="6" borderId="35" xfId="0" applyFill="1" applyBorder="1" applyAlignment="1">
      <alignment horizontal="center"/>
    </xf>
    <xf numFmtId="0" fontId="0" fillId="6" borderId="20" xfId="0" applyFill="1" applyBorder="1" applyAlignment="1">
      <alignment horizontal="center"/>
    </xf>
    <xf numFmtId="0" fontId="0" fillId="2" borderId="6" xfId="0" applyFill="1" applyBorder="1" applyAlignment="1">
      <alignment horizontal="center"/>
    </xf>
    <xf numFmtId="0" fontId="0" fillId="2" borderId="16" xfId="0" applyFill="1" applyBorder="1" applyAlignment="1">
      <alignment horizontal="center"/>
    </xf>
    <xf numFmtId="0" fontId="0" fillId="2" borderId="7" xfId="0" applyFill="1" applyBorder="1" applyAlignment="1">
      <alignment horizontal="center"/>
    </xf>
    <xf numFmtId="0" fontId="0" fillId="5" borderId="14" xfId="0" applyFill="1" applyBorder="1" applyAlignment="1">
      <alignment horizontal="left"/>
    </xf>
    <xf numFmtId="0" fontId="0" fillId="5" borderId="15" xfId="0" applyFill="1" applyBorder="1" applyAlignment="1">
      <alignment horizontal="left"/>
    </xf>
    <xf numFmtId="0" fontId="0" fillId="5" borderId="16" xfId="0" applyFill="1" applyBorder="1" applyAlignment="1">
      <alignment horizontal="left"/>
    </xf>
    <xf numFmtId="0" fontId="0" fillId="5" borderId="7" xfId="0" applyFill="1" applyBorder="1" applyAlignment="1">
      <alignment horizontal="left"/>
    </xf>
    <xf numFmtId="0" fontId="6" fillId="6" borderId="6" xfId="0" applyFont="1" applyFill="1" applyBorder="1" applyAlignment="1">
      <alignment horizontal="center"/>
    </xf>
    <xf numFmtId="0" fontId="6" fillId="6" borderId="16" xfId="0" applyFont="1" applyFill="1" applyBorder="1" applyAlignment="1">
      <alignment horizontal="center"/>
    </xf>
    <xf numFmtId="0" fontId="6" fillId="6" borderId="7" xfId="0" applyFont="1" applyFill="1" applyBorder="1" applyAlignment="1">
      <alignment horizontal="center"/>
    </xf>
    <xf numFmtId="0" fontId="0" fillId="5" borderId="0" xfId="0" applyFill="1" applyAlignment="1">
      <alignment horizontal="left"/>
    </xf>
    <xf numFmtId="0" fontId="0" fillId="5" borderId="21" xfId="0" applyFill="1" applyBorder="1" applyAlignment="1">
      <alignment horizontal="left"/>
    </xf>
    <xf numFmtId="0" fontId="0" fillId="2" borderId="22" xfId="0" applyFill="1" applyBorder="1" applyAlignment="1">
      <alignment horizontal="center" vertical="center"/>
    </xf>
    <xf numFmtId="0" fontId="0" fillId="2" borderId="35" xfId="0" applyFill="1" applyBorder="1" applyAlignment="1">
      <alignment horizontal="center" vertical="center"/>
    </xf>
    <xf numFmtId="0" fontId="0" fillId="2" borderId="20" xfId="0" applyFill="1" applyBorder="1" applyAlignment="1">
      <alignment horizontal="center" vertical="center"/>
    </xf>
    <xf numFmtId="0" fontId="0" fillId="2" borderId="10" xfId="0" applyFill="1" applyBorder="1" applyAlignment="1">
      <alignment horizontal="center" wrapText="1"/>
    </xf>
    <xf numFmtId="0" fontId="0" fillId="2" borderId="11" xfId="0" applyFill="1" applyBorder="1" applyAlignment="1">
      <alignment horizontal="center" wrapText="1"/>
    </xf>
    <xf numFmtId="0" fontId="0" fillId="2" borderId="12" xfId="0" applyFill="1" applyBorder="1" applyAlignment="1">
      <alignment horizontal="center" wrapText="1"/>
    </xf>
    <xf numFmtId="0" fontId="0" fillId="2" borderId="13" xfId="0" applyFill="1" applyBorder="1" applyAlignment="1">
      <alignment horizontal="center" wrapText="1"/>
    </xf>
    <xf numFmtId="0" fontId="0" fillId="2" borderId="14" xfId="0" applyFill="1" applyBorder="1" applyAlignment="1">
      <alignment horizontal="center" wrapText="1"/>
    </xf>
    <xf numFmtId="0" fontId="0" fillId="2" borderId="15" xfId="0" applyFill="1" applyBorder="1" applyAlignment="1">
      <alignment horizontal="center" wrapText="1"/>
    </xf>
    <xf numFmtId="0" fontId="18" fillId="14" borderId="24" xfId="0" applyFont="1" applyFill="1" applyBorder="1" applyAlignment="1">
      <alignment horizontal="center" vertical="center"/>
    </xf>
    <xf numFmtId="0" fontId="18" fillId="14" borderId="44" xfId="0" applyFont="1" applyFill="1" applyBorder="1" applyAlignment="1">
      <alignment horizontal="center" vertical="center"/>
    </xf>
    <xf numFmtId="0" fontId="18" fillId="14" borderId="25" xfId="0" applyFont="1" applyFill="1" applyBorder="1" applyAlignment="1">
      <alignment horizontal="center" vertical="center"/>
    </xf>
    <xf numFmtId="0" fontId="18" fillId="14" borderId="28" xfId="0" applyFont="1" applyFill="1" applyBorder="1" applyAlignment="1">
      <alignment horizontal="center" vertical="center"/>
    </xf>
    <xf numFmtId="0" fontId="18" fillId="14" borderId="1" xfId="0" applyFont="1" applyFill="1" applyBorder="1" applyAlignment="1">
      <alignment horizontal="center" vertical="center"/>
    </xf>
    <xf numFmtId="0" fontId="18" fillId="14" borderId="29" xfId="0" applyFont="1" applyFill="1" applyBorder="1" applyAlignment="1">
      <alignment horizontal="center" vertical="center"/>
    </xf>
    <xf numFmtId="0" fontId="0" fillId="6" borderId="17" xfId="0" applyFill="1" applyBorder="1" applyAlignment="1">
      <alignment horizontal="center"/>
    </xf>
    <xf numFmtId="0" fontId="0" fillId="6" borderId="13" xfId="0" applyFill="1" applyBorder="1" applyAlignment="1">
      <alignment horizontal="center"/>
    </xf>
    <xf numFmtId="0" fontId="22" fillId="2" borderId="10" xfId="0" applyFont="1" applyFill="1" applyBorder="1" applyAlignment="1">
      <alignment horizontal="center" vertical="center"/>
    </xf>
    <xf numFmtId="0" fontId="22" fillId="2" borderId="11" xfId="0" applyFont="1" applyFill="1" applyBorder="1" applyAlignment="1">
      <alignment horizontal="center" vertical="center"/>
    </xf>
    <xf numFmtId="0" fontId="22" fillId="2" borderId="12" xfId="0" applyFont="1" applyFill="1" applyBorder="1" applyAlignment="1">
      <alignment horizontal="center" vertical="center"/>
    </xf>
    <xf numFmtId="0" fontId="22" fillId="2" borderId="13" xfId="0" applyFont="1" applyFill="1" applyBorder="1" applyAlignment="1">
      <alignment horizontal="center" vertical="center"/>
    </xf>
    <xf numFmtId="0" fontId="22" fillId="2" borderId="14" xfId="0" applyFont="1" applyFill="1" applyBorder="1" applyAlignment="1">
      <alignment horizontal="center" vertical="center"/>
    </xf>
    <xf numFmtId="0" fontId="22" fillId="2" borderId="15" xfId="0" applyFont="1" applyFill="1" applyBorder="1" applyAlignment="1">
      <alignment horizontal="center" vertical="center"/>
    </xf>
    <xf numFmtId="0" fontId="34" fillId="6" borderId="6" xfId="0" applyFont="1" applyFill="1" applyBorder="1" applyAlignment="1">
      <alignment horizontal="center"/>
    </xf>
    <xf numFmtId="0" fontId="34" fillId="6" borderId="16" xfId="0" applyFont="1" applyFill="1" applyBorder="1" applyAlignment="1">
      <alignment horizontal="center"/>
    </xf>
    <xf numFmtId="0" fontId="34" fillId="6" borderId="7" xfId="0" applyFont="1" applyFill="1" applyBorder="1" applyAlignment="1">
      <alignment horizontal="center"/>
    </xf>
    <xf numFmtId="0" fontId="33" fillId="6" borderId="6" xfId="0" applyFont="1" applyFill="1" applyBorder="1" applyAlignment="1">
      <alignment horizontal="center"/>
    </xf>
    <xf numFmtId="0" fontId="33" fillId="6" borderId="16" xfId="0" applyFont="1" applyFill="1" applyBorder="1" applyAlignment="1">
      <alignment horizontal="center"/>
    </xf>
    <xf numFmtId="0" fontId="33" fillId="6" borderId="7" xfId="0" applyFont="1" applyFill="1" applyBorder="1" applyAlignment="1">
      <alignment horizontal="center"/>
    </xf>
    <xf numFmtId="0" fontId="19" fillId="5" borderId="40" xfId="0" applyFont="1" applyFill="1" applyBorder="1" applyAlignment="1">
      <alignment horizontal="center"/>
    </xf>
    <xf numFmtId="0" fontId="19" fillId="5" borderId="5" xfId="0" applyFont="1" applyFill="1" applyBorder="1" applyAlignment="1">
      <alignment horizontal="center"/>
    </xf>
    <xf numFmtId="0" fontId="19" fillId="5" borderId="39" xfId="0" applyFont="1" applyFill="1" applyBorder="1" applyAlignment="1">
      <alignment horizontal="center"/>
    </xf>
    <xf numFmtId="0" fontId="26" fillId="5" borderId="40" xfId="0" applyFont="1" applyFill="1" applyBorder="1" applyAlignment="1">
      <alignment horizontal="center"/>
    </xf>
    <xf numFmtId="0" fontId="26" fillId="5" borderId="5" xfId="0" applyFont="1" applyFill="1" applyBorder="1" applyAlignment="1">
      <alignment horizontal="center"/>
    </xf>
    <xf numFmtId="0" fontId="26" fillId="5" borderId="39" xfId="0" applyFont="1" applyFill="1" applyBorder="1" applyAlignment="1">
      <alignment horizontal="center"/>
    </xf>
    <xf numFmtId="0" fontId="19" fillId="5" borderId="38" xfId="0" applyFont="1" applyFill="1" applyBorder="1" applyAlignment="1">
      <alignment horizontal="center"/>
    </xf>
    <xf numFmtId="0" fontId="19" fillId="5" borderId="45" xfId="0" applyFont="1" applyFill="1" applyBorder="1" applyAlignment="1">
      <alignment horizontal="center"/>
    </xf>
    <xf numFmtId="0" fontId="19" fillId="5" borderId="34" xfId="0" applyFont="1" applyFill="1" applyBorder="1" applyAlignment="1">
      <alignment horizontal="center"/>
    </xf>
    <xf numFmtId="0" fontId="0" fillId="2" borderId="22" xfId="0" applyFill="1" applyBorder="1" applyAlignment="1">
      <alignment horizontal="center"/>
    </xf>
    <xf numFmtId="0" fontId="0" fillId="2" borderId="35" xfId="0" applyFill="1" applyBorder="1" applyAlignment="1">
      <alignment horizontal="center"/>
    </xf>
    <xf numFmtId="0" fontId="0" fillId="2" borderId="20" xfId="0" applyFill="1" applyBorder="1" applyAlignment="1">
      <alignment horizontal="center"/>
    </xf>
    <xf numFmtId="0" fontId="58" fillId="2" borderId="6" xfId="0" applyFont="1" applyFill="1" applyBorder="1" applyAlignment="1">
      <alignment horizontal="center" vertical="center"/>
    </xf>
    <xf numFmtId="0" fontId="58" fillId="2" borderId="16" xfId="0" applyFont="1" applyFill="1" applyBorder="1" applyAlignment="1">
      <alignment horizontal="center" vertical="center"/>
    </xf>
    <xf numFmtId="0" fontId="9" fillId="2" borderId="6" xfId="0" applyFont="1" applyFill="1" applyBorder="1" applyAlignment="1">
      <alignment horizontal="center" vertical="center"/>
    </xf>
    <xf numFmtId="0" fontId="9" fillId="2" borderId="16" xfId="0" applyFont="1" applyFill="1" applyBorder="1" applyAlignment="1">
      <alignment horizontal="center" vertical="center"/>
    </xf>
    <xf numFmtId="0" fontId="9" fillId="4" borderId="6" xfId="0" applyFont="1" applyFill="1" applyBorder="1" applyAlignment="1">
      <alignment horizontal="center" vertical="center"/>
    </xf>
    <xf numFmtId="0" fontId="9" fillId="4" borderId="16" xfId="0" applyFont="1" applyFill="1" applyBorder="1" applyAlignment="1">
      <alignment horizontal="center" vertical="center"/>
    </xf>
    <xf numFmtId="0" fontId="0" fillId="4" borderId="22" xfId="0" applyFill="1" applyBorder="1" applyAlignment="1">
      <alignment horizontal="center"/>
    </xf>
    <xf numFmtId="0" fontId="0" fillId="4" borderId="35" xfId="0" applyFill="1" applyBorder="1" applyAlignment="1">
      <alignment horizontal="center"/>
    </xf>
    <xf numFmtId="0" fontId="0" fillId="4" borderId="20" xfId="0" applyFill="1" applyBorder="1" applyAlignment="1">
      <alignment horizontal="center"/>
    </xf>
    <xf numFmtId="0" fontId="7" fillId="19" borderId="6" xfId="0" applyFont="1" applyFill="1" applyBorder="1" applyAlignment="1">
      <alignment horizontal="center" vertical="center"/>
    </xf>
    <xf numFmtId="0" fontId="7" fillId="19" borderId="16" xfId="0" applyFont="1" applyFill="1" applyBorder="1" applyAlignment="1">
      <alignment horizontal="center" vertical="center"/>
    </xf>
    <xf numFmtId="0" fontId="7" fillId="9" borderId="6" xfId="0" applyFont="1" applyFill="1" applyBorder="1" applyAlignment="1">
      <alignment horizontal="center" vertical="center"/>
    </xf>
    <xf numFmtId="0" fontId="7" fillId="9" borderId="16" xfId="0" applyFont="1" applyFill="1" applyBorder="1" applyAlignment="1">
      <alignment horizontal="center" vertical="center"/>
    </xf>
    <xf numFmtId="0" fontId="7" fillId="9" borderId="14" xfId="0" applyFont="1" applyFill="1" applyBorder="1" applyAlignment="1">
      <alignment horizontal="center" vertical="center"/>
    </xf>
    <xf numFmtId="0" fontId="7" fillId="9" borderId="15" xfId="0" applyFont="1" applyFill="1" applyBorder="1" applyAlignment="1">
      <alignment horizontal="center" vertical="center"/>
    </xf>
    <xf numFmtId="0" fontId="0" fillId="8" borderId="17" xfId="0" applyFill="1" applyBorder="1" applyAlignment="1">
      <alignment horizontal="left"/>
    </xf>
    <xf numFmtId="0" fontId="0" fillId="8" borderId="0" xfId="0" applyFill="1" applyAlignment="1">
      <alignment horizontal="left"/>
    </xf>
    <xf numFmtId="0" fontId="0" fillId="8" borderId="21" xfId="0" applyFill="1" applyBorder="1" applyAlignment="1">
      <alignment horizontal="left"/>
    </xf>
    <xf numFmtId="0" fontId="0" fillId="8" borderId="13" xfId="0" applyFill="1" applyBorder="1" applyAlignment="1">
      <alignment horizontal="left"/>
    </xf>
    <xf numFmtId="0" fontId="0" fillId="8" borderId="14" xfId="0" applyFill="1" applyBorder="1" applyAlignment="1">
      <alignment horizontal="left"/>
    </xf>
    <xf numFmtId="0" fontId="0" fillId="8" borderId="15" xfId="0" applyFill="1" applyBorder="1" applyAlignment="1">
      <alignment horizontal="left"/>
    </xf>
    <xf numFmtId="0" fontId="2" fillId="2" borderId="85" xfId="0" applyFont="1" applyFill="1" applyBorder="1" applyAlignment="1">
      <alignment horizontal="center" vertical="center"/>
    </xf>
    <xf numFmtId="0" fontId="2" fillId="2" borderId="86" xfId="0" applyFont="1" applyFill="1" applyBorder="1" applyAlignment="1">
      <alignment horizontal="center" vertical="center"/>
    </xf>
    <xf numFmtId="0" fontId="11" fillId="2" borderId="10" xfId="0" applyFont="1" applyFill="1" applyBorder="1" applyAlignment="1">
      <alignment horizontal="center"/>
    </xf>
    <xf numFmtId="0" fontId="11" fillId="2" borderId="11" xfId="0" applyFont="1" applyFill="1" applyBorder="1" applyAlignment="1">
      <alignment horizontal="center"/>
    </xf>
    <xf numFmtId="0" fontId="11" fillId="2" borderId="12" xfId="0" applyFont="1" applyFill="1" applyBorder="1" applyAlignment="1">
      <alignment horizontal="center"/>
    </xf>
    <xf numFmtId="0" fontId="11" fillId="2" borderId="13" xfId="0" applyFont="1" applyFill="1" applyBorder="1" applyAlignment="1">
      <alignment horizontal="center"/>
    </xf>
    <xf numFmtId="0" fontId="11" fillId="2" borderId="14" xfId="0" applyFont="1" applyFill="1" applyBorder="1" applyAlignment="1">
      <alignment horizontal="center"/>
    </xf>
    <xf numFmtId="0" fontId="11" fillId="2" borderId="15" xfId="0" applyFont="1" applyFill="1" applyBorder="1" applyAlignment="1">
      <alignment horizontal="center"/>
    </xf>
    <xf numFmtId="0" fontId="0" fillId="8" borderId="10" xfId="0" applyFill="1" applyBorder="1" applyAlignment="1">
      <alignment horizontal="left" wrapText="1"/>
    </xf>
    <xf numFmtId="0" fontId="0" fillId="8" borderId="11" xfId="0" applyFill="1" applyBorder="1" applyAlignment="1">
      <alignment horizontal="left" wrapText="1"/>
    </xf>
    <xf numFmtId="0" fontId="0" fillId="8" borderId="12" xfId="0" applyFill="1" applyBorder="1" applyAlignment="1">
      <alignment horizontal="left" wrapText="1"/>
    </xf>
    <xf numFmtId="0" fontId="0" fillId="8" borderId="17" xfId="0" applyFill="1" applyBorder="1" applyAlignment="1">
      <alignment horizontal="left" wrapText="1"/>
    </xf>
    <xf numFmtId="0" fontId="0" fillId="8" borderId="0" xfId="0" applyFill="1" applyAlignment="1">
      <alignment horizontal="left" wrapText="1"/>
    </xf>
    <xf numFmtId="0" fontId="0" fillId="8" borderId="21" xfId="0" applyFill="1" applyBorder="1" applyAlignment="1">
      <alignment horizontal="left" wrapText="1"/>
    </xf>
    <xf numFmtId="0" fontId="2" fillId="2" borderId="85" xfId="0" applyFont="1" applyFill="1" applyBorder="1" applyAlignment="1">
      <alignment horizontal="center" vertical="center" wrapText="1"/>
    </xf>
    <xf numFmtId="0" fontId="2" fillId="2" borderId="86" xfId="0" applyFont="1" applyFill="1" applyBorder="1" applyAlignment="1">
      <alignment horizontal="center" vertical="center" wrapText="1"/>
    </xf>
    <xf numFmtId="0" fontId="137" fillId="10" borderId="6" xfId="0" applyFont="1" applyFill="1" applyBorder="1" applyAlignment="1">
      <alignment horizontal="center" vertical="center" textRotation="255"/>
    </xf>
    <xf numFmtId="0" fontId="137" fillId="10" borderId="16" xfId="0" applyFont="1" applyFill="1" applyBorder="1" applyAlignment="1">
      <alignment horizontal="center" vertical="center" textRotation="255"/>
    </xf>
    <xf numFmtId="0" fontId="137" fillId="10" borderId="7" xfId="0" applyFont="1" applyFill="1" applyBorder="1" applyAlignment="1">
      <alignment horizontal="center" vertical="center" textRotation="255"/>
    </xf>
    <xf numFmtId="0" fontId="137" fillId="2" borderId="22" xfId="0" applyFont="1" applyFill="1" applyBorder="1" applyAlignment="1">
      <alignment horizontal="center" vertical="center" textRotation="255"/>
    </xf>
    <xf numFmtId="0" fontId="137" fillId="2" borderId="35" xfId="0" applyFont="1" applyFill="1" applyBorder="1" applyAlignment="1">
      <alignment horizontal="center" vertical="center" textRotation="255"/>
    </xf>
    <xf numFmtId="0" fontId="0" fillId="8" borderId="10" xfId="0" applyFill="1" applyBorder="1" applyAlignment="1">
      <alignment horizontal="center"/>
    </xf>
    <xf numFmtId="0" fontId="0" fillId="8" borderId="11" xfId="0" applyFill="1" applyBorder="1" applyAlignment="1">
      <alignment horizontal="center"/>
    </xf>
    <xf numFmtId="0" fontId="0" fillId="8" borderId="12" xfId="0" applyFill="1" applyBorder="1" applyAlignment="1">
      <alignment horizontal="center"/>
    </xf>
    <xf numFmtId="0" fontId="0" fillId="8" borderId="17" xfId="0" applyFill="1" applyBorder="1" applyAlignment="1">
      <alignment horizontal="center"/>
    </xf>
    <xf numFmtId="0" fontId="0" fillId="8" borderId="0" xfId="0" applyFill="1" applyAlignment="1">
      <alignment horizontal="center"/>
    </xf>
    <xf numFmtId="0" fontId="0" fillId="8" borderId="21" xfId="0" applyFill="1" applyBorder="1" applyAlignment="1">
      <alignment horizontal="center"/>
    </xf>
    <xf numFmtId="0" fontId="0" fillId="8" borderId="19" xfId="0" applyFill="1" applyBorder="1" applyAlignment="1">
      <alignment horizontal="left"/>
    </xf>
    <xf numFmtId="0" fontId="0" fillId="8" borderId="49" xfId="0" applyFill="1" applyBorder="1" applyAlignment="1">
      <alignment horizontal="left"/>
    </xf>
    <xf numFmtId="0" fontId="0" fillId="8" borderId="50" xfId="0" applyFill="1" applyBorder="1" applyAlignment="1">
      <alignment horizontal="left"/>
    </xf>
    <xf numFmtId="0" fontId="0" fillId="8" borderId="84" xfId="0" applyFill="1" applyBorder="1" applyAlignment="1">
      <alignment horizontal="left"/>
    </xf>
    <xf numFmtId="0" fontId="0" fillId="8" borderId="52" xfId="0" applyFill="1" applyBorder="1" applyAlignment="1">
      <alignment horizontal="left"/>
    </xf>
    <xf numFmtId="0" fontId="0" fillId="8" borderId="53" xfId="0" applyFill="1" applyBorder="1" applyAlignment="1">
      <alignment horizontal="left"/>
    </xf>
    <xf numFmtId="0" fontId="0" fillId="8" borderId="87" xfId="0" applyFill="1" applyBorder="1" applyAlignment="1">
      <alignment horizontal="left" wrapText="1"/>
    </xf>
    <xf numFmtId="0" fontId="0" fillId="8" borderId="44" xfId="0" applyFill="1" applyBorder="1" applyAlignment="1">
      <alignment horizontal="left" wrapText="1"/>
    </xf>
    <xf numFmtId="0" fontId="0" fillId="8" borderId="25" xfId="0" applyFill="1" applyBorder="1" applyAlignment="1">
      <alignment horizontal="left" wrapText="1"/>
    </xf>
    <xf numFmtId="0" fontId="0" fillId="8" borderId="46" xfId="0" applyFill="1" applyBorder="1" applyAlignment="1">
      <alignment horizontal="left" wrapText="1"/>
    </xf>
    <xf numFmtId="0" fontId="0" fillId="8" borderId="47" xfId="0" applyFill="1" applyBorder="1" applyAlignment="1">
      <alignment horizontal="left" wrapText="1"/>
    </xf>
    <xf numFmtId="0" fontId="0" fillId="8" borderId="27" xfId="0" applyFill="1" applyBorder="1" applyAlignment="1">
      <alignment horizontal="left" wrapText="1"/>
    </xf>
    <xf numFmtId="0" fontId="8" fillId="11" borderId="1" xfId="0" applyFont="1" applyFill="1" applyBorder="1" applyAlignment="1" applyProtection="1">
      <alignment horizontal="center" vertical="center"/>
      <protection hidden="1"/>
    </xf>
    <xf numFmtId="0" fontId="8" fillId="10" borderId="1" xfId="0" applyFont="1" applyFill="1" applyBorder="1" applyAlignment="1" applyProtection="1">
      <alignment horizontal="center" vertical="center"/>
      <protection hidden="1"/>
    </xf>
    <xf numFmtId="0" fontId="8" fillId="18" borderId="1" xfId="0" applyFont="1" applyFill="1" applyBorder="1" applyAlignment="1" applyProtection="1">
      <alignment horizontal="center" vertical="center"/>
      <protection hidden="1"/>
    </xf>
    <xf numFmtId="0" fontId="8" fillId="17" borderId="1" xfId="0" applyFont="1" applyFill="1" applyBorder="1" applyAlignment="1" applyProtection="1">
      <alignment horizontal="center" vertical="center"/>
      <protection hidden="1"/>
    </xf>
    <xf numFmtId="0" fontId="8" fillId="12" borderId="1" xfId="0" applyFont="1" applyFill="1" applyBorder="1" applyAlignment="1" applyProtection="1">
      <alignment horizontal="center" vertical="center"/>
      <protection hidden="1"/>
    </xf>
    <xf numFmtId="0" fontId="31" fillId="10" borderId="42" xfId="0" applyFont="1" applyFill="1" applyBorder="1" applyAlignment="1">
      <alignment horizontal="center"/>
    </xf>
    <xf numFmtId="0" fontId="31" fillId="10" borderId="52" xfId="0" applyFont="1" applyFill="1" applyBorder="1" applyAlignment="1">
      <alignment horizontal="center"/>
    </xf>
    <xf numFmtId="0" fontId="31" fillId="10" borderId="43" xfId="0" applyFont="1" applyFill="1" applyBorder="1" applyAlignment="1">
      <alignment horizontal="center"/>
    </xf>
    <xf numFmtId="0" fontId="31" fillId="10" borderId="53" xfId="0" applyFont="1" applyFill="1" applyBorder="1" applyAlignment="1">
      <alignment horizontal="center"/>
    </xf>
    <xf numFmtId="0" fontId="8" fillId="16" borderId="1" xfId="0" applyFont="1" applyFill="1" applyBorder="1" applyAlignment="1" applyProtection="1">
      <alignment horizontal="center" vertical="center"/>
      <protection hidden="1"/>
    </xf>
    <xf numFmtId="0" fontId="31" fillId="10" borderId="1" xfId="0" applyFont="1" applyFill="1" applyBorder="1" applyAlignment="1" applyProtection="1">
      <alignment horizontal="center"/>
      <protection hidden="1"/>
    </xf>
    <xf numFmtId="0" fontId="8" fillId="2" borderId="1" xfId="0" applyFont="1" applyFill="1" applyBorder="1" applyAlignment="1" applyProtection="1">
      <alignment horizontal="center"/>
      <protection hidden="1"/>
    </xf>
    <xf numFmtId="0" fontId="0" fillId="10" borderId="17" xfId="0" applyFill="1" applyBorder="1" applyAlignment="1">
      <alignment horizontal="center"/>
    </xf>
    <xf numFmtId="0" fontId="8" fillId="2" borderId="1" xfId="0" applyFont="1" applyFill="1" applyBorder="1" applyAlignment="1" applyProtection="1">
      <alignment horizontal="center" wrapText="1"/>
      <protection hidden="1"/>
    </xf>
    <xf numFmtId="0" fontId="30" fillId="13" borderId="1" xfId="4" applyFont="1" applyBorder="1" applyAlignment="1" applyProtection="1">
      <alignment horizontal="center" vertical="center"/>
      <protection hidden="1"/>
    </xf>
    <xf numFmtId="0" fontId="7" fillId="2" borderId="48" xfId="0" applyFont="1" applyFill="1" applyBorder="1" applyAlignment="1">
      <alignment horizontal="center" vertical="center"/>
    </xf>
    <xf numFmtId="0" fontId="7" fillId="2" borderId="49" xfId="0" applyFont="1" applyFill="1" applyBorder="1" applyAlignment="1">
      <alignment horizontal="center" vertical="center"/>
    </xf>
    <xf numFmtId="0" fontId="7" fillId="2" borderId="51" xfId="0" applyFont="1" applyFill="1" applyBorder="1" applyAlignment="1">
      <alignment horizontal="center" vertical="center"/>
    </xf>
    <xf numFmtId="0" fontId="7" fillId="2" borderId="50" xfId="0" applyFont="1" applyFill="1" applyBorder="1" applyAlignment="1">
      <alignment horizontal="center" vertical="center"/>
    </xf>
    <xf numFmtId="0" fontId="0" fillId="6" borderId="4" xfId="0" applyFill="1" applyBorder="1" applyAlignment="1" applyProtection="1">
      <alignment horizontal="left" vertical="top" wrapText="1"/>
      <protection hidden="1"/>
    </xf>
    <xf numFmtId="0" fontId="0" fillId="6" borderId="1" xfId="0" applyFill="1" applyBorder="1" applyAlignment="1" applyProtection="1">
      <alignment horizontal="left" vertical="top" wrapText="1"/>
      <protection hidden="1"/>
    </xf>
    <xf numFmtId="0" fontId="0" fillId="6" borderId="29" xfId="0" applyFill="1" applyBorder="1" applyAlignment="1" applyProtection="1">
      <alignment horizontal="left" vertical="top" wrapText="1"/>
      <protection hidden="1"/>
    </xf>
    <xf numFmtId="0" fontId="16" fillId="6" borderId="22" xfId="0" applyFont="1" applyFill="1" applyBorder="1" applyAlignment="1" applyProtection="1">
      <alignment horizontal="left" vertical="center" wrapText="1"/>
      <protection hidden="1"/>
    </xf>
    <xf numFmtId="0" fontId="16" fillId="6" borderId="35" xfId="0" applyFont="1" applyFill="1" applyBorder="1" applyAlignment="1" applyProtection="1">
      <alignment horizontal="left" vertical="center" wrapText="1"/>
      <protection hidden="1"/>
    </xf>
    <xf numFmtId="0" fontId="15" fillId="14" borderId="10" xfId="0" applyFont="1" applyFill="1" applyBorder="1" applyAlignment="1" applyProtection="1">
      <alignment horizontal="left" vertical="center" wrapText="1" indent="1"/>
      <protection hidden="1"/>
    </xf>
    <xf numFmtId="0" fontId="15" fillId="14" borderId="17" xfId="0" applyFont="1" applyFill="1" applyBorder="1" applyAlignment="1" applyProtection="1">
      <alignment horizontal="left" vertical="center" wrapText="1" indent="1"/>
      <protection hidden="1"/>
    </xf>
    <xf numFmtId="0" fontId="13" fillId="6" borderId="11" xfId="0" applyFont="1" applyFill="1" applyBorder="1" applyAlignment="1" applyProtection="1">
      <alignment horizontal="center" vertical="center" wrapText="1"/>
      <protection hidden="1"/>
    </xf>
    <xf numFmtId="0" fontId="13" fillId="6" borderId="14" xfId="0" applyFont="1" applyFill="1" applyBorder="1" applyAlignment="1" applyProtection="1">
      <alignment horizontal="center" vertical="center" wrapText="1"/>
      <protection hidden="1"/>
    </xf>
    <xf numFmtId="0" fontId="13" fillId="6" borderId="12" xfId="0" applyFont="1" applyFill="1" applyBorder="1" applyAlignment="1" applyProtection="1">
      <alignment horizontal="center" vertical="center" wrapText="1"/>
      <protection hidden="1"/>
    </xf>
    <xf numFmtId="0" fontId="13" fillId="6" borderId="15" xfId="0" applyFont="1" applyFill="1" applyBorder="1" applyAlignment="1" applyProtection="1">
      <alignment horizontal="center" vertical="center" wrapText="1"/>
      <protection hidden="1"/>
    </xf>
    <xf numFmtId="165" fontId="13" fillId="6" borderId="0" xfId="0" applyNumberFormat="1" applyFont="1" applyFill="1" applyAlignment="1" applyProtection="1">
      <alignment horizontal="center" vertical="center"/>
      <protection hidden="1"/>
    </xf>
    <xf numFmtId="165" fontId="13" fillId="6" borderId="10" xfId="0" applyNumberFormat="1" applyFont="1" applyFill="1" applyBorder="1" applyAlignment="1" applyProtection="1">
      <alignment horizontal="center" vertical="center"/>
      <protection hidden="1"/>
    </xf>
    <xf numFmtId="165" fontId="13" fillId="6" borderId="12" xfId="0" applyNumberFormat="1" applyFont="1" applyFill="1" applyBorder="1" applyAlignment="1" applyProtection="1">
      <alignment horizontal="center" vertical="center"/>
      <protection hidden="1"/>
    </xf>
    <xf numFmtId="165" fontId="13" fillId="6" borderId="17" xfId="0" applyNumberFormat="1" applyFont="1" applyFill="1" applyBorder="1" applyAlignment="1" applyProtection="1">
      <alignment horizontal="center" vertical="center"/>
      <protection hidden="1"/>
    </xf>
    <xf numFmtId="165" fontId="13" fillId="6" borderId="21" xfId="0" applyNumberFormat="1" applyFont="1" applyFill="1" applyBorder="1" applyAlignment="1" applyProtection="1">
      <alignment horizontal="center" vertical="center"/>
      <protection hidden="1"/>
    </xf>
    <xf numFmtId="168" fontId="13" fillId="6" borderId="10" xfId="0" applyNumberFormat="1" applyFont="1" applyFill="1" applyBorder="1" applyAlignment="1" applyProtection="1">
      <alignment horizontal="center" vertical="center"/>
      <protection hidden="1"/>
    </xf>
    <xf numFmtId="168" fontId="13" fillId="6" borderId="11" xfId="0" applyNumberFormat="1" applyFont="1" applyFill="1" applyBorder="1" applyAlignment="1" applyProtection="1">
      <alignment horizontal="center" vertical="center"/>
      <protection hidden="1"/>
    </xf>
    <xf numFmtId="168" fontId="13" fillId="6" borderId="13" xfId="0" applyNumberFormat="1" applyFont="1" applyFill="1" applyBorder="1" applyAlignment="1" applyProtection="1">
      <alignment horizontal="center" vertical="center"/>
      <protection hidden="1"/>
    </xf>
    <xf numFmtId="168" fontId="13" fillId="6" borderId="14" xfId="0" applyNumberFormat="1" applyFont="1" applyFill="1" applyBorder="1" applyAlignment="1" applyProtection="1">
      <alignment horizontal="center" vertical="center"/>
      <protection hidden="1"/>
    </xf>
    <xf numFmtId="168" fontId="13" fillId="6" borderId="12" xfId="0" applyNumberFormat="1" applyFont="1" applyFill="1" applyBorder="1" applyAlignment="1" applyProtection="1">
      <alignment horizontal="center" vertical="center"/>
      <protection hidden="1"/>
    </xf>
    <xf numFmtId="168" fontId="13" fillId="6" borderId="15" xfId="0" applyNumberFormat="1" applyFont="1" applyFill="1" applyBorder="1" applyAlignment="1" applyProtection="1">
      <alignment horizontal="center" vertical="center"/>
      <protection hidden="1"/>
    </xf>
    <xf numFmtId="0" fontId="16" fillId="6" borderId="22" xfId="0" applyFont="1" applyFill="1" applyBorder="1" applyAlignment="1" applyProtection="1">
      <alignment horizontal="left" vertical="center" wrapText="1" indent="1"/>
      <protection hidden="1"/>
    </xf>
    <xf numFmtId="0" fontId="16" fillId="6" borderId="20" xfId="0" applyFont="1" applyFill="1" applyBorder="1" applyAlignment="1" applyProtection="1">
      <alignment horizontal="left" vertical="center" wrapText="1" indent="1"/>
      <protection hidden="1"/>
    </xf>
    <xf numFmtId="0" fontId="15" fillId="14" borderId="10" xfId="0" applyFont="1" applyFill="1" applyBorder="1" applyAlignment="1" applyProtection="1">
      <alignment horizontal="center" vertical="center"/>
      <protection hidden="1"/>
    </xf>
    <xf numFmtId="0" fontId="15" fillId="14" borderId="11" xfId="0" applyFont="1" applyFill="1" applyBorder="1" applyAlignment="1" applyProtection="1">
      <alignment horizontal="center" vertical="center"/>
      <protection hidden="1"/>
    </xf>
    <xf numFmtId="0" fontId="15" fillId="14" borderId="13" xfId="0" applyFont="1" applyFill="1" applyBorder="1" applyAlignment="1" applyProtection="1">
      <alignment horizontal="center" vertical="center"/>
      <protection hidden="1"/>
    </xf>
    <xf numFmtId="0" fontId="15" fillId="14" borderId="14" xfId="0" applyFont="1" applyFill="1" applyBorder="1" applyAlignment="1" applyProtection="1">
      <alignment horizontal="center" vertical="center"/>
      <protection hidden="1"/>
    </xf>
    <xf numFmtId="0" fontId="15" fillId="14" borderId="12" xfId="0" applyFont="1" applyFill="1" applyBorder="1" applyAlignment="1" applyProtection="1">
      <alignment horizontal="center" vertical="center"/>
      <protection hidden="1"/>
    </xf>
    <xf numFmtId="0" fontId="15" fillId="14" borderId="15" xfId="0" applyFont="1" applyFill="1" applyBorder="1" applyAlignment="1" applyProtection="1">
      <alignment horizontal="center" vertical="center"/>
      <protection hidden="1"/>
    </xf>
    <xf numFmtId="0" fontId="0" fillId="2" borderId="28" xfId="0" applyFill="1" applyBorder="1" applyAlignment="1" applyProtection="1">
      <alignment horizontal="center" vertical="center"/>
      <protection hidden="1"/>
    </xf>
    <xf numFmtId="0" fontId="0" fillId="2" borderId="29" xfId="0" applyFill="1" applyBorder="1" applyAlignment="1" applyProtection="1">
      <alignment horizontal="center" vertical="center"/>
      <protection hidden="1"/>
    </xf>
    <xf numFmtId="0" fontId="0" fillId="2" borderId="28" xfId="0" applyFill="1" applyBorder="1" applyAlignment="1" applyProtection="1">
      <alignment horizontal="center" vertical="center" wrapText="1"/>
      <protection hidden="1"/>
    </xf>
    <xf numFmtId="0" fontId="0" fillId="2" borderId="29" xfId="0" applyFill="1" applyBorder="1" applyAlignment="1" applyProtection="1">
      <alignment horizontal="center" vertical="center" wrapText="1"/>
      <protection hidden="1"/>
    </xf>
    <xf numFmtId="0" fontId="13" fillId="6" borderId="17" xfId="0" applyFont="1" applyFill="1" applyBorder="1" applyAlignment="1" applyProtection="1">
      <alignment horizontal="center"/>
      <protection hidden="1"/>
    </xf>
    <xf numFmtId="0" fontId="13" fillId="6" borderId="0" xfId="0" applyFont="1" applyFill="1" applyAlignment="1" applyProtection="1">
      <alignment horizontal="center"/>
      <protection hidden="1"/>
    </xf>
    <xf numFmtId="0" fontId="13" fillId="6" borderId="21" xfId="0" applyFont="1" applyFill="1" applyBorder="1" applyAlignment="1" applyProtection="1">
      <alignment horizontal="center"/>
      <protection hidden="1"/>
    </xf>
    <xf numFmtId="168" fontId="13" fillId="6" borderId="13" xfId="0" applyNumberFormat="1" applyFont="1" applyFill="1" applyBorder="1" applyAlignment="1" applyProtection="1">
      <alignment horizontal="left" vertical="center"/>
      <protection hidden="1"/>
    </xf>
    <xf numFmtId="168" fontId="13" fillId="6" borderId="14" xfId="0" applyNumberFormat="1" applyFont="1" applyFill="1" applyBorder="1" applyAlignment="1" applyProtection="1">
      <alignment horizontal="left" vertical="center"/>
      <protection hidden="1"/>
    </xf>
    <xf numFmtId="168" fontId="13" fillId="6" borderId="15" xfId="0" applyNumberFormat="1" applyFont="1" applyFill="1" applyBorder="1" applyAlignment="1" applyProtection="1">
      <alignment horizontal="left" vertical="center"/>
      <protection hidden="1"/>
    </xf>
    <xf numFmtId="0" fontId="13" fillId="6" borderId="17" xfId="0" applyFont="1" applyFill="1" applyBorder="1" applyAlignment="1" applyProtection="1">
      <alignment horizontal="center" vertical="center"/>
      <protection hidden="1"/>
    </xf>
    <xf numFmtId="0" fontId="13" fillId="6" borderId="0" xfId="0" applyFont="1" applyFill="1" applyAlignment="1" applyProtection="1">
      <alignment horizontal="center" vertical="center"/>
      <protection hidden="1"/>
    </xf>
    <xf numFmtId="0" fontId="13" fillId="6" borderId="13" xfId="0" applyFont="1" applyFill="1" applyBorder="1" applyAlignment="1" applyProtection="1">
      <alignment horizontal="center"/>
      <protection hidden="1"/>
    </xf>
    <xf numFmtId="0" fontId="13" fillId="6" borderId="14" xfId="0" applyFont="1" applyFill="1" applyBorder="1" applyAlignment="1" applyProtection="1">
      <alignment horizontal="center"/>
      <protection hidden="1"/>
    </xf>
    <xf numFmtId="0" fontId="13" fillId="6" borderId="15" xfId="0" applyFont="1" applyFill="1" applyBorder="1" applyAlignment="1" applyProtection="1">
      <alignment horizontal="center"/>
      <protection hidden="1"/>
    </xf>
    <xf numFmtId="0" fontId="13" fillId="14" borderId="10" xfId="0" applyFont="1" applyFill="1" applyBorder="1" applyAlignment="1" applyProtection="1">
      <alignment horizontal="center" vertical="center"/>
      <protection hidden="1"/>
    </xf>
    <xf numFmtId="0" fontId="13" fillId="14" borderId="11" xfId="0" applyFont="1" applyFill="1" applyBorder="1" applyAlignment="1" applyProtection="1">
      <alignment horizontal="center" vertical="center"/>
      <protection hidden="1"/>
    </xf>
    <xf numFmtId="0" fontId="13" fillId="14" borderId="12" xfId="0" applyFont="1" applyFill="1" applyBorder="1" applyAlignment="1" applyProtection="1">
      <alignment horizontal="center" vertical="center"/>
      <protection hidden="1"/>
    </xf>
    <xf numFmtId="0" fontId="13" fillId="14" borderId="13" xfId="0" applyFont="1" applyFill="1" applyBorder="1" applyAlignment="1" applyProtection="1">
      <alignment horizontal="center" vertical="center"/>
      <protection hidden="1"/>
    </xf>
    <xf numFmtId="0" fontId="13" fillId="14" borderId="14" xfId="0" applyFont="1" applyFill="1" applyBorder="1" applyAlignment="1" applyProtection="1">
      <alignment horizontal="center" vertical="center"/>
      <protection hidden="1"/>
    </xf>
    <xf numFmtId="0" fontId="13" fillId="14" borderId="15" xfId="0" applyFont="1" applyFill="1" applyBorder="1" applyAlignment="1" applyProtection="1">
      <alignment horizontal="center" vertical="center"/>
      <protection hidden="1"/>
    </xf>
    <xf numFmtId="0" fontId="13" fillId="6" borderId="10" xfId="0" applyFont="1" applyFill="1" applyBorder="1" applyAlignment="1" applyProtection="1">
      <alignment horizontal="center" vertical="center" wrapText="1"/>
      <protection hidden="1"/>
    </xf>
    <xf numFmtId="0" fontId="13" fillId="6" borderId="13" xfId="0" applyFont="1" applyFill="1" applyBorder="1" applyAlignment="1" applyProtection="1">
      <alignment horizontal="center" vertical="center" wrapText="1"/>
      <protection hidden="1"/>
    </xf>
    <xf numFmtId="0" fontId="16" fillId="14" borderId="6" xfId="0" applyFont="1" applyFill="1" applyBorder="1" applyAlignment="1" applyProtection="1">
      <alignment horizontal="center"/>
      <protection hidden="1"/>
    </xf>
    <xf numFmtId="0" fontId="16" fillId="14" borderId="19" xfId="0" applyFont="1" applyFill="1" applyBorder="1" applyAlignment="1" applyProtection="1">
      <alignment horizontal="center"/>
      <protection hidden="1"/>
    </xf>
    <xf numFmtId="168" fontId="13" fillId="6" borderId="49" xfId="1" applyNumberFormat="1" applyFont="1" applyFill="1" applyBorder="1" applyAlignment="1" applyProtection="1">
      <alignment horizontal="center"/>
      <protection hidden="1"/>
    </xf>
    <xf numFmtId="168" fontId="13" fillId="6" borderId="51" xfId="1" applyNumberFormat="1" applyFont="1" applyFill="1" applyBorder="1" applyAlignment="1" applyProtection="1">
      <alignment horizontal="center"/>
      <protection hidden="1"/>
    </xf>
    <xf numFmtId="168" fontId="13" fillId="6" borderId="50" xfId="1" applyNumberFormat="1" applyFont="1" applyFill="1" applyBorder="1" applyAlignment="1" applyProtection="1">
      <alignment horizontal="center"/>
      <protection hidden="1"/>
    </xf>
    <xf numFmtId="0" fontId="13" fillId="6" borderId="17" xfId="0" applyFont="1" applyFill="1" applyBorder="1" applyAlignment="1" applyProtection="1">
      <alignment horizontal="left"/>
      <protection hidden="1"/>
    </xf>
    <xf numFmtId="0" fontId="13" fillId="6" borderId="0" xfId="0" applyFont="1" applyFill="1" applyAlignment="1" applyProtection="1">
      <alignment horizontal="left"/>
      <protection hidden="1"/>
    </xf>
    <xf numFmtId="0" fontId="13" fillId="6" borderId="21" xfId="0" applyFont="1" applyFill="1" applyBorder="1" applyAlignment="1" applyProtection="1">
      <alignment horizontal="left"/>
      <protection hidden="1"/>
    </xf>
    <xf numFmtId="166" fontId="13" fillId="6" borderId="0" xfId="0" applyNumberFormat="1" applyFont="1" applyFill="1" applyAlignment="1" applyProtection="1">
      <alignment horizontal="center" vertical="center"/>
      <protection hidden="1"/>
    </xf>
    <xf numFmtId="166" fontId="13" fillId="6" borderId="21" xfId="0" applyNumberFormat="1" applyFont="1" applyFill="1" applyBorder="1" applyAlignment="1" applyProtection="1">
      <alignment horizontal="center" vertical="center"/>
      <protection hidden="1"/>
    </xf>
    <xf numFmtId="168" fontId="13" fillId="6" borderId="0" xfId="0" applyNumberFormat="1" applyFont="1" applyFill="1" applyAlignment="1" applyProtection="1">
      <alignment horizontal="center" vertical="center"/>
      <protection hidden="1"/>
    </xf>
    <xf numFmtId="168" fontId="13" fillId="6" borderId="21" xfId="0" applyNumberFormat="1" applyFont="1" applyFill="1" applyBorder="1" applyAlignment="1" applyProtection="1">
      <alignment horizontal="center" vertical="center"/>
      <protection hidden="1"/>
    </xf>
    <xf numFmtId="165" fontId="13" fillId="6" borderId="17" xfId="0" applyNumberFormat="1" applyFont="1" applyFill="1" applyBorder="1" applyAlignment="1" applyProtection="1">
      <alignment horizontal="center" vertical="center" wrapText="1"/>
      <protection hidden="1"/>
    </xf>
    <xf numFmtId="165" fontId="13" fillId="6" borderId="0" xfId="0" applyNumberFormat="1" applyFont="1" applyFill="1" applyAlignment="1" applyProtection="1">
      <alignment horizontal="center" vertical="center" wrapText="1"/>
      <protection hidden="1"/>
    </xf>
    <xf numFmtId="165" fontId="13" fillId="6" borderId="21" xfId="0" applyNumberFormat="1" applyFont="1" applyFill="1" applyBorder="1" applyAlignment="1" applyProtection="1">
      <alignment horizontal="center" vertical="center" wrapText="1"/>
      <protection hidden="1"/>
    </xf>
    <xf numFmtId="168" fontId="13" fillId="6" borderId="17" xfId="0" applyNumberFormat="1" applyFont="1" applyFill="1" applyBorder="1" applyAlignment="1" applyProtection="1">
      <alignment horizontal="center" vertical="center"/>
      <protection hidden="1"/>
    </xf>
    <xf numFmtId="8" fontId="135" fillId="15" borderId="10" xfId="0" applyNumberFormat="1" applyFont="1" applyFill="1" applyBorder="1" applyAlignment="1" applyProtection="1">
      <alignment horizontal="center" vertical="center"/>
      <protection hidden="1"/>
    </xf>
    <xf numFmtId="8" fontId="135" fillId="15" borderId="11" xfId="0" applyNumberFormat="1" applyFont="1" applyFill="1" applyBorder="1" applyAlignment="1" applyProtection="1">
      <alignment horizontal="center" vertical="center"/>
      <protection hidden="1"/>
    </xf>
    <xf numFmtId="8" fontId="135" fillId="15" borderId="12" xfId="0" applyNumberFormat="1" applyFont="1" applyFill="1" applyBorder="1" applyAlignment="1" applyProtection="1">
      <alignment horizontal="center" vertical="center"/>
      <protection hidden="1"/>
    </xf>
    <xf numFmtId="8" fontId="135" fillId="15" borderId="13" xfId="0" applyNumberFormat="1" applyFont="1" applyFill="1" applyBorder="1" applyAlignment="1" applyProtection="1">
      <alignment horizontal="center" vertical="center"/>
      <protection hidden="1"/>
    </xf>
    <xf numFmtId="8" fontId="135" fillId="15" borderId="14" xfId="0" applyNumberFormat="1" applyFont="1" applyFill="1" applyBorder="1" applyAlignment="1" applyProtection="1">
      <alignment horizontal="center" vertical="center"/>
      <protection hidden="1"/>
    </xf>
    <xf numFmtId="8" fontId="135" fillId="15" borderId="15" xfId="0" applyNumberFormat="1" applyFont="1" applyFill="1" applyBorder="1" applyAlignment="1" applyProtection="1">
      <alignment horizontal="center" vertical="center"/>
      <protection hidden="1"/>
    </xf>
    <xf numFmtId="0" fontId="16" fillId="6" borderId="17" xfId="0" applyFont="1" applyFill="1" applyBorder="1" applyAlignment="1" applyProtection="1">
      <alignment horizontal="left" vertical="center" wrapText="1"/>
      <protection hidden="1"/>
    </xf>
    <xf numFmtId="166" fontId="13" fillId="6" borderId="17" xfId="0" applyNumberFormat="1" applyFont="1" applyFill="1" applyBorder="1" applyAlignment="1" applyProtection="1">
      <alignment horizontal="center" vertical="center"/>
      <protection hidden="1"/>
    </xf>
    <xf numFmtId="0" fontId="16" fillId="6" borderId="10" xfId="0" applyFont="1" applyFill="1" applyBorder="1" applyAlignment="1" applyProtection="1">
      <alignment horizontal="left" vertical="center" wrapText="1"/>
      <protection hidden="1"/>
    </xf>
    <xf numFmtId="0" fontId="16" fillId="6" borderId="13" xfId="0" applyFont="1" applyFill="1" applyBorder="1" applyAlignment="1" applyProtection="1">
      <alignment horizontal="left" vertical="center" wrapText="1"/>
      <protection hidden="1"/>
    </xf>
    <xf numFmtId="0" fontId="13" fillId="6" borderId="10" xfId="0" applyFont="1" applyFill="1" applyBorder="1" applyAlignment="1" applyProtection="1">
      <alignment horizontal="center" vertical="center"/>
      <protection hidden="1"/>
    </xf>
    <xf numFmtId="0" fontId="13" fillId="6" borderId="11" xfId="0" applyFont="1" applyFill="1" applyBorder="1" applyAlignment="1" applyProtection="1">
      <alignment horizontal="center" vertical="center"/>
      <protection hidden="1"/>
    </xf>
    <xf numFmtId="0" fontId="13" fillId="6" borderId="13" xfId="0" applyFont="1" applyFill="1" applyBorder="1" applyAlignment="1" applyProtection="1">
      <alignment horizontal="center" vertical="center"/>
      <protection hidden="1"/>
    </xf>
    <xf numFmtId="0" fontId="13" fillId="6" borderId="14" xfId="0" applyFont="1" applyFill="1" applyBorder="1" applyAlignment="1" applyProtection="1">
      <alignment horizontal="center" vertical="center"/>
      <protection hidden="1"/>
    </xf>
    <xf numFmtId="0" fontId="10" fillId="4" borderId="10" xfId="0" applyFont="1" applyFill="1" applyBorder="1" applyAlignment="1" applyProtection="1">
      <alignment horizontal="center"/>
      <protection hidden="1"/>
    </xf>
    <xf numFmtId="0" fontId="10" fillId="4" borderId="11" xfId="0" applyFont="1" applyFill="1" applyBorder="1" applyAlignment="1" applyProtection="1">
      <alignment horizontal="center"/>
      <protection hidden="1"/>
    </xf>
    <xf numFmtId="0" fontId="10" fillId="4" borderId="12" xfId="0" applyFont="1" applyFill="1" applyBorder="1" applyAlignment="1" applyProtection="1">
      <alignment horizontal="center"/>
      <protection hidden="1"/>
    </xf>
    <xf numFmtId="0" fontId="10" fillId="4" borderId="17" xfId="0" applyFont="1" applyFill="1" applyBorder="1" applyAlignment="1" applyProtection="1">
      <alignment horizontal="center"/>
      <protection hidden="1"/>
    </xf>
    <xf numFmtId="0" fontId="10" fillId="4" borderId="0" xfId="0" applyFont="1" applyFill="1" applyAlignment="1" applyProtection="1">
      <alignment horizontal="center"/>
      <protection hidden="1"/>
    </xf>
    <xf numFmtId="0" fontId="10" fillId="4" borderId="2" xfId="0" applyFont="1" applyFill="1" applyBorder="1" applyAlignment="1" applyProtection="1">
      <alignment horizontal="center"/>
      <protection hidden="1"/>
    </xf>
    <xf numFmtId="0" fontId="10" fillId="4" borderId="33" xfId="0" applyFont="1" applyFill="1" applyBorder="1" applyAlignment="1" applyProtection="1">
      <alignment horizontal="center"/>
      <protection hidden="1"/>
    </xf>
    <xf numFmtId="0" fontId="0" fillId="0" borderId="0" xfId="0" applyAlignment="1">
      <alignment horizontal="left"/>
    </xf>
    <xf numFmtId="0" fontId="0" fillId="0" borderId="0" xfId="0" applyAlignment="1">
      <alignment horizontal="left" wrapText="1"/>
    </xf>
    <xf numFmtId="0" fontId="0" fillId="6" borderId="23" xfId="0" applyFill="1" applyBorder="1" applyAlignment="1" applyProtection="1">
      <alignment horizontal="left" vertical="top" wrapText="1"/>
      <protection hidden="1"/>
    </xf>
    <xf numFmtId="0" fontId="0" fillId="6" borderId="31" xfId="0" applyFill="1" applyBorder="1" applyAlignment="1" applyProtection="1">
      <alignment horizontal="left" vertical="top" wrapText="1"/>
      <protection hidden="1"/>
    </xf>
    <xf numFmtId="0" fontId="0" fillId="6" borderId="0" xfId="0" applyFill="1" applyAlignment="1" applyProtection="1">
      <alignment horizontal="left" vertical="top" wrapText="1"/>
      <protection hidden="1"/>
    </xf>
    <xf numFmtId="0" fontId="0" fillId="6" borderId="21" xfId="0" applyFill="1" applyBorder="1" applyAlignment="1" applyProtection="1">
      <alignment horizontal="left" vertical="top" wrapText="1"/>
      <protection hidden="1"/>
    </xf>
    <xf numFmtId="0" fontId="0" fillId="6" borderId="2" xfId="0" applyFill="1" applyBorder="1" applyAlignment="1" applyProtection="1">
      <alignment horizontal="left" vertical="top" wrapText="1"/>
      <protection hidden="1"/>
    </xf>
    <xf numFmtId="0" fontId="0" fillId="6" borderId="33" xfId="0" applyFill="1" applyBorder="1" applyAlignment="1" applyProtection="1">
      <alignment horizontal="left" vertical="top" wrapText="1"/>
      <protection hidden="1"/>
    </xf>
    <xf numFmtId="0" fontId="0" fillId="2" borderId="24" xfId="0" applyFill="1" applyBorder="1" applyAlignment="1" applyProtection="1">
      <alignment horizontal="center" vertical="center"/>
      <protection hidden="1"/>
    </xf>
    <xf numFmtId="0" fontId="0" fillId="2" borderId="25" xfId="0" applyFill="1" applyBorder="1" applyAlignment="1" applyProtection="1">
      <alignment horizontal="center" vertical="center"/>
      <protection hidden="1"/>
    </xf>
    <xf numFmtId="0" fontId="11" fillId="4" borderId="23" xfId="0" applyFont="1" applyFill="1" applyBorder="1" applyAlignment="1">
      <alignment horizontal="center"/>
    </xf>
    <xf numFmtId="0" fontId="11" fillId="4" borderId="41" xfId="0" applyFont="1" applyFill="1" applyBorder="1" applyAlignment="1">
      <alignment horizontal="center"/>
    </xf>
    <xf numFmtId="0" fontId="11" fillId="4" borderId="2" xfId="0" applyFont="1" applyFill="1" applyBorder="1" applyAlignment="1">
      <alignment horizontal="center"/>
    </xf>
    <xf numFmtId="0" fontId="11" fillId="4" borderId="8" xfId="0" applyFont="1" applyFill="1" applyBorder="1" applyAlignment="1">
      <alignment horizontal="center"/>
    </xf>
    <xf numFmtId="0" fontId="0" fillId="0" borderId="0" xfId="0" applyAlignment="1">
      <alignment horizontal="center"/>
    </xf>
    <xf numFmtId="0" fontId="29" fillId="17" borderId="22" xfId="0" applyFont="1" applyFill="1" applyBorder="1" applyAlignment="1">
      <alignment horizontal="left" vertical="center"/>
    </xf>
    <xf numFmtId="0" fontId="29" fillId="17" borderId="20" xfId="0" applyFont="1" applyFill="1" applyBorder="1" applyAlignment="1">
      <alignment horizontal="left" vertical="center"/>
    </xf>
    <xf numFmtId="0" fontId="29" fillId="0" borderId="22" xfId="0" applyFont="1" applyBorder="1" applyAlignment="1">
      <alignment horizontal="center" vertical="center"/>
    </xf>
    <xf numFmtId="0" fontId="29" fillId="0" borderId="20" xfId="0" applyFont="1" applyBorder="1" applyAlignment="1">
      <alignment horizontal="center" vertical="center"/>
    </xf>
    <xf numFmtId="0" fontId="29" fillId="11" borderId="22" xfId="0" applyFont="1" applyFill="1" applyBorder="1" applyAlignment="1">
      <alignment horizontal="left" vertical="center"/>
    </xf>
    <xf numFmtId="0" fontId="29" fillId="11" borderId="20" xfId="0" applyFont="1" applyFill="1" applyBorder="1" applyAlignment="1">
      <alignment horizontal="left" vertical="center"/>
    </xf>
    <xf numFmtId="165" fontId="29" fillId="0" borderId="22" xfId="2" applyNumberFormat="1" applyFont="1" applyBorder="1" applyAlignment="1">
      <alignment horizontal="center" vertical="center"/>
    </xf>
    <xf numFmtId="165" fontId="29" fillId="0" borderId="20" xfId="2" applyNumberFormat="1" applyFont="1" applyBorder="1" applyAlignment="1">
      <alignment horizontal="center" vertical="center"/>
    </xf>
    <xf numFmtId="166" fontId="29" fillId="0" borderId="22" xfId="1" applyNumberFormat="1" applyFont="1" applyBorder="1" applyAlignment="1">
      <alignment horizontal="center" vertical="center"/>
    </xf>
    <xf numFmtId="166" fontId="29" fillId="0" borderId="20" xfId="1" applyNumberFormat="1" applyFont="1" applyBorder="1" applyAlignment="1">
      <alignment horizontal="center" vertical="center"/>
    </xf>
    <xf numFmtId="16" fontId="29" fillId="11" borderId="22" xfId="0" applyNumberFormat="1" applyFont="1" applyFill="1" applyBorder="1" applyAlignment="1">
      <alignment horizontal="left" vertical="center"/>
    </xf>
    <xf numFmtId="0" fontId="29" fillId="12" borderId="22" xfId="0" applyFont="1" applyFill="1" applyBorder="1" applyAlignment="1">
      <alignment horizontal="left" vertical="center"/>
    </xf>
    <xf numFmtId="0" fontId="29" fillId="12" borderId="20" xfId="0" applyFont="1" applyFill="1" applyBorder="1" applyAlignment="1">
      <alignment horizontal="left" vertical="center"/>
    </xf>
    <xf numFmtId="0" fontId="29" fillId="18" borderId="22" xfId="0" applyFont="1" applyFill="1" applyBorder="1" applyAlignment="1">
      <alignment horizontal="left" vertical="center"/>
    </xf>
    <xf numFmtId="0" fontId="29" fillId="18" borderId="20" xfId="0" applyFont="1" applyFill="1" applyBorder="1" applyAlignment="1">
      <alignment horizontal="left" vertical="center"/>
    </xf>
    <xf numFmtId="168" fontId="13" fillId="15" borderId="10" xfId="0" applyNumberFormat="1" applyFont="1" applyFill="1" applyBorder="1" applyAlignment="1" applyProtection="1">
      <alignment horizontal="center" vertical="center"/>
      <protection hidden="1"/>
    </xf>
    <xf numFmtId="168" fontId="13" fillId="15" borderId="11" xfId="0" applyNumberFormat="1" applyFont="1" applyFill="1" applyBorder="1" applyAlignment="1" applyProtection="1">
      <alignment horizontal="center" vertical="center"/>
      <protection hidden="1"/>
    </xf>
    <xf numFmtId="168" fontId="13" fillId="15" borderId="13" xfId="0" applyNumberFormat="1" applyFont="1" applyFill="1" applyBorder="1" applyAlignment="1" applyProtection="1">
      <alignment horizontal="center" vertical="center"/>
      <protection hidden="1"/>
    </xf>
    <xf numFmtId="168" fontId="13" fillId="15" borderId="14" xfId="0" applyNumberFormat="1" applyFont="1" applyFill="1" applyBorder="1" applyAlignment="1" applyProtection="1">
      <alignment horizontal="center" vertical="center"/>
      <protection hidden="1"/>
    </xf>
    <xf numFmtId="168" fontId="13" fillId="15" borderId="12" xfId="0" applyNumberFormat="1" applyFont="1" applyFill="1" applyBorder="1" applyAlignment="1" applyProtection="1">
      <alignment horizontal="center" vertical="center"/>
      <protection hidden="1"/>
    </xf>
    <xf numFmtId="168" fontId="13" fillId="15" borderId="15" xfId="0" applyNumberFormat="1" applyFont="1" applyFill="1" applyBorder="1" applyAlignment="1" applyProtection="1">
      <alignment horizontal="center" vertical="center"/>
      <protection hidden="1"/>
    </xf>
    <xf numFmtId="0" fontId="136" fillId="6" borderId="17" xfId="0" applyFont="1" applyFill="1" applyBorder="1" applyAlignment="1" applyProtection="1">
      <alignment horizontal="center" vertical="center"/>
      <protection hidden="1"/>
    </xf>
    <xf numFmtId="0" fontId="136" fillId="6" borderId="0" xfId="0" applyFont="1" applyFill="1" applyAlignment="1" applyProtection="1">
      <alignment horizontal="center" vertical="center"/>
      <protection hidden="1"/>
    </xf>
    <xf numFmtId="0" fontId="136" fillId="6" borderId="21" xfId="0" applyFont="1" applyFill="1" applyBorder="1" applyAlignment="1" applyProtection="1">
      <alignment horizontal="center" vertical="center"/>
      <protection hidden="1"/>
    </xf>
    <xf numFmtId="0" fontId="35" fillId="6" borderId="13" xfId="0" applyFont="1" applyFill="1" applyBorder="1" applyAlignment="1" applyProtection="1">
      <alignment horizontal="center"/>
      <protection hidden="1"/>
    </xf>
    <xf numFmtId="0" fontId="35" fillId="6" borderId="14" xfId="0" applyFont="1" applyFill="1" applyBorder="1" applyAlignment="1" applyProtection="1">
      <alignment horizontal="center"/>
      <protection hidden="1"/>
    </xf>
    <xf numFmtId="0" fontId="35" fillId="6" borderId="15" xfId="0" applyFont="1" applyFill="1" applyBorder="1" applyAlignment="1" applyProtection="1">
      <alignment horizontal="center"/>
      <protection hidden="1"/>
    </xf>
    <xf numFmtId="0" fontId="16" fillId="6" borderId="20" xfId="0" applyFont="1" applyFill="1" applyBorder="1" applyAlignment="1" applyProtection="1">
      <alignment horizontal="left" vertical="center" wrapText="1"/>
      <protection hidden="1"/>
    </xf>
    <xf numFmtId="8" fontId="13" fillId="6" borderId="10" xfId="0" applyNumberFormat="1" applyFont="1" applyFill="1" applyBorder="1" applyAlignment="1" applyProtection="1">
      <alignment horizontal="center" vertical="center" wrapText="1"/>
      <protection hidden="1"/>
    </xf>
    <xf numFmtId="8" fontId="13" fillId="6" borderId="11" xfId="0" applyNumberFormat="1" applyFont="1" applyFill="1" applyBorder="1" applyAlignment="1" applyProtection="1">
      <alignment horizontal="center" vertical="center" wrapText="1"/>
      <protection hidden="1"/>
    </xf>
    <xf numFmtId="8" fontId="13" fillId="6" borderId="12" xfId="0" applyNumberFormat="1" applyFont="1" applyFill="1" applyBorder="1" applyAlignment="1" applyProtection="1">
      <alignment horizontal="center" vertical="center" wrapText="1"/>
      <protection hidden="1"/>
    </xf>
    <xf numFmtId="8" fontId="13" fillId="6" borderId="13" xfId="0" applyNumberFormat="1" applyFont="1" applyFill="1" applyBorder="1" applyAlignment="1" applyProtection="1">
      <alignment horizontal="center" vertical="center" wrapText="1"/>
      <protection hidden="1"/>
    </xf>
    <xf numFmtId="8" fontId="13" fillId="6" borderId="14" xfId="0" applyNumberFormat="1" applyFont="1" applyFill="1" applyBorder="1" applyAlignment="1" applyProtection="1">
      <alignment horizontal="center" vertical="center" wrapText="1"/>
      <protection hidden="1"/>
    </xf>
    <xf numFmtId="8" fontId="13" fillId="6" borderId="15" xfId="0" applyNumberFormat="1" applyFont="1" applyFill="1" applyBorder="1" applyAlignment="1" applyProtection="1">
      <alignment horizontal="center" vertical="center" wrapText="1"/>
      <protection hidden="1"/>
    </xf>
    <xf numFmtId="0" fontId="0" fillId="2" borderId="26" xfId="0" applyFill="1" applyBorder="1" applyAlignment="1" applyProtection="1">
      <alignment horizontal="center" vertical="center"/>
      <protection hidden="1"/>
    </xf>
    <xf numFmtId="0" fontId="0" fillId="2" borderId="27" xfId="0" applyFill="1" applyBorder="1" applyAlignment="1" applyProtection="1">
      <alignment horizontal="center" vertical="center"/>
      <protection hidden="1"/>
    </xf>
    <xf numFmtId="8" fontId="16" fillId="6" borderId="0" xfId="0" applyNumberFormat="1" applyFont="1" applyFill="1" applyAlignment="1" applyProtection="1">
      <alignment horizontal="center" vertical="center" wrapText="1"/>
      <protection hidden="1"/>
    </xf>
    <xf numFmtId="8" fontId="16" fillId="6" borderId="14" xfId="0" applyNumberFormat="1" applyFont="1" applyFill="1" applyBorder="1" applyAlignment="1" applyProtection="1">
      <alignment horizontal="center" vertical="center" wrapText="1"/>
      <protection hidden="1"/>
    </xf>
    <xf numFmtId="0" fontId="12" fillId="6" borderId="10" xfId="0" applyFont="1" applyFill="1" applyBorder="1" applyAlignment="1" applyProtection="1">
      <alignment horizontal="center"/>
      <protection hidden="1"/>
    </xf>
    <xf numFmtId="0" fontId="12" fillId="6" borderId="11" xfId="0" applyFont="1" applyFill="1" applyBorder="1" applyAlignment="1" applyProtection="1">
      <alignment horizontal="center"/>
      <protection hidden="1"/>
    </xf>
    <xf numFmtId="0" fontId="12" fillId="6" borderId="12" xfId="0" applyFont="1" applyFill="1" applyBorder="1" applyAlignment="1" applyProtection="1">
      <alignment horizontal="center"/>
      <protection hidden="1"/>
    </xf>
    <xf numFmtId="0" fontId="12" fillId="6" borderId="17" xfId="0" applyFont="1" applyFill="1" applyBorder="1" applyAlignment="1" applyProtection="1">
      <alignment horizontal="center"/>
      <protection hidden="1"/>
    </xf>
    <xf numFmtId="0" fontId="12" fillId="6" borderId="0" xfId="0" applyFont="1" applyFill="1" applyAlignment="1" applyProtection="1">
      <alignment horizontal="center"/>
      <protection hidden="1"/>
    </xf>
    <xf numFmtId="0" fontId="12" fillId="6" borderId="21" xfId="0" applyFont="1" applyFill="1" applyBorder="1" applyAlignment="1" applyProtection="1">
      <alignment horizontal="center"/>
      <protection hidden="1"/>
    </xf>
    <xf numFmtId="0" fontId="12" fillId="6" borderId="13" xfId="0" applyFont="1" applyFill="1" applyBorder="1" applyAlignment="1" applyProtection="1">
      <alignment horizontal="center"/>
      <protection hidden="1"/>
    </xf>
    <xf numFmtId="0" fontId="12" fillId="6" borderId="14" xfId="0" applyFont="1" applyFill="1" applyBorder="1" applyAlignment="1" applyProtection="1">
      <alignment horizontal="center"/>
      <protection hidden="1"/>
    </xf>
    <xf numFmtId="0" fontId="12" fillId="6" borderId="15" xfId="0" applyFont="1" applyFill="1" applyBorder="1" applyAlignment="1" applyProtection="1">
      <alignment horizontal="center"/>
      <protection hidden="1"/>
    </xf>
    <xf numFmtId="0" fontId="0" fillId="6" borderId="46" xfId="0" applyFill="1" applyBorder="1" applyAlignment="1" applyProtection="1">
      <alignment horizontal="left" vertical="top"/>
      <protection hidden="1"/>
    </xf>
    <xf numFmtId="0" fontId="0" fillId="6" borderId="47" xfId="0" applyFill="1" applyBorder="1" applyAlignment="1" applyProtection="1">
      <alignment horizontal="left" vertical="top"/>
      <protection hidden="1"/>
    </xf>
    <xf numFmtId="0" fontId="0" fillId="6" borderId="27" xfId="0" applyFill="1" applyBorder="1" applyAlignment="1" applyProtection="1">
      <alignment horizontal="left" vertical="top"/>
      <protection hidden="1"/>
    </xf>
    <xf numFmtId="0" fontId="0" fillId="6" borderId="0" xfId="0" applyFill="1" applyAlignment="1">
      <alignment horizontal="center"/>
    </xf>
    <xf numFmtId="0" fontId="0" fillId="6" borderId="11" xfId="0" applyFill="1" applyBorder="1" applyAlignment="1">
      <alignment horizontal="center"/>
    </xf>
    <xf numFmtId="0" fontId="0" fillId="6" borderId="30" xfId="0" applyFill="1" applyBorder="1" applyAlignment="1" applyProtection="1">
      <alignment horizontal="left" vertical="top" wrapText="1"/>
      <protection hidden="1"/>
    </xf>
    <xf numFmtId="0" fontId="0" fillId="6" borderId="17" xfId="0" applyFill="1" applyBorder="1" applyAlignment="1" applyProtection="1">
      <alignment horizontal="left" vertical="top" wrapText="1"/>
      <protection hidden="1"/>
    </xf>
    <xf numFmtId="0" fontId="0" fillId="2" borderId="30" xfId="0" applyFill="1" applyBorder="1" applyAlignment="1" applyProtection="1">
      <alignment horizontal="center" vertical="center"/>
      <protection hidden="1"/>
    </xf>
    <xf numFmtId="0" fontId="0" fillId="2" borderId="31" xfId="0" applyFill="1" applyBorder="1" applyAlignment="1" applyProtection="1">
      <alignment horizontal="center" vertical="center"/>
      <protection hidden="1"/>
    </xf>
    <xf numFmtId="0" fontId="0" fillId="2" borderId="32" xfId="0" applyFill="1" applyBorder="1" applyAlignment="1" applyProtection="1">
      <alignment horizontal="center" vertical="center"/>
      <protection hidden="1"/>
    </xf>
    <xf numFmtId="0" fontId="0" fillId="2" borderId="33" xfId="0" applyFill="1" applyBorder="1" applyAlignment="1" applyProtection="1">
      <alignment horizontal="center" vertical="center"/>
      <protection hidden="1"/>
    </xf>
    <xf numFmtId="0" fontId="0" fillId="6" borderId="11" xfId="0" applyFill="1" applyBorder="1" applyAlignment="1" applyProtection="1">
      <alignment horizontal="center"/>
      <protection hidden="1"/>
    </xf>
    <xf numFmtId="0" fontId="0" fillId="6" borderId="0" xfId="0" applyFill="1" applyAlignment="1" applyProtection="1">
      <alignment horizontal="center"/>
      <protection hidden="1"/>
    </xf>
    <xf numFmtId="0" fontId="13" fillId="6" borderId="17" xfId="0" applyFont="1" applyFill="1" applyBorder="1" applyAlignment="1" applyProtection="1">
      <alignment horizontal="left" vertical="center"/>
      <protection hidden="1"/>
    </xf>
    <xf numFmtId="0" fontId="13" fillId="6" borderId="0" xfId="0" applyFont="1" applyFill="1" applyAlignment="1" applyProtection="1">
      <alignment horizontal="left" vertical="center"/>
      <protection hidden="1"/>
    </xf>
    <xf numFmtId="0" fontId="13" fillId="6" borderId="21" xfId="0" applyFont="1" applyFill="1" applyBorder="1" applyAlignment="1" applyProtection="1">
      <alignment horizontal="left" vertical="center"/>
      <protection hidden="1"/>
    </xf>
    <xf numFmtId="14" fontId="13" fillId="6" borderId="10" xfId="0" applyNumberFormat="1" applyFont="1" applyFill="1" applyBorder="1" applyAlignment="1" applyProtection="1">
      <alignment horizontal="left"/>
      <protection hidden="1"/>
    </xf>
    <xf numFmtId="14" fontId="13" fillId="6" borderId="11" xfId="0" applyNumberFormat="1" applyFont="1" applyFill="1" applyBorder="1" applyAlignment="1" applyProtection="1">
      <alignment horizontal="left"/>
      <protection hidden="1"/>
    </xf>
    <xf numFmtId="14" fontId="13" fillId="6" borderId="12" xfId="0" applyNumberFormat="1" applyFont="1" applyFill="1" applyBorder="1" applyAlignment="1" applyProtection="1">
      <alignment horizontal="left"/>
      <protection hidden="1"/>
    </xf>
    <xf numFmtId="168" fontId="13" fillId="15" borderId="17" xfId="0" applyNumberFormat="1" applyFont="1" applyFill="1" applyBorder="1" applyAlignment="1" applyProtection="1">
      <alignment horizontal="center" vertical="center"/>
      <protection hidden="1"/>
    </xf>
    <xf numFmtId="168" fontId="13" fillId="15" borderId="0" xfId="0" applyNumberFormat="1" applyFont="1" applyFill="1" applyAlignment="1" applyProtection="1">
      <alignment horizontal="center" vertical="center"/>
      <protection hidden="1"/>
    </xf>
    <xf numFmtId="168" fontId="13" fillId="15" borderId="21" xfId="0" applyNumberFormat="1" applyFont="1" applyFill="1" applyBorder="1" applyAlignment="1" applyProtection="1">
      <alignment horizontal="center" vertical="center"/>
      <protection hidden="1"/>
    </xf>
    <xf numFmtId="0" fontId="29" fillId="0" borderId="16" xfId="0" applyFont="1" applyBorder="1" applyAlignment="1">
      <alignment horizontal="center" vertical="center"/>
    </xf>
    <xf numFmtId="0" fontId="29" fillId="17" borderId="22" xfId="0" applyFont="1" applyFill="1" applyBorder="1" applyAlignment="1">
      <alignment horizontal="center" vertical="center"/>
    </xf>
    <xf numFmtId="0" fontId="29" fillId="17" borderId="20" xfId="0" applyFont="1" applyFill="1" applyBorder="1" applyAlignment="1">
      <alignment horizontal="center" vertical="center"/>
    </xf>
    <xf numFmtId="0" fontId="0" fillId="2" borderId="4" xfId="0" applyFill="1" applyBorder="1" applyAlignment="1" applyProtection="1">
      <alignment horizontal="center" vertical="center"/>
      <protection hidden="1"/>
    </xf>
    <xf numFmtId="0" fontId="11" fillId="4" borderId="10" xfId="0" applyFont="1" applyFill="1" applyBorder="1" applyAlignment="1" applyProtection="1">
      <alignment horizontal="center"/>
      <protection hidden="1"/>
    </xf>
    <xf numFmtId="0" fontId="11" fillId="4" borderId="11" xfId="0" applyFont="1" applyFill="1" applyBorder="1" applyAlignment="1" applyProtection="1">
      <alignment horizontal="center"/>
      <protection hidden="1"/>
    </xf>
    <xf numFmtId="0" fontId="11" fillId="4" borderId="12" xfId="0" applyFont="1" applyFill="1" applyBorder="1" applyAlignment="1" applyProtection="1">
      <alignment horizontal="center"/>
      <protection hidden="1"/>
    </xf>
    <xf numFmtId="0" fontId="11" fillId="4" borderId="13" xfId="0" applyFont="1" applyFill="1" applyBorder="1" applyAlignment="1" applyProtection="1">
      <alignment horizontal="center"/>
      <protection hidden="1"/>
    </xf>
    <xf numFmtId="0" fontId="11" fillId="4" borderId="14" xfId="0" applyFont="1" applyFill="1" applyBorder="1" applyAlignment="1" applyProtection="1">
      <alignment horizontal="center"/>
      <protection hidden="1"/>
    </xf>
    <xf numFmtId="0" fontId="11" fillId="4" borderId="15" xfId="0" applyFont="1" applyFill="1" applyBorder="1" applyAlignment="1" applyProtection="1">
      <alignment horizontal="center"/>
      <protection hidden="1"/>
    </xf>
    <xf numFmtId="0" fontId="0" fillId="2" borderId="10" xfId="0" applyFill="1" applyBorder="1" applyAlignment="1" applyProtection="1">
      <alignment horizontal="center" vertical="center"/>
      <protection hidden="1"/>
    </xf>
    <xf numFmtId="0" fontId="0" fillId="2" borderId="12" xfId="0" applyFill="1" applyBorder="1" applyAlignment="1" applyProtection="1">
      <alignment horizontal="center" vertical="center"/>
      <protection hidden="1"/>
    </xf>
    <xf numFmtId="0" fontId="0" fillId="2" borderId="17" xfId="0" applyFill="1" applyBorder="1" applyAlignment="1" applyProtection="1">
      <alignment horizontal="center" vertical="center"/>
      <protection hidden="1"/>
    </xf>
    <xf numFmtId="0" fontId="0" fillId="2" borderId="21" xfId="0" applyFill="1" applyBorder="1" applyAlignment="1" applyProtection="1">
      <alignment horizontal="center" vertical="center"/>
      <protection hidden="1"/>
    </xf>
    <xf numFmtId="0" fontId="0" fillId="2" borderId="13" xfId="0" applyFill="1" applyBorder="1" applyAlignment="1" applyProtection="1">
      <alignment horizontal="center" vertical="center"/>
      <protection hidden="1"/>
    </xf>
    <xf numFmtId="0" fontId="0" fillId="2" borderId="15" xfId="0" applyFill="1" applyBorder="1" applyAlignment="1" applyProtection="1">
      <alignment horizontal="center" vertical="center"/>
      <protection hidden="1"/>
    </xf>
    <xf numFmtId="0" fontId="0" fillId="6" borderId="11" xfId="0" applyFill="1" applyBorder="1" applyAlignment="1" applyProtection="1">
      <alignment horizontal="left" vertical="top" wrapText="1"/>
      <protection hidden="1"/>
    </xf>
    <xf numFmtId="0" fontId="0" fillId="6" borderId="12" xfId="0" applyFill="1" applyBorder="1" applyAlignment="1" applyProtection="1">
      <alignment horizontal="left" vertical="top" wrapText="1"/>
      <protection hidden="1"/>
    </xf>
    <xf numFmtId="0" fontId="0" fillId="6" borderId="4" xfId="0" applyFill="1" applyBorder="1" applyAlignment="1" applyProtection="1">
      <alignment horizontal="left" wrapText="1"/>
      <protection hidden="1"/>
    </xf>
    <xf numFmtId="0" fontId="0" fillId="6" borderId="1" xfId="0" applyFill="1" applyBorder="1" applyAlignment="1" applyProtection="1">
      <alignment horizontal="left" wrapText="1"/>
      <protection hidden="1"/>
    </xf>
    <xf numFmtId="0" fontId="0" fillId="6" borderId="29" xfId="0" applyFill="1" applyBorder="1" applyAlignment="1" applyProtection="1">
      <alignment horizontal="left" wrapText="1"/>
      <protection hidden="1"/>
    </xf>
    <xf numFmtId="0" fontId="13" fillId="6" borderId="22" xfId="0" applyFont="1" applyFill="1" applyBorder="1" applyAlignment="1" applyProtection="1">
      <alignment horizontal="left" vertical="center" wrapText="1"/>
      <protection hidden="1"/>
    </xf>
    <xf numFmtId="0" fontId="13" fillId="6" borderId="35" xfId="0" applyFont="1" applyFill="1" applyBorder="1" applyAlignment="1" applyProtection="1">
      <alignment horizontal="left" vertical="center" wrapText="1"/>
      <protection hidden="1"/>
    </xf>
    <xf numFmtId="0" fontId="13" fillId="6" borderId="20" xfId="0" applyFont="1" applyFill="1" applyBorder="1" applyAlignment="1" applyProtection="1">
      <alignment horizontal="left" vertical="center" wrapText="1"/>
      <protection hidden="1"/>
    </xf>
    <xf numFmtId="8" fontId="13" fillId="6" borderId="0" xfId="0" applyNumberFormat="1" applyFont="1" applyFill="1" applyAlignment="1" applyProtection="1">
      <alignment horizontal="center" vertical="center" wrapText="1"/>
      <protection hidden="1"/>
    </xf>
    <xf numFmtId="8" fontId="13" fillId="6" borderId="21" xfId="0" applyNumberFormat="1" applyFont="1" applyFill="1" applyBorder="1" applyAlignment="1" applyProtection="1">
      <alignment horizontal="center" vertical="center" wrapText="1"/>
      <protection hidden="1"/>
    </xf>
    <xf numFmtId="0" fontId="29" fillId="0" borderId="16" xfId="0" applyFont="1" applyBorder="1" applyAlignment="1">
      <alignment horizontal="center"/>
    </xf>
    <xf numFmtId="0" fontId="36" fillId="14" borderId="10" xfId="0" applyFont="1" applyFill="1" applyBorder="1" applyAlignment="1" applyProtection="1">
      <alignment horizontal="center" vertical="center"/>
      <protection hidden="1"/>
    </xf>
    <xf numFmtId="0" fontId="36" fillId="14" borderId="11" xfId="0" applyFont="1" applyFill="1" applyBorder="1" applyAlignment="1" applyProtection="1">
      <alignment horizontal="center" vertical="center"/>
      <protection hidden="1"/>
    </xf>
    <xf numFmtId="0" fontId="36" fillId="14" borderId="12" xfId="0" applyFont="1" applyFill="1" applyBorder="1" applyAlignment="1" applyProtection="1">
      <alignment horizontal="center" vertical="center"/>
      <protection hidden="1"/>
    </xf>
    <xf numFmtId="0" fontId="36" fillId="14" borderId="13" xfId="0" applyFont="1" applyFill="1" applyBorder="1" applyAlignment="1" applyProtection="1">
      <alignment horizontal="center" vertical="center"/>
      <protection hidden="1"/>
    </xf>
    <xf numFmtId="0" fontId="36" fillId="14" borderId="14" xfId="0" applyFont="1" applyFill="1" applyBorder="1" applyAlignment="1" applyProtection="1">
      <alignment horizontal="center" vertical="center"/>
      <protection hidden="1"/>
    </xf>
    <xf numFmtId="0" fontId="36" fillId="14" borderId="15" xfId="0" applyFont="1" applyFill="1" applyBorder="1" applyAlignment="1" applyProtection="1">
      <alignment horizontal="center" vertical="center"/>
      <protection hidden="1"/>
    </xf>
    <xf numFmtId="0" fontId="29" fillId="2" borderId="10" xfId="0" applyFont="1" applyFill="1" applyBorder="1" applyAlignment="1">
      <alignment horizontal="center" vertical="center"/>
    </xf>
    <xf numFmtId="0" fontId="29" fillId="2" borderId="12" xfId="0" applyFont="1" applyFill="1" applyBorder="1" applyAlignment="1">
      <alignment horizontal="center" vertical="center"/>
    </xf>
    <xf numFmtId="0" fontId="29" fillId="2" borderId="13" xfId="0" applyFont="1" applyFill="1" applyBorder="1" applyAlignment="1">
      <alignment horizontal="center" vertical="center"/>
    </xf>
    <xf numFmtId="0" fontId="29" fillId="2" borderId="15" xfId="0" applyFont="1" applyFill="1" applyBorder="1" applyAlignment="1">
      <alignment horizontal="center" vertical="center"/>
    </xf>
    <xf numFmtId="0" fontId="0" fillId="2" borderId="46" xfId="0" applyFill="1" applyBorder="1" applyAlignment="1" applyProtection="1">
      <alignment horizontal="center" vertical="center"/>
      <protection hidden="1"/>
    </xf>
    <xf numFmtId="0" fontId="15" fillId="6" borderId="17" xfId="0" applyFont="1" applyFill="1" applyBorder="1" applyAlignment="1" applyProtection="1">
      <alignment horizontal="center" vertical="center"/>
      <protection hidden="1"/>
    </xf>
    <xf numFmtId="0" fontId="15" fillId="6" borderId="0" xfId="0" applyFont="1" applyFill="1" applyAlignment="1" applyProtection="1">
      <alignment horizontal="center" vertical="center"/>
      <protection hidden="1"/>
    </xf>
    <xf numFmtId="0" fontId="15" fillId="6" borderId="21" xfId="0" applyFont="1" applyFill="1" applyBorder="1" applyAlignment="1" applyProtection="1">
      <alignment horizontal="center" vertical="center"/>
      <protection hidden="1"/>
    </xf>
    <xf numFmtId="0" fontId="15" fillId="6" borderId="10" xfId="0" applyFont="1" applyFill="1" applyBorder="1" applyAlignment="1" applyProtection="1">
      <alignment horizontal="center" vertical="center"/>
      <protection hidden="1"/>
    </xf>
    <xf numFmtId="0" fontId="15" fillId="6" borderId="11" xfId="0" applyFont="1" applyFill="1" applyBorder="1" applyAlignment="1" applyProtection="1">
      <alignment horizontal="center" vertical="center"/>
      <protection hidden="1"/>
    </xf>
    <xf numFmtId="0" fontId="15" fillId="6" borderId="12" xfId="0" applyFont="1" applyFill="1" applyBorder="1" applyAlignment="1" applyProtection="1">
      <alignment horizontal="center" vertical="center"/>
      <protection hidden="1"/>
    </xf>
    <xf numFmtId="0" fontId="15" fillId="6" borderId="13" xfId="0" applyFont="1" applyFill="1" applyBorder="1" applyAlignment="1" applyProtection="1">
      <alignment horizontal="center" vertical="center"/>
      <protection hidden="1"/>
    </xf>
    <xf numFmtId="0" fontId="15" fillId="6" borderId="14" xfId="0" applyFont="1" applyFill="1" applyBorder="1" applyAlignment="1" applyProtection="1">
      <alignment horizontal="center" vertical="center"/>
      <protection hidden="1"/>
    </xf>
    <xf numFmtId="0" fontId="15" fillId="6" borderId="15" xfId="0" applyFont="1" applyFill="1" applyBorder="1" applyAlignment="1" applyProtection="1">
      <alignment horizontal="center" vertical="center"/>
      <protection hidden="1"/>
    </xf>
    <xf numFmtId="0" fontId="15" fillId="6" borderId="11" xfId="0" applyFont="1" applyFill="1" applyBorder="1" applyAlignment="1" applyProtection="1">
      <alignment horizontal="center" vertical="center" wrapText="1"/>
      <protection hidden="1"/>
    </xf>
    <xf numFmtId="0" fontId="15" fillId="6" borderId="12" xfId="0" applyFont="1" applyFill="1" applyBorder="1" applyAlignment="1" applyProtection="1">
      <alignment horizontal="center" vertical="center" wrapText="1"/>
      <protection hidden="1"/>
    </xf>
    <xf numFmtId="0" fontId="15" fillId="6" borderId="14" xfId="0" applyFont="1" applyFill="1" applyBorder="1" applyAlignment="1" applyProtection="1">
      <alignment horizontal="center" vertical="center" wrapText="1"/>
      <protection hidden="1"/>
    </xf>
    <xf numFmtId="0" fontId="15" fillId="6" borderId="15" xfId="0" applyFont="1" applyFill="1" applyBorder="1" applyAlignment="1" applyProtection="1">
      <alignment horizontal="center" vertical="center" wrapText="1"/>
      <protection hidden="1"/>
    </xf>
    <xf numFmtId="165" fontId="15" fillId="6" borderId="17" xfId="0" applyNumberFormat="1" applyFont="1" applyFill="1" applyBorder="1" applyAlignment="1" applyProtection="1">
      <alignment horizontal="center" vertical="center"/>
      <protection hidden="1"/>
    </xf>
    <xf numFmtId="165" fontId="15" fillId="6" borderId="0" xfId="0" applyNumberFormat="1" applyFont="1" applyFill="1" applyAlignment="1" applyProtection="1">
      <alignment horizontal="center" vertical="center"/>
      <protection hidden="1"/>
    </xf>
    <xf numFmtId="165" fontId="15" fillId="6" borderId="21" xfId="0" applyNumberFormat="1" applyFont="1" applyFill="1" applyBorder="1" applyAlignment="1" applyProtection="1">
      <alignment horizontal="center" vertical="center"/>
      <protection hidden="1"/>
    </xf>
    <xf numFmtId="8" fontId="15" fillId="6" borderId="17" xfId="0" applyNumberFormat="1" applyFont="1" applyFill="1" applyBorder="1" applyAlignment="1" applyProtection="1">
      <alignment horizontal="center" vertical="center"/>
      <protection hidden="1"/>
    </xf>
    <xf numFmtId="8" fontId="15" fillId="6" borderId="0" xfId="0" applyNumberFormat="1" applyFont="1" applyFill="1" applyAlignment="1" applyProtection="1">
      <alignment horizontal="center" vertical="center"/>
      <protection hidden="1"/>
    </xf>
    <xf numFmtId="8" fontId="15" fillId="6" borderId="21" xfId="0" applyNumberFormat="1" applyFont="1" applyFill="1" applyBorder="1" applyAlignment="1" applyProtection="1">
      <alignment horizontal="center" vertical="center"/>
      <protection hidden="1"/>
    </xf>
    <xf numFmtId="8" fontId="15" fillId="15" borderId="17" xfId="0" applyNumberFormat="1" applyFont="1" applyFill="1" applyBorder="1" applyAlignment="1" applyProtection="1">
      <alignment horizontal="center" vertical="center"/>
      <protection hidden="1"/>
    </xf>
    <xf numFmtId="8" fontId="15" fillId="15" borderId="0" xfId="0" applyNumberFormat="1" applyFont="1" applyFill="1" applyAlignment="1" applyProtection="1">
      <alignment horizontal="center" vertical="center"/>
      <protection hidden="1"/>
    </xf>
    <xf numFmtId="8" fontId="15" fillId="15" borderId="21" xfId="0" applyNumberFormat="1" applyFont="1" applyFill="1" applyBorder="1" applyAlignment="1" applyProtection="1">
      <alignment horizontal="center" vertical="center"/>
      <protection hidden="1"/>
    </xf>
    <xf numFmtId="8" fontId="35" fillId="15" borderId="10" xfId="0" applyNumberFormat="1" applyFont="1" applyFill="1" applyBorder="1" applyAlignment="1" applyProtection="1">
      <alignment horizontal="center" vertical="center"/>
      <protection hidden="1"/>
    </xf>
    <xf numFmtId="8" fontId="35" fillId="15" borderId="11" xfId="0" applyNumberFormat="1" applyFont="1" applyFill="1" applyBorder="1" applyAlignment="1" applyProtection="1">
      <alignment horizontal="center" vertical="center"/>
      <protection hidden="1"/>
    </xf>
    <xf numFmtId="8" fontId="35" fillId="15" borderId="12" xfId="0" applyNumberFormat="1" applyFont="1" applyFill="1" applyBorder="1" applyAlignment="1" applyProtection="1">
      <alignment horizontal="center" vertical="center"/>
      <protection hidden="1"/>
    </xf>
    <xf numFmtId="8" fontId="35" fillId="15" borderId="13" xfId="0" applyNumberFormat="1" applyFont="1" applyFill="1" applyBorder="1" applyAlignment="1" applyProtection="1">
      <alignment horizontal="center" vertical="center"/>
      <protection hidden="1"/>
    </xf>
    <xf numFmtId="8" fontId="35" fillId="15" borderId="14" xfId="0" applyNumberFormat="1" applyFont="1" applyFill="1" applyBorder="1" applyAlignment="1" applyProtection="1">
      <alignment horizontal="center" vertical="center"/>
      <protection hidden="1"/>
    </xf>
    <xf numFmtId="8" fontId="35" fillId="15" borderId="15" xfId="0" applyNumberFormat="1" applyFont="1" applyFill="1" applyBorder="1" applyAlignment="1" applyProtection="1">
      <alignment horizontal="center" vertical="center"/>
      <protection hidden="1"/>
    </xf>
    <xf numFmtId="8" fontId="15" fillId="15" borderId="10" xfId="0" applyNumberFormat="1" applyFont="1" applyFill="1" applyBorder="1" applyAlignment="1" applyProtection="1">
      <alignment horizontal="center" vertical="center"/>
      <protection hidden="1"/>
    </xf>
    <xf numFmtId="8" fontId="15" fillId="15" borderId="11" xfId="0" applyNumberFormat="1" applyFont="1" applyFill="1" applyBorder="1" applyAlignment="1" applyProtection="1">
      <alignment horizontal="center" vertical="center"/>
      <protection hidden="1"/>
    </xf>
    <xf numFmtId="8" fontId="15" fillId="15" borderId="12" xfId="0" applyNumberFormat="1" applyFont="1" applyFill="1" applyBorder="1" applyAlignment="1" applyProtection="1">
      <alignment horizontal="center" vertical="center"/>
      <protection hidden="1"/>
    </xf>
    <xf numFmtId="8" fontId="15" fillId="15" borderId="13" xfId="0" applyNumberFormat="1" applyFont="1" applyFill="1" applyBorder="1" applyAlignment="1" applyProtection="1">
      <alignment horizontal="center" vertical="center"/>
      <protection hidden="1"/>
    </xf>
    <xf numFmtId="8" fontId="15" fillId="15" borderId="14" xfId="0" applyNumberFormat="1" applyFont="1" applyFill="1" applyBorder="1" applyAlignment="1" applyProtection="1">
      <alignment horizontal="center" vertical="center"/>
      <protection hidden="1"/>
    </xf>
    <xf numFmtId="8" fontId="15" fillId="15" borderId="15" xfId="0" applyNumberFormat="1" applyFont="1" applyFill="1" applyBorder="1" applyAlignment="1" applyProtection="1">
      <alignment horizontal="center" vertical="center"/>
      <protection hidden="1"/>
    </xf>
    <xf numFmtId="0" fontId="15" fillId="6" borderId="0" xfId="0" applyFont="1" applyFill="1" applyAlignment="1" applyProtection="1">
      <alignment horizontal="center" vertical="center" wrapText="1"/>
      <protection hidden="1"/>
    </xf>
    <xf numFmtId="0" fontId="15" fillId="6" borderId="21" xfId="0" applyFont="1" applyFill="1" applyBorder="1" applyAlignment="1" applyProtection="1">
      <alignment horizontal="center" vertical="center" wrapText="1"/>
      <protection hidden="1"/>
    </xf>
    <xf numFmtId="0" fontId="0" fillId="2" borderId="36" xfId="0" applyFill="1" applyBorder="1" applyAlignment="1" applyProtection="1">
      <alignment horizontal="center" vertical="center"/>
      <protection hidden="1"/>
    </xf>
    <xf numFmtId="0" fontId="0" fillId="2" borderId="37" xfId="0" applyFill="1" applyBorder="1" applyAlignment="1" applyProtection="1">
      <alignment horizontal="center" vertical="center"/>
      <protection hidden="1"/>
    </xf>
    <xf numFmtId="0" fontId="13" fillId="6" borderId="17" xfId="0" applyFont="1" applyFill="1" applyBorder="1" applyAlignment="1" applyProtection="1">
      <alignment horizontal="center" vertical="center" wrapText="1"/>
      <protection hidden="1"/>
    </xf>
    <xf numFmtId="0" fontId="13" fillId="6" borderId="0" xfId="0" applyFont="1" applyFill="1" applyAlignment="1" applyProtection="1">
      <alignment horizontal="center" vertical="center" wrapText="1"/>
      <protection hidden="1"/>
    </xf>
    <xf numFmtId="0" fontId="13" fillId="6" borderId="21" xfId="0" applyFont="1" applyFill="1" applyBorder="1" applyAlignment="1" applyProtection="1">
      <alignment horizontal="center" vertical="center" wrapText="1"/>
      <protection hidden="1"/>
    </xf>
    <xf numFmtId="0" fontId="29" fillId="0" borderId="22" xfId="0" applyFont="1" applyBorder="1" applyAlignment="1">
      <alignment horizontal="center"/>
    </xf>
    <xf numFmtId="0" fontId="29" fillId="0" borderId="20" xfId="0" applyFont="1" applyBorder="1" applyAlignment="1">
      <alignment horizontal="center"/>
    </xf>
    <xf numFmtId="166" fontId="29" fillId="0" borderId="22" xfId="1" applyNumberFormat="1" applyFont="1" applyBorder="1" applyAlignment="1">
      <alignment horizontal="center"/>
    </xf>
    <xf numFmtId="166" fontId="29" fillId="0" borderId="20" xfId="1" applyNumberFormat="1" applyFont="1" applyBorder="1" applyAlignment="1">
      <alignment horizontal="center"/>
    </xf>
    <xf numFmtId="0" fontId="16" fillId="14" borderId="16" xfId="0" applyFont="1" applyFill="1" applyBorder="1" applyAlignment="1" applyProtection="1">
      <alignment horizontal="center"/>
      <protection hidden="1"/>
    </xf>
    <xf numFmtId="166" fontId="13" fillId="6" borderId="16" xfId="1" applyNumberFormat="1" applyFont="1" applyFill="1" applyBorder="1" applyAlignment="1" applyProtection="1">
      <alignment horizontal="center"/>
      <protection hidden="1"/>
    </xf>
    <xf numFmtId="166" fontId="13" fillId="6" borderId="7" xfId="1" applyNumberFormat="1" applyFont="1" applyFill="1" applyBorder="1" applyAlignment="1" applyProtection="1">
      <alignment horizontal="center"/>
      <protection hidden="1"/>
    </xf>
    <xf numFmtId="0" fontId="15" fillId="14" borderId="0" xfId="0" applyFont="1" applyFill="1" applyAlignment="1" applyProtection="1">
      <alignment horizontal="center" vertical="center"/>
      <protection hidden="1"/>
    </xf>
    <xf numFmtId="0" fontId="15" fillId="14" borderId="21" xfId="0" applyFont="1" applyFill="1" applyBorder="1" applyAlignment="1" applyProtection="1">
      <alignment horizontal="center" vertical="center"/>
      <protection hidden="1"/>
    </xf>
    <xf numFmtId="0" fontId="15" fillId="14" borderId="17" xfId="0" applyFont="1" applyFill="1" applyBorder="1" applyAlignment="1" applyProtection="1">
      <alignment horizontal="center" vertical="center"/>
      <protection hidden="1"/>
    </xf>
    <xf numFmtId="166" fontId="15" fillId="6" borderId="0" xfId="0" applyNumberFormat="1" applyFont="1" applyFill="1" applyAlignment="1" applyProtection="1">
      <alignment horizontal="center" vertical="center"/>
      <protection hidden="1"/>
    </xf>
    <xf numFmtId="166" fontId="15" fillId="6" borderId="21" xfId="0" applyNumberFormat="1" applyFont="1" applyFill="1" applyBorder="1" applyAlignment="1" applyProtection="1">
      <alignment horizontal="center" vertical="center"/>
      <protection hidden="1"/>
    </xf>
    <xf numFmtId="166" fontId="15" fillId="6" borderId="17" xfId="0" applyNumberFormat="1" applyFont="1" applyFill="1" applyBorder="1" applyAlignment="1" applyProtection="1">
      <alignment horizontal="center" vertical="center"/>
      <protection hidden="1"/>
    </xf>
    <xf numFmtId="166" fontId="13" fillId="6" borderId="13" xfId="0" applyNumberFormat="1" applyFont="1" applyFill="1" applyBorder="1" applyAlignment="1" applyProtection="1">
      <alignment horizontal="left"/>
      <protection hidden="1"/>
    </xf>
    <xf numFmtId="166" fontId="13" fillId="6" borderId="14" xfId="0" applyNumberFormat="1" applyFont="1" applyFill="1" applyBorder="1" applyAlignment="1" applyProtection="1">
      <alignment horizontal="left"/>
      <protection hidden="1"/>
    </xf>
    <xf numFmtId="166" fontId="13" fillId="6" borderId="15" xfId="0" applyNumberFormat="1" applyFont="1" applyFill="1" applyBorder="1" applyAlignment="1" applyProtection="1">
      <alignment horizontal="left"/>
      <protection hidden="1"/>
    </xf>
    <xf numFmtId="0" fontId="16" fillId="14" borderId="22" xfId="0" applyFont="1" applyFill="1" applyBorder="1" applyAlignment="1" applyProtection="1">
      <alignment horizontal="left" vertical="center" wrapText="1" indent="2"/>
      <protection hidden="1"/>
    </xf>
    <xf numFmtId="0" fontId="16" fillId="14" borderId="35" xfId="0" applyFont="1" applyFill="1" applyBorder="1" applyAlignment="1" applyProtection="1">
      <alignment horizontal="left" vertical="center" wrapText="1" indent="2"/>
      <protection hidden="1"/>
    </xf>
    <xf numFmtId="165" fontId="29" fillId="0" borderId="22" xfId="2" applyNumberFormat="1" applyFont="1" applyBorder="1" applyAlignment="1">
      <alignment horizontal="center"/>
    </xf>
    <xf numFmtId="165" fontId="29" fillId="0" borderId="20" xfId="2" applyNumberFormat="1" applyFont="1" applyBorder="1" applyAlignment="1">
      <alignment horizontal="center"/>
    </xf>
    <xf numFmtId="0" fontId="29" fillId="2" borderId="10" xfId="0" applyFont="1" applyFill="1" applyBorder="1" applyAlignment="1">
      <alignment horizontal="center"/>
    </xf>
    <xf numFmtId="0" fontId="29" fillId="2" borderId="12" xfId="0" applyFont="1" applyFill="1" applyBorder="1" applyAlignment="1">
      <alignment horizontal="center"/>
    </xf>
    <xf numFmtId="0" fontId="29" fillId="2" borderId="13" xfId="0" applyFont="1" applyFill="1" applyBorder="1" applyAlignment="1">
      <alignment horizontal="center"/>
    </xf>
    <xf numFmtId="0" fontId="29" fillId="2" borderId="15" xfId="0" applyFont="1" applyFill="1" applyBorder="1" applyAlignment="1">
      <alignment horizontal="center"/>
    </xf>
    <xf numFmtId="0" fontId="16" fillId="14" borderId="7" xfId="0" applyFont="1" applyFill="1" applyBorder="1" applyAlignment="1" applyProtection="1">
      <alignment horizontal="center"/>
      <protection hidden="1"/>
    </xf>
    <xf numFmtId="0" fontId="16" fillId="14" borderId="20" xfId="0" applyFont="1" applyFill="1" applyBorder="1" applyAlignment="1" applyProtection="1">
      <alignment horizontal="left" vertical="center" wrapText="1" indent="2"/>
      <protection hidden="1"/>
    </xf>
    <xf numFmtId="8" fontId="16" fillId="6" borderId="17" xfId="0" applyNumberFormat="1" applyFont="1" applyFill="1" applyBorder="1" applyAlignment="1" applyProtection="1">
      <alignment horizontal="center" vertical="center" wrapText="1"/>
      <protection hidden="1"/>
    </xf>
    <xf numFmtId="8" fontId="16" fillId="6" borderId="21" xfId="0" applyNumberFormat="1" applyFont="1" applyFill="1" applyBorder="1" applyAlignment="1" applyProtection="1">
      <alignment horizontal="center" vertical="center" wrapText="1"/>
      <protection hidden="1"/>
    </xf>
    <xf numFmtId="8" fontId="16" fillId="6" borderId="13" xfId="0" applyNumberFormat="1" applyFont="1" applyFill="1" applyBorder="1" applyAlignment="1" applyProtection="1">
      <alignment horizontal="center" vertical="center" wrapText="1"/>
      <protection hidden="1"/>
    </xf>
    <xf numFmtId="8" fontId="16" fillId="6" borderId="15" xfId="0" applyNumberFormat="1" applyFont="1" applyFill="1" applyBorder="1" applyAlignment="1" applyProtection="1">
      <alignment horizontal="center" vertical="center" wrapText="1"/>
      <protection hidden="1"/>
    </xf>
    <xf numFmtId="0" fontId="37" fillId="14" borderId="11" xfId="0" applyFont="1" applyFill="1" applyBorder="1" applyAlignment="1" applyProtection="1">
      <alignment horizontal="center" vertical="center"/>
      <protection hidden="1"/>
    </xf>
    <xf numFmtId="0" fontId="37" fillId="14" borderId="12" xfId="0" applyFont="1" applyFill="1" applyBorder="1" applyAlignment="1" applyProtection="1">
      <alignment horizontal="center" vertical="center"/>
      <protection hidden="1"/>
    </xf>
    <xf numFmtId="0" fontId="37" fillId="14" borderId="14" xfId="0" applyFont="1" applyFill="1" applyBorder="1" applyAlignment="1" applyProtection="1">
      <alignment horizontal="center" vertical="center"/>
      <protection hidden="1"/>
    </xf>
    <xf numFmtId="0" fontId="37" fillId="14" borderId="15" xfId="0" applyFont="1" applyFill="1" applyBorder="1" applyAlignment="1" applyProtection="1">
      <alignment horizontal="center" vertical="center"/>
      <protection hidden="1"/>
    </xf>
    <xf numFmtId="0" fontId="15" fillId="6" borderId="10" xfId="0" applyFont="1" applyFill="1" applyBorder="1" applyAlignment="1" applyProtection="1">
      <alignment horizontal="center" vertical="center" wrapText="1"/>
      <protection hidden="1"/>
    </xf>
    <xf numFmtId="0" fontId="15" fillId="6" borderId="13" xfId="0" applyFont="1" applyFill="1" applyBorder="1" applyAlignment="1" applyProtection="1">
      <alignment horizontal="center" vertical="center" wrapText="1"/>
      <protection hidden="1"/>
    </xf>
    <xf numFmtId="0" fontId="0" fillId="6" borderId="10" xfId="0" applyFill="1" applyBorder="1" applyAlignment="1" applyProtection="1">
      <alignment horizontal="left" vertical="top" wrapText="1"/>
      <protection hidden="1"/>
    </xf>
    <xf numFmtId="0" fontId="0" fillId="6" borderId="32" xfId="0" applyFill="1" applyBorder="1" applyAlignment="1" applyProtection="1">
      <alignment horizontal="left" vertical="top" wrapText="1"/>
      <protection hidden="1"/>
    </xf>
    <xf numFmtId="0" fontId="13" fillId="6" borderId="21" xfId="0" applyFont="1" applyFill="1" applyBorder="1" applyAlignment="1" applyProtection="1">
      <alignment horizontal="center" vertical="center"/>
      <protection hidden="1"/>
    </xf>
    <xf numFmtId="0" fontId="13" fillId="6" borderId="15" xfId="0" applyFont="1" applyFill="1" applyBorder="1" applyAlignment="1" applyProtection="1">
      <alignment horizontal="center" vertical="center"/>
      <protection hidden="1"/>
    </xf>
    <xf numFmtId="165" fontId="15" fillId="6" borderId="10" xfId="0" applyNumberFormat="1" applyFont="1" applyFill="1" applyBorder="1" applyAlignment="1" applyProtection="1">
      <alignment horizontal="center" vertical="center" wrapText="1"/>
      <protection hidden="1"/>
    </xf>
    <xf numFmtId="165" fontId="15" fillId="6" borderId="11" xfId="0" applyNumberFormat="1" applyFont="1" applyFill="1" applyBorder="1" applyAlignment="1" applyProtection="1">
      <alignment horizontal="center" vertical="center" wrapText="1"/>
      <protection hidden="1"/>
    </xf>
    <xf numFmtId="165" fontId="15" fillId="6" borderId="12" xfId="0" applyNumberFormat="1" applyFont="1" applyFill="1" applyBorder="1" applyAlignment="1" applyProtection="1">
      <alignment horizontal="center" vertical="center" wrapText="1"/>
      <protection hidden="1"/>
    </xf>
    <xf numFmtId="165" fontId="15" fillId="6" borderId="17" xfId="0" applyNumberFormat="1" applyFont="1" applyFill="1" applyBorder="1" applyAlignment="1" applyProtection="1">
      <alignment horizontal="center" vertical="center" wrapText="1"/>
      <protection hidden="1"/>
    </xf>
    <xf numFmtId="165" fontId="15" fillId="6" borderId="0" xfId="0" applyNumberFormat="1" applyFont="1" applyFill="1" applyAlignment="1" applyProtection="1">
      <alignment horizontal="center" vertical="center" wrapText="1"/>
      <protection hidden="1"/>
    </xf>
    <xf numFmtId="165" fontId="15" fillId="6" borderId="21" xfId="0" applyNumberFormat="1" applyFont="1" applyFill="1" applyBorder="1" applyAlignment="1" applyProtection="1">
      <alignment horizontal="center" vertical="center" wrapText="1"/>
      <protection hidden="1"/>
    </xf>
    <xf numFmtId="0" fontId="0" fillId="0" borderId="23" xfId="0" applyBorder="1" applyAlignment="1">
      <alignment horizontal="left"/>
    </xf>
    <xf numFmtId="0" fontId="29" fillId="18" borderId="22" xfId="0" applyFont="1" applyFill="1" applyBorder="1" applyAlignment="1">
      <alignment horizontal="center" vertical="center"/>
    </xf>
    <xf numFmtId="0" fontId="29" fillId="18" borderId="20" xfId="0" applyFont="1" applyFill="1" applyBorder="1" applyAlignment="1">
      <alignment horizontal="center" vertical="center"/>
    </xf>
    <xf numFmtId="0" fontId="29" fillId="11" borderId="22" xfId="0" applyFont="1" applyFill="1" applyBorder="1" applyAlignment="1">
      <alignment horizontal="center" vertical="center"/>
    </xf>
    <xf numFmtId="0" fontId="29" fillId="11" borderId="20" xfId="0" applyFont="1" applyFill="1" applyBorder="1" applyAlignment="1">
      <alignment horizontal="center" vertical="center"/>
    </xf>
    <xf numFmtId="0" fontId="0" fillId="6" borderId="38" xfId="0" applyFill="1" applyBorder="1" applyAlignment="1" applyProtection="1">
      <alignment horizontal="left" vertical="top"/>
      <protection hidden="1"/>
    </xf>
    <xf numFmtId="0" fontId="0" fillId="6" borderId="45" xfId="0" applyFill="1" applyBorder="1" applyAlignment="1" applyProtection="1">
      <alignment horizontal="left" vertical="top"/>
      <protection hidden="1"/>
    </xf>
    <xf numFmtId="0" fontId="0" fillId="6" borderId="34" xfId="0" applyFill="1" applyBorder="1" applyAlignment="1" applyProtection="1">
      <alignment horizontal="left" vertical="top"/>
      <protection hidden="1"/>
    </xf>
    <xf numFmtId="0" fontId="0" fillId="6" borderId="13" xfId="0" applyFill="1" applyBorder="1" applyAlignment="1" applyProtection="1">
      <alignment horizontal="left" vertical="top" wrapText="1"/>
      <protection hidden="1"/>
    </xf>
    <xf numFmtId="0" fontId="0" fillId="6" borderId="14" xfId="0" applyFill="1" applyBorder="1" applyAlignment="1" applyProtection="1">
      <alignment horizontal="left" vertical="top" wrapText="1"/>
      <protection hidden="1"/>
    </xf>
    <xf numFmtId="0" fontId="0" fillId="6" borderId="15" xfId="0" applyFill="1" applyBorder="1" applyAlignment="1" applyProtection="1">
      <alignment horizontal="left" vertical="top" wrapText="1"/>
      <protection hidden="1"/>
    </xf>
    <xf numFmtId="0" fontId="0" fillId="6" borderId="30" xfId="0" applyFill="1" applyBorder="1" applyAlignment="1" applyProtection="1">
      <alignment horizontal="left" wrapText="1"/>
      <protection hidden="1"/>
    </xf>
    <xf numFmtId="0" fontId="0" fillId="6" borderId="23" xfId="0" applyFill="1" applyBorder="1" applyAlignment="1" applyProtection="1">
      <alignment horizontal="left" wrapText="1"/>
      <protection hidden="1"/>
    </xf>
    <xf numFmtId="0" fontId="0" fillId="6" borderId="31" xfId="0" applyFill="1" applyBorder="1" applyAlignment="1" applyProtection="1">
      <alignment horizontal="left" wrapText="1"/>
      <protection hidden="1"/>
    </xf>
    <xf numFmtId="0" fontId="0" fillId="6" borderId="13" xfId="0" applyFill="1" applyBorder="1" applyAlignment="1" applyProtection="1">
      <alignment horizontal="left" wrapText="1"/>
      <protection hidden="1"/>
    </xf>
    <xf numFmtId="0" fontId="0" fillId="6" borderId="14" xfId="0" applyFill="1" applyBorder="1" applyAlignment="1" applyProtection="1">
      <alignment horizontal="left" wrapText="1"/>
      <protection hidden="1"/>
    </xf>
    <xf numFmtId="0" fontId="0" fillId="6" borderId="15" xfId="0" applyFill="1" applyBorder="1" applyAlignment="1" applyProtection="1">
      <alignment horizontal="left" wrapText="1"/>
      <protection hidden="1"/>
    </xf>
    <xf numFmtId="0" fontId="29" fillId="12" borderId="22" xfId="0" applyFont="1" applyFill="1" applyBorder="1" applyAlignment="1">
      <alignment horizontal="center" vertical="center"/>
    </xf>
    <xf numFmtId="0" fontId="29" fillId="12" borderId="20" xfId="0" applyFont="1" applyFill="1" applyBorder="1" applyAlignment="1">
      <alignment horizontal="center" vertical="center"/>
    </xf>
    <xf numFmtId="0" fontId="0" fillId="2" borderId="38" xfId="0" applyFill="1" applyBorder="1" applyAlignment="1" applyProtection="1">
      <alignment horizontal="center" vertical="center"/>
      <protection hidden="1"/>
    </xf>
    <xf numFmtId="0" fontId="0" fillId="2" borderId="34" xfId="0" applyFill="1" applyBorder="1" applyAlignment="1" applyProtection="1">
      <alignment horizontal="center" vertical="center"/>
      <protection hidden="1"/>
    </xf>
    <xf numFmtId="0" fontId="0" fillId="2" borderId="30" xfId="0" applyFill="1" applyBorder="1" applyAlignment="1" applyProtection="1">
      <alignment horizontal="center" vertical="center" wrapText="1"/>
      <protection hidden="1"/>
    </xf>
    <xf numFmtId="0" fontId="0" fillId="2" borderId="31" xfId="0" applyFill="1" applyBorder="1" applyAlignment="1" applyProtection="1">
      <alignment horizontal="center" vertical="center" wrapText="1"/>
      <protection hidden="1"/>
    </xf>
    <xf numFmtId="0" fontId="0" fillId="2" borderId="32" xfId="0" applyFill="1" applyBorder="1" applyAlignment="1" applyProtection="1">
      <alignment horizontal="center" vertical="center" wrapText="1"/>
      <protection hidden="1"/>
    </xf>
    <xf numFmtId="0" fontId="0" fillId="2" borderId="33" xfId="0" applyFill="1" applyBorder="1" applyAlignment="1" applyProtection="1">
      <alignment horizontal="center" vertical="center" wrapText="1"/>
      <protection hidden="1"/>
    </xf>
    <xf numFmtId="0" fontId="13" fillId="6" borderId="17" xfId="0" applyFont="1" applyFill="1" applyBorder="1" applyAlignment="1" applyProtection="1">
      <alignment horizontal="left" vertical="center" wrapText="1" indent="1"/>
      <protection hidden="1"/>
    </xf>
    <xf numFmtId="0" fontId="13" fillId="6" borderId="21" xfId="0" applyFont="1" applyFill="1" applyBorder="1" applyAlignment="1" applyProtection="1">
      <alignment horizontal="left" vertical="center" wrapText="1" indent="1"/>
      <protection hidden="1"/>
    </xf>
    <xf numFmtId="0" fontId="13" fillId="6" borderId="13" xfId="0" applyFont="1" applyFill="1" applyBorder="1" applyAlignment="1" applyProtection="1">
      <alignment horizontal="left" vertical="center" wrapText="1" indent="1"/>
      <protection hidden="1"/>
    </xf>
    <xf numFmtId="0" fontId="13" fillId="6" borderId="15" xfId="0" applyFont="1" applyFill="1" applyBorder="1" applyAlignment="1" applyProtection="1">
      <alignment horizontal="left" vertical="center" wrapText="1" indent="1"/>
      <protection hidden="1"/>
    </xf>
    <xf numFmtId="0" fontId="13" fillId="14" borderId="10" xfId="0" applyFont="1" applyFill="1" applyBorder="1" applyAlignment="1" applyProtection="1">
      <alignment horizontal="left"/>
      <protection hidden="1"/>
    </xf>
    <xf numFmtId="0" fontId="13" fillId="14" borderId="12" xfId="0" applyFont="1" applyFill="1" applyBorder="1" applyAlignment="1" applyProtection="1">
      <alignment horizontal="left"/>
      <protection hidden="1"/>
    </xf>
    <xf numFmtId="0" fontId="13" fillId="14" borderId="17" xfId="0" applyFont="1" applyFill="1" applyBorder="1" applyAlignment="1" applyProtection="1">
      <alignment horizontal="left" vertical="center" wrapText="1"/>
      <protection hidden="1"/>
    </xf>
    <xf numFmtId="0" fontId="13" fillId="14" borderId="21" xfId="0" applyFont="1" applyFill="1" applyBorder="1" applyAlignment="1" applyProtection="1">
      <alignment horizontal="left" vertical="center" wrapText="1"/>
      <protection hidden="1"/>
    </xf>
    <xf numFmtId="0" fontId="13" fillId="14" borderId="17" xfId="0" applyFont="1" applyFill="1" applyBorder="1" applyAlignment="1" applyProtection="1">
      <alignment horizontal="left"/>
      <protection hidden="1"/>
    </xf>
    <xf numFmtId="0" fontId="13" fillId="14" borderId="21" xfId="0" applyFont="1" applyFill="1" applyBorder="1" applyAlignment="1" applyProtection="1">
      <alignment horizontal="left"/>
      <protection hidden="1"/>
    </xf>
    <xf numFmtId="0" fontId="13" fillId="14" borderId="13" xfId="0" applyFont="1" applyFill="1" applyBorder="1" applyAlignment="1" applyProtection="1">
      <alignment horizontal="left"/>
      <protection hidden="1"/>
    </xf>
    <xf numFmtId="0" fontId="13" fillId="14" borderId="15" xfId="0" applyFont="1" applyFill="1" applyBorder="1" applyAlignment="1" applyProtection="1">
      <alignment horizontal="left"/>
      <protection hidden="1"/>
    </xf>
    <xf numFmtId="0" fontId="11" fillId="4" borderId="17" xfId="0" applyFont="1" applyFill="1" applyBorder="1" applyAlignment="1" applyProtection="1">
      <alignment horizontal="center"/>
      <protection hidden="1"/>
    </xf>
    <xf numFmtId="0" fontId="11" fillId="4" borderId="0" xfId="0" applyFont="1" applyFill="1" applyAlignment="1" applyProtection="1">
      <alignment horizontal="center"/>
      <protection hidden="1"/>
    </xf>
    <xf numFmtId="0" fontId="11" fillId="4" borderId="21" xfId="0" applyFont="1" applyFill="1" applyBorder="1" applyAlignment="1" applyProtection="1">
      <alignment horizontal="center"/>
      <protection hidden="1"/>
    </xf>
    <xf numFmtId="0" fontId="13" fillId="6" borderId="17" xfId="0" applyFont="1" applyFill="1" applyBorder="1" applyAlignment="1" applyProtection="1">
      <alignment horizontal="left" vertical="center" wrapText="1" indent="2"/>
      <protection hidden="1"/>
    </xf>
    <xf numFmtId="0" fontId="13" fillId="6" borderId="0" xfId="0" applyFont="1" applyFill="1" applyAlignment="1" applyProtection="1">
      <alignment horizontal="left" vertical="center" wrapText="1" indent="2"/>
      <protection hidden="1"/>
    </xf>
    <xf numFmtId="0" fontId="13" fillId="6" borderId="21" xfId="0" applyFont="1" applyFill="1" applyBorder="1" applyAlignment="1" applyProtection="1">
      <alignment horizontal="left" vertical="center" wrapText="1" indent="2"/>
      <protection hidden="1"/>
    </xf>
    <xf numFmtId="0" fontId="13" fillId="6" borderId="10" xfId="0" applyFont="1" applyFill="1" applyBorder="1" applyAlignment="1" applyProtection="1">
      <alignment horizontal="left" vertical="center" wrapText="1" indent="2"/>
      <protection hidden="1"/>
    </xf>
    <xf numFmtId="0" fontId="13" fillId="6" borderId="11" xfId="0" applyFont="1" applyFill="1" applyBorder="1" applyAlignment="1" applyProtection="1">
      <alignment horizontal="left" vertical="center" wrapText="1" indent="2"/>
      <protection hidden="1"/>
    </xf>
    <xf numFmtId="0" fontId="13" fillId="6" borderId="12" xfId="0" applyFont="1" applyFill="1" applyBorder="1" applyAlignment="1" applyProtection="1">
      <alignment horizontal="left" vertical="center" wrapText="1" indent="2"/>
      <protection hidden="1"/>
    </xf>
    <xf numFmtId="0" fontId="13" fillId="6" borderId="13" xfId="0" applyFont="1" applyFill="1" applyBorder="1" applyAlignment="1" applyProtection="1">
      <alignment horizontal="left" vertical="center" wrapText="1" indent="2"/>
      <protection hidden="1"/>
    </xf>
    <xf numFmtId="0" fontId="13" fillId="6" borderId="14" xfId="0" applyFont="1" applyFill="1" applyBorder="1" applyAlignment="1" applyProtection="1">
      <alignment horizontal="left" vertical="center" wrapText="1" indent="2"/>
      <protection hidden="1"/>
    </xf>
    <xf numFmtId="0" fontId="13" fillId="6" borderId="15" xfId="0" applyFont="1" applyFill="1" applyBorder="1" applyAlignment="1" applyProtection="1">
      <alignment horizontal="left" vertical="center" wrapText="1" indent="2"/>
      <protection hidden="1"/>
    </xf>
    <xf numFmtId="0" fontId="13" fillId="14" borderId="6" xfId="0" applyFont="1" applyFill="1" applyBorder="1" applyAlignment="1" applyProtection="1">
      <alignment horizontal="center"/>
      <protection hidden="1"/>
    </xf>
    <xf numFmtId="0" fontId="13" fillId="14" borderId="16" xfId="0" applyFont="1" applyFill="1" applyBorder="1" applyAlignment="1" applyProtection="1">
      <alignment horizontal="center"/>
      <protection hidden="1"/>
    </xf>
    <xf numFmtId="14" fontId="13" fillId="6" borderId="10" xfId="0" applyNumberFormat="1" applyFont="1" applyFill="1" applyBorder="1" applyAlignment="1" applyProtection="1">
      <alignment horizontal="left" vertical="center"/>
      <protection hidden="1"/>
    </xf>
    <xf numFmtId="14" fontId="13" fillId="6" borderId="11" xfId="0" applyNumberFormat="1" applyFont="1" applyFill="1" applyBorder="1" applyAlignment="1" applyProtection="1">
      <alignment horizontal="left" vertical="center"/>
      <protection hidden="1"/>
    </xf>
    <xf numFmtId="14" fontId="13" fillId="6" borderId="12" xfId="0" applyNumberFormat="1" applyFont="1" applyFill="1" applyBorder="1" applyAlignment="1" applyProtection="1">
      <alignment horizontal="left" vertical="center"/>
      <protection hidden="1"/>
    </xf>
    <xf numFmtId="166" fontId="13" fillId="6" borderId="13" xfId="0" applyNumberFormat="1" applyFont="1" applyFill="1" applyBorder="1" applyAlignment="1" applyProtection="1">
      <alignment horizontal="left" vertical="center"/>
      <protection hidden="1"/>
    </xf>
    <xf numFmtId="166" fontId="13" fillId="6" borderId="14" xfId="0" applyNumberFormat="1" applyFont="1" applyFill="1" applyBorder="1" applyAlignment="1" applyProtection="1">
      <alignment horizontal="left" vertical="center"/>
      <protection hidden="1"/>
    </xf>
    <xf numFmtId="166" fontId="13" fillId="6" borderId="15" xfId="0" applyNumberFormat="1" applyFont="1" applyFill="1" applyBorder="1" applyAlignment="1" applyProtection="1">
      <alignment horizontal="left" vertical="center"/>
      <protection hidden="1"/>
    </xf>
    <xf numFmtId="0" fontId="37" fillId="14" borderId="10" xfId="0" applyFont="1" applyFill="1" applyBorder="1" applyAlignment="1" applyProtection="1">
      <alignment horizontal="left" vertical="center" wrapText="1" indent="1"/>
      <protection hidden="1"/>
    </xf>
    <xf numFmtId="0" fontId="37" fillId="14" borderId="12" xfId="0" applyFont="1" applyFill="1" applyBorder="1" applyAlignment="1" applyProtection="1">
      <alignment horizontal="left" vertical="center" wrapText="1" indent="1"/>
      <protection hidden="1"/>
    </xf>
    <xf numFmtId="0" fontId="37" fillId="14" borderId="17" xfId="0" applyFont="1" applyFill="1" applyBorder="1" applyAlignment="1" applyProtection="1">
      <alignment horizontal="left" vertical="center" wrapText="1" indent="1"/>
      <protection hidden="1"/>
    </xf>
    <xf numFmtId="0" fontId="37" fillId="14" borderId="21" xfId="0" applyFont="1" applyFill="1" applyBorder="1" applyAlignment="1" applyProtection="1">
      <alignment horizontal="left" vertical="center" wrapText="1" indent="1"/>
      <protection hidden="1"/>
    </xf>
    <xf numFmtId="0" fontId="13" fillId="6" borderId="10" xfId="0" applyFont="1" applyFill="1" applyBorder="1" applyAlignment="1" applyProtection="1">
      <alignment horizontal="left" vertical="center" wrapText="1" indent="1"/>
      <protection hidden="1"/>
    </xf>
    <xf numFmtId="0" fontId="13" fillId="6" borderId="12" xfId="0" applyFont="1" applyFill="1" applyBorder="1" applyAlignment="1" applyProtection="1">
      <alignment horizontal="left" vertical="center" wrapText="1" indent="1"/>
      <protection hidden="1"/>
    </xf>
    <xf numFmtId="0" fontId="13" fillId="6" borderId="17" xfId="0" applyFont="1" applyFill="1" applyBorder="1" applyAlignment="1" applyProtection="1">
      <alignment horizontal="left" vertical="center" indent="1"/>
      <protection hidden="1"/>
    </xf>
    <xf numFmtId="0" fontId="13" fillId="6" borderId="21" xfId="0" applyFont="1" applyFill="1" applyBorder="1" applyAlignment="1" applyProtection="1">
      <alignment horizontal="left" vertical="center" indent="1"/>
      <protection hidden="1"/>
    </xf>
    <xf numFmtId="0" fontId="37" fillId="14" borderId="10" xfId="0" applyFont="1" applyFill="1" applyBorder="1" applyAlignment="1" applyProtection="1">
      <alignment horizontal="center" vertical="center"/>
      <protection hidden="1"/>
    </xf>
    <xf numFmtId="0" fontId="37" fillId="14" borderId="13" xfId="0" applyFont="1" applyFill="1" applyBorder="1" applyAlignment="1" applyProtection="1">
      <alignment horizontal="center" vertical="center"/>
      <protection hidden="1"/>
    </xf>
    <xf numFmtId="0" fontId="37" fillId="14" borderId="10" xfId="0" applyFont="1" applyFill="1" applyBorder="1" applyAlignment="1" applyProtection="1">
      <alignment horizontal="left" vertical="center" wrapText="1" indent="2"/>
      <protection hidden="1"/>
    </xf>
    <xf numFmtId="0" fontId="37" fillId="14" borderId="11" xfId="0" applyFont="1" applyFill="1" applyBorder="1" applyAlignment="1" applyProtection="1">
      <alignment horizontal="left" vertical="center" wrapText="1" indent="2"/>
      <protection hidden="1"/>
    </xf>
    <xf numFmtId="0" fontId="37" fillId="14" borderId="12" xfId="0" applyFont="1" applyFill="1" applyBorder="1" applyAlignment="1" applyProtection="1">
      <alignment horizontal="left" vertical="center" wrapText="1" indent="2"/>
      <protection hidden="1"/>
    </xf>
    <xf numFmtId="0" fontId="37" fillId="14" borderId="17" xfId="0" applyFont="1" applyFill="1" applyBorder="1" applyAlignment="1" applyProtection="1">
      <alignment horizontal="left" vertical="center" wrapText="1" indent="2"/>
      <protection hidden="1"/>
    </xf>
    <xf numFmtId="0" fontId="37" fillId="14" borderId="0" xfId="0" applyFont="1" applyFill="1" applyAlignment="1" applyProtection="1">
      <alignment horizontal="left" vertical="center" wrapText="1" indent="2"/>
      <protection hidden="1"/>
    </xf>
    <xf numFmtId="0" fontId="37" fillId="14" borderId="21" xfId="0" applyFont="1" applyFill="1" applyBorder="1" applyAlignment="1" applyProtection="1">
      <alignment horizontal="left" vertical="center" wrapText="1" indent="2"/>
      <protection hidden="1"/>
    </xf>
    <xf numFmtId="0" fontId="37" fillId="14" borderId="17" xfId="0" applyFont="1" applyFill="1" applyBorder="1" applyAlignment="1" applyProtection="1">
      <alignment horizontal="center" vertical="center"/>
      <protection hidden="1"/>
    </xf>
    <xf numFmtId="0" fontId="37" fillId="14" borderId="0" xfId="0" applyFont="1" applyFill="1" applyAlignment="1" applyProtection="1">
      <alignment horizontal="center" vertical="center"/>
      <protection hidden="1"/>
    </xf>
    <xf numFmtId="0" fontId="37" fillId="14" borderId="21" xfId="0" applyFont="1" applyFill="1" applyBorder="1" applyAlignment="1" applyProtection="1">
      <alignment horizontal="center" vertical="center"/>
      <protection hidden="1"/>
    </xf>
    <xf numFmtId="166" fontId="15" fillId="6" borderId="11" xfId="0" applyNumberFormat="1" applyFont="1" applyFill="1" applyBorder="1" applyAlignment="1" applyProtection="1">
      <alignment horizontal="center" vertical="center"/>
      <protection hidden="1"/>
    </xf>
    <xf numFmtId="166" fontId="15" fillId="6" borderId="14" xfId="0" applyNumberFormat="1" applyFont="1" applyFill="1" applyBorder="1" applyAlignment="1" applyProtection="1">
      <alignment horizontal="center" vertical="center"/>
      <protection hidden="1"/>
    </xf>
    <xf numFmtId="166" fontId="15" fillId="6" borderId="10" xfId="0" applyNumberFormat="1" applyFont="1" applyFill="1" applyBorder="1" applyAlignment="1" applyProtection="1">
      <alignment horizontal="center" vertical="center"/>
      <protection hidden="1"/>
    </xf>
    <xf numFmtId="166" fontId="15" fillId="6" borderId="12" xfId="0" applyNumberFormat="1" applyFont="1" applyFill="1" applyBorder="1" applyAlignment="1" applyProtection="1">
      <alignment horizontal="center" vertical="center"/>
      <protection hidden="1"/>
    </xf>
    <xf numFmtId="166" fontId="15" fillId="6" borderId="13" xfId="0" applyNumberFormat="1" applyFont="1" applyFill="1" applyBorder="1" applyAlignment="1" applyProtection="1">
      <alignment horizontal="center" vertical="center"/>
      <protection hidden="1"/>
    </xf>
    <xf numFmtId="166" fontId="15" fillId="6" borderId="15" xfId="0" applyNumberFormat="1" applyFont="1" applyFill="1" applyBorder="1" applyAlignment="1" applyProtection="1">
      <alignment horizontal="center" vertical="center"/>
      <protection hidden="1"/>
    </xf>
    <xf numFmtId="0" fontId="0" fillId="6" borderId="32" xfId="0" applyFill="1" applyBorder="1" applyAlignment="1" applyProtection="1">
      <alignment horizontal="left" wrapText="1"/>
      <protection hidden="1"/>
    </xf>
    <xf numFmtId="0" fontId="0" fillId="6" borderId="2" xfId="0" applyFill="1" applyBorder="1" applyAlignment="1" applyProtection="1">
      <alignment horizontal="left" wrapText="1"/>
      <protection hidden="1"/>
    </xf>
    <xf numFmtId="0" fontId="0" fillId="6" borderId="33" xfId="0" applyFill="1" applyBorder="1" applyAlignment="1" applyProtection="1">
      <alignment horizontal="left" wrapText="1"/>
      <protection hidden="1"/>
    </xf>
    <xf numFmtId="0" fontId="11" fillId="4" borderId="30" xfId="0" applyFont="1" applyFill="1" applyBorder="1" applyAlignment="1">
      <alignment horizontal="center"/>
    </xf>
    <xf numFmtId="0" fontId="11" fillId="4" borderId="31" xfId="0" applyFont="1" applyFill="1" applyBorder="1" applyAlignment="1">
      <alignment horizontal="center"/>
    </xf>
    <xf numFmtId="0" fontId="11" fillId="4" borderId="32" xfId="0" applyFont="1" applyFill="1" applyBorder="1" applyAlignment="1">
      <alignment horizontal="center"/>
    </xf>
    <xf numFmtId="0" fontId="11" fillId="4" borderId="33" xfId="0" applyFont="1" applyFill="1" applyBorder="1" applyAlignment="1">
      <alignment horizontal="center"/>
    </xf>
    <xf numFmtId="0" fontId="35" fillId="6" borderId="11" xfId="0" applyFont="1" applyFill="1" applyBorder="1" applyAlignment="1" applyProtection="1">
      <alignment horizontal="center"/>
      <protection hidden="1"/>
    </xf>
    <xf numFmtId="0" fontId="35" fillId="6" borderId="0" xfId="0" applyFont="1" applyFill="1" applyAlignment="1" applyProtection="1">
      <alignment horizontal="center"/>
      <protection hidden="1"/>
    </xf>
    <xf numFmtId="0" fontId="0" fillId="6" borderId="14" xfId="0" applyFill="1" applyBorder="1" applyAlignment="1">
      <alignment horizontal="center"/>
    </xf>
    <xf numFmtId="0" fontId="29" fillId="6" borderId="11" xfId="0" applyFont="1" applyFill="1" applyBorder="1" applyAlignment="1">
      <alignment horizontal="center" vertical="center"/>
    </xf>
    <xf numFmtId="0" fontId="29" fillId="6" borderId="0" xfId="0" applyFont="1" applyFill="1" applyAlignment="1">
      <alignment horizontal="center" vertical="center"/>
    </xf>
    <xf numFmtId="0" fontId="29" fillId="6" borderId="14" xfId="0" applyFont="1" applyFill="1" applyBorder="1" applyAlignment="1">
      <alignment horizontal="center" vertical="center"/>
    </xf>
    <xf numFmtId="9" fontId="13" fillId="6" borderId="10" xfId="2" applyFont="1" applyFill="1" applyBorder="1" applyAlignment="1" applyProtection="1">
      <alignment horizontal="center" vertical="center"/>
      <protection hidden="1"/>
    </xf>
    <xf numFmtId="9" fontId="13" fillId="6" borderId="12" xfId="2" applyFont="1" applyFill="1" applyBorder="1" applyAlignment="1" applyProtection="1">
      <alignment horizontal="center" vertical="center"/>
      <protection hidden="1"/>
    </xf>
    <xf numFmtId="9" fontId="13" fillId="6" borderId="17" xfId="2" applyFont="1" applyFill="1" applyBorder="1" applyAlignment="1" applyProtection="1">
      <alignment horizontal="center" vertical="center"/>
      <protection hidden="1"/>
    </xf>
    <xf numFmtId="9" fontId="13" fillId="6" borderId="21" xfId="2" applyFont="1" applyFill="1" applyBorder="1" applyAlignment="1" applyProtection="1">
      <alignment horizontal="center" vertical="center"/>
      <protection hidden="1"/>
    </xf>
    <xf numFmtId="9" fontId="13" fillId="6" borderId="13" xfId="2" applyFont="1" applyFill="1" applyBorder="1" applyAlignment="1" applyProtection="1">
      <alignment horizontal="center" vertical="center"/>
      <protection hidden="1"/>
    </xf>
    <xf numFmtId="9" fontId="13" fillId="6" borderId="15" xfId="2" applyFont="1" applyFill="1" applyBorder="1" applyAlignment="1" applyProtection="1">
      <alignment horizontal="center" vertical="center"/>
      <protection hidden="1"/>
    </xf>
    <xf numFmtId="0" fontId="13" fillId="14" borderId="22" xfId="0" applyFont="1" applyFill="1" applyBorder="1" applyAlignment="1" applyProtection="1">
      <alignment horizontal="center" vertical="center"/>
      <protection hidden="1"/>
    </xf>
    <xf numFmtId="0" fontId="13" fillId="14" borderId="35" xfId="0" applyFont="1" applyFill="1" applyBorder="1" applyAlignment="1" applyProtection="1">
      <alignment horizontal="center" vertical="center"/>
      <protection hidden="1"/>
    </xf>
    <xf numFmtId="0" fontId="13" fillId="6" borderId="10" xfId="0" applyFont="1" applyFill="1" applyBorder="1" applyAlignment="1" applyProtection="1">
      <alignment horizontal="left" vertical="center"/>
      <protection hidden="1"/>
    </xf>
    <xf numFmtId="0" fontId="13" fillId="6" borderId="11" xfId="0" applyFont="1" applyFill="1" applyBorder="1" applyAlignment="1" applyProtection="1">
      <alignment horizontal="left" vertical="center"/>
      <protection hidden="1"/>
    </xf>
    <xf numFmtId="0" fontId="13" fillId="6" borderId="12" xfId="0" applyFont="1" applyFill="1" applyBorder="1" applyAlignment="1" applyProtection="1">
      <alignment horizontal="left" vertical="center"/>
      <protection hidden="1"/>
    </xf>
    <xf numFmtId="0" fontId="13" fillId="6" borderId="13" xfId="0" applyFont="1" applyFill="1" applyBorder="1" applyAlignment="1" applyProtection="1">
      <alignment horizontal="left" vertical="center"/>
      <protection hidden="1"/>
    </xf>
    <xf numFmtId="0" fontId="13" fillId="6" borderId="14" xfId="0" applyFont="1" applyFill="1" applyBorder="1" applyAlignment="1" applyProtection="1">
      <alignment horizontal="left" vertical="center"/>
      <protection hidden="1"/>
    </xf>
    <xf numFmtId="0" fontId="13" fillId="6" borderId="15" xfId="0" applyFont="1" applyFill="1" applyBorder="1" applyAlignment="1" applyProtection="1">
      <alignment horizontal="left" vertical="center"/>
      <protection hidden="1"/>
    </xf>
    <xf numFmtId="0" fontId="13" fillId="14" borderId="20" xfId="0" applyFont="1" applyFill="1" applyBorder="1" applyAlignment="1" applyProtection="1">
      <alignment horizontal="center" vertical="center"/>
      <protection hidden="1"/>
    </xf>
    <xf numFmtId="14" fontId="13" fillId="6" borderId="13" xfId="0" applyNumberFormat="1" applyFont="1" applyFill="1" applyBorder="1" applyAlignment="1" applyProtection="1">
      <alignment horizontal="left" vertical="center"/>
      <protection hidden="1"/>
    </xf>
    <xf numFmtId="14" fontId="13" fillId="6" borderId="14" xfId="0" applyNumberFormat="1" applyFont="1" applyFill="1" applyBorder="1" applyAlignment="1" applyProtection="1">
      <alignment horizontal="left" vertical="center"/>
      <protection hidden="1"/>
    </xf>
    <xf numFmtId="14" fontId="13" fillId="6" borderId="15" xfId="0" applyNumberFormat="1" applyFont="1" applyFill="1" applyBorder="1" applyAlignment="1" applyProtection="1">
      <alignment horizontal="left" vertical="center"/>
      <protection hidden="1"/>
    </xf>
    <xf numFmtId="166" fontId="13" fillId="6" borderId="10" xfId="0" applyNumberFormat="1" applyFont="1" applyFill="1" applyBorder="1" applyAlignment="1" applyProtection="1">
      <alignment horizontal="left" vertical="center"/>
      <protection hidden="1"/>
    </xf>
    <xf numFmtId="166" fontId="13" fillId="6" borderId="11" xfId="0" applyNumberFormat="1" applyFont="1" applyFill="1" applyBorder="1" applyAlignment="1" applyProtection="1">
      <alignment horizontal="left" vertical="center"/>
      <protection hidden="1"/>
    </xf>
    <xf numFmtId="166" fontId="13" fillId="6" borderId="12" xfId="0" applyNumberFormat="1" applyFont="1" applyFill="1" applyBorder="1" applyAlignment="1" applyProtection="1">
      <alignment horizontal="left" vertical="center"/>
      <protection hidden="1"/>
    </xf>
    <xf numFmtId="0" fontId="13" fillId="14" borderId="22" xfId="0" applyFont="1" applyFill="1" applyBorder="1" applyAlignment="1" applyProtection="1">
      <alignment horizontal="center" vertical="center" wrapText="1"/>
      <protection hidden="1"/>
    </xf>
    <xf numFmtId="0" fontId="13" fillId="14" borderId="35" xfId="0" applyFont="1" applyFill="1" applyBorder="1" applyAlignment="1" applyProtection="1">
      <alignment horizontal="center" vertical="center" wrapText="1"/>
      <protection hidden="1"/>
    </xf>
    <xf numFmtId="0" fontId="13" fillId="14" borderId="20" xfId="0" applyFont="1" applyFill="1" applyBorder="1" applyAlignment="1" applyProtection="1">
      <alignment horizontal="center" vertical="center" wrapText="1"/>
      <protection hidden="1"/>
    </xf>
    <xf numFmtId="166" fontId="13" fillId="6" borderId="10" xfId="0" applyNumberFormat="1" applyFont="1" applyFill="1" applyBorder="1" applyAlignment="1" applyProtection="1">
      <alignment horizontal="center" vertical="center"/>
      <protection hidden="1"/>
    </xf>
    <xf numFmtId="166" fontId="13" fillId="6" borderId="12" xfId="0" applyNumberFormat="1" applyFont="1" applyFill="1" applyBorder="1" applyAlignment="1" applyProtection="1">
      <alignment horizontal="center" vertical="center"/>
      <protection hidden="1"/>
    </xf>
    <xf numFmtId="0" fontId="13" fillId="6" borderId="22" xfId="0" applyFont="1" applyFill="1" applyBorder="1" applyAlignment="1" applyProtection="1">
      <alignment horizontal="center" vertical="center" wrapText="1"/>
      <protection hidden="1"/>
    </xf>
    <xf numFmtId="0" fontId="13" fillId="6" borderId="35" xfId="0" applyFont="1" applyFill="1" applyBorder="1" applyAlignment="1" applyProtection="1">
      <alignment horizontal="center" vertical="center" wrapText="1"/>
      <protection hidden="1"/>
    </xf>
    <xf numFmtId="0" fontId="13" fillId="6" borderId="20" xfId="0" applyFont="1" applyFill="1" applyBorder="1" applyAlignment="1" applyProtection="1">
      <alignment horizontal="center" vertical="center" wrapText="1"/>
      <protection hidden="1"/>
    </xf>
    <xf numFmtId="8" fontId="35" fillId="15" borderId="17" xfId="0" applyNumberFormat="1" applyFont="1" applyFill="1" applyBorder="1" applyAlignment="1" applyProtection="1">
      <alignment horizontal="center" vertical="center"/>
      <protection hidden="1"/>
    </xf>
    <xf numFmtId="8" fontId="35" fillId="15" borderId="0" xfId="0" applyNumberFormat="1" applyFont="1" applyFill="1" applyAlignment="1" applyProtection="1">
      <alignment horizontal="center" vertical="center"/>
      <protection hidden="1"/>
    </xf>
    <xf numFmtId="8" fontId="35" fillId="15" borderId="21" xfId="0" applyNumberFormat="1" applyFont="1" applyFill="1" applyBorder="1" applyAlignment="1" applyProtection="1">
      <alignment horizontal="center" vertical="center"/>
      <protection hidden="1"/>
    </xf>
    <xf numFmtId="0" fontId="0" fillId="6" borderId="17" xfId="0" applyFill="1" applyBorder="1" applyAlignment="1" applyProtection="1">
      <alignment horizontal="left" wrapText="1"/>
      <protection hidden="1"/>
    </xf>
    <xf numFmtId="0" fontId="0" fillId="6" borderId="0" xfId="0" applyFill="1" applyAlignment="1" applyProtection="1">
      <alignment horizontal="left" wrapText="1"/>
      <protection hidden="1"/>
    </xf>
    <xf numFmtId="0" fontId="0" fillId="6" borderId="21" xfId="0" applyFill="1" applyBorder="1" applyAlignment="1" applyProtection="1">
      <alignment horizontal="left" wrapText="1"/>
      <protection hidden="1"/>
    </xf>
    <xf numFmtId="9" fontId="15" fillId="6" borderId="0" xfId="2" applyFont="1" applyFill="1" applyBorder="1" applyAlignment="1" applyProtection="1">
      <alignment horizontal="center" vertical="center"/>
      <protection hidden="1"/>
    </xf>
    <xf numFmtId="9" fontId="15" fillId="6" borderId="0" xfId="2" applyFont="1" applyFill="1" applyAlignment="1" applyProtection="1">
      <alignment horizontal="center" vertical="center"/>
      <protection hidden="1"/>
    </xf>
    <xf numFmtId="9" fontId="15" fillId="6" borderId="21" xfId="2" applyFont="1" applyFill="1" applyBorder="1" applyAlignment="1" applyProtection="1">
      <alignment horizontal="center" vertical="center"/>
      <protection hidden="1"/>
    </xf>
    <xf numFmtId="9" fontId="15" fillId="6" borderId="17" xfId="2" applyFont="1" applyFill="1" applyBorder="1" applyAlignment="1" applyProtection="1">
      <alignment horizontal="center" vertical="center"/>
      <protection hidden="1"/>
    </xf>
    <xf numFmtId="9" fontId="29" fillId="0" borderId="22" xfId="2" applyFont="1" applyBorder="1" applyAlignment="1">
      <alignment horizontal="center" vertical="center"/>
    </xf>
    <xf numFmtId="9" fontId="29" fillId="0" borderId="20" xfId="2" applyFont="1" applyBorder="1" applyAlignment="1">
      <alignment horizontal="center" vertical="center"/>
    </xf>
    <xf numFmtId="0" fontId="95" fillId="0" borderId="22" xfId="0" applyFont="1" applyBorder="1" applyAlignment="1">
      <alignment horizontal="center" vertical="center" wrapText="1"/>
    </xf>
    <xf numFmtId="0" fontId="95" fillId="0" borderId="20" xfId="0" applyFont="1" applyBorder="1" applyAlignment="1">
      <alignment horizontal="center" vertical="center" wrapText="1"/>
    </xf>
    <xf numFmtId="0" fontId="29" fillId="2" borderId="22" xfId="0" applyFont="1" applyFill="1" applyBorder="1" applyAlignment="1">
      <alignment horizontal="center" vertical="center"/>
    </xf>
    <xf numFmtId="0" fontId="29" fillId="2" borderId="20" xfId="0" applyFont="1" applyFill="1" applyBorder="1" applyAlignment="1">
      <alignment horizontal="center" vertical="center"/>
    </xf>
    <xf numFmtId="0" fontId="36" fillId="6" borderId="10" xfId="0" applyFont="1" applyFill="1" applyBorder="1" applyAlignment="1" applyProtection="1">
      <alignment horizontal="center" vertical="center" wrapText="1"/>
      <protection hidden="1"/>
    </xf>
    <xf numFmtId="0" fontId="36" fillId="6" borderId="11" xfId="0" applyFont="1" applyFill="1" applyBorder="1" applyAlignment="1" applyProtection="1">
      <alignment horizontal="center" vertical="center" wrapText="1"/>
      <protection hidden="1"/>
    </xf>
    <xf numFmtId="0" fontId="36" fillId="6" borderId="12" xfId="0" applyFont="1" applyFill="1" applyBorder="1" applyAlignment="1" applyProtection="1">
      <alignment horizontal="center" vertical="center" wrapText="1"/>
      <protection hidden="1"/>
    </xf>
    <xf numFmtId="0" fontId="36" fillId="6" borderId="13" xfId="0" applyFont="1" applyFill="1" applyBorder="1" applyAlignment="1" applyProtection="1">
      <alignment horizontal="center" vertical="center" wrapText="1"/>
      <protection hidden="1"/>
    </xf>
    <xf numFmtId="0" fontId="36" fillId="6" borderId="14" xfId="0" applyFont="1" applyFill="1" applyBorder="1" applyAlignment="1" applyProtection="1">
      <alignment horizontal="center" vertical="center" wrapText="1"/>
      <protection hidden="1"/>
    </xf>
    <xf numFmtId="0" fontId="36" fillId="6" borderId="15" xfId="0" applyFont="1" applyFill="1" applyBorder="1" applyAlignment="1" applyProtection="1">
      <alignment horizontal="center" vertical="center" wrapText="1"/>
      <protection hidden="1"/>
    </xf>
    <xf numFmtId="0" fontId="8" fillId="3" borderId="6" xfId="0" applyFont="1" applyFill="1" applyBorder="1" applyAlignment="1">
      <alignment horizontal="center"/>
    </xf>
    <xf numFmtId="0" fontId="8" fillId="3" borderId="16" xfId="0" applyFont="1" applyFill="1" applyBorder="1" applyAlignment="1">
      <alignment horizontal="center"/>
    </xf>
    <xf numFmtId="0" fontId="8" fillId="3" borderId="7" xfId="0" applyFont="1" applyFill="1" applyBorder="1" applyAlignment="1">
      <alignment horizontal="center"/>
    </xf>
    <xf numFmtId="0" fontId="49" fillId="0" borderId="0" xfId="0" applyFont="1"/>
    <xf numFmtId="0" fontId="39" fillId="2" borderId="0" xfId="7" applyFont="1" applyFill="1" applyAlignment="1">
      <alignment horizontal="center"/>
    </xf>
    <xf numFmtId="0" fontId="50" fillId="14" borderId="0" xfId="0" applyFont="1" applyFill="1" applyAlignment="1" applyProtection="1">
      <alignment horizontal="center" vertical="center"/>
      <protection locked="0"/>
    </xf>
    <xf numFmtId="0" fontId="50" fillId="14" borderId="54" xfId="0" applyFont="1" applyFill="1" applyBorder="1" applyAlignment="1" applyProtection="1">
      <alignment horizontal="center" vertical="center"/>
      <protection locked="0"/>
    </xf>
    <xf numFmtId="0" fontId="59" fillId="6" borderId="0" xfId="0" applyFont="1" applyFill="1" applyAlignment="1" applyProtection="1">
      <alignment horizontal="center"/>
      <protection hidden="1"/>
    </xf>
    <xf numFmtId="0" fontId="71" fillId="32" borderId="24" xfId="0" applyFont="1" applyFill="1" applyBorder="1" applyAlignment="1" applyProtection="1">
      <alignment horizontal="center"/>
      <protection hidden="1"/>
    </xf>
    <xf numFmtId="0" fontId="71" fillId="32" borderId="25" xfId="0" applyFont="1" applyFill="1" applyBorder="1" applyAlignment="1" applyProtection="1">
      <alignment horizontal="center"/>
      <protection hidden="1"/>
    </xf>
    <xf numFmtId="0" fontId="71" fillId="33" borderId="71" xfId="0" applyFont="1" applyFill="1" applyBorder="1" applyAlignment="1" applyProtection="1">
      <alignment horizontal="center"/>
      <protection hidden="1"/>
    </xf>
    <xf numFmtId="0" fontId="63" fillId="33" borderId="72" xfId="0" applyFont="1" applyFill="1" applyBorder="1" applyAlignment="1" applyProtection="1">
      <alignment horizontal="center"/>
      <protection hidden="1"/>
    </xf>
    <xf numFmtId="0" fontId="80" fillId="6" borderId="10" xfId="0" applyFont="1" applyFill="1" applyBorder="1" applyAlignment="1" applyProtection="1">
      <alignment horizontal="left" vertical="top" wrapText="1"/>
      <protection locked="0" hidden="1"/>
    </xf>
    <xf numFmtId="0" fontId="80" fillId="6" borderId="11" xfId="0" applyFont="1" applyFill="1" applyBorder="1" applyAlignment="1" applyProtection="1">
      <alignment horizontal="left" vertical="top" wrapText="1"/>
      <protection locked="0" hidden="1"/>
    </xf>
    <xf numFmtId="0" fontId="80" fillId="6" borderId="12" xfId="0" applyFont="1" applyFill="1" applyBorder="1" applyAlignment="1" applyProtection="1">
      <alignment horizontal="left" vertical="top" wrapText="1"/>
      <protection locked="0" hidden="1"/>
    </xf>
    <xf numFmtId="0" fontId="80" fillId="6" borderId="17" xfId="0" applyFont="1" applyFill="1" applyBorder="1" applyAlignment="1" applyProtection="1">
      <alignment horizontal="left" vertical="top" wrapText="1"/>
      <protection locked="0" hidden="1"/>
    </xf>
    <xf numFmtId="0" fontId="80" fillId="6" borderId="0" xfId="0" applyFont="1" applyFill="1" applyAlignment="1" applyProtection="1">
      <alignment horizontal="left" vertical="top" wrapText="1"/>
      <protection locked="0" hidden="1"/>
    </xf>
    <xf numFmtId="0" fontId="80" fillId="6" borderId="21" xfId="0" applyFont="1" applyFill="1" applyBorder="1" applyAlignment="1" applyProtection="1">
      <alignment horizontal="left" vertical="top" wrapText="1"/>
      <protection locked="0" hidden="1"/>
    </xf>
    <xf numFmtId="0" fontId="80" fillId="6" borderId="13" xfId="0" applyFont="1" applyFill="1" applyBorder="1" applyAlignment="1" applyProtection="1">
      <alignment horizontal="left" vertical="top" wrapText="1"/>
      <protection locked="0" hidden="1"/>
    </xf>
    <xf numFmtId="0" fontId="80" fillId="6" borderId="14" xfId="0" applyFont="1" applyFill="1" applyBorder="1" applyAlignment="1" applyProtection="1">
      <alignment horizontal="left" vertical="top" wrapText="1"/>
      <protection locked="0" hidden="1"/>
    </xf>
    <xf numFmtId="0" fontId="80" fillId="6" borderId="15" xfId="0" applyFont="1" applyFill="1" applyBorder="1" applyAlignment="1" applyProtection="1">
      <alignment horizontal="left" vertical="top" wrapText="1"/>
      <protection locked="0" hidden="1"/>
    </xf>
    <xf numFmtId="0" fontId="79" fillId="6" borderId="0" xfId="0" applyFont="1" applyFill="1" applyAlignment="1" applyProtection="1">
      <alignment horizontal="center"/>
      <protection hidden="1"/>
    </xf>
    <xf numFmtId="0" fontId="59" fillId="6" borderId="0" xfId="0" applyFont="1" applyFill="1" applyAlignment="1" applyProtection="1">
      <alignment horizontal="center" vertical="center"/>
      <protection hidden="1"/>
    </xf>
    <xf numFmtId="0" fontId="63" fillId="6" borderId="10" xfId="0" applyFont="1" applyFill="1" applyBorder="1" applyAlignment="1" applyProtection="1">
      <alignment horizontal="left" vertical="top" wrapText="1"/>
      <protection hidden="1"/>
    </xf>
    <xf numFmtId="0" fontId="63" fillId="6" borderId="11" xfId="0" applyFont="1" applyFill="1" applyBorder="1" applyAlignment="1" applyProtection="1">
      <alignment horizontal="left" vertical="top" wrapText="1"/>
      <protection hidden="1"/>
    </xf>
    <xf numFmtId="0" fontId="63" fillId="6" borderId="12" xfId="0" applyFont="1" applyFill="1" applyBorder="1" applyAlignment="1" applyProtection="1">
      <alignment horizontal="left" vertical="top" wrapText="1"/>
      <protection hidden="1"/>
    </xf>
    <xf numFmtId="0" fontId="63" fillId="6" borderId="17" xfId="0" applyFont="1" applyFill="1" applyBorder="1" applyAlignment="1" applyProtection="1">
      <alignment horizontal="left" vertical="top" wrapText="1"/>
      <protection hidden="1"/>
    </xf>
    <xf numFmtId="0" fontId="63" fillId="6" borderId="0" xfId="0" applyFont="1" applyFill="1" applyAlignment="1" applyProtection="1">
      <alignment horizontal="left" vertical="top" wrapText="1"/>
      <protection hidden="1"/>
    </xf>
    <xf numFmtId="0" fontId="63" fillId="6" borderId="21" xfId="0" applyFont="1" applyFill="1" applyBorder="1" applyAlignment="1" applyProtection="1">
      <alignment horizontal="left" vertical="top" wrapText="1"/>
      <protection hidden="1"/>
    </xf>
    <xf numFmtId="0" fontId="63" fillId="6" borderId="13" xfId="0" applyFont="1" applyFill="1" applyBorder="1" applyAlignment="1" applyProtection="1">
      <alignment horizontal="left" vertical="top" wrapText="1"/>
      <protection hidden="1"/>
    </xf>
    <xf numFmtId="0" fontId="63" fillId="6" borderId="14" xfId="0" applyFont="1" applyFill="1" applyBorder="1" applyAlignment="1" applyProtection="1">
      <alignment horizontal="left" vertical="top" wrapText="1"/>
      <protection hidden="1"/>
    </xf>
    <xf numFmtId="0" fontId="63" fillId="6" borderId="15" xfId="0" applyFont="1" applyFill="1" applyBorder="1" applyAlignment="1" applyProtection="1">
      <alignment horizontal="left" vertical="top" wrapText="1"/>
      <protection hidden="1"/>
    </xf>
    <xf numFmtId="0" fontId="21" fillId="7" borderId="10" xfId="0" applyFont="1" applyFill="1" applyBorder="1" applyAlignment="1" applyProtection="1">
      <alignment horizontal="center" vertical="top" wrapText="1"/>
      <protection hidden="1"/>
    </xf>
    <xf numFmtId="0" fontId="21" fillId="7" borderId="11" xfId="0" applyFont="1" applyFill="1" applyBorder="1" applyAlignment="1" applyProtection="1">
      <alignment horizontal="center" vertical="top" wrapText="1"/>
      <protection hidden="1"/>
    </xf>
    <xf numFmtId="0" fontId="21" fillId="7" borderId="12" xfId="0" applyFont="1" applyFill="1" applyBorder="1" applyAlignment="1" applyProtection="1">
      <alignment horizontal="center" vertical="top" wrapText="1"/>
      <protection hidden="1"/>
    </xf>
    <xf numFmtId="0" fontId="21" fillId="7" borderId="32" xfId="0" applyFont="1" applyFill="1" applyBorder="1" applyAlignment="1" applyProtection="1">
      <alignment horizontal="center" vertical="top" wrapText="1"/>
      <protection hidden="1"/>
    </xf>
    <xf numFmtId="0" fontId="21" fillId="7" borderId="2" xfId="0" applyFont="1" applyFill="1" applyBorder="1" applyAlignment="1" applyProtection="1">
      <alignment horizontal="center" vertical="top" wrapText="1"/>
      <protection hidden="1"/>
    </xf>
    <xf numFmtId="0" fontId="21" fillId="7" borderId="33" xfId="0" applyFont="1" applyFill="1" applyBorder="1" applyAlignment="1" applyProtection="1">
      <alignment horizontal="center" vertical="top" wrapText="1"/>
      <protection hidden="1"/>
    </xf>
    <xf numFmtId="0" fontId="71" fillId="7" borderId="40" xfId="0" applyFont="1" applyFill="1" applyBorder="1" applyAlignment="1" applyProtection="1">
      <alignment horizontal="center" vertical="center" wrapText="1"/>
      <protection hidden="1"/>
    </xf>
    <xf numFmtId="0" fontId="71" fillId="7" borderId="5" xfId="0" applyFont="1" applyFill="1" applyBorder="1" applyAlignment="1" applyProtection="1">
      <alignment horizontal="center" vertical="center"/>
      <protection hidden="1"/>
    </xf>
    <xf numFmtId="0" fontId="71" fillId="7" borderId="39" xfId="0" applyFont="1" applyFill="1" applyBorder="1" applyAlignment="1" applyProtection="1">
      <alignment horizontal="center" vertical="center"/>
      <protection hidden="1"/>
    </xf>
    <xf numFmtId="0" fontId="73" fillId="30" borderId="3" xfId="0" applyFont="1" applyFill="1" applyBorder="1" applyAlignment="1" applyProtection="1">
      <alignment horizontal="left" vertical="center" wrapText="1"/>
      <protection hidden="1"/>
    </xf>
    <xf numFmtId="0" fontId="73" fillId="30" borderId="0" xfId="0" applyFont="1" applyFill="1" applyAlignment="1" applyProtection="1">
      <alignment horizontal="left" vertical="center" wrapText="1"/>
      <protection hidden="1"/>
    </xf>
    <xf numFmtId="0" fontId="73" fillId="30" borderId="21" xfId="0" applyFont="1" applyFill="1" applyBorder="1" applyAlignment="1" applyProtection="1">
      <alignment horizontal="left" vertical="center" wrapText="1"/>
      <protection hidden="1"/>
    </xf>
    <xf numFmtId="0" fontId="71" fillId="32" borderId="71" xfId="0" applyFont="1" applyFill="1" applyBorder="1" applyAlignment="1" applyProtection="1">
      <alignment horizontal="center"/>
      <protection hidden="1"/>
    </xf>
    <xf numFmtId="0" fontId="71" fillId="32" borderId="72" xfId="0" applyFont="1" applyFill="1" applyBorder="1" applyAlignment="1" applyProtection="1">
      <alignment horizontal="center"/>
      <protection hidden="1"/>
    </xf>
    <xf numFmtId="0" fontId="64" fillId="11" borderId="0" xfId="0" applyFont="1" applyFill="1" applyAlignment="1" applyProtection="1">
      <alignment horizontal="right" vertical="top" wrapText="1"/>
      <protection hidden="1"/>
    </xf>
    <xf numFmtId="0" fontId="60" fillId="29" borderId="10" xfId="0" applyFont="1" applyFill="1" applyBorder="1" applyAlignment="1" applyProtection="1">
      <alignment horizontal="left" vertical="top" wrapText="1"/>
      <protection hidden="1"/>
    </xf>
    <xf numFmtId="0" fontId="62" fillId="29" borderId="11" xfId="0" applyFont="1" applyFill="1" applyBorder="1" applyAlignment="1" applyProtection="1">
      <alignment horizontal="left" vertical="top"/>
      <protection hidden="1"/>
    </xf>
    <xf numFmtId="0" fontId="62" fillId="29" borderId="12" xfId="0" applyFont="1" applyFill="1" applyBorder="1" applyAlignment="1" applyProtection="1">
      <alignment horizontal="left" vertical="top"/>
      <protection hidden="1"/>
    </xf>
    <xf numFmtId="0" fontId="62" fillId="29" borderId="17" xfId="0" applyFont="1" applyFill="1" applyBorder="1" applyAlignment="1" applyProtection="1">
      <alignment horizontal="left" vertical="top"/>
      <protection hidden="1"/>
    </xf>
    <xf numFmtId="0" fontId="62" fillId="29" borderId="0" xfId="0" applyFont="1" applyFill="1" applyAlignment="1" applyProtection="1">
      <alignment horizontal="left" vertical="top"/>
      <protection hidden="1"/>
    </xf>
    <xf numFmtId="0" fontId="62" fillId="29" borderId="21" xfId="0" applyFont="1" applyFill="1" applyBorder="1" applyAlignment="1" applyProtection="1">
      <alignment horizontal="left" vertical="top"/>
      <protection hidden="1"/>
    </xf>
    <xf numFmtId="0" fontId="21" fillId="29" borderId="11" xfId="0" applyFont="1" applyFill="1" applyBorder="1" applyAlignment="1" applyProtection="1">
      <alignment horizontal="center" vertical="center"/>
      <protection hidden="1"/>
    </xf>
    <xf numFmtId="0" fontId="65" fillId="0" borderId="68" xfId="0" applyFont="1" applyBorder="1" applyAlignment="1" applyProtection="1">
      <alignment horizontal="left"/>
      <protection locked="0" hidden="1"/>
    </xf>
    <xf numFmtId="0" fontId="65" fillId="0" borderId="14" xfId="0" applyFont="1" applyBorder="1" applyAlignment="1" applyProtection="1">
      <alignment horizontal="left"/>
      <protection locked="0" hidden="1"/>
    </xf>
    <xf numFmtId="14" fontId="66" fillId="0" borderId="68" xfId="0" applyNumberFormat="1" applyFont="1" applyBorder="1" applyAlignment="1" applyProtection="1">
      <alignment horizontal="left"/>
      <protection locked="0" hidden="1"/>
    </xf>
    <xf numFmtId="0" fontId="66" fillId="0" borderId="15" xfId="0" applyFont="1" applyBorder="1" applyAlignment="1" applyProtection="1">
      <alignment horizontal="left"/>
      <protection locked="0" hidden="1"/>
    </xf>
    <xf numFmtId="0" fontId="65" fillId="0" borderId="51" xfId="0" applyFont="1" applyBorder="1" applyAlignment="1" applyProtection="1">
      <alignment horizontal="left" wrapText="1"/>
      <protection locked="0" hidden="1"/>
    </xf>
    <xf numFmtId="0" fontId="65" fillId="0" borderId="16" xfId="0" applyFont="1" applyBorder="1" applyAlignment="1" applyProtection="1">
      <alignment horizontal="left" wrapText="1"/>
      <protection locked="0" hidden="1"/>
    </xf>
    <xf numFmtId="0" fontId="65" fillId="6" borderId="51" xfId="0" applyFont="1" applyFill="1" applyBorder="1" applyAlignment="1" applyProtection="1">
      <alignment horizontal="left"/>
      <protection locked="0" hidden="1"/>
    </xf>
    <xf numFmtId="0" fontId="65" fillId="6" borderId="16" xfId="0" applyFont="1" applyFill="1" applyBorder="1" applyAlignment="1" applyProtection="1">
      <alignment horizontal="left"/>
      <protection locked="0" hidden="1"/>
    </xf>
    <xf numFmtId="0" fontId="65" fillId="6" borderId="68" xfId="0" applyFont="1" applyFill="1" applyBorder="1" applyAlignment="1" applyProtection="1">
      <alignment horizontal="left"/>
      <protection locked="0" hidden="1"/>
    </xf>
    <xf numFmtId="0" fontId="65" fillId="6" borderId="15" xfId="0" applyFont="1" applyFill="1" applyBorder="1" applyAlignment="1" applyProtection="1">
      <alignment horizontal="left"/>
      <protection locked="0" hidden="1"/>
    </xf>
    <xf numFmtId="0" fontId="88" fillId="30" borderId="0" xfId="0" applyFont="1" applyFill="1" applyAlignment="1" applyProtection="1">
      <alignment horizontal="left" vertical="center" wrapText="1"/>
      <protection hidden="1"/>
    </xf>
    <xf numFmtId="0" fontId="88" fillId="30" borderId="21" xfId="0" applyFont="1" applyFill="1" applyBorder="1" applyAlignment="1" applyProtection="1">
      <alignment horizontal="left" vertical="center" wrapText="1"/>
      <protection hidden="1"/>
    </xf>
    <xf numFmtId="0" fontId="76" fillId="11" borderId="0" xfId="0" applyFont="1" applyFill="1" applyAlignment="1" applyProtection="1">
      <alignment horizontal="left" vertical="top" wrapText="1"/>
      <protection hidden="1"/>
    </xf>
    <xf numFmtId="0" fontId="76" fillId="11" borderId="0" xfId="0" applyFont="1" applyFill="1" applyAlignment="1" applyProtection="1">
      <alignment horizontal="left" vertical="top"/>
      <protection hidden="1"/>
    </xf>
    <xf numFmtId="0" fontId="63" fillId="0" borderId="40" xfId="0" applyFont="1" applyBorder="1" applyAlignment="1" applyProtection="1">
      <alignment horizontal="center"/>
      <protection locked="0" hidden="1"/>
    </xf>
    <xf numFmtId="0" fontId="63" fillId="0" borderId="39" xfId="0" applyFont="1" applyBorder="1" applyAlignment="1" applyProtection="1">
      <alignment horizontal="center"/>
      <protection locked="0" hidden="1"/>
    </xf>
    <xf numFmtId="0" fontId="66" fillId="0" borderId="68" xfId="0" applyFont="1" applyBorder="1" applyAlignment="1" applyProtection="1">
      <alignment horizontal="left"/>
      <protection locked="0" hidden="1"/>
    </xf>
    <xf numFmtId="0" fontId="33" fillId="0" borderId="6" xfId="0" applyFont="1" applyBorder="1" applyAlignment="1" applyProtection="1">
      <alignment horizontal="left" vertical="top" wrapText="1"/>
      <protection locked="0"/>
    </xf>
    <xf numFmtId="0" fontId="0" fillId="0" borderId="16" xfId="0" applyBorder="1" applyAlignment="1" applyProtection="1">
      <alignment horizontal="left" vertical="top" wrapText="1"/>
      <protection locked="0"/>
    </xf>
    <xf numFmtId="0" fontId="0" fillId="0" borderId="7" xfId="0" applyBorder="1" applyAlignment="1" applyProtection="1">
      <alignment horizontal="left" vertical="top" wrapText="1"/>
      <protection locked="0"/>
    </xf>
    <xf numFmtId="0" fontId="45" fillId="32" borderId="30" xfId="0" applyFont="1" applyFill="1" applyBorder="1" applyAlignment="1" applyProtection="1">
      <alignment horizontal="right" vertical="center"/>
      <protection hidden="1"/>
    </xf>
    <xf numFmtId="0" fontId="2" fillId="32" borderId="23" xfId="0" applyFont="1" applyFill="1" applyBorder="1" applyAlignment="1" applyProtection="1">
      <alignment horizontal="right" vertical="center"/>
      <protection hidden="1"/>
    </xf>
    <xf numFmtId="0" fontId="2" fillId="32" borderId="41" xfId="0" applyFont="1" applyFill="1" applyBorder="1" applyAlignment="1" applyProtection="1">
      <alignment horizontal="right" vertical="center"/>
      <protection hidden="1"/>
    </xf>
    <xf numFmtId="166" fontId="2" fillId="17" borderId="2" xfId="0" applyNumberFormat="1" applyFont="1" applyFill="1" applyBorder="1" applyAlignment="1" applyProtection="1">
      <alignment horizontal="center"/>
      <protection hidden="1"/>
    </xf>
    <xf numFmtId="166" fontId="2" fillId="17" borderId="4" xfId="0" applyNumberFormat="1" applyFont="1" applyFill="1" applyBorder="1" applyAlignment="1" applyProtection="1">
      <alignment horizontal="center"/>
      <protection hidden="1"/>
    </xf>
    <xf numFmtId="166" fontId="2" fillId="17" borderId="79" xfId="0" applyNumberFormat="1" applyFont="1" applyFill="1" applyBorder="1" applyAlignment="1" applyProtection="1">
      <alignment horizontal="center"/>
      <protection hidden="1"/>
    </xf>
    <xf numFmtId="166" fontId="2" fillId="17" borderId="39" xfId="0" applyNumberFormat="1" applyFont="1" applyFill="1" applyBorder="1" applyAlignment="1" applyProtection="1">
      <alignment horizontal="center"/>
      <protection hidden="1"/>
    </xf>
    <xf numFmtId="0" fontId="45" fillId="32" borderId="17" xfId="0" applyFont="1" applyFill="1" applyBorder="1" applyAlignment="1" applyProtection="1">
      <alignment horizontal="right"/>
      <protection hidden="1"/>
    </xf>
    <xf numFmtId="0" fontId="45" fillId="32" borderId="0" xfId="0" applyFont="1" applyFill="1" applyAlignment="1" applyProtection="1">
      <alignment horizontal="right"/>
      <protection hidden="1"/>
    </xf>
    <xf numFmtId="0" fontId="45" fillId="32" borderId="18" xfId="0" applyFont="1" applyFill="1" applyBorder="1" applyAlignment="1" applyProtection="1">
      <alignment horizontal="right"/>
      <protection hidden="1"/>
    </xf>
    <xf numFmtId="166" fontId="99" fillId="32" borderId="80" xfId="0" applyNumberFormat="1" applyFont="1" applyFill="1" applyBorder="1" applyAlignment="1" applyProtection="1">
      <alignment horizontal="center"/>
      <protection hidden="1"/>
    </xf>
    <xf numFmtId="166" fontId="99" fillId="32" borderId="23" xfId="0" applyNumberFormat="1" applyFont="1" applyFill="1" applyBorder="1" applyAlignment="1" applyProtection="1">
      <alignment horizontal="center"/>
      <protection hidden="1"/>
    </xf>
    <xf numFmtId="166" fontId="99" fillId="32" borderId="31" xfId="0" applyNumberFormat="1" applyFont="1" applyFill="1" applyBorder="1" applyAlignment="1" applyProtection="1">
      <alignment horizontal="center"/>
      <protection hidden="1"/>
    </xf>
    <xf numFmtId="0" fontId="8" fillId="32" borderId="13" xfId="0" applyFont="1" applyFill="1" applyBorder="1" applyAlignment="1" applyProtection="1">
      <alignment horizontal="right" wrapText="1"/>
      <protection hidden="1"/>
    </xf>
    <xf numFmtId="0" fontId="8" fillId="32" borderId="14" xfId="0" applyFont="1" applyFill="1" applyBorder="1" applyAlignment="1" applyProtection="1">
      <alignment horizontal="right" wrapText="1"/>
      <protection hidden="1"/>
    </xf>
    <xf numFmtId="0" fontId="8" fillId="32" borderId="81" xfId="0" applyFont="1" applyFill="1" applyBorder="1" applyAlignment="1" applyProtection="1">
      <alignment horizontal="right" wrapText="1"/>
      <protection hidden="1"/>
    </xf>
    <xf numFmtId="166" fontId="100" fillId="17" borderId="68" xfId="0" applyNumberFormat="1" applyFont="1" applyFill="1" applyBorder="1" applyAlignment="1" applyProtection="1">
      <alignment horizontal="center"/>
      <protection hidden="1"/>
    </xf>
    <xf numFmtId="166" fontId="100" fillId="17" borderId="14" xfId="0" applyNumberFormat="1" applyFont="1" applyFill="1" applyBorder="1" applyAlignment="1" applyProtection="1">
      <alignment horizontal="center"/>
      <protection hidden="1"/>
    </xf>
    <xf numFmtId="166" fontId="100" fillId="17" borderId="15" xfId="0" applyNumberFormat="1" applyFont="1" applyFill="1" applyBorder="1" applyAlignment="1" applyProtection="1">
      <alignment horizontal="center"/>
      <protection hidden="1"/>
    </xf>
    <xf numFmtId="0" fontId="0" fillId="31" borderId="17" xfId="0" applyFill="1" applyBorder="1" applyProtection="1">
      <protection hidden="1"/>
    </xf>
    <xf numFmtId="0" fontId="0" fillId="31" borderId="0" xfId="0" applyFill="1" applyProtection="1">
      <protection hidden="1"/>
    </xf>
    <xf numFmtId="0" fontId="45" fillId="32" borderId="40" xfId="0" applyFont="1" applyFill="1" applyBorder="1" applyAlignment="1" applyProtection="1">
      <alignment horizontal="center"/>
      <protection hidden="1"/>
    </xf>
    <xf numFmtId="0" fontId="45" fillId="32" borderId="5" xfId="0" applyFont="1" applyFill="1" applyBorder="1" applyAlignment="1" applyProtection="1">
      <alignment horizontal="center"/>
      <protection hidden="1"/>
    </xf>
    <xf numFmtId="0" fontId="2" fillId="31" borderId="32" xfId="0" applyFont="1" applyFill="1" applyBorder="1" applyProtection="1">
      <protection hidden="1"/>
    </xf>
    <xf numFmtId="0" fontId="2" fillId="31" borderId="2" xfId="0" applyFont="1" applyFill="1" applyBorder="1" applyProtection="1">
      <protection hidden="1"/>
    </xf>
    <xf numFmtId="0" fontId="2" fillId="29" borderId="17" xfId="0" applyFont="1" applyFill="1" applyBorder="1" applyAlignment="1" applyProtection="1">
      <alignment horizontal="right" wrapText="1"/>
      <protection hidden="1"/>
    </xf>
    <xf numFmtId="0" fontId="2" fillId="29" borderId="0" xfId="0" applyFont="1" applyFill="1" applyAlignment="1" applyProtection="1">
      <alignment horizontal="right" wrapText="1"/>
      <protection hidden="1"/>
    </xf>
    <xf numFmtId="0" fontId="95" fillId="6" borderId="51" xfId="0" applyFont="1" applyFill="1" applyBorder="1" applyAlignment="1" applyProtection="1">
      <alignment horizontal="left" wrapText="1"/>
      <protection locked="0"/>
    </xf>
    <xf numFmtId="0" fontId="95" fillId="6" borderId="16" xfId="0" applyFont="1" applyFill="1" applyBorder="1" applyAlignment="1" applyProtection="1">
      <alignment horizontal="left" wrapText="1"/>
      <protection locked="0"/>
    </xf>
    <xf numFmtId="0" fontId="95" fillId="6" borderId="7" xfId="0" applyFont="1" applyFill="1" applyBorder="1" applyAlignment="1" applyProtection="1">
      <alignment horizontal="left" wrapText="1"/>
      <protection locked="0"/>
    </xf>
    <xf numFmtId="0" fontId="45" fillId="32" borderId="71" xfId="0" applyFont="1" applyFill="1" applyBorder="1" applyAlignment="1" applyProtection="1">
      <alignment horizontal="center" wrapText="1"/>
      <protection hidden="1"/>
    </xf>
    <xf numFmtId="0" fontId="45" fillId="32" borderId="75" xfId="0" applyFont="1" applyFill="1" applyBorder="1" applyAlignment="1" applyProtection="1">
      <alignment horizontal="center" wrapText="1"/>
      <protection hidden="1"/>
    </xf>
    <xf numFmtId="0" fontId="97" fillId="0" borderId="0" xfId="0" applyFont="1" applyAlignment="1" applyProtection="1">
      <alignment horizontal="center"/>
      <protection hidden="1"/>
    </xf>
    <xf numFmtId="0" fontId="2" fillId="31" borderId="17" xfId="0" applyFont="1" applyFill="1" applyBorder="1" applyAlignment="1" applyProtection="1">
      <alignment horizontal="left"/>
      <protection hidden="1"/>
    </xf>
    <xf numFmtId="0" fontId="2" fillId="31" borderId="0" xfId="0" applyFont="1" applyFill="1" applyAlignment="1" applyProtection="1">
      <alignment horizontal="left"/>
      <protection hidden="1"/>
    </xf>
    <xf numFmtId="0" fontId="2" fillId="32" borderId="5" xfId="0" applyFont="1" applyFill="1" applyBorder="1" applyAlignment="1" applyProtection="1">
      <alignment horizontal="center"/>
      <protection hidden="1"/>
    </xf>
    <xf numFmtId="0" fontId="10" fillId="29" borderId="10" xfId="0" applyFont="1" applyFill="1" applyBorder="1" applyAlignment="1" applyProtection="1">
      <alignment horizontal="left" vertical="top" wrapText="1"/>
      <protection hidden="1"/>
    </xf>
    <xf numFmtId="0" fontId="10" fillId="29" borderId="11" xfId="0" applyFont="1" applyFill="1" applyBorder="1" applyAlignment="1" applyProtection="1">
      <alignment horizontal="left" vertical="top" wrapText="1"/>
      <protection hidden="1"/>
    </xf>
    <xf numFmtId="0" fontId="95" fillId="0" borderId="68" xfId="0" applyFont="1" applyBorder="1" applyAlignment="1" applyProtection="1">
      <alignment horizontal="center" vertical="top"/>
      <protection locked="0"/>
    </xf>
    <xf numFmtId="0" fontId="95" fillId="0" borderId="14" xfId="0" applyFont="1" applyBorder="1" applyAlignment="1" applyProtection="1">
      <alignment horizontal="center" vertical="top"/>
      <protection locked="0"/>
    </xf>
    <xf numFmtId="0" fontId="95" fillId="0" borderId="68" xfId="0" applyFont="1" applyBorder="1" applyAlignment="1" applyProtection="1">
      <alignment horizontal="center"/>
      <protection locked="0"/>
    </xf>
    <xf numFmtId="0" fontId="95" fillId="0" borderId="15" xfId="0" applyFont="1" applyBorder="1" applyAlignment="1" applyProtection="1">
      <alignment horizontal="center"/>
      <protection locked="0"/>
    </xf>
    <xf numFmtId="0" fontId="95" fillId="0" borderId="68" xfId="0" applyFont="1" applyBorder="1" applyAlignment="1" applyProtection="1">
      <alignment horizontal="center" vertical="top" wrapText="1"/>
      <protection locked="0"/>
    </xf>
    <xf numFmtId="0" fontId="95" fillId="0" borderId="14" xfId="0" applyFont="1" applyBorder="1" applyAlignment="1" applyProtection="1">
      <alignment horizontal="center" vertical="top" wrapText="1"/>
      <protection locked="0"/>
    </xf>
    <xf numFmtId="0" fontId="95" fillId="6" borderId="68" xfId="0" applyFont="1" applyFill="1" applyBorder="1" applyAlignment="1" applyProtection="1">
      <alignment horizontal="left"/>
      <protection locked="0"/>
    </xf>
    <xf numFmtId="0" fontId="95" fillId="6" borderId="14" xfId="0" applyFont="1" applyFill="1" applyBorder="1" applyAlignment="1" applyProtection="1">
      <alignment horizontal="left"/>
      <protection locked="0"/>
    </xf>
    <xf numFmtId="0" fontId="95" fillId="6" borderId="15" xfId="0" applyFont="1" applyFill="1" applyBorder="1" applyAlignment="1" applyProtection="1">
      <alignment horizontal="left"/>
      <protection locked="0"/>
    </xf>
    <xf numFmtId="0" fontId="21" fillId="0" borderId="10" xfId="0" applyFont="1" applyBorder="1" applyAlignment="1" applyProtection="1">
      <alignment horizontal="left" vertical="top" wrapText="1"/>
      <protection hidden="1"/>
    </xf>
    <xf numFmtId="0" fontId="21" fillId="0" borderId="11" xfId="0" applyFont="1" applyBorder="1" applyAlignment="1" applyProtection="1">
      <alignment horizontal="left" vertical="top" wrapText="1"/>
      <protection hidden="1"/>
    </xf>
    <xf numFmtId="0" fontId="21" fillId="0" borderId="12" xfId="0" applyFont="1" applyBorder="1" applyAlignment="1" applyProtection="1">
      <alignment horizontal="left" vertical="top" wrapText="1"/>
      <protection hidden="1"/>
    </xf>
    <xf numFmtId="0" fontId="21" fillId="0" borderId="17" xfId="0" applyFont="1" applyBorder="1" applyAlignment="1" applyProtection="1">
      <alignment horizontal="left" vertical="top" wrapText="1"/>
      <protection hidden="1"/>
    </xf>
    <xf numFmtId="0" fontId="21" fillId="0" borderId="0" xfId="0" applyFont="1" applyAlignment="1" applyProtection="1">
      <alignment horizontal="left" vertical="top" wrapText="1"/>
      <protection hidden="1"/>
    </xf>
    <xf numFmtId="0" fontId="21" fillId="0" borderId="21" xfId="0" applyFont="1" applyBorder="1" applyAlignment="1" applyProtection="1">
      <alignment horizontal="left" vertical="top" wrapText="1"/>
      <protection hidden="1"/>
    </xf>
    <xf numFmtId="0" fontId="21" fillId="0" borderId="13" xfId="0" applyFont="1" applyBorder="1" applyAlignment="1" applyProtection="1">
      <alignment horizontal="left" vertical="top" wrapText="1"/>
      <protection hidden="1"/>
    </xf>
    <xf numFmtId="0" fontId="21" fillId="0" borderId="14" xfId="0" applyFont="1" applyBorder="1" applyAlignment="1" applyProtection="1">
      <alignment horizontal="left" vertical="top" wrapText="1"/>
      <protection hidden="1"/>
    </xf>
    <xf numFmtId="0" fontId="21" fillId="0" borderId="15" xfId="0" applyFont="1" applyBorder="1" applyAlignment="1" applyProtection="1">
      <alignment horizontal="left" vertical="top" wrapText="1"/>
      <protection hidden="1"/>
    </xf>
    <xf numFmtId="14" fontId="95" fillId="0" borderId="68" xfId="0" applyNumberFormat="1" applyFont="1" applyBorder="1" applyAlignment="1" applyProtection="1">
      <alignment horizontal="center"/>
      <protection locked="0"/>
    </xf>
    <xf numFmtId="0" fontId="80" fillId="0" borderId="6" xfId="0" applyFont="1" applyBorder="1" applyAlignment="1" applyProtection="1">
      <alignment horizontal="left" vertical="top" wrapText="1"/>
      <protection locked="0"/>
    </xf>
    <xf numFmtId="0" fontId="21" fillId="0" borderId="16" xfId="0" applyFont="1" applyBorder="1" applyAlignment="1" applyProtection="1">
      <alignment horizontal="left" vertical="top" wrapText="1"/>
      <protection locked="0"/>
    </xf>
    <xf numFmtId="0" fontId="21" fillId="0" borderId="7" xfId="0" applyFont="1" applyBorder="1" applyAlignment="1" applyProtection="1">
      <alignment horizontal="left" vertical="top" wrapText="1"/>
      <protection locked="0"/>
    </xf>
    <xf numFmtId="0" fontId="45" fillId="32" borderId="30" xfId="0" applyFont="1" applyFill="1" applyBorder="1" applyAlignment="1" applyProtection="1">
      <alignment horizontal="right"/>
      <protection hidden="1"/>
    </xf>
    <xf numFmtId="0" fontId="2" fillId="32" borderId="23" xfId="0" applyFont="1" applyFill="1" applyBorder="1" applyAlignment="1" applyProtection="1">
      <alignment horizontal="right"/>
      <protection hidden="1"/>
    </xf>
    <xf numFmtId="0" fontId="2" fillId="32" borderId="41" xfId="0" applyFont="1" applyFill="1" applyBorder="1" applyAlignment="1" applyProtection="1">
      <alignment horizontal="right"/>
      <protection hidden="1"/>
    </xf>
    <xf numFmtId="166" fontId="2" fillId="17" borderId="23" xfId="0" applyNumberFormat="1" applyFont="1" applyFill="1" applyBorder="1" applyAlignment="1" applyProtection="1">
      <alignment horizontal="center"/>
      <protection hidden="1"/>
    </xf>
    <xf numFmtId="166" fontId="2" fillId="17" borderId="41" xfId="0" applyNumberFormat="1" applyFont="1" applyFill="1" applyBorder="1" applyAlignment="1" applyProtection="1">
      <alignment horizontal="center"/>
      <protection hidden="1"/>
    </xf>
    <xf numFmtId="166" fontId="2" fillId="17" borderId="31" xfId="0" applyNumberFormat="1" applyFont="1" applyFill="1" applyBorder="1" applyAlignment="1" applyProtection="1">
      <alignment horizontal="center"/>
      <protection hidden="1"/>
    </xf>
    <xf numFmtId="0" fontId="45" fillId="32" borderId="17" xfId="0" applyFont="1" applyFill="1" applyBorder="1" applyAlignment="1" applyProtection="1">
      <alignment horizontal="right" wrapText="1"/>
      <protection hidden="1"/>
    </xf>
    <xf numFmtId="0" fontId="45" fillId="32" borderId="0" xfId="0" applyFont="1" applyFill="1" applyAlignment="1" applyProtection="1">
      <alignment horizontal="right" wrapText="1"/>
      <protection hidden="1"/>
    </xf>
    <xf numFmtId="0" fontId="45" fillId="32" borderId="18" xfId="0" applyFont="1" applyFill="1" applyBorder="1" applyAlignment="1" applyProtection="1">
      <alignment horizontal="right" wrapText="1"/>
      <protection hidden="1"/>
    </xf>
    <xf numFmtId="0" fontId="8" fillId="32" borderId="13" xfId="0" applyFont="1" applyFill="1" applyBorder="1" applyAlignment="1" applyProtection="1">
      <alignment horizontal="right"/>
      <protection hidden="1"/>
    </xf>
    <xf numFmtId="0" fontId="8" fillId="32" borderId="14" xfId="0" applyFont="1" applyFill="1" applyBorder="1" applyAlignment="1" applyProtection="1">
      <alignment horizontal="right"/>
      <protection hidden="1"/>
    </xf>
    <xf numFmtId="0" fontId="8" fillId="32" borderId="81" xfId="0" applyFont="1" applyFill="1" applyBorder="1" applyAlignment="1" applyProtection="1">
      <alignment horizontal="right"/>
      <protection hidden="1"/>
    </xf>
    <xf numFmtId="0" fontId="0" fillId="8" borderId="17" xfId="0" applyFill="1" applyBorder="1" applyProtection="1">
      <protection hidden="1"/>
    </xf>
    <xf numFmtId="0" fontId="0" fillId="8" borderId="0" xfId="0" applyFill="1" applyProtection="1">
      <protection hidden="1"/>
    </xf>
    <xf numFmtId="0" fontId="0" fillId="8" borderId="18" xfId="0" applyFill="1" applyBorder="1" applyProtection="1">
      <protection hidden="1"/>
    </xf>
    <xf numFmtId="0" fontId="0" fillId="8" borderId="32" xfId="0" applyFill="1" applyBorder="1" applyProtection="1">
      <protection hidden="1"/>
    </xf>
    <xf numFmtId="0" fontId="0" fillId="8" borderId="2" xfId="0" applyFill="1" applyBorder="1" applyProtection="1">
      <protection hidden="1"/>
    </xf>
    <xf numFmtId="0" fontId="0" fillId="8" borderId="8" xfId="0" applyFill="1" applyBorder="1" applyProtection="1">
      <protection hidden="1"/>
    </xf>
    <xf numFmtId="0" fontId="45" fillId="32" borderId="17" xfId="0" applyFont="1" applyFill="1" applyBorder="1" applyAlignment="1" applyProtection="1">
      <alignment horizontal="center" vertical="center"/>
      <protection hidden="1"/>
    </xf>
    <xf numFmtId="0" fontId="32" fillId="32" borderId="0" xfId="0" applyFont="1" applyFill="1" applyAlignment="1" applyProtection="1">
      <alignment horizontal="center" vertical="center"/>
      <protection hidden="1"/>
    </xf>
    <xf numFmtId="0" fontId="0" fillId="8" borderId="30" xfId="0" applyFill="1" applyBorder="1" applyAlignment="1" applyProtection="1">
      <alignment vertical="center" wrapText="1"/>
      <protection hidden="1"/>
    </xf>
    <xf numFmtId="0" fontId="0" fillId="8" borderId="23" xfId="0" applyFill="1" applyBorder="1" applyAlignment="1" applyProtection="1">
      <alignment vertical="center"/>
      <protection hidden="1"/>
    </xf>
    <xf numFmtId="0" fontId="0" fillId="8" borderId="41" xfId="0" applyFill="1" applyBorder="1" applyAlignment="1" applyProtection="1">
      <alignment vertical="center"/>
      <protection hidden="1"/>
    </xf>
    <xf numFmtId="0" fontId="0" fillId="8" borderId="32" xfId="0" applyFill="1" applyBorder="1" applyAlignment="1" applyProtection="1">
      <alignment vertical="center" wrapText="1"/>
      <protection hidden="1"/>
    </xf>
    <xf numFmtId="0" fontId="0" fillId="8" borderId="2" xfId="0" applyFill="1" applyBorder="1" applyAlignment="1" applyProtection="1">
      <alignment vertical="center"/>
      <protection hidden="1"/>
    </xf>
    <xf numFmtId="0" fontId="0" fillId="8" borderId="8" xfId="0" applyFill="1" applyBorder="1" applyAlignment="1" applyProtection="1">
      <alignment vertical="center"/>
      <protection hidden="1"/>
    </xf>
    <xf numFmtId="0" fontId="106" fillId="6" borderId="17" xfId="0" applyFont="1" applyFill="1" applyBorder="1" applyAlignment="1" applyProtection="1">
      <alignment horizontal="left" vertical="center"/>
      <protection hidden="1"/>
    </xf>
    <xf numFmtId="0" fontId="106" fillId="6" borderId="0" xfId="0" applyFont="1" applyFill="1" applyAlignment="1" applyProtection="1">
      <alignment horizontal="left" vertical="center"/>
      <protection hidden="1"/>
    </xf>
    <xf numFmtId="0" fontId="106" fillId="6" borderId="18" xfId="0" applyFont="1" applyFill="1" applyBorder="1" applyAlignment="1" applyProtection="1">
      <alignment horizontal="left" vertical="center"/>
      <protection hidden="1"/>
    </xf>
    <xf numFmtId="0" fontId="106" fillId="6" borderId="32" xfId="0" applyFont="1" applyFill="1" applyBorder="1" applyAlignment="1" applyProtection="1">
      <alignment horizontal="left" vertical="center"/>
      <protection hidden="1"/>
    </xf>
    <xf numFmtId="0" fontId="106" fillId="6" borderId="2" xfId="0" applyFont="1" applyFill="1" applyBorder="1" applyAlignment="1" applyProtection="1">
      <alignment horizontal="left" vertical="center"/>
      <protection hidden="1"/>
    </xf>
    <xf numFmtId="0" fontId="106" fillId="6" borderId="8" xfId="0" applyFont="1" applyFill="1" applyBorder="1" applyAlignment="1" applyProtection="1">
      <alignment horizontal="left" vertical="center"/>
      <protection hidden="1"/>
    </xf>
    <xf numFmtId="0" fontId="0" fillId="8" borderId="30" xfId="0" applyFill="1" applyBorder="1" applyProtection="1">
      <protection hidden="1"/>
    </xf>
    <xf numFmtId="0" fontId="0" fillId="8" borderId="23" xfId="0" applyFill="1" applyBorder="1" applyProtection="1">
      <protection hidden="1"/>
    </xf>
    <xf numFmtId="0" fontId="0" fillId="8" borderId="41" xfId="0" applyFill="1" applyBorder="1" applyProtection="1">
      <protection hidden="1"/>
    </xf>
    <xf numFmtId="0" fontId="45" fillId="32" borderId="32" xfId="0" applyFont="1" applyFill="1" applyBorder="1" applyAlignment="1" applyProtection="1">
      <alignment horizontal="center" vertical="center"/>
      <protection hidden="1"/>
    </xf>
    <xf numFmtId="0" fontId="45" fillId="32" borderId="2" xfId="0" applyFont="1" applyFill="1" applyBorder="1" applyAlignment="1" applyProtection="1">
      <alignment horizontal="center" vertical="center"/>
      <protection hidden="1"/>
    </xf>
    <xf numFmtId="0" fontId="2" fillId="8" borderId="30" xfId="0" applyFont="1" applyFill="1" applyBorder="1" applyAlignment="1" applyProtection="1">
      <alignment horizontal="left"/>
      <protection hidden="1"/>
    </xf>
    <xf numFmtId="0" fontId="2" fillId="8" borderId="23" xfId="0" applyFont="1" applyFill="1" applyBorder="1" applyAlignment="1" applyProtection="1">
      <alignment horizontal="left"/>
      <protection hidden="1"/>
    </xf>
    <xf numFmtId="0" fontId="2" fillId="8" borderId="41" xfId="0" applyFont="1" applyFill="1" applyBorder="1" applyAlignment="1" applyProtection="1">
      <alignment horizontal="left"/>
      <protection hidden="1"/>
    </xf>
    <xf numFmtId="0" fontId="2" fillId="8" borderId="17" xfId="0" applyFont="1" applyFill="1" applyBorder="1" applyAlignment="1" applyProtection="1">
      <alignment horizontal="left"/>
      <protection hidden="1"/>
    </xf>
    <xf numFmtId="0" fontId="2" fillId="8" borderId="0" xfId="0" applyFont="1" applyFill="1" applyAlignment="1" applyProtection="1">
      <alignment horizontal="left"/>
      <protection hidden="1"/>
    </xf>
    <xf numFmtId="0" fontId="2" fillId="8" borderId="18" xfId="0" applyFont="1" applyFill="1" applyBorder="1" applyAlignment="1" applyProtection="1">
      <alignment horizontal="left"/>
      <protection hidden="1"/>
    </xf>
    <xf numFmtId="0" fontId="2" fillId="8" borderId="32" xfId="0" applyFont="1" applyFill="1" applyBorder="1" applyAlignment="1" applyProtection="1">
      <alignment horizontal="left"/>
      <protection hidden="1"/>
    </xf>
    <xf numFmtId="0" fontId="2" fillId="8" borderId="2" xfId="0" applyFont="1" applyFill="1" applyBorder="1" applyAlignment="1" applyProtection="1">
      <alignment horizontal="left"/>
      <protection hidden="1"/>
    </xf>
    <xf numFmtId="0" fontId="2" fillId="8" borderId="8" xfId="0" applyFont="1" applyFill="1" applyBorder="1" applyAlignment="1" applyProtection="1">
      <alignment horizontal="left"/>
      <protection hidden="1"/>
    </xf>
    <xf numFmtId="0" fontId="106" fillId="32" borderId="17" xfId="0" applyFont="1" applyFill="1" applyBorder="1" applyAlignment="1" applyProtection="1">
      <alignment horizontal="center" vertical="center"/>
      <protection hidden="1"/>
    </xf>
    <xf numFmtId="0" fontId="107" fillId="32" borderId="0" xfId="0" applyFont="1" applyFill="1" applyAlignment="1" applyProtection="1">
      <alignment horizontal="center" vertical="center"/>
      <protection hidden="1"/>
    </xf>
    <xf numFmtId="0" fontId="106" fillId="6" borderId="30" xfId="0" applyFont="1" applyFill="1" applyBorder="1" applyAlignment="1" applyProtection="1">
      <alignment horizontal="left"/>
      <protection hidden="1"/>
    </xf>
    <xf numFmtId="0" fontId="106" fillId="6" borderId="23" xfId="0" applyFont="1" applyFill="1" applyBorder="1" applyAlignment="1" applyProtection="1">
      <alignment horizontal="left"/>
      <protection hidden="1"/>
    </xf>
    <xf numFmtId="0" fontId="106" fillId="6" borderId="41" xfId="0" applyFont="1" applyFill="1" applyBorder="1" applyAlignment="1" applyProtection="1">
      <alignment horizontal="left"/>
      <protection hidden="1"/>
    </xf>
    <xf numFmtId="0" fontId="95" fillId="6" borderId="68" xfId="0" applyFont="1" applyFill="1" applyBorder="1" applyAlignment="1" applyProtection="1">
      <alignment horizontal="left" wrapText="1"/>
      <protection locked="0"/>
    </xf>
    <xf numFmtId="0" fontId="95" fillId="6" borderId="14" xfId="0" applyFont="1" applyFill="1" applyBorder="1" applyAlignment="1" applyProtection="1">
      <alignment horizontal="left" wrapText="1"/>
      <protection locked="0"/>
    </xf>
    <xf numFmtId="0" fontId="95" fillId="6" borderId="15" xfId="0" applyFont="1" applyFill="1" applyBorder="1" applyAlignment="1" applyProtection="1">
      <alignment horizontal="left" wrapText="1"/>
      <protection locked="0"/>
    </xf>
    <xf numFmtId="0" fontId="61" fillId="29" borderId="17" xfId="0" applyFont="1" applyFill="1" applyBorder="1" applyAlignment="1" applyProtection="1">
      <alignment horizontal="left" vertical="top" wrapText="1"/>
      <protection hidden="1"/>
    </xf>
    <xf numFmtId="0" fontId="0" fillId="29" borderId="0" xfId="0" applyFill="1" applyAlignment="1" applyProtection="1">
      <alignment horizontal="left" vertical="top" wrapText="1"/>
      <protection hidden="1"/>
    </xf>
    <xf numFmtId="0" fontId="0" fillId="29" borderId="21" xfId="0" applyFill="1" applyBorder="1" applyAlignment="1" applyProtection="1">
      <alignment horizontal="left" vertical="top" wrapText="1"/>
      <protection hidden="1"/>
    </xf>
    <xf numFmtId="0" fontId="0" fillId="29" borderId="17" xfId="0" applyFill="1" applyBorder="1" applyAlignment="1" applyProtection="1">
      <alignment horizontal="left" vertical="top" wrapText="1"/>
      <protection hidden="1"/>
    </xf>
    <xf numFmtId="0" fontId="0" fillId="29" borderId="13" xfId="0" applyFill="1" applyBorder="1" applyAlignment="1" applyProtection="1">
      <alignment horizontal="left" vertical="top" wrapText="1"/>
      <protection hidden="1"/>
    </xf>
    <xf numFmtId="0" fontId="0" fillId="29" borderId="14" xfId="0" applyFill="1" applyBorder="1" applyAlignment="1" applyProtection="1">
      <alignment horizontal="left" vertical="top" wrapText="1"/>
      <protection hidden="1"/>
    </xf>
    <xf numFmtId="0" fontId="0" fillId="29" borderId="15" xfId="0" applyFill="1" applyBorder="1" applyAlignment="1" applyProtection="1">
      <alignment horizontal="left" vertical="top" wrapText="1"/>
      <protection hidden="1"/>
    </xf>
    <xf numFmtId="0" fontId="96" fillId="32" borderId="0" xfId="0" applyFont="1" applyFill="1" applyAlignment="1" applyProtection="1">
      <alignment horizontal="center"/>
      <protection hidden="1"/>
    </xf>
    <xf numFmtId="0" fontId="2" fillId="32" borderId="0" xfId="0" applyFont="1" applyFill="1" applyAlignment="1" applyProtection="1">
      <alignment horizontal="center" vertical="center"/>
      <protection hidden="1"/>
    </xf>
    <xf numFmtId="0" fontId="2" fillId="8" borderId="40" xfId="0" applyFont="1" applyFill="1" applyBorder="1" applyAlignment="1" applyProtection="1">
      <alignment horizontal="left" vertical="center"/>
      <protection hidden="1"/>
    </xf>
    <xf numFmtId="0" fontId="2" fillId="8" borderId="5" xfId="0" applyFont="1" applyFill="1" applyBorder="1" applyAlignment="1" applyProtection="1">
      <alignment horizontal="left" vertical="center"/>
      <protection hidden="1"/>
    </xf>
    <xf numFmtId="0" fontId="2" fillId="8" borderId="4" xfId="0" applyFont="1" applyFill="1" applyBorder="1" applyAlignment="1" applyProtection="1">
      <alignment horizontal="left" vertical="center"/>
      <protection hidden="1"/>
    </xf>
    <xf numFmtId="0" fontId="95" fillId="0" borderId="51" xfId="0" applyFont="1" applyBorder="1" applyAlignment="1" applyProtection="1">
      <alignment horizontal="center" vertical="top"/>
      <protection locked="0"/>
    </xf>
    <xf numFmtId="0" fontId="95" fillId="0" borderId="16" xfId="0" applyFont="1" applyBorder="1" applyAlignment="1" applyProtection="1">
      <alignment horizontal="center" vertical="top"/>
      <protection locked="0"/>
    </xf>
    <xf numFmtId="0" fontId="95" fillId="0" borderId="15" xfId="0" applyFont="1" applyBorder="1" applyAlignment="1" applyProtection="1">
      <alignment horizontal="center" vertical="top"/>
      <protection locked="0"/>
    </xf>
    <xf numFmtId="0" fontId="95" fillId="6" borderId="51" xfId="0" applyFont="1" applyFill="1" applyBorder="1" applyAlignment="1" applyProtection="1">
      <alignment horizontal="center"/>
      <protection locked="0"/>
    </xf>
    <xf numFmtId="0" fontId="95" fillId="6" borderId="16" xfId="0" applyFont="1" applyFill="1" applyBorder="1" applyAlignment="1" applyProtection="1">
      <alignment horizontal="center"/>
      <protection locked="0"/>
    </xf>
    <xf numFmtId="166" fontId="118" fillId="32" borderId="80" xfId="0" applyNumberFormat="1" applyFont="1" applyFill="1" applyBorder="1" applyAlignment="1" applyProtection="1">
      <alignment horizontal="center"/>
      <protection hidden="1"/>
    </xf>
    <xf numFmtId="166" fontId="118" fillId="32" borderId="23" xfId="0" applyNumberFormat="1" applyFont="1" applyFill="1" applyBorder="1" applyAlignment="1" applyProtection="1">
      <alignment horizontal="center"/>
      <protection hidden="1"/>
    </xf>
    <xf numFmtId="166" fontId="118" fillId="32" borderId="31" xfId="0" applyNumberFormat="1" applyFont="1" applyFill="1" applyBorder="1" applyAlignment="1" applyProtection="1">
      <alignment horizontal="center"/>
      <protection hidden="1"/>
    </xf>
    <xf numFmtId="0" fontId="33" fillId="0" borderId="16" xfId="0" applyFont="1" applyBorder="1" applyAlignment="1" applyProtection="1">
      <alignment horizontal="left" vertical="top" wrapText="1"/>
      <protection locked="0"/>
    </xf>
    <xf numFmtId="0" fontId="33" fillId="0" borderId="7" xfId="0" applyFont="1" applyBorder="1" applyAlignment="1" applyProtection="1">
      <alignment horizontal="left" vertical="top" wrapText="1"/>
      <protection locked="0"/>
    </xf>
    <xf numFmtId="0" fontId="2" fillId="32" borderId="0" xfId="0" applyFont="1" applyFill="1" applyAlignment="1" applyProtection="1">
      <alignment horizontal="right"/>
      <protection hidden="1"/>
    </xf>
    <xf numFmtId="0" fontId="2" fillId="32" borderId="40" xfId="0" applyFont="1" applyFill="1" applyBorder="1" applyAlignment="1" applyProtection="1">
      <alignment horizontal="center"/>
      <protection hidden="1"/>
    </xf>
    <xf numFmtId="0" fontId="0" fillId="32" borderId="5" xfId="0" applyFill="1" applyBorder="1" applyAlignment="1" applyProtection="1">
      <alignment horizontal="center"/>
      <protection hidden="1"/>
    </xf>
    <xf numFmtId="166" fontId="0" fillId="32" borderId="5" xfId="0" applyNumberFormat="1" applyFill="1" applyBorder="1" applyAlignment="1" applyProtection="1">
      <alignment horizontal="center"/>
      <protection locked="0"/>
    </xf>
    <xf numFmtId="166" fontId="0" fillId="32" borderId="39" xfId="0" applyNumberFormat="1" applyFill="1" applyBorder="1" applyAlignment="1" applyProtection="1">
      <alignment horizontal="center"/>
      <protection locked="0"/>
    </xf>
    <xf numFmtId="0" fontId="0" fillId="0" borderId="40" xfId="0" applyBorder="1" applyAlignment="1" applyProtection="1">
      <alignment horizontal="left"/>
      <protection hidden="1"/>
    </xf>
    <xf numFmtId="0" fontId="0" fillId="0" borderId="5" xfId="0" applyBorder="1" applyAlignment="1" applyProtection="1">
      <alignment horizontal="left"/>
      <protection hidden="1"/>
    </xf>
    <xf numFmtId="0" fontId="0" fillId="0" borderId="4" xfId="0" applyBorder="1" applyAlignment="1" applyProtection="1">
      <alignment horizontal="left"/>
      <protection hidden="1"/>
    </xf>
    <xf numFmtId="0" fontId="0" fillId="8" borderId="17" xfId="0" applyFill="1" applyBorder="1" applyAlignment="1" applyProtection="1">
      <alignment horizontal="left"/>
      <protection hidden="1"/>
    </xf>
    <xf numFmtId="0" fontId="0" fillId="8" borderId="0" xfId="0" applyFill="1" applyAlignment="1" applyProtection="1">
      <alignment horizontal="left"/>
      <protection hidden="1"/>
    </xf>
    <xf numFmtId="0" fontId="115" fillId="32" borderId="17" xfId="0" applyFont="1" applyFill="1" applyBorder="1" applyAlignment="1" applyProtection="1">
      <alignment horizontal="center" vertical="center"/>
      <protection hidden="1"/>
    </xf>
    <xf numFmtId="0" fontId="116" fillId="32" borderId="0" xfId="0" applyFont="1" applyFill="1" applyAlignment="1" applyProtection="1">
      <alignment horizontal="center" vertical="center"/>
      <protection hidden="1"/>
    </xf>
    <xf numFmtId="0" fontId="115" fillId="6" borderId="30" xfId="0" applyFont="1" applyFill="1" applyBorder="1" applyAlignment="1" applyProtection="1">
      <alignment horizontal="left" vertical="center"/>
      <protection hidden="1"/>
    </xf>
    <xf numFmtId="0" fontId="115" fillId="6" borderId="23" xfId="0" applyFont="1" applyFill="1" applyBorder="1" applyAlignment="1" applyProtection="1">
      <alignment horizontal="left" vertical="center"/>
      <protection hidden="1"/>
    </xf>
    <xf numFmtId="0" fontId="115" fillId="6" borderId="41" xfId="0" applyFont="1" applyFill="1" applyBorder="1" applyAlignment="1" applyProtection="1">
      <alignment horizontal="left" vertical="center"/>
      <protection hidden="1"/>
    </xf>
    <xf numFmtId="0" fontId="117" fillId="6" borderId="32" xfId="0" applyFont="1" applyFill="1" applyBorder="1" applyAlignment="1" applyProtection="1">
      <alignment horizontal="left" vertical="center"/>
      <protection hidden="1"/>
    </xf>
    <xf numFmtId="0" fontId="117" fillId="6" borderId="2" xfId="0" applyFont="1" applyFill="1" applyBorder="1" applyAlignment="1" applyProtection="1">
      <alignment horizontal="left" vertical="center"/>
      <protection hidden="1"/>
    </xf>
    <xf numFmtId="0" fontId="117" fillId="6" borderId="8" xfId="0" applyFont="1" applyFill="1" applyBorder="1" applyAlignment="1" applyProtection="1">
      <alignment horizontal="left" vertical="center"/>
      <protection hidden="1"/>
    </xf>
    <xf numFmtId="0" fontId="45" fillId="8" borderId="40" xfId="0" applyFont="1" applyFill="1" applyBorder="1" applyAlignment="1" applyProtection="1">
      <alignment horizontal="left" vertical="center"/>
      <protection hidden="1"/>
    </xf>
    <xf numFmtId="0" fontId="45" fillId="8" borderId="5" xfId="0" applyFont="1" applyFill="1" applyBorder="1" applyAlignment="1" applyProtection="1">
      <alignment horizontal="left" vertical="center"/>
      <protection hidden="1"/>
    </xf>
    <xf numFmtId="0" fontId="45" fillId="8" borderId="4" xfId="0" applyFont="1" applyFill="1" applyBorder="1" applyAlignment="1" applyProtection="1">
      <alignment horizontal="left" vertical="center"/>
      <protection hidden="1"/>
    </xf>
    <xf numFmtId="0" fontId="45" fillId="32" borderId="40" xfId="0" applyFont="1" applyFill="1" applyBorder="1" applyAlignment="1" applyProtection="1">
      <alignment horizontal="center" vertical="center"/>
      <protection hidden="1"/>
    </xf>
    <xf numFmtId="0" fontId="45" fillId="32" borderId="5" xfId="0" applyFont="1" applyFill="1" applyBorder="1" applyAlignment="1" applyProtection="1">
      <alignment horizontal="center" vertical="center"/>
      <protection hidden="1"/>
    </xf>
    <xf numFmtId="0" fontId="95" fillId="0" borderId="68" xfId="0" applyFont="1" applyBorder="1" applyAlignment="1" applyProtection="1">
      <alignment horizontal="left"/>
      <protection locked="0"/>
    </xf>
    <xf numFmtId="0" fontId="95" fillId="0" borderId="14" xfId="0" applyFont="1" applyBorder="1" applyAlignment="1" applyProtection="1">
      <alignment horizontal="left"/>
      <protection locked="0"/>
    </xf>
    <xf numFmtId="0" fontId="95" fillId="0" borderId="51" xfId="0" applyFont="1" applyBorder="1" applyAlignment="1" applyProtection="1">
      <alignment horizontal="left"/>
      <protection locked="0"/>
    </xf>
    <xf numFmtId="0" fontId="95" fillId="0" borderId="16" xfId="0" applyFont="1" applyBorder="1" applyAlignment="1" applyProtection="1">
      <alignment horizontal="left"/>
      <protection locked="0"/>
    </xf>
    <xf numFmtId="0" fontId="95" fillId="0" borderId="15" xfId="0" applyFont="1" applyBorder="1" applyAlignment="1" applyProtection="1">
      <alignment horizontal="left"/>
      <protection locked="0"/>
    </xf>
    <xf numFmtId="0" fontId="95" fillId="6" borderId="51" xfId="0" applyFont="1" applyFill="1" applyBorder="1" applyAlignment="1" applyProtection="1">
      <alignment horizontal="left"/>
      <protection locked="0"/>
    </xf>
    <xf numFmtId="0" fontId="95" fillId="6" borderId="16" xfId="0" applyFont="1" applyFill="1" applyBorder="1" applyAlignment="1" applyProtection="1">
      <alignment horizontal="left"/>
      <protection locked="0"/>
    </xf>
    <xf numFmtId="0" fontId="95" fillId="6" borderId="7" xfId="0" applyFont="1" applyFill="1" applyBorder="1" applyAlignment="1" applyProtection="1">
      <alignment horizontal="left"/>
      <protection locked="0"/>
    </xf>
    <xf numFmtId="0" fontId="0" fillId="0" borderId="10" xfId="0" applyBorder="1" applyAlignment="1" applyProtection="1">
      <alignment horizontal="left" vertical="top" wrapText="1"/>
      <protection hidden="1"/>
    </xf>
    <xf numFmtId="0" fontId="0" fillId="0" borderId="11" xfId="0" applyBorder="1" applyAlignment="1" applyProtection="1">
      <alignment horizontal="left" vertical="top" wrapText="1"/>
      <protection hidden="1"/>
    </xf>
    <xf numFmtId="0" fontId="0" fillId="0" borderId="12" xfId="0" applyBorder="1" applyAlignment="1" applyProtection="1">
      <alignment horizontal="left" vertical="top" wrapText="1"/>
      <protection hidden="1"/>
    </xf>
    <xf numFmtId="0" fontId="0" fillId="0" borderId="17" xfId="0" applyBorder="1" applyAlignment="1" applyProtection="1">
      <alignment horizontal="left" vertical="top" wrapText="1"/>
      <protection hidden="1"/>
    </xf>
    <xf numFmtId="0" fontId="0" fillId="0" borderId="0" xfId="0" applyAlignment="1" applyProtection="1">
      <alignment horizontal="left" vertical="top" wrapText="1"/>
      <protection hidden="1"/>
    </xf>
    <xf numFmtId="0" fontId="0" fillId="0" borderId="21" xfId="0" applyBorder="1" applyAlignment="1" applyProtection="1">
      <alignment horizontal="left" vertical="top" wrapText="1"/>
      <protection hidden="1"/>
    </xf>
    <xf numFmtId="0" fontId="0" fillId="0" borderId="13" xfId="0" applyBorder="1" applyAlignment="1" applyProtection="1">
      <alignment horizontal="left" vertical="top" wrapText="1"/>
      <protection hidden="1"/>
    </xf>
    <xf numFmtId="0" fontId="0" fillId="0" borderId="14" xfId="0" applyBorder="1" applyAlignment="1" applyProtection="1">
      <alignment horizontal="left" vertical="top" wrapText="1"/>
      <protection hidden="1"/>
    </xf>
    <xf numFmtId="0" fontId="0" fillId="0" borderId="15" xfId="0" applyBorder="1" applyAlignment="1" applyProtection="1">
      <alignment horizontal="left" vertical="top" wrapText="1"/>
      <protection hidden="1"/>
    </xf>
    <xf numFmtId="166" fontId="8" fillId="11" borderId="0" xfId="0" applyNumberFormat="1" applyFont="1" applyFill="1" applyAlignment="1" applyProtection="1">
      <alignment horizontal="center"/>
      <protection hidden="1"/>
    </xf>
    <xf numFmtId="0" fontId="2" fillId="6" borderId="10" xfId="0" applyFont="1" applyFill="1" applyBorder="1" applyAlignment="1" applyProtection="1">
      <alignment horizontal="left" vertical="top" wrapText="1"/>
      <protection locked="0"/>
    </xf>
    <xf numFmtId="0" fontId="0" fillId="6" borderId="11" xfId="0" applyFill="1" applyBorder="1" applyAlignment="1" applyProtection="1">
      <alignment horizontal="left" vertical="top" wrapText="1"/>
      <protection locked="0"/>
    </xf>
    <xf numFmtId="0" fontId="0" fillId="6" borderId="12" xfId="0" applyFill="1" applyBorder="1" applyAlignment="1" applyProtection="1">
      <alignment horizontal="left" vertical="top" wrapText="1"/>
      <protection locked="0"/>
    </xf>
    <xf numFmtId="0" fontId="0" fillId="6" borderId="17" xfId="0" applyFill="1" applyBorder="1" applyAlignment="1" applyProtection="1">
      <alignment horizontal="left" vertical="top" wrapText="1"/>
      <protection locked="0"/>
    </xf>
    <xf numFmtId="0" fontId="0" fillId="6" borderId="0" xfId="0" applyFill="1" applyAlignment="1" applyProtection="1">
      <alignment horizontal="left" vertical="top" wrapText="1"/>
      <protection locked="0"/>
    </xf>
    <xf numFmtId="0" fontId="0" fillId="6" borderId="21" xfId="0" applyFill="1" applyBorder="1" applyAlignment="1" applyProtection="1">
      <alignment horizontal="left" vertical="top" wrapText="1"/>
      <protection locked="0"/>
    </xf>
    <xf numFmtId="0" fontId="0" fillId="6" borderId="13" xfId="0" applyFill="1" applyBorder="1" applyAlignment="1" applyProtection="1">
      <alignment horizontal="left" vertical="top" wrapText="1"/>
      <protection locked="0"/>
    </xf>
    <xf numFmtId="0" fontId="0" fillId="6" borderId="14" xfId="0" applyFill="1" applyBorder="1" applyAlignment="1" applyProtection="1">
      <alignment horizontal="left" vertical="top" wrapText="1"/>
      <protection locked="0"/>
    </xf>
    <xf numFmtId="0" fontId="0" fillId="6" borderId="15" xfId="0" applyFill="1" applyBorder="1" applyAlignment="1" applyProtection="1">
      <alignment horizontal="left" vertical="top" wrapText="1"/>
      <protection locked="0"/>
    </xf>
    <xf numFmtId="0" fontId="11" fillId="29" borderId="10" xfId="0" applyFont="1" applyFill="1" applyBorder="1" applyAlignment="1" applyProtection="1">
      <alignment horizontal="left" vertical="top" wrapText="1"/>
      <protection hidden="1"/>
    </xf>
    <xf numFmtId="0" fontId="0" fillId="29" borderId="11" xfId="0" applyFill="1" applyBorder="1" applyAlignment="1" applyProtection="1">
      <alignment horizontal="left" vertical="top"/>
      <protection hidden="1"/>
    </xf>
    <xf numFmtId="0" fontId="0" fillId="29" borderId="12" xfId="0" applyFill="1" applyBorder="1" applyAlignment="1" applyProtection="1">
      <alignment horizontal="left" vertical="top"/>
      <protection hidden="1"/>
    </xf>
    <xf numFmtId="0" fontId="0" fillId="29" borderId="17" xfId="0" applyFill="1" applyBorder="1" applyAlignment="1" applyProtection="1">
      <alignment horizontal="left" vertical="top"/>
      <protection hidden="1"/>
    </xf>
    <xf numFmtId="0" fontId="0" fillId="29" borderId="0" xfId="0" applyFill="1" applyAlignment="1" applyProtection="1">
      <alignment horizontal="left" vertical="top"/>
      <protection hidden="1"/>
    </xf>
    <xf numFmtId="0" fontId="0" fillId="29" borderId="21" xfId="0" applyFill="1" applyBorder="1" applyAlignment="1" applyProtection="1">
      <alignment horizontal="left" vertical="top"/>
      <protection hidden="1"/>
    </xf>
    <xf numFmtId="0" fontId="119" fillId="35" borderId="10" xfId="0" applyFont="1" applyFill="1" applyBorder="1" applyAlignment="1" applyProtection="1">
      <alignment horizontal="center" vertical="center"/>
      <protection hidden="1"/>
    </xf>
    <xf numFmtId="0" fontId="121" fillId="35" borderId="12" xfId="0" applyFont="1" applyFill="1" applyBorder="1" applyAlignment="1" applyProtection="1">
      <alignment horizontal="center" vertical="center"/>
      <protection hidden="1"/>
    </xf>
    <xf numFmtId="0" fontId="121" fillId="35" borderId="13" xfId="0" applyFont="1" applyFill="1" applyBorder="1" applyAlignment="1" applyProtection="1">
      <alignment horizontal="center" vertical="center"/>
      <protection hidden="1"/>
    </xf>
    <xf numFmtId="0" fontId="121" fillId="35" borderId="15" xfId="0" applyFont="1" applyFill="1" applyBorder="1" applyAlignment="1" applyProtection="1">
      <alignment horizontal="center" vertical="center"/>
      <protection hidden="1"/>
    </xf>
    <xf numFmtId="0" fontId="121" fillId="35" borderId="10" xfId="0" applyFont="1" applyFill="1" applyBorder="1" applyAlignment="1" applyProtection="1">
      <alignment horizontal="center" vertical="center"/>
      <protection hidden="1"/>
    </xf>
    <xf numFmtId="0" fontId="2" fillId="6" borderId="71" xfId="0" applyFont="1" applyFill="1" applyBorder="1" applyAlignment="1" applyProtection="1">
      <alignment horizontal="center"/>
      <protection locked="0"/>
    </xf>
    <xf numFmtId="0" fontId="2" fillId="6" borderId="72" xfId="0" applyFont="1" applyFill="1" applyBorder="1" applyAlignment="1" applyProtection="1">
      <alignment horizontal="center"/>
      <protection locked="0"/>
    </xf>
    <xf numFmtId="0" fontId="111" fillId="0" borderId="10" xfId="0" applyFont="1" applyBorder="1" applyAlignment="1" applyProtection="1">
      <alignment horizontal="left" vertical="top" wrapText="1"/>
      <protection hidden="1"/>
    </xf>
    <xf numFmtId="0" fontId="0" fillId="0" borderId="11" xfId="0" applyBorder="1" applyAlignment="1" applyProtection="1">
      <alignment horizontal="left" vertical="top"/>
      <protection hidden="1"/>
    </xf>
    <xf numFmtId="0" fontId="0" fillId="0" borderId="12" xfId="0" applyBorder="1" applyAlignment="1" applyProtection="1">
      <alignment horizontal="left" vertical="top"/>
      <protection hidden="1"/>
    </xf>
    <xf numFmtId="0" fontId="0" fillId="0" borderId="17" xfId="0" applyBorder="1" applyAlignment="1" applyProtection="1">
      <alignment horizontal="left" vertical="top"/>
      <protection hidden="1"/>
    </xf>
    <xf numFmtId="0" fontId="0" fillId="0" borderId="0" xfId="0" applyAlignment="1" applyProtection="1">
      <alignment horizontal="left" vertical="top"/>
      <protection hidden="1"/>
    </xf>
    <xf numFmtId="0" fontId="0" fillId="0" borderId="21" xfId="0" applyBorder="1" applyAlignment="1" applyProtection="1">
      <alignment horizontal="left" vertical="top"/>
      <protection hidden="1"/>
    </xf>
    <xf numFmtId="0" fontId="0" fillId="0" borderId="13" xfId="0" applyBorder="1" applyAlignment="1" applyProtection="1">
      <alignment horizontal="left" vertical="top"/>
      <protection hidden="1"/>
    </xf>
    <xf numFmtId="0" fontId="0" fillId="0" borderId="14" xfId="0" applyBorder="1" applyAlignment="1" applyProtection="1">
      <alignment horizontal="left" vertical="top"/>
      <protection hidden="1"/>
    </xf>
    <xf numFmtId="0" fontId="0" fillId="0" borderId="15" xfId="0" applyBorder="1" applyAlignment="1" applyProtection="1">
      <alignment horizontal="left" vertical="top"/>
      <protection hidden="1"/>
    </xf>
    <xf numFmtId="166" fontId="2" fillId="17" borderId="79" xfId="0" applyNumberFormat="1" applyFont="1" applyFill="1" applyBorder="1" applyAlignment="1" applyProtection="1">
      <alignment horizontal="right"/>
      <protection hidden="1"/>
    </xf>
    <xf numFmtId="166" fontId="2" fillId="17" borderId="4" xfId="0" applyNumberFormat="1" applyFont="1" applyFill="1" applyBorder="1" applyAlignment="1" applyProtection="1">
      <alignment horizontal="right"/>
      <protection hidden="1"/>
    </xf>
    <xf numFmtId="166" fontId="2" fillId="17" borderId="5" xfId="0" applyNumberFormat="1" applyFont="1" applyFill="1" applyBorder="1" applyAlignment="1" applyProtection="1">
      <alignment horizontal="right"/>
      <protection hidden="1"/>
    </xf>
    <xf numFmtId="166" fontId="2" fillId="17" borderId="39" xfId="0" applyNumberFormat="1" applyFont="1" applyFill="1" applyBorder="1" applyAlignment="1" applyProtection="1">
      <alignment horizontal="right"/>
      <protection hidden="1"/>
    </xf>
    <xf numFmtId="0" fontId="44" fillId="32" borderId="17" xfId="0" applyFont="1" applyFill="1" applyBorder="1" applyAlignment="1" applyProtection="1">
      <alignment horizontal="right" vertical="center" wrapText="1"/>
      <protection hidden="1"/>
    </xf>
    <xf numFmtId="0" fontId="44" fillId="32" borderId="0" xfId="0" applyFont="1" applyFill="1" applyAlignment="1" applyProtection="1">
      <alignment horizontal="right" vertical="center" wrapText="1"/>
      <protection hidden="1"/>
    </xf>
    <xf numFmtId="0" fontId="44" fillId="32" borderId="18" xfId="0" applyFont="1" applyFill="1" applyBorder="1" applyAlignment="1" applyProtection="1">
      <alignment horizontal="right" vertical="center" wrapText="1"/>
      <protection hidden="1"/>
    </xf>
    <xf numFmtId="0" fontId="2" fillId="32" borderId="13" xfId="0" applyFont="1" applyFill="1" applyBorder="1" applyAlignment="1" applyProtection="1">
      <alignment horizontal="right" vertical="center" wrapText="1"/>
      <protection hidden="1"/>
    </xf>
    <xf numFmtId="0" fontId="2" fillId="32" borderId="14" xfId="0" applyFont="1" applyFill="1" applyBorder="1" applyAlignment="1" applyProtection="1">
      <alignment horizontal="right" vertical="center" wrapText="1"/>
      <protection hidden="1"/>
    </xf>
    <xf numFmtId="0" fontId="2" fillId="32" borderId="81" xfId="0" applyFont="1" applyFill="1" applyBorder="1" applyAlignment="1" applyProtection="1">
      <alignment horizontal="right" vertical="center" wrapText="1"/>
      <protection hidden="1"/>
    </xf>
    <xf numFmtId="0" fontId="0" fillId="8" borderId="17" xfId="0" applyFill="1" applyBorder="1" applyAlignment="1" applyProtection="1">
      <alignment vertical="center" wrapText="1"/>
      <protection hidden="1"/>
    </xf>
    <xf numFmtId="0" fontId="0" fillId="8" borderId="0" xfId="0" applyFill="1" applyAlignment="1" applyProtection="1">
      <alignment vertical="center"/>
      <protection hidden="1"/>
    </xf>
    <xf numFmtId="0" fontId="0" fillId="8" borderId="18" xfId="0" applyFill="1" applyBorder="1" applyAlignment="1" applyProtection="1">
      <alignment vertical="center"/>
      <protection hidden="1"/>
    </xf>
    <xf numFmtId="0" fontId="0" fillId="8" borderId="17" xfId="0" applyFill="1" applyBorder="1" applyAlignment="1" applyProtection="1">
      <alignment horizontal="left" vertical="center" wrapText="1"/>
      <protection hidden="1"/>
    </xf>
    <xf numFmtId="0" fontId="0" fillId="8" borderId="0" xfId="0" applyFill="1" applyAlignment="1" applyProtection="1">
      <alignment horizontal="left" vertical="center" wrapText="1"/>
      <protection hidden="1"/>
    </xf>
    <xf numFmtId="0" fontId="0" fillId="8" borderId="18" xfId="0" applyFill="1" applyBorder="1" applyAlignment="1" applyProtection="1">
      <alignment horizontal="left" vertical="center" wrapText="1"/>
      <protection hidden="1"/>
    </xf>
    <xf numFmtId="0" fontId="0" fillId="8" borderId="32" xfId="0" applyFill="1" applyBorder="1" applyAlignment="1" applyProtection="1">
      <alignment horizontal="left" vertical="center" wrapText="1"/>
      <protection hidden="1"/>
    </xf>
    <xf numFmtId="0" fontId="0" fillId="8" borderId="2" xfId="0" applyFill="1" applyBorder="1" applyAlignment="1" applyProtection="1">
      <alignment horizontal="left" vertical="center" wrapText="1"/>
      <protection hidden="1"/>
    </xf>
    <xf numFmtId="0" fontId="0" fillId="8" borderId="8" xfId="0" applyFill="1" applyBorder="1" applyAlignment="1" applyProtection="1">
      <alignment horizontal="left" vertical="center" wrapText="1"/>
      <protection hidden="1"/>
    </xf>
    <xf numFmtId="0" fontId="134" fillId="32" borderId="32" xfId="0" applyFont="1" applyFill="1" applyBorder="1" applyAlignment="1" applyProtection="1">
      <alignment horizontal="center" vertical="center" wrapText="1"/>
      <protection hidden="1"/>
    </xf>
    <xf numFmtId="0" fontId="134" fillId="32" borderId="2" xfId="0" applyFont="1" applyFill="1" applyBorder="1" applyAlignment="1" applyProtection="1">
      <alignment horizontal="center" vertical="center" wrapText="1"/>
      <protection hidden="1"/>
    </xf>
    <xf numFmtId="0" fontId="2" fillId="8" borderId="17" xfId="0" applyFont="1" applyFill="1" applyBorder="1" applyAlignment="1" applyProtection="1">
      <alignment vertical="center" wrapText="1"/>
      <protection hidden="1"/>
    </xf>
    <xf numFmtId="0" fontId="2" fillId="8" borderId="17" xfId="0" applyFont="1" applyFill="1" applyBorder="1" applyProtection="1">
      <protection hidden="1"/>
    </xf>
    <xf numFmtId="0" fontId="0" fillId="8" borderId="23" xfId="0" applyFill="1" applyBorder="1" applyAlignment="1" applyProtection="1">
      <alignment vertical="center" wrapText="1"/>
      <protection hidden="1"/>
    </xf>
    <xf numFmtId="0" fontId="0" fillId="8" borderId="41" xfId="0" applyFill="1" applyBorder="1" applyAlignment="1" applyProtection="1">
      <alignment vertical="center" wrapText="1"/>
      <protection hidden="1"/>
    </xf>
    <xf numFmtId="0" fontId="2" fillId="8" borderId="40" xfId="0" applyFont="1" applyFill="1" applyBorder="1" applyAlignment="1" applyProtection="1">
      <alignment horizontal="left"/>
      <protection hidden="1"/>
    </xf>
    <xf numFmtId="0" fontId="2" fillId="8" borderId="5" xfId="0" applyFont="1" applyFill="1" applyBorder="1" applyAlignment="1" applyProtection="1">
      <alignment horizontal="left"/>
      <protection hidden="1"/>
    </xf>
    <xf numFmtId="0" fontId="2" fillId="8" borderId="4" xfId="0" applyFont="1" applyFill="1" applyBorder="1" applyAlignment="1" applyProtection="1">
      <alignment horizontal="left"/>
      <protection hidden="1"/>
    </xf>
    <xf numFmtId="0" fontId="117" fillId="6" borderId="30" xfId="0" applyFont="1" applyFill="1" applyBorder="1" applyAlignment="1" applyProtection="1">
      <alignment horizontal="left" vertical="center"/>
      <protection hidden="1"/>
    </xf>
    <xf numFmtId="0" fontId="117" fillId="6" borderId="23" xfId="0" applyFont="1" applyFill="1" applyBorder="1" applyAlignment="1" applyProtection="1">
      <alignment horizontal="left" vertical="center"/>
      <protection hidden="1"/>
    </xf>
    <xf numFmtId="0" fontId="117" fillId="6" borderId="41" xfId="0" applyFont="1" applyFill="1" applyBorder="1" applyAlignment="1" applyProtection="1">
      <alignment horizontal="left" vertical="center"/>
      <protection hidden="1"/>
    </xf>
    <xf numFmtId="0" fontId="117" fillId="6" borderId="17" xfId="0" applyFont="1" applyFill="1" applyBorder="1" applyAlignment="1" applyProtection="1">
      <alignment horizontal="left" vertical="center"/>
      <protection hidden="1"/>
    </xf>
    <xf numFmtId="0" fontId="117" fillId="6" borderId="0" xfId="0" applyFont="1" applyFill="1" applyAlignment="1" applyProtection="1">
      <alignment horizontal="left" vertical="center"/>
      <protection hidden="1"/>
    </xf>
    <xf numFmtId="0" fontId="117" fillId="6" borderId="18" xfId="0" applyFont="1" applyFill="1" applyBorder="1" applyAlignment="1" applyProtection="1">
      <alignment horizontal="left" vertical="center"/>
      <protection hidden="1"/>
    </xf>
    <xf numFmtId="0" fontId="45" fillId="29" borderId="17" xfId="0" applyFont="1" applyFill="1" applyBorder="1" applyAlignment="1" applyProtection="1">
      <alignment horizontal="right" wrapText="1"/>
      <protection hidden="1"/>
    </xf>
    <xf numFmtId="0" fontId="45" fillId="29" borderId="0" xfId="0" applyFont="1" applyFill="1" applyAlignment="1" applyProtection="1">
      <alignment horizontal="right" wrapText="1"/>
      <protection hidden="1"/>
    </xf>
    <xf numFmtId="0" fontId="5" fillId="0" borderId="68" xfId="0" applyFont="1" applyBorder="1" applyAlignment="1" applyProtection="1">
      <alignment horizontal="left" wrapText="1"/>
      <protection locked="0"/>
    </xf>
    <xf numFmtId="0" fontId="5" fillId="0" borderId="14" xfId="0" applyFont="1" applyBorder="1" applyAlignment="1" applyProtection="1">
      <alignment horizontal="left" wrapText="1"/>
      <protection locked="0"/>
    </xf>
    <xf numFmtId="0" fontId="5" fillId="0" borderId="15" xfId="0" applyFont="1" applyBorder="1" applyAlignment="1" applyProtection="1">
      <alignment horizontal="left" wrapText="1"/>
      <protection locked="0"/>
    </xf>
    <xf numFmtId="0" fontId="2" fillId="32" borderId="17" xfId="0" applyFont="1" applyFill="1" applyBorder="1" applyAlignment="1" applyProtection="1">
      <alignment horizontal="center"/>
      <protection hidden="1"/>
    </xf>
    <xf numFmtId="0" fontId="2" fillId="32" borderId="0" xfId="0" applyFont="1" applyFill="1" applyAlignment="1" applyProtection="1">
      <alignment horizontal="center"/>
      <protection hidden="1"/>
    </xf>
    <xf numFmtId="0" fontId="22" fillId="0" borderId="68" xfId="0" applyFont="1" applyBorder="1" applyAlignment="1" applyProtection="1">
      <alignment horizontal="left"/>
      <protection locked="0"/>
    </xf>
    <xf numFmtId="0" fontId="22" fillId="0" borderId="14" xfId="0" applyFont="1" applyBorder="1" applyAlignment="1" applyProtection="1">
      <alignment horizontal="left"/>
      <protection locked="0"/>
    </xf>
    <xf numFmtId="0" fontId="22" fillId="0" borderId="51" xfId="0" applyFont="1" applyBorder="1" applyAlignment="1" applyProtection="1">
      <alignment horizontal="left"/>
      <protection locked="0"/>
    </xf>
    <xf numFmtId="0" fontId="22" fillId="0" borderId="16" xfId="0" applyFont="1" applyBorder="1" applyAlignment="1" applyProtection="1">
      <alignment horizontal="left"/>
      <protection locked="0"/>
    </xf>
    <xf numFmtId="0" fontId="22" fillId="0" borderId="15" xfId="0" applyFont="1" applyBorder="1" applyAlignment="1" applyProtection="1">
      <alignment horizontal="left"/>
      <protection locked="0"/>
    </xf>
    <xf numFmtId="0" fontId="5" fillId="0" borderId="83" xfId="0" applyFont="1" applyBorder="1" applyAlignment="1" applyProtection="1">
      <alignment horizontal="left" wrapText="1"/>
      <protection locked="0"/>
    </xf>
    <xf numFmtId="0" fontId="5" fillId="0" borderId="45" xfId="0" applyFont="1" applyBorder="1" applyAlignment="1" applyProtection="1">
      <alignment horizontal="left" wrapText="1"/>
      <protection locked="0"/>
    </xf>
    <xf numFmtId="0" fontId="5" fillId="0" borderId="51" xfId="0" applyFont="1" applyBorder="1" applyAlignment="1" applyProtection="1">
      <alignment horizontal="left" wrapText="1"/>
      <protection locked="0"/>
    </xf>
    <xf numFmtId="0" fontId="5" fillId="0" borderId="7" xfId="0" applyFont="1" applyBorder="1" applyAlignment="1" applyProtection="1">
      <alignment horizontal="left" wrapText="1"/>
      <protection locked="0"/>
    </xf>
  </cellXfs>
  <cellStyles count="14">
    <cellStyle name="20% - Accent6" xfId="13" builtinId="50"/>
    <cellStyle name="Currency" xfId="1" builtinId="4"/>
    <cellStyle name="Currency 2" xfId="6" xr:uid="{99FBE26D-57B2-49DB-B228-989F3CFB5DD5}"/>
    <cellStyle name="Good" xfId="4" builtinId="26"/>
    <cellStyle name="Heading 1" xfId="11" builtinId="16"/>
    <cellStyle name="Hyperlink" xfId="3" builtinId="8"/>
    <cellStyle name="Hyperlink 2" xfId="10" xr:uid="{10D5368E-B225-4A24-85E5-AA1D1E45E311}"/>
    <cellStyle name="Normal" xfId="0" builtinId="0"/>
    <cellStyle name="Normal 2" xfId="7" xr:uid="{7238FFF4-7D60-4398-8846-E041F871C38F}"/>
    <cellStyle name="Normal 2 2" xfId="9" xr:uid="{6E27BAB0-57B1-455B-BA5A-264F3F67A48F}"/>
    <cellStyle name="Normal 4" xfId="5" xr:uid="{56073F02-B735-48FD-985F-FE7C5AE17F44}"/>
    <cellStyle name="Output" xfId="12" builtinId="21"/>
    <cellStyle name="Percent" xfId="2" builtinId="5"/>
    <cellStyle name="Percent 2" xfId="8" xr:uid="{9510172A-639A-48F4-80E1-27748D607DD8}"/>
  </cellStyles>
  <dxfs count="619">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b/>
        <i val="0"/>
        <color rgb="FF006100"/>
      </font>
      <fill>
        <patternFill>
          <bgColor rgb="FFC6EFCE"/>
        </patternFill>
      </fill>
    </dxf>
    <dxf>
      <font>
        <b val="0"/>
        <i/>
        <strike/>
        <color rgb="FF9C0006"/>
      </font>
    </dxf>
    <dxf>
      <font>
        <b val="0"/>
        <i/>
        <strike val="0"/>
        <color rgb="FF9C0006"/>
      </font>
    </dxf>
    <dxf>
      <font>
        <b/>
        <i val="0"/>
        <strike val="0"/>
        <u val="none"/>
        <color rgb="FF006100"/>
      </font>
      <fill>
        <patternFill>
          <bgColor rgb="FFFFFF00"/>
        </patternFill>
      </fill>
    </dxf>
    <dxf>
      <font>
        <b val="0"/>
        <i val="0"/>
        <strike val="0"/>
        <u val="none"/>
        <color rgb="FF002060"/>
      </font>
      <fill>
        <patternFill>
          <bgColor theme="8" tint="0.59996337778862885"/>
        </patternFill>
      </fill>
    </dxf>
    <dxf>
      <font>
        <color rgb="FF9C0006"/>
      </font>
      <fill>
        <patternFill>
          <bgColor rgb="FFFFC7CE"/>
        </patternFill>
      </fill>
    </dxf>
    <dxf>
      <font>
        <color rgb="FF002060"/>
      </font>
      <fill>
        <patternFill>
          <bgColor theme="8" tint="0.59996337778862885"/>
        </patternFill>
      </fill>
    </dxf>
    <dxf>
      <font>
        <color rgb="FF9C5700"/>
      </font>
      <fill>
        <patternFill>
          <bgColor rgb="FFFFEB9C"/>
        </patternFill>
      </fill>
    </dxf>
    <dxf>
      <font>
        <color rgb="FF9C5700"/>
      </font>
      <fill>
        <patternFill>
          <bgColor rgb="FFFFEB9C"/>
        </patternFill>
      </fill>
    </dxf>
    <dxf>
      <fill>
        <patternFill>
          <bgColor rgb="FFFFC7CE"/>
        </patternFill>
      </fill>
    </dxf>
    <dxf>
      <font>
        <color theme="1"/>
      </font>
      <fill>
        <patternFill patternType="none">
          <bgColor auto="1"/>
        </patternFill>
      </fill>
    </dxf>
    <dxf>
      <font>
        <b/>
        <i val="0"/>
        <color rgb="FF006100"/>
      </font>
      <fill>
        <patternFill>
          <bgColor rgb="FFC6EFCE"/>
        </patternFill>
      </fill>
    </dxf>
    <dxf>
      <font>
        <b val="0"/>
        <i/>
        <strike/>
        <color rgb="FF9C0006"/>
      </font>
    </dxf>
    <dxf>
      <font>
        <b val="0"/>
        <i/>
        <strike val="0"/>
        <color rgb="FF9C0006"/>
      </font>
    </dxf>
    <dxf>
      <font>
        <b/>
        <i val="0"/>
        <strike val="0"/>
        <u val="none"/>
        <color rgb="FF006100"/>
      </font>
      <fill>
        <patternFill>
          <bgColor rgb="FFFFFF00"/>
        </patternFill>
      </fill>
    </dxf>
    <dxf>
      <font>
        <b val="0"/>
        <i val="0"/>
        <strike val="0"/>
        <u val="none"/>
        <color rgb="FF002060"/>
      </font>
      <fill>
        <patternFill>
          <bgColor theme="8" tint="0.59996337778862885"/>
        </patternFill>
      </fill>
    </dxf>
    <dxf>
      <font>
        <color rgb="FF9C0006"/>
      </font>
      <fill>
        <patternFill>
          <bgColor rgb="FFFFC7CE"/>
        </patternFill>
      </fill>
    </dxf>
    <dxf>
      <font>
        <color rgb="FF002060"/>
      </font>
      <fill>
        <patternFill>
          <bgColor theme="8" tint="0.59996337778862885"/>
        </patternFill>
      </fill>
    </dxf>
    <dxf>
      <font>
        <color rgb="FF9C5700"/>
      </font>
      <fill>
        <patternFill>
          <bgColor rgb="FFFFEB9C"/>
        </patternFill>
      </fill>
    </dxf>
    <dxf>
      <font>
        <b/>
        <i val="0"/>
        <color rgb="FF006100"/>
      </font>
      <fill>
        <patternFill>
          <bgColor rgb="FFC6EFCE"/>
        </patternFill>
      </fill>
    </dxf>
    <dxf>
      <font>
        <b val="0"/>
        <i/>
        <strike/>
        <color rgb="FF9C0006"/>
      </font>
    </dxf>
    <dxf>
      <font>
        <b val="0"/>
        <i/>
        <strike val="0"/>
        <color rgb="FF9C0006"/>
      </font>
    </dxf>
    <dxf>
      <font>
        <b/>
        <i val="0"/>
        <strike val="0"/>
        <u val="none"/>
        <color rgb="FF006100"/>
      </font>
      <fill>
        <patternFill>
          <bgColor rgb="FFFFFF00"/>
        </patternFill>
      </fill>
    </dxf>
    <dxf>
      <font>
        <b val="0"/>
        <i val="0"/>
        <strike val="0"/>
        <u val="none"/>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002060"/>
      </font>
      <fill>
        <patternFill>
          <bgColor theme="8" tint="0.59996337778862885"/>
        </patternFill>
      </fill>
    </dxf>
    <dxf>
      <font>
        <color rgb="FF9C5700"/>
      </font>
      <fill>
        <patternFill>
          <bgColor rgb="FFFFEB9C"/>
        </patternFill>
      </fill>
    </dxf>
    <dxf>
      <font>
        <color rgb="FF9C5700"/>
      </font>
      <fill>
        <patternFill>
          <bgColor rgb="FFFFEB9C"/>
        </patternFill>
      </fill>
    </dxf>
    <dxf>
      <fill>
        <patternFill>
          <bgColor rgb="FFFFC7CE"/>
        </patternFill>
      </fill>
    </dxf>
    <dxf>
      <font>
        <color theme="1"/>
      </font>
      <fill>
        <patternFill patternType="none">
          <bgColor auto="1"/>
        </patternFill>
      </fill>
    </dxf>
  </dxfs>
  <tableStyles count="0" defaultTableStyle="TableStyleMedium2" defaultPivotStyle="PivotStyleLight16"/>
  <colors>
    <mruColors>
      <color rgb="FF006100"/>
      <color rgb="FF66FF33"/>
      <color rgb="FFECF18B"/>
      <color rgb="FFFFBDBD"/>
      <color rgb="FFFF7171"/>
      <color rgb="FF3DF52F"/>
      <color rgb="FFC7C7C7"/>
      <color rgb="FFC6EFCE"/>
      <color rgb="FFD9D9D9"/>
      <color rgb="FFE0E0E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sharedStrings" Target="sharedStrings.xml"/><Relationship Id="rId35" Type="http://schemas.openxmlformats.org/officeDocument/2006/relationships/customXml" Target="../customXml/item3.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0.xml.rels><?xml version="1.0" encoding="UTF-8" standalone="yes"?>
<Relationships xmlns="http://schemas.openxmlformats.org/package/2006/relationships"><Relationship Id="rId1" Type="http://schemas.openxmlformats.org/officeDocument/2006/relationships/hyperlink" Target="https://home.grintranet.com/rc/SitePages/Income%20-%20On%20Demand%20Training%20and%20Reference%20Material.aspx" TargetMode="External"/></Relationships>
</file>

<file path=xl/drawings/_rels/drawing11.xml.rels><?xml version="1.0" encoding="UTF-8" standalone="yes"?>
<Relationships xmlns="http://schemas.openxmlformats.org/package/2006/relationships"><Relationship Id="rId1" Type="http://schemas.openxmlformats.org/officeDocument/2006/relationships/hyperlink" Target="https://home.grintranet.com/rc/SitePages/Income%20-%20On%20Demand%20Training%20and%20Reference%20Material.aspx" TargetMode="External"/></Relationships>
</file>

<file path=xl/drawings/_rels/drawing12.xml.rels><?xml version="1.0" encoding="UTF-8" standalone="yes"?>
<Relationships xmlns="http://schemas.openxmlformats.org/package/2006/relationships"><Relationship Id="rId1" Type="http://schemas.openxmlformats.org/officeDocument/2006/relationships/hyperlink" Target="https://home.grintranet.com/rc/SitePages/Income%20-%20On%20Demand%20Training%20and%20Reference%20Material.aspx" TargetMode="External"/></Relationships>
</file>

<file path=xl/drawings/_rels/drawing13.xml.rels><?xml version="1.0" encoding="UTF-8" standalone="yes"?>
<Relationships xmlns="http://schemas.openxmlformats.org/package/2006/relationships"><Relationship Id="rId1" Type="http://schemas.openxmlformats.org/officeDocument/2006/relationships/hyperlink" Target="https://home.grintranet.com/rc/SitePages/Income%20-%20On%20Demand%20Training%20and%20Reference%20Material.aspx" TargetMode="External"/></Relationships>
</file>

<file path=xl/drawings/_rels/drawing14.xml.rels><?xml version="1.0" encoding="UTF-8" standalone="yes"?>
<Relationships xmlns="http://schemas.openxmlformats.org/package/2006/relationships"><Relationship Id="rId1" Type="http://schemas.openxmlformats.org/officeDocument/2006/relationships/hyperlink" Target="https://home.grintranet.com/rc/SitePages/Income%20-%20On%20Demand%20Training%20and%20Reference%20Material.aspx"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38100</xdr:rowOff>
        </xdr:from>
        <xdr:to>
          <xdr:col>2</xdr:col>
          <xdr:colOff>790575</xdr:colOff>
          <xdr:row>4</xdr:row>
          <xdr:rowOff>104775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2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PASTE AND SEND TO LEADS LIST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342900</xdr:colOff>
          <xdr:row>21</xdr:row>
          <xdr:rowOff>85725</xdr:rowOff>
        </xdr:from>
        <xdr:to>
          <xdr:col>25</xdr:col>
          <xdr:colOff>771525</xdr:colOff>
          <xdr:row>21</xdr:row>
          <xdr:rowOff>428625</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0300-000006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Delete Last Lead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0</xdr:colOff>
          <xdr:row>32</xdr:row>
          <xdr:rowOff>171450</xdr:rowOff>
        </xdr:from>
        <xdr:to>
          <xdr:col>27</xdr:col>
          <xdr:colOff>171450</xdr:colOff>
          <xdr:row>37</xdr:row>
          <xdr:rowOff>38100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ea typeface="Calibri"/>
                  <a:cs typeface="Calibri"/>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57150</xdr:colOff>
          <xdr:row>37</xdr:row>
          <xdr:rowOff>47625</xdr:rowOff>
        </xdr:from>
        <xdr:to>
          <xdr:col>27</xdr:col>
          <xdr:colOff>171450</xdr:colOff>
          <xdr:row>40</xdr:row>
          <xdr:rowOff>180975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600-0000022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ea typeface="Calibri"/>
                  <a:cs typeface="Calibri"/>
                </a:rPr>
                <a:t>OPEN PDF</a:t>
              </a: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xdr:from>
      <xdr:col>26</xdr:col>
      <xdr:colOff>538022</xdr:colOff>
      <xdr:row>32</xdr:row>
      <xdr:rowOff>0</xdr:rowOff>
    </xdr:from>
    <xdr:to>
      <xdr:col>30</xdr:col>
      <xdr:colOff>4146</xdr:colOff>
      <xdr:row>40</xdr:row>
      <xdr:rowOff>61232</xdr:rowOff>
    </xdr:to>
    <xdr:pic>
      <xdr:nvPicPr>
        <xdr:cNvPr id="5" name="Picture 6">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934629" y="6473008"/>
          <a:ext cx="2024267" cy="16164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223510</xdr:colOff>
      <xdr:row>54</xdr:row>
      <xdr:rowOff>165811</xdr:rowOff>
    </xdr:from>
    <xdr:to>
      <xdr:col>10</xdr:col>
      <xdr:colOff>131693</xdr:colOff>
      <xdr:row>85</xdr:row>
      <xdr:rowOff>144013</xdr:rowOff>
    </xdr:to>
    <xdr:pic>
      <xdr:nvPicPr>
        <xdr:cNvPr id="6" name="Pictur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223510" y="10507240"/>
          <a:ext cx="6162707" cy="5878940"/>
        </a:xfrm>
        <a:prstGeom prst="rect">
          <a:avLst/>
        </a:prstGeom>
      </xdr:spPr>
    </xdr:pic>
    <xdr:clientData/>
  </xdr:twoCellAnchor>
  <xdr:twoCellAnchor editAs="oneCell">
    <xdr:from>
      <xdr:col>12</xdr:col>
      <xdr:colOff>131798</xdr:colOff>
      <xdr:row>53</xdr:row>
      <xdr:rowOff>45816</xdr:rowOff>
    </xdr:from>
    <xdr:to>
      <xdr:col>22</xdr:col>
      <xdr:colOff>379742</xdr:colOff>
      <xdr:row>78</xdr:row>
      <xdr:rowOff>97425</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3"/>
        <a:stretch>
          <a:fillRect/>
        </a:stretch>
      </xdr:blipFill>
      <xdr:spPr>
        <a:xfrm>
          <a:off x="7384405" y="10196745"/>
          <a:ext cx="6856254" cy="4814109"/>
        </a:xfrm>
        <a:prstGeom prst="rect">
          <a:avLst/>
        </a:prstGeom>
      </xdr:spPr>
    </xdr:pic>
    <xdr:clientData/>
  </xdr:twoCellAnchor>
  <xdr:twoCellAnchor editAs="oneCell">
    <xdr:from>
      <xdr:col>0</xdr:col>
      <xdr:colOff>0</xdr:colOff>
      <xdr:row>0</xdr:row>
      <xdr:rowOff>0</xdr:rowOff>
    </xdr:from>
    <xdr:to>
      <xdr:col>5</xdr:col>
      <xdr:colOff>514667</xdr:colOff>
      <xdr:row>6</xdr:row>
      <xdr:rowOff>151371</xdr:rowOff>
    </xdr:to>
    <xdr:pic>
      <xdr:nvPicPr>
        <xdr:cNvPr id="9" name="Picture 8" descr="May be an image of text that says 'W WEST CAPITAL LENDING'">
          <a:extLst>
            <a:ext uri="{FF2B5EF4-FFF2-40B4-BE49-F238E27FC236}">
              <a16:creationId xmlns:a16="http://schemas.microsoft.com/office/drawing/2014/main" id="{00000000-0008-0000-0600-000009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t="35709" b="29593"/>
        <a:stretch/>
      </xdr:blipFill>
      <xdr:spPr bwMode="auto">
        <a:xfrm>
          <a:off x="0" y="0"/>
          <a:ext cx="3720353" cy="12904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81644</xdr:colOff>
      <xdr:row>40</xdr:row>
      <xdr:rowOff>13608</xdr:rowOff>
    </xdr:from>
    <xdr:ext cx="4756506" cy="499842"/>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5"/>
        <a:stretch>
          <a:fillRect/>
        </a:stretch>
      </xdr:blipFill>
      <xdr:spPr>
        <a:xfrm>
          <a:off x="1211037" y="7633608"/>
          <a:ext cx="4756506" cy="49984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108857</xdr:colOff>
      <xdr:row>51</xdr:row>
      <xdr:rowOff>81643</xdr:rowOff>
    </xdr:from>
    <xdr:ext cx="3422783" cy="1193178"/>
    <xdr:pic>
      <xdr:nvPicPr>
        <xdr:cNvPr id="4" name="Picture 3" descr="May be an image of text that says 'W WEST CAPITAL LENDING'">
          <a:extLst>
            <a:ext uri="{FF2B5EF4-FFF2-40B4-BE49-F238E27FC236}">
              <a16:creationId xmlns:a16="http://schemas.microsoft.com/office/drawing/2014/main" id="{00000000-0008-0000-0700-000004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5709" b="29593"/>
        <a:stretch/>
      </xdr:blipFill>
      <xdr:spPr bwMode="auto">
        <a:xfrm>
          <a:off x="108857" y="9729107"/>
          <a:ext cx="3422783" cy="119317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0</xdr:colOff>
      <xdr:row>0</xdr:row>
      <xdr:rowOff>0</xdr:rowOff>
    </xdr:from>
    <xdr:ext cx="3422783" cy="1193178"/>
    <xdr:pic>
      <xdr:nvPicPr>
        <xdr:cNvPr id="7" name="Picture 6" descr="May be an image of text that says 'W WEST CAPITAL LENDING'">
          <a:extLst>
            <a:ext uri="{FF2B5EF4-FFF2-40B4-BE49-F238E27FC236}">
              <a16:creationId xmlns:a16="http://schemas.microsoft.com/office/drawing/2014/main" id="{00000000-0008-0000-0700-000007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5709" b="29593"/>
        <a:stretch/>
      </xdr:blipFill>
      <xdr:spPr bwMode="auto">
        <a:xfrm>
          <a:off x="0" y="0"/>
          <a:ext cx="3422783" cy="119317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74030</xdr:colOff>
      <xdr:row>40</xdr:row>
      <xdr:rowOff>28801</xdr:rowOff>
    </xdr:from>
    <xdr:ext cx="4884417" cy="513284"/>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2"/>
        <a:stretch>
          <a:fillRect/>
        </a:stretch>
      </xdr:blipFill>
      <xdr:spPr>
        <a:xfrm>
          <a:off x="1312280" y="7648801"/>
          <a:ext cx="4884417" cy="513284"/>
        </a:xfrm>
        <a:prstGeom prst="rect">
          <a:avLst/>
        </a:prstGeom>
      </xdr:spPr>
    </xdr:pic>
    <xdr:clientData/>
  </xdr:oneCellAnchor>
  <xdr:oneCellAnchor>
    <xdr:from>
      <xdr:col>1</xdr:col>
      <xdr:colOff>74031</xdr:colOff>
      <xdr:row>91</xdr:row>
      <xdr:rowOff>28801</xdr:rowOff>
    </xdr:from>
    <xdr:ext cx="4756506" cy="499842"/>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2"/>
        <a:stretch>
          <a:fillRect/>
        </a:stretch>
      </xdr:blipFill>
      <xdr:spPr>
        <a:xfrm>
          <a:off x="1312281" y="16452622"/>
          <a:ext cx="4756506" cy="499842"/>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0</xdr:col>
      <xdr:colOff>13854</xdr:colOff>
      <xdr:row>0</xdr:row>
      <xdr:rowOff>76200</xdr:rowOff>
    </xdr:from>
    <xdr:to>
      <xdr:col>4</xdr:col>
      <xdr:colOff>691435</xdr:colOff>
      <xdr:row>6</xdr:row>
      <xdr:rowOff>113952</xdr:rowOff>
    </xdr:to>
    <xdr:pic>
      <xdr:nvPicPr>
        <xdr:cNvPr id="8" name="Picture 7" descr="May be an image of text that says 'W WEST CAPITAL LENDING'">
          <a:extLst>
            <a:ext uri="{FF2B5EF4-FFF2-40B4-BE49-F238E27FC236}">
              <a16:creationId xmlns:a16="http://schemas.microsoft.com/office/drawing/2014/main" id="{00000000-0008-0000-0800-000008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5709" b="29593"/>
        <a:stretch/>
      </xdr:blipFill>
      <xdr:spPr bwMode="auto">
        <a:xfrm>
          <a:off x="13854" y="76200"/>
          <a:ext cx="3498245" cy="12053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0</xdr:col>
      <xdr:colOff>13854</xdr:colOff>
      <xdr:row>51</xdr:row>
      <xdr:rowOff>96982</xdr:rowOff>
    </xdr:from>
    <xdr:ext cx="3498245" cy="1205344"/>
    <xdr:pic>
      <xdr:nvPicPr>
        <xdr:cNvPr id="4" name="Picture 3" descr="May be an image of text that says 'W WEST CAPITAL LENDING'">
          <a:extLst>
            <a:ext uri="{FF2B5EF4-FFF2-40B4-BE49-F238E27FC236}">
              <a16:creationId xmlns:a16="http://schemas.microsoft.com/office/drawing/2014/main" id="{00000000-0008-0000-0800-000004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5709" b="29593"/>
        <a:stretch/>
      </xdr:blipFill>
      <xdr:spPr bwMode="auto">
        <a:xfrm>
          <a:off x="13854" y="96982"/>
          <a:ext cx="3498245" cy="120534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0</xdr:col>
      <xdr:colOff>13854</xdr:colOff>
      <xdr:row>101</xdr:row>
      <xdr:rowOff>96982</xdr:rowOff>
    </xdr:from>
    <xdr:ext cx="3498245" cy="1205344"/>
    <xdr:pic>
      <xdr:nvPicPr>
        <xdr:cNvPr id="6" name="Picture 5" descr="May be an image of text that says 'W WEST CAPITAL LENDING'">
          <a:extLst>
            <a:ext uri="{FF2B5EF4-FFF2-40B4-BE49-F238E27FC236}">
              <a16:creationId xmlns:a16="http://schemas.microsoft.com/office/drawing/2014/main" id="{00000000-0008-0000-0800-000006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5709" b="29593"/>
        <a:stretch/>
      </xdr:blipFill>
      <xdr:spPr bwMode="auto">
        <a:xfrm>
          <a:off x="13854" y="8631382"/>
          <a:ext cx="3498245" cy="120534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585654</xdr:colOff>
      <xdr:row>91</xdr:row>
      <xdr:rowOff>28801</xdr:rowOff>
    </xdr:from>
    <xdr:ext cx="4884417" cy="513284"/>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2"/>
        <a:stretch>
          <a:fillRect/>
        </a:stretch>
      </xdr:blipFill>
      <xdr:spPr>
        <a:xfrm>
          <a:off x="1238797" y="16411801"/>
          <a:ext cx="4884417" cy="513284"/>
        </a:xfrm>
        <a:prstGeom prst="rect">
          <a:avLst/>
        </a:prstGeom>
      </xdr:spPr>
    </xdr:pic>
    <xdr:clientData/>
  </xdr:oneCellAnchor>
  <xdr:oneCellAnchor>
    <xdr:from>
      <xdr:col>1</xdr:col>
      <xdr:colOff>585654</xdr:colOff>
      <xdr:row>141</xdr:row>
      <xdr:rowOff>28801</xdr:rowOff>
    </xdr:from>
    <xdr:ext cx="4884417" cy="513284"/>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1238797" y="16411801"/>
          <a:ext cx="4884417" cy="513284"/>
        </a:xfrm>
        <a:prstGeom prst="rect">
          <a:avLst/>
        </a:prstGeom>
      </xdr:spPr>
    </xdr:pic>
    <xdr:clientData/>
  </xdr:oneCellAnchor>
  <xdr:oneCellAnchor>
    <xdr:from>
      <xdr:col>1</xdr:col>
      <xdr:colOff>585654</xdr:colOff>
      <xdr:row>40</xdr:row>
      <xdr:rowOff>28801</xdr:rowOff>
    </xdr:from>
    <xdr:ext cx="4884417" cy="513284"/>
    <xdr:pic>
      <xdr:nvPicPr>
        <xdr:cNvPr id="10" name="Pictur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2"/>
        <a:stretch>
          <a:fillRect/>
        </a:stretch>
      </xdr:blipFill>
      <xdr:spPr>
        <a:xfrm>
          <a:off x="1238797" y="16411801"/>
          <a:ext cx="4884417" cy="513284"/>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0</xdr:rowOff>
    </xdr:from>
    <xdr:ext cx="3422783" cy="1193178"/>
    <xdr:pic>
      <xdr:nvPicPr>
        <xdr:cNvPr id="3" name="Picture 2" descr="May be an image of text that says 'W WEST CAPITAL LENDING'">
          <a:extLst>
            <a:ext uri="{FF2B5EF4-FFF2-40B4-BE49-F238E27FC236}">
              <a16:creationId xmlns:a16="http://schemas.microsoft.com/office/drawing/2014/main" id="{00000000-0008-0000-0900-000003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5709" b="29593"/>
        <a:stretch/>
      </xdr:blipFill>
      <xdr:spPr bwMode="auto">
        <a:xfrm>
          <a:off x="0" y="0"/>
          <a:ext cx="3422783" cy="119317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74030</xdr:colOff>
      <xdr:row>43</xdr:row>
      <xdr:rowOff>28801</xdr:rowOff>
    </xdr:from>
    <xdr:ext cx="4884417" cy="513284"/>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a:stretch>
          <a:fillRect/>
        </a:stretch>
      </xdr:blipFill>
      <xdr:spPr>
        <a:xfrm>
          <a:off x="1312280" y="7648801"/>
          <a:ext cx="4884417" cy="513284"/>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editAs="oneCell">
    <xdr:from>
      <xdr:col>1</xdr:col>
      <xdr:colOff>47624</xdr:colOff>
      <xdr:row>0</xdr:row>
      <xdr:rowOff>76199</xdr:rowOff>
    </xdr:from>
    <xdr:to>
      <xdr:col>1</xdr:col>
      <xdr:colOff>1381290</xdr:colOff>
      <xdr:row>0</xdr:row>
      <xdr:rowOff>487679</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7179" y="76199"/>
          <a:ext cx="1329856" cy="4095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179293</xdr:colOff>
      <xdr:row>13</xdr:row>
      <xdr:rowOff>126675</xdr:rowOff>
    </xdr:from>
    <xdr:to>
      <xdr:col>3</xdr:col>
      <xdr:colOff>695301</xdr:colOff>
      <xdr:row>14</xdr:row>
      <xdr:rowOff>89647</xdr:rowOff>
    </xdr:to>
    <xdr:sp macro="" textlink="">
      <xdr:nvSpPr>
        <xdr:cNvPr id="2" name="Right Arrow 4">
          <a:extLst>
            <a:ext uri="{FF2B5EF4-FFF2-40B4-BE49-F238E27FC236}">
              <a16:creationId xmlns:a16="http://schemas.microsoft.com/office/drawing/2014/main" id="{00000000-0008-0000-0F00-000002000000}"/>
            </a:ext>
          </a:extLst>
        </xdr:cNvPr>
        <xdr:cNvSpPr/>
      </xdr:nvSpPr>
      <xdr:spPr>
        <a:xfrm>
          <a:off x="4798918" y="2631750"/>
          <a:ext cx="516008" cy="153472"/>
        </a:xfrm>
        <a:prstGeom prst="rightArrow">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179293</xdr:colOff>
      <xdr:row>13</xdr:row>
      <xdr:rowOff>126675</xdr:rowOff>
    </xdr:from>
    <xdr:to>
      <xdr:col>3</xdr:col>
      <xdr:colOff>695301</xdr:colOff>
      <xdr:row>14</xdr:row>
      <xdr:rowOff>89647</xdr:rowOff>
    </xdr:to>
    <xdr:sp macro="" textlink="">
      <xdr:nvSpPr>
        <xdr:cNvPr id="2" name="Right Arrow 1">
          <a:extLst>
            <a:ext uri="{FF2B5EF4-FFF2-40B4-BE49-F238E27FC236}">
              <a16:creationId xmlns:a16="http://schemas.microsoft.com/office/drawing/2014/main" id="{00000000-0008-0000-1000-000002000000}"/>
            </a:ext>
          </a:extLst>
        </xdr:cNvPr>
        <xdr:cNvSpPr/>
      </xdr:nvSpPr>
      <xdr:spPr>
        <a:xfrm>
          <a:off x="4684618" y="2612700"/>
          <a:ext cx="516008" cy="153472"/>
        </a:xfrm>
        <a:prstGeom prst="rightArrow">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0</xdr:colOff>
      <xdr:row>21</xdr:row>
      <xdr:rowOff>35858</xdr:rowOff>
    </xdr:from>
    <xdr:to>
      <xdr:col>21</xdr:col>
      <xdr:colOff>358588</xdr:colOff>
      <xdr:row>23</xdr:row>
      <xdr:rowOff>116541</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1100-000002000000}"/>
            </a:ext>
          </a:extLst>
        </xdr:cNvPr>
        <xdr:cNvSpPr txBox="1"/>
      </xdr:nvSpPr>
      <xdr:spPr>
        <a:xfrm>
          <a:off x="7734300" y="4750733"/>
          <a:ext cx="5368738" cy="1604683"/>
        </a:xfrm>
        <a:prstGeom prst="rect">
          <a:avLst/>
        </a:prstGeom>
        <a:solidFill>
          <a:schemeClr val="accent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solidFill>
                <a:schemeClr val="bg1"/>
              </a:solidFill>
            </a:rPr>
            <a:t>Did</a:t>
          </a:r>
          <a:r>
            <a:rPr lang="en-US" sz="3200" b="1" baseline="0">
              <a:solidFill>
                <a:schemeClr val="bg1"/>
              </a:solidFill>
            </a:rPr>
            <a:t> you try to run the loan's tax returns through LoanBeam?</a:t>
          </a:r>
          <a:endParaRPr lang="en-US" sz="3200" b="1">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0</xdr:colOff>
      <xdr:row>35</xdr:row>
      <xdr:rowOff>0</xdr:rowOff>
    </xdr:from>
    <xdr:to>
      <xdr:col>19</xdr:col>
      <xdr:colOff>403412</xdr:colOff>
      <xdr:row>37</xdr:row>
      <xdr:rowOff>161364</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1200-000002000000}"/>
            </a:ext>
          </a:extLst>
        </xdr:cNvPr>
        <xdr:cNvSpPr txBox="1"/>
      </xdr:nvSpPr>
      <xdr:spPr>
        <a:xfrm>
          <a:off x="7867650" y="7962900"/>
          <a:ext cx="5375462" cy="1685364"/>
        </a:xfrm>
        <a:prstGeom prst="rect">
          <a:avLst/>
        </a:prstGeom>
        <a:solidFill>
          <a:schemeClr val="accent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solidFill>
                <a:schemeClr val="bg1"/>
              </a:solidFill>
            </a:rPr>
            <a:t>Did</a:t>
          </a:r>
          <a:r>
            <a:rPr lang="en-US" sz="3200" b="1" baseline="0">
              <a:solidFill>
                <a:schemeClr val="bg1"/>
              </a:solidFill>
            </a:rPr>
            <a:t> you try to run the loan's tax returns through LoanBeam?</a:t>
          </a:r>
          <a:endParaRPr lang="en-US" sz="3200" b="1">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0</xdr:colOff>
      <xdr:row>27</xdr:row>
      <xdr:rowOff>-1</xdr:rowOff>
    </xdr:from>
    <xdr:to>
      <xdr:col>19</xdr:col>
      <xdr:colOff>268941</xdr:colOff>
      <xdr:row>29</xdr:row>
      <xdr:rowOff>1147482</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1300-000002000000}"/>
            </a:ext>
          </a:extLst>
        </xdr:cNvPr>
        <xdr:cNvSpPr txBox="1"/>
      </xdr:nvSpPr>
      <xdr:spPr>
        <a:xfrm>
          <a:off x="8001000" y="6638924"/>
          <a:ext cx="5364816" cy="1623733"/>
        </a:xfrm>
        <a:prstGeom prst="rect">
          <a:avLst/>
        </a:prstGeom>
        <a:solidFill>
          <a:schemeClr val="accent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solidFill>
                <a:schemeClr val="bg1"/>
              </a:solidFill>
            </a:rPr>
            <a:t>Did</a:t>
          </a:r>
          <a:r>
            <a:rPr lang="en-US" sz="3200" b="1" baseline="0">
              <a:solidFill>
                <a:schemeClr val="bg1"/>
              </a:solidFill>
            </a:rPr>
            <a:t> you try to run the loan's tax returns through LoanBeam?</a:t>
          </a:r>
          <a:endParaRPr lang="en-US" sz="3200" b="1">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0</xdr:colOff>
      <xdr:row>24</xdr:row>
      <xdr:rowOff>0</xdr:rowOff>
    </xdr:from>
    <xdr:to>
      <xdr:col>15</xdr:col>
      <xdr:colOff>35859</xdr:colOff>
      <xdr:row>31</xdr:row>
      <xdr:rowOff>44824</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1400-000002000000}"/>
            </a:ext>
          </a:extLst>
        </xdr:cNvPr>
        <xdr:cNvSpPr txBox="1"/>
      </xdr:nvSpPr>
      <xdr:spPr>
        <a:xfrm>
          <a:off x="8391525" y="7286625"/>
          <a:ext cx="5388909" cy="2111749"/>
        </a:xfrm>
        <a:prstGeom prst="rect">
          <a:avLst/>
        </a:prstGeom>
        <a:solidFill>
          <a:schemeClr val="accent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solidFill>
                <a:schemeClr val="bg1"/>
              </a:solidFill>
            </a:rPr>
            <a:t>Have</a:t>
          </a:r>
          <a:r>
            <a:rPr lang="en-US" sz="3200" b="1" baseline="0">
              <a:solidFill>
                <a:schemeClr val="bg1"/>
              </a:solidFill>
            </a:rPr>
            <a:t> more than 1 rental property, d</a:t>
          </a:r>
          <a:r>
            <a:rPr lang="en-US" sz="3200" b="1">
              <a:solidFill>
                <a:schemeClr val="bg1"/>
              </a:solidFill>
            </a:rPr>
            <a:t>id</a:t>
          </a:r>
          <a:r>
            <a:rPr lang="en-US" sz="3200" b="1" baseline="0">
              <a:solidFill>
                <a:schemeClr val="bg1"/>
              </a:solidFill>
            </a:rPr>
            <a:t> you try to run the loan's tax returns through LoanBeam?</a:t>
          </a:r>
          <a:endParaRPr lang="en-US" sz="3200" b="1">
            <a:solidFill>
              <a:schemeClr val="bg1"/>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0</xdr:colOff>
      <xdr:row>32</xdr:row>
      <xdr:rowOff>0</xdr:rowOff>
    </xdr:from>
    <xdr:to>
      <xdr:col>20</xdr:col>
      <xdr:colOff>251012</xdr:colOff>
      <xdr:row>32</xdr:row>
      <xdr:rowOff>1694330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1500-000002000000}"/>
            </a:ext>
          </a:extLst>
        </xdr:cNvPr>
        <xdr:cNvSpPr txBox="1"/>
      </xdr:nvSpPr>
      <xdr:spPr>
        <a:xfrm>
          <a:off x="8353425" y="7429500"/>
          <a:ext cx="5375462" cy="1694330"/>
        </a:xfrm>
        <a:prstGeom prst="rect">
          <a:avLst/>
        </a:prstGeom>
        <a:solidFill>
          <a:schemeClr val="accent1">
            <a:lumMod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solidFill>
                <a:schemeClr val="bg1"/>
              </a:solidFill>
            </a:rPr>
            <a:t>Did</a:t>
          </a:r>
          <a:r>
            <a:rPr lang="en-US" sz="3200" b="1" baseline="0">
              <a:solidFill>
                <a:schemeClr val="bg1"/>
              </a:solidFill>
            </a:rPr>
            <a:t> you try to run the loan's tax returns through LoanBeam?</a:t>
          </a:r>
          <a:endParaRPr lang="en-US" sz="32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dvantagefirstlending-my.sharepoint.com/personal/yavuz_advantage1st_com/Documents/Desktop/Calc%20and%20Tools/Calc%20&amp;%20Tools/Copy%20of%20Amortization%20Calculator%20(Advanced).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westcaplending-my.sharepoint.com/personal/yyilmaz_westcapitallending_com/Documents/Broker%20Flow%20Sent%20Templates/Team%20Unknown's/Broker%20Flow%20-%20Purchase%20Test.xlsm" TargetMode="External"/><Relationship Id="rId1" Type="http://schemas.openxmlformats.org/officeDocument/2006/relationships/externalLinkPath" Target="https://westcaplending-my.sharepoint.com/personal/yyilmaz_westcapitallending_com/Documents/Broker%20Flow%20Sent%20Templates/Team%20Unknown's/Broker%20Flow%20-%20Purchase%20Test.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Yavuz%20Yilmaz\AppData\Local\Microsoft\Windows\INetCache\Content.Outlook\9Y2ENURH\Income%20Calculator.xlsx" TargetMode="External"/><Relationship Id="rId1" Type="http://schemas.openxmlformats.org/officeDocument/2006/relationships/externalLinkPath" Target="/Users/Yavuz%20Yilmaz/AppData/Local/Microsoft/Windows/INetCache/Content.Outlook/9Y2ENURH/Income%20Calcula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xtra Payment Am Calc"/>
      <sheetName val="Amortization Calculator"/>
      <sheetName val="NoExtra"/>
      <sheetName val="Compatibility Report"/>
      <sheetName val="Copy of Amortization Calculator"/>
    </sheetNames>
    <sheetDataSet>
      <sheetData sheetId="0">
        <row r="36">
          <cell r="C36">
            <v>9.5000000000000001E-2</v>
          </cell>
        </row>
      </sheetData>
      <sheetData sheetId="1" refreshError="1"/>
      <sheetData sheetId="2">
        <row r="2">
          <cell r="B2" t="str">
            <v>Date</v>
          </cell>
          <cell r="G2" t="str">
            <v>Balance</v>
          </cell>
        </row>
      </sheetData>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tyZgIgqFaUGZQNy4ksw-GtzJqSYGPqtFiFuRV9tIUv2qwqaDewbcQpUmlATYsRyx" itemId="01SUIIVGE4ZWXYA7A65ZFZ74ESDAO7FSZG">
      <xxl21:absoluteUrl r:id="rId2"/>
    </xxl21:alternateUrls>
    <sheetNames>
      <sheetName val="WCL"/>
      <sheetName val="START"/>
      <sheetName val="NEW LEAD"/>
      <sheetName val="LEADS"/>
      <sheetName val="HOT LIST"/>
      <sheetName val="Marketing"/>
      <sheetName val="3 OPT"/>
      <sheetName val="C - O"/>
      <sheetName val="2nd"/>
      <sheetName val="Doc List"/>
      <sheetName val="Resources"/>
      <sheetName val="AM CALC - 3"/>
      <sheetName val="HELOC Calc"/>
      <sheetName val="Blended Rate Calc"/>
    </sheetNames>
    <sheetDataSet>
      <sheetData sheetId="0"/>
      <sheetData sheetId="1">
        <row r="11">
          <cell r="D11" t="str">
            <v xml:space="preserve">RANDY CHOI | Branch Manager </v>
          </cell>
        </row>
      </sheetData>
      <sheetData sheetId="2"/>
      <sheetData sheetId="3">
        <row r="3">
          <cell r="M3">
            <v>340000</v>
          </cell>
        </row>
      </sheetData>
      <sheetData sheetId="4"/>
      <sheetData sheetId="5"/>
      <sheetData sheetId="6"/>
      <sheetData sheetId="7"/>
      <sheetData sheetId="8"/>
      <sheetData sheetId="9"/>
      <sheetData sheetId="10"/>
      <sheetData sheetId="11"/>
      <sheetData sheetId="12">
        <row r="4">
          <cell r="B4">
            <v>150000</v>
          </cell>
          <cell r="C4">
            <v>101500</v>
          </cell>
          <cell r="D4">
            <v>0.11275</v>
          </cell>
          <cell r="F4">
            <v>0.13275000000000001</v>
          </cell>
          <cell r="G4">
            <v>360</v>
          </cell>
        </row>
      </sheetData>
      <sheetData sheetId="1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n-Self Employed"/>
      <sheetName val="Bonus"/>
      <sheetName val=" Sole Proprietorship"/>
      <sheetName val="Partnership LLC"/>
      <sheetName val="S-Corporation"/>
      <sheetName val="REO - Rent"/>
      <sheetName val="Farm"/>
      <sheetName val="C-Corporation"/>
      <sheetName val="Sole Proprietorship.old"/>
      <sheetName val="Reference Sheet"/>
    </sheetNames>
    <sheetDataSet>
      <sheetData sheetId="0"/>
      <sheetData sheetId="1"/>
      <sheetData sheetId="2"/>
      <sheetData sheetId="3"/>
      <sheetData sheetId="4"/>
      <sheetData sheetId="5"/>
      <sheetData sheetId="6"/>
      <sheetData sheetId="7"/>
      <sheetData sheetId="8"/>
      <sheetData sheetId="9">
        <row r="2">
          <cell r="B2" t="str">
            <v>Rev. 4.12.2016</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6.bin"/><Relationship Id="rId7" Type="http://schemas.openxmlformats.org/officeDocument/2006/relationships/comments" Target="../comments1.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ctrlProp" Target="../ctrlProps/ctrlProp2.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2.xml.rels><?xml version="1.0" encoding="UTF-8" standalone="yes"?>
<Relationships xmlns="http://schemas.openxmlformats.org/package/2006/relationships"><Relationship Id="rId26" Type="http://schemas.openxmlformats.org/officeDocument/2006/relationships/hyperlink" Target="../../../ymyil/:w:/g/personal/amoon_westcapitallending_com/EVj8Ey2Jf_JLpjVTArQkM3cB3rnrBaQfNtfc9d19Sof01w" TargetMode="External"/><Relationship Id="rId21" Type="http://schemas.openxmlformats.org/officeDocument/2006/relationships/hyperlink" Target="../../../ymyil/:w:/g/personal/amoon_westcapitallending_com/EUR5QNxJYkpEpT0ZcnZIijMBYfg9-9SzVIQCtKl9OI2E-A" TargetMode="External"/><Relationship Id="rId42" Type="http://schemas.openxmlformats.org/officeDocument/2006/relationships/hyperlink" Target="../../../ymyil/:x:/g/personal/amoon_westcapitallending_com/ERtuxBIVXX5JtOB1wxHEO_4BDdmcUMc6yje25f4pE6Syuw" TargetMode="External"/><Relationship Id="rId47" Type="http://schemas.openxmlformats.org/officeDocument/2006/relationships/hyperlink" Target="../../../ymyil/:w:/g/personal/amoon_westcapitallending_com/EYRFNKysvjBOpUWgwZttockBGSeF1oSej58JIYgD9kbJlQ" TargetMode="External"/><Relationship Id="rId63" Type="http://schemas.openxmlformats.org/officeDocument/2006/relationships/hyperlink" Target="../../../ymyil/:w:/g/personal/amoon_westcapitallending_com/EfDqGvyd_q1Oi2rMPWQ8swQBkcUW6fNCB2R--NxPlfOsJw" TargetMode="External"/><Relationship Id="rId68" Type="http://schemas.openxmlformats.org/officeDocument/2006/relationships/hyperlink" Target="../../../ymyil/:w:/g/personal/amoon_westcapitallending_com/ESvRO6APb7lJiqcOap-hCEgBsV5evcn4ZM9_1hICOrmLdw" TargetMode="External"/><Relationship Id="rId84" Type="http://schemas.openxmlformats.org/officeDocument/2006/relationships/hyperlink" Target="../../../ymyil/:w:/g/personal/amoon_westcapitallending_com/EXF_BrRMmahIvPIkFAzGcKMBYSnxnxwcDeaXfR_dEVrptw" TargetMode="External"/><Relationship Id="rId89" Type="http://schemas.openxmlformats.org/officeDocument/2006/relationships/hyperlink" Target="../../../ymyil/:w:/g/personal/amoon_westcapitallending_com/Ec7AyIJBQkpLpCWOuNWovsUBmpaix56NhPOu3gd2JnNgeg" TargetMode="External"/><Relationship Id="rId16" Type="http://schemas.openxmlformats.org/officeDocument/2006/relationships/hyperlink" Target="../../../ymyil/:w:/g/personal/amoon_westcapitallending_com/ESLYNd8XWVdLqtw_dXxIy7ABFq_RcTjdtZgl4QDIHeS9Og" TargetMode="External"/><Relationship Id="rId11" Type="http://schemas.openxmlformats.org/officeDocument/2006/relationships/hyperlink" Target="../../../ymyil/:w:/g/personal/amoon_westcapitallending_com/ERhsdpkTjgJFnPLSPc4yT9UBNUXtOqmwAo6JNeJqIU9TMQ" TargetMode="External"/><Relationship Id="rId32" Type="http://schemas.openxmlformats.org/officeDocument/2006/relationships/hyperlink" Target="../../../ymyil/:w:/g/personal/amoon_westcapitallending_com/ETElrOqlZHFIoOnVWl6dNXUBNE4LTG344yjvjsuAAIGizw" TargetMode="External"/><Relationship Id="rId37" Type="http://schemas.openxmlformats.org/officeDocument/2006/relationships/hyperlink" Target="../../../ymyil/:w:/g/personal/amoon_westcapitallending_com/EZ6oh8yj8TtFvb0_fUjxXZEBjys201Iy16cEK7oKBKip8g" TargetMode="External"/><Relationship Id="rId53" Type="http://schemas.openxmlformats.org/officeDocument/2006/relationships/hyperlink" Target="../../../ymyil/:w:/g/personal/amoon_westcapitallending_com/EU2HUe7wyrBItUiAYJzKwFIBQZsMBgIt8XEq-fY9K-g-SA" TargetMode="External"/><Relationship Id="rId58" Type="http://schemas.openxmlformats.org/officeDocument/2006/relationships/hyperlink" Target="../../../ymyil/:w:/g/personal/amoon_westcapitallending_com/EbX44rhB9fNAlwK4oRw7nxMB3ZybLR1JTJ0U69gSg-5ZyQ" TargetMode="External"/><Relationship Id="rId74" Type="http://schemas.openxmlformats.org/officeDocument/2006/relationships/hyperlink" Target="../../../ymyil/:w:/g/personal/amoon_westcapitallending_com/ETZ-aQxCC-pJoYfcPCvT96MBa1ev5S19tL6-VpkviEas1g" TargetMode="External"/><Relationship Id="rId79" Type="http://schemas.openxmlformats.org/officeDocument/2006/relationships/hyperlink" Target="../../../ymyil/:w:/g/personal/amoon_westcapitallending_com/EXeutcrhbN9Ipwnt_8l7CTgBU_rQuXSh_vq2y-KMhAO46w" TargetMode="External"/><Relationship Id="rId102" Type="http://schemas.openxmlformats.org/officeDocument/2006/relationships/hyperlink" Target="../../../ymyil/:w:/g/personal/amoon_westcapitallending_com/EWFy-6z-gT5FrJmOQdV6-aIBoz8tWT94a6wKQ3zYevAHqQ" TargetMode="External"/><Relationship Id="rId5" Type="http://schemas.openxmlformats.org/officeDocument/2006/relationships/hyperlink" Target="../../../ymyil/:w:/g/personal/amoon_westcapitallending_com/EbnzgWx1Fd9OrtmYGboVbeIBrsJz9zbAdR4PTSUEF2ZP_w" TargetMode="External"/><Relationship Id="rId90" Type="http://schemas.openxmlformats.org/officeDocument/2006/relationships/hyperlink" Target="https://www.hsh.com/prepayment-refinance-calculator.html" TargetMode="External"/><Relationship Id="rId95" Type="http://schemas.openxmlformats.org/officeDocument/2006/relationships/hyperlink" Target="../../../ymyil/:w:/g/personal/amoon_westcapitallending_com/EaehyvanCspDqGpiOaIsKocBdLMXFrSSONB5HrB7D6FD0A" TargetMode="External"/><Relationship Id="rId22" Type="http://schemas.openxmlformats.org/officeDocument/2006/relationships/hyperlink" Target="../../../ymyil/:w:/g/personal/amoon_westcapitallending_com/ERQnwdfV2w5DtIdxR8kzpHIB2k94Nws31DdzkKfBiVfwCg" TargetMode="External"/><Relationship Id="rId27" Type="http://schemas.openxmlformats.org/officeDocument/2006/relationships/hyperlink" Target="../../../ymyil/:w:/g/personal/amoon_westcapitallending_com/EZiYHERC7XNFoMJ6KPj8l7gBUI6tlSa2-hp7ysAcQtb88Q" TargetMode="External"/><Relationship Id="rId43" Type="http://schemas.openxmlformats.org/officeDocument/2006/relationships/hyperlink" Target="https://westcaplending-my.sharepoint.com/personal/:p:/g/personal/amoon_westcapitallending_com/EUOKtlquxDFOjEq6LJ7G_m8BCjDCKPuBRbPuYt3DBlfQNw?e=fsLKSF" TargetMode="External"/><Relationship Id="rId48" Type="http://schemas.openxmlformats.org/officeDocument/2006/relationships/hyperlink" Target="../../../ymyil/:w:/g/personal/amoon_westcapitallending_com/Ed9G-M5WRlxAhUIPjrxaPJUBxEtOeBzV6lMeE7ZHfk94pQ" TargetMode="External"/><Relationship Id="rId64" Type="http://schemas.openxmlformats.org/officeDocument/2006/relationships/hyperlink" Target="../../../ymyil/:x:/g/personal/amoon_westcapitallending_com/EdhLrsoUaENJuJCROixEA_gBInzmZqu5D27r0nu5JL_jSg" TargetMode="External"/><Relationship Id="rId69" Type="http://schemas.openxmlformats.org/officeDocument/2006/relationships/hyperlink" Target="../../../ymyil/:w:/g/personal/amoon_westcapitallending_com/EUmrRWhDIn5IuTwl6qA16DABN1upzgxW8IEviDoVAfr48g" TargetMode="External"/><Relationship Id="rId80" Type="http://schemas.openxmlformats.org/officeDocument/2006/relationships/hyperlink" Target="../../../ymyil/:w:/g/personal/amoon_westcapitallending_com/EbITO__56p1JpS7QBsoYWO4BA1eWM6oTe48uifeCVsN3gg" TargetMode="External"/><Relationship Id="rId85" Type="http://schemas.openxmlformats.org/officeDocument/2006/relationships/hyperlink" Target="../../../ymyil/:w:/g/personal/amoon_westcapitallending_com/EXPxfz77J6dEsznrjeGM3g8B3EF1uafcb2-BEvXGlY6PsQ" TargetMode="External"/><Relationship Id="rId12" Type="http://schemas.openxmlformats.org/officeDocument/2006/relationships/hyperlink" Target="../../../ymyil/:w:/g/personal/amoon_westcapitallending_com/EQeCh3v15BJBs_Ymr1ke9xkBFzbfcUDBqK3k2NrVP0DF2Q" TargetMode="External"/><Relationship Id="rId17" Type="http://schemas.openxmlformats.org/officeDocument/2006/relationships/hyperlink" Target="../../../ymyil/:w:/g/personal/amoon_westcapitallending_com/EYFcgLwLD1VOj96tDhKtF6wB40wStJVgm_EOceo2CHIjZw" TargetMode="External"/><Relationship Id="rId33" Type="http://schemas.openxmlformats.org/officeDocument/2006/relationships/hyperlink" Target="../../../ymyil/:w:/g/personal/amoon_westcapitallending_com/EVRxXLpwJp9ArkECKqsJ0L8BJTtkOXYBXIIn9j3e7jqjfg" TargetMode="External"/><Relationship Id="rId38" Type="http://schemas.openxmlformats.org/officeDocument/2006/relationships/hyperlink" Target="../../../ymyil/:w:/g/personal/amoon_westcapitallending_com/EblXFzzX509Gtg5jVkey6y4BOB5YC0eOxBD2YzQypCx_dw" TargetMode="External"/><Relationship Id="rId59" Type="http://schemas.openxmlformats.org/officeDocument/2006/relationships/hyperlink" Target="../../../ymyil/:w:/g/personal/amoon_westcapitallending_com/Ed3pKh8DLtdIqZ-Qwbg8qb4BFnn4RUAZ-5UAOLHhspVbAw" TargetMode="External"/><Relationship Id="rId103" Type="http://schemas.openxmlformats.org/officeDocument/2006/relationships/hyperlink" Target="https://westcaplending-my.sharepoint.com/personal/:w:/g/personal/amoon_westcapitallending_com/ERgUW6-MCOdKmiYL69EHH3YBqqYUS0Gr-V8LURe0Yna80Q?e=MuimtM" TargetMode="External"/><Relationship Id="rId20" Type="http://schemas.openxmlformats.org/officeDocument/2006/relationships/hyperlink" Target="../../../ymyil/:w:/g/personal/amoon_westcapitallending_com/ERQaQW2cnn5Fs9-eG58UFjQB9lBw1r0PhTGNfhpsJl9Sbw" TargetMode="External"/><Relationship Id="rId41" Type="http://schemas.openxmlformats.org/officeDocument/2006/relationships/hyperlink" Target="../../../ymyil/:w:/g/personal/amoon_westcapitallending_com/EX7QAuzIi0BGgHKguG7_aAABPvAiyGch8JNpHY0m3yJb8w" TargetMode="External"/><Relationship Id="rId54" Type="http://schemas.openxmlformats.org/officeDocument/2006/relationships/hyperlink" Target="https://westcaplending-my.sharepoint.com/personal/:w:/g/personal/amoon_westcapitallending_com/EckO1JVg59dOmxVVFDmxX2ABoQxOwJzMPNpHvLI75zvaEQ?e=Yzg5Cm" TargetMode="External"/><Relationship Id="rId62" Type="http://schemas.openxmlformats.org/officeDocument/2006/relationships/hyperlink" Target="../../../ymyil/:w:/g/personal/amoon_westcapitallending_com/EWWI-UsbqFlFp-K33gtdDZsBEaXIgYVUhYt8fqxTyoLYpA" TargetMode="External"/><Relationship Id="rId70" Type="http://schemas.openxmlformats.org/officeDocument/2006/relationships/hyperlink" Target="../../../ymyil/:w:/g/personal/amoon_westcapitallending_com/ESquWtYOqmpHg6c-fRj8dSoBfIEw9eK4GOrGbmIas_CJcg" TargetMode="External"/><Relationship Id="rId75" Type="http://schemas.openxmlformats.org/officeDocument/2006/relationships/hyperlink" Target="../../../ymyil/:w:/g/personal/amoon_westcapitallending_com/EUI8awujUh9LrE5aEmBxACcBEO8_a3iVjb8HKkvYYy1zNw" TargetMode="External"/><Relationship Id="rId83" Type="http://schemas.openxmlformats.org/officeDocument/2006/relationships/hyperlink" Target="https://register.gotowebinar.com/recording/3612691068886002433" TargetMode="External"/><Relationship Id="rId88" Type="http://schemas.openxmlformats.org/officeDocument/2006/relationships/hyperlink" Target="https://www.buttonfinance.com/broker-portal/" TargetMode="External"/><Relationship Id="rId91" Type="http://schemas.openxmlformats.org/officeDocument/2006/relationships/hyperlink" Target="../../../ymyil/:w:/g/personal/amoon_westcapitallending_com/EX4h-lfKevBClunLPH04RbgBtLIt2NBMpqr1J0SfMolh0w" TargetMode="External"/><Relationship Id="rId96" Type="http://schemas.openxmlformats.org/officeDocument/2006/relationships/hyperlink" Target="../../../ymyil/:x:/g/personal/amoon_westcapitallending_com/EdNiTkOjc5ZLmNadWin4UjIBbxif8rrO-SZodbVuRMI3vw" TargetMode="External"/><Relationship Id="rId1" Type="http://schemas.openxmlformats.org/officeDocument/2006/relationships/hyperlink" Target="https://westcaplending-my.sharepoint.com/personal/:x:/g/personal/amoon_westcapitallending_com/EXY1WkpQ40JMmmo6FON8xbIB-i2kHrz9wvJKrv8OazGbBA?e=xzngRg" TargetMode="External"/><Relationship Id="rId6" Type="http://schemas.openxmlformats.org/officeDocument/2006/relationships/hyperlink" Target="../../../ymyil/:w:/g/personal/amoon_westcapitallending_com/EV9HRiYJ8UlOjRz3HH3WcWwBMDDpLbsSh_U_hn38fNQbHw" TargetMode="External"/><Relationship Id="rId15" Type="http://schemas.openxmlformats.org/officeDocument/2006/relationships/hyperlink" Target="../../../ymyil/:w:/g/personal/amoon_westcapitallending_com/EQNMpF4SZq1BisR7IvU-ozgBLOeA7n1QaA0LDV04PsgCKw" TargetMode="External"/><Relationship Id="rId23" Type="http://schemas.openxmlformats.org/officeDocument/2006/relationships/hyperlink" Target="../../../ymyil/:w:/g/personal/amoon_westcapitallending_com/EVIEPFObhmZFmmjHRxAMlQEB3E1I1AEXCHgflO59S1rtVg" TargetMode="External"/><Relationship Id="rId28" Type="http://schemas.openxmlformats.org/officeDocument/2006/relationships/hyperlink" Target="../../../ymyil/:w:/g/personal/amoon_westcapitallending_com/EVYHpKLHJxhJkNfPiYBcSm0BY2gR9jgkfxzKJzJalz8lBA" TargetMode="External"/><Relationship Id="rId36" Type="http://schemas.openxmlformats.org/officeDocument/2006/relationships/hyperlink" Target="../../../ymyil/:w:/g/personal/amoon_westcapitallending_com/ESM1G2lQ9UhApktHqBzjTaIBuhG2VwU5rbjkyg3qG0FoLg" TargetMode="External"/><Relationship Id="rId49" Type="http://schemas.openxmlformats.org/officeDocument/2006/relationships/hyperlink" Target="../../../ymyil/:w:/g/personal/amoon_westcapitallending_com/EQRGsBhKtFtBuebquMVDi0QB_gd0FpSQoU4jlr-JMiOB4Q" TargetMode="External"/><Relationship Id="rId57" Type="http://schemas.openxmlformats.org/officeDocument/2006/relationships/hyperlink" Target="../../../ymyil/:w:/g/personal/amoon_westcapitallending_com/EeNYjE7knAVCpyHNsWhbdq4Bk1tmXbE3ggwUTdqBHZEoFQ" TargetMode="External"/><Relationship Id="rId10" Type="http://schemas.openxmlformats.org/officeDocument/2006/relationships/hyperlink" Target="../../../ymyil/:w:/g/personal/amoon_westcapitallending_com/Eb8L5CFrP5lKgM3A9j1n_yQB5izN8EEp4FZnPbKMVBJQqg" TargetMode="External"/><Relationship Id="rId31" Type="http://schemas.openxmlformats.org/officeDocument/2006/relationships/hyperlink" Target="../../../ymyil/:w:/g/personal/amoon_westcapitallending_com/EdqYSYUT4tJHg1mgGBtgUXEBLdEe-_fZODGfk3Yl__F_IQ" TargetMode="External"/><Relationship Id="rId44" Type="http://schemas.openxmlformats.org/officeDocument/2006/relationships/hyperlink" Target="../../../ymyil/:x:/g/personal/amoon_westcapitallending_com/EazUlmGZuNRLiynoZCJbJyYBkv5ogD1Rjbccvq1mz-BSrw" TargetMode="External"/><Relationship Id="rId52" Type="http://schemas.openxmlformats.org/officeDocument/2006/relationships/hyperlink" Target="../../../ymyil/:w:/g/personal/amoon_westcapitallending_com/EYaY1UJwyfhNh4CCRtWUy2sBTg1RwbhDTc6erZKXvcBeDA" TargetMode="External"/><Relationship Id="rId60" Type="http://schemas.openxmlformats.org/officeDocument/2006/relationships/hyperlink" Target="../../../ymyil/:w:/g/personal/amoon_westcapitallending_com/EfPdvm7ViBlLoT3ORBXrb6EBtllsJ8x9QWyV4t3Siua3_A" TargetMode="External"/><Relationship Id="rId65" Type="http://schemas.openxmlformats.org/officeDocument/2006/relationships/hyperlink" Target="../../../ymyil/:w:/g/personal/amoon_westcapitallending_com/EV_kHblw8I9KjMZz6_OXBAQB05psVm2STxydtYE6rXPgkg" TargetMode="External"/><Relationship Id="rId73" Type="http://schemas.openxmlformats.org/officeDocument/2006/relationships/hyperlink" Target="../../../ymyil/:w:/g/personal/amoon_westcapitallending_com/Efcvit2gw0FBi3EQsqO1myYBmdAhv4deyLIdQ35enPbtBw" TargetMode="External"/><Relationship Id="rId78" Type="http://schemas.openxmlformats.org/officeDocument/2006/relationships/hyperlink" Target="../../../ymyil/:w:/g/personal/amoon_westcapitallending_com/EV4TBvsjy9JGoI3UXmf5zXABBLq3MoGK6Rhoxp1536FAuA" TargetMode="External"/><Relationship Id="rId81" Type="http://schemas.openxmlformats.org/officeDocument/2006/relationships/hyperlink" Target="../../../ymyil/:w:/g/personal/amoon_westcapitallending_com/EdKg8m96pQhKsIRZ62Em1ZIBTfpv9jz95HnfvugvVUWi4g" TargetMode="External"/><Relationship Id="rId86" Type="http://schemas.openxmlformats.org/officeDocument/2006/relationships/hyperlink" Target="https://6059604.fs1.hubspotusercontent-na1.net/hubfs/6059604/2022_website_rates_fees_guidelines_matrices/ActiveWholesaleRateSheet.pdf" TargetMode="External"/><Relationship Id="rId94" Type="http://schemas.openxmlformats.org/officeDocument/2006/relationships/hyperlink" Target="https://www.rentometer.com/" TargetMode="External"/><Relationship Id="rId99" Type="http://schemas.openxmlformats.org/officeDocument/2006/relationships/hyperlink" Target="../../../ymyil/:u:/g/personal/amoon_westcapitallending_com/EdDH_rDcZR1GmjmopdSl8J8Bo-WJpXgX6Lwp6Lg3aw2J6g" TargetMode="External"/><Relationship Id="rId101" Type="http://schemas.openxmlformats.org/officeDocument/2006/relationships/hyperlink" Target="../../../ymyil/:b:/g/personal/amoon_westcapitallending_com/EZAhxsYLNFlPkfrqaCtZW_0BY7eVkXqDTKhl_qWYmWLnpg" TargetMode="External"/><Relationship Id="rId4" Type="http://schemas.openxmlformats.org/officeDocument/2006/relationships/hyperlink" Target="https://rocketprotpo.pathfinder.foc.zone/content/process/9db493c6-1a0b-45a2-94ab-8cbf12c420f7" TargetMode="External"/><Relationship Id="rId9" Type="http://schemas.openxmlformats.org/officeDocument/2006/relationships/hyperlink" Target="../../../ymyil/:w:/g/personal/amoon_westcapitallending_com/EfOzHgJdjhtCubnGPprN5IMBeg2fJn-1GzUlBW7ThvdUFQ" TargetMode="External"/><Relationship Id="rId13" Type="http://schemas.openxmlformats.org/officeDocument/2006/relationships/hyperlink" Target="../../../ymyil/:w:/g/personal/amoon_westcapitallending_com/Ec_KKFkbocFGjIftCbZTt84BmbsITvm7DkKzUmagjBElsw" TargetMode="External"/><Relationship Id="rId18" Type="http://schemas.openxmlformats.org/officeDocument/2006/relationships/hyperlink" Target="../../../ymyil/:w:/g/personal/amoon_westcapitallending_com/ERpabSWarB5PsQKVwQAKasIBvqTOXkRGT57g7CbLTBvvzA" TargetMode="External"/><Relationship Id="rId39" Type="http://schemas.openxmlformats.org/officeDocument/2006/relationships/hyperlink" Target="../../../ymyil/:w:/g/personal/amoon_westcapitallending_com/EUX20zVsAadBglqOt0unUSkBzjJgt7vGbov6gT12jSy3DQ" TargetMode="External"/><Relationship Id="rId34" Type="http://schemas.openxmlformats.org/officeDocument/2006/relationships/hyperlink" Target="../../../ymyil/:b:/g/personal/amoon_westcapitallending_com/EaHRx_7XLuRDiPVRk9sI-DYBQJNfE256FKQmfiLu_-zW2g" TargetMode="External"/><Relationship Id="rId50" Type="http://schemas.openxmlformats.org/officeDocument/2006/relationships/hyperlink" Target="../../../ymyil/:w:/g/personal/amoon_westcapitallending_com/EZhTpE31rFlMt81qpvGU2I8BL-dED7AbuvQ1HmdEf6tI2Q" TargetMode="External"/><Relationship Id="rId55" Type="http://schemas.openxmlformats.org/officeDocument/2006/relationships/hyperlink" Target="../../../ymyil/:w:/g/personal/amoon_westcapitallending_com/EajIzZBYMtVHrYDN2IUAd64BgZetwkOlP7mMOzkzzoyfMQ" TargetMode="External"/><Relationship Id="rId76" Type="http://schemas.openxmlformats.org/officeDocument/2006/relationships/hyperlink" Target="../../../ymyil/:w:/g/personal/amoon_westcapitallending_com/EdqPfyJA-ZtGoTop9zXD_8QBVg-FD8Td3H1zTs_e-fLGJw" TargetMode="External"/><Relationship Id="rId97" Type="http://schemas.openxmlformats.org/officeDocument/2006/relationships/hyperlink" Target="../../../ymyil/:w:/g/personal/amoon_westcapitallending_com/EQYFwCGy0URPhK0lyXi98x0B2GY33UtNmxyr3QMwHVxQPQ" TargetMode="External"/><Relationship Id="rId104" Type="http://schemas.openxmlformats.org/officeDocument/2006/relationships/hyperlink" Target="https://waiver.smartwaiver.com/w/5f622bee443ff/web/" TargetMode="External"/><Relationship Id="rId7" Type="http://schemas.openxmlformats.org/officeDocument/2006/relationships/hyperlink" Target="../../../ymyil/:w:/g/personal/amoon_westcapitallending_com/Ef5bA_e8EyJBtFY8dQYYSB8BUbb7yPZzGYy4-xoRvyAnxw" TargetMode="External"/><Relationship Id="rId71" Type="http://schemas.openxmlformats.org/officeDocument/2006/relationships/hyperlink" Target="../../../ymyil/:w:/g/personal/amoon_westcapitallending_com/EZu7g9NYFj5KmrmrT4oRIVYB4H1tOAYGUQo6y3VVNbmDWg" TargetMode="External"/><Relationship Id="rId92" Type="http://schemas.openxmlformats.org/officeDocument/2006/relationships/hyperlink" Target="../../../ymyil/:w:/g/personal/amoon_westcapitallending_com/EWbcwbteqb9PvffnEHzC1GsB_h-Y8NEUCFh6m0ovpJD2Mg" TargetMode="External"/><Relationship Id="rId2" Type="http://schemas.openxmlformats.org/officeDocument/2006/relationships/hyperlink" Target="../../../ymyil/:w:/g/personal/amoon_westcapitallending_com/EfOgxfNxZdJJkhglR4SiBAYBD1IeM6xg3vQ4km6j7d-4AA" TargetMode="External"/><Relationship Id="rId29" Type="http://schemas.openxmlformats.org/officeDocument/2006/relationships/hyperlink" Target="../../../ymyil/:w:/g/personal/amoon_westcapitallending_com/EYy-X1KTpUJNlB7NlAMJbg4BkxhQGf95sAaJqr7r0ZBX2g" TargetMode="External"/><Relationship Id="rId24" Type="http://schemas.openxmlformats.org/officeDocument/2006/relationships/hyperlink" Target="../../../ymyil/:w:/g/personal/amoon_westcapitallending_com/EW31zVLS68hHiXrlBVn6JtkB66T5tvoBpPdl7Kte3M9WhA" TargetMode="External"/><Relationship Id="rId40" Type="http://schemas.openxmlformats.org/officeDocument/2006/relationships/hyperlink" Target="../../../ymyil/:x:/g/personal/amoon_westcapitallending_com/ESH1wc9g70VPrRb1F9ssOE0BMv0Vvx6r55yp1lIv4Z268w" TargetMode="External"/><Relationship Id="rId45" Type="http://schemas.openxmlformats.org/officeDocument/2006/relationships/hyperlink" Target="../../../ymyil/:w:/g/personal/amoon_westcapitallending_com/EWin9O8uP-BLjI1u4g50Y6YBpLqXRzpjHOgVhdRpSGqtmQ" TargetMode="External"/><Relationship Id="rId66" Type="http://schemas.openxmlformats.org/officeDocument/2006/relationships/hyperlink" Target="../../../ymyil/:x:/g/personal/amoon_westcapitallending_com/EftMm4kTCAVCqMk0SBPciTcBY17zxxICYdfLOYn9DINW6w" TargetMode="External"/><Relationship Id="rId87" Type="http://schemas.openxmlformats.org/officeDocument/2006/relationships/hyperlink" Target="../../../ymyil/:w:/g/personal/amoon_westcapitallending_com/EQ0ocUGWWwFPv1Mo0LvE0h0Bng5jbtCkksNdZc6KGne5_w" TargetMode="External"/><Relationship Id="rId61" Type="http://schemas.openxmlformats.org/officeDocument/2006/relationships/hyperlink" Target="../../../ymyil/:w:/g/personal/amoon_westcapitallending_com/EaWRL0RvB5hDqHhOZgJXIEIBNgzhTsjUauQ915KLgwJR7g" TargetMode="External"/><Relationship Id="rId82" Type="http://schemas.openxmlformats.org/officeDocument/2006/relationships/hyperlink" Target="../../../ymyil/:w:/g/personal/amoon_westcapitallending_com/EbITO__56p1JpS7QBsoYWO4BA1eWM6oTe48uifeCVsN3gg" TargetMode="External"/><Relationship Id="rId19" Type="http://schemas.openxmlformats.org/officeDocument/2006/relationships/hyperlink" Target="https://app.agentlegend.com/campaigns/58YDB/share" TargetMode="External"/><Relationship Id="rId14" Type="http://schemas.openxmlformats.org/officeDocument/2006/relationships/hyperlink" Target="../../../ymyil/:w:/g/personal/amoon_westcapitallending_com/EaQ_VQSTqO5CmPApsdRIxeEBLj6_4WE5AdXtWBj5QcS_jg" TargetMode="External"/><Relationship Id="rId30" Type="http://schemas.openxmlformats.org/officeDocument/2006/relationships/hyperlink" Target="../../../ymyil/:w:/g/personal/amoon_westcapitallending_com/ETElrOqlZHFIoOnVWl6dNXUBNE4LTG344yjvjsuAAIGizw" TargetMode="External"/><Relationship Id="rId35" Type="http://schemas.openxmlformats.org/officeDocument/2006/relationships/hyperlink" Target="../../../ymyil/:w:/g/personal/amoon_westcapitallending_com/EVUgCicHcf1MlOGh2nI1kVEBEB7x9MfkMxjYPeLYLsfVxQ" TargetMode="External"/><Relationship Id="rId56" Type="http://schemas.openxmlformats.org/officeDocument/2006/relationships/hyperlink" Target="../../../ymyil/:w:/g/personal/amoon_westcapitallending_com/EZ3KnJMEnYxGhZSMZ-tAt38BFQaJjeF6W3TknWpSBq2khA" TargetMode="External"/><Relationship Id="rId77" Type="http://schemas.openxmlformats.org/officeDocument/2006/relationships/hyperlink" Target="../../../ymyil/:w:/g/personal/amoon_westcapitallending_com/EdHWRskn4ixKtezpHVmnaJIBQtBhBuLz7m6d7i5niOzZWw" TargetMode="External"/><Relationship Id="rId100" Type="http://schemas.openxmlformats.org/officeDocument/2006/relationships/hyperlink" Target="https://docs.google.com/spreadsheets/d/1hujwdKJf7G7wxifMhgm8RvUsnu--jifsBDuZZBvcPGs/edit" TargetMode="External"/><Relationship Id="rId105" Type="http://schemas.openxmlformats.org/officeDocument/2006/relationships/hyperlink" Target="https://westcaplending-my.sharepoint.com/personal/:w:/g/personal/amoon_westcapitallending_com/ESaCnd07JctPl5hvaEhO93EB4TYsK5Go-Yjjk4tT8YOFTA?e=sK5YdN" TargetMode="External"/><Relationship Id="rId8" Type="http://schemas.openxmlformats.org/officeDocument/2006/relationships/hyperlink" Target="../../../ymyil/:w:/g/personal/amoon_westcapitallending_com/EdJqVwz2qiZNpX0gIXhsggQBVj5h85TdauILtf47k_zHVQ" TargetMode="External"/><Relationship Id="rId51" Type="http://schemas.openxmlformats.org/officeDocument/2006/relationships/hyperlink" Target="../../../ymyil/:w:/g/personal/amoon_westcapitallending_com/Ed0ycP8BqYRMmQWBW3rozqABBD__Wrw9ON7LHLbXh4--zQ" TargetMode="External"/><Relationship Id="rId72" Type="http://schemas.openxmlformats.org/officeDocument/2006/relationships/hyperlink" Target="../../../ymyil/:w:/g/personal/amoon_westcapitallending_com/EbyCW4VLAPxFkvGSVicyvt0BUkhK_rNXVoNAlo7u0aU5qQ" TargetMode="External"/><Relationship Id="rId93" Type="http://schemas.openxmlformats.org/officeDocument/2006/relationships/hyperlink" Target="../../../ymyil/:w:/g/personal/amoon_westcapitallending_com/EXmgsojmuaBGvEL6Ofl7Y_EBEybKthdPZIjDLN75XiA4Sg" TargetMode="External"/><Relationship Id="rId98" Type="http://schemas.openxmlformats.org/officeDocument/2006/relationships/hyperlink" Target="../../../ymyil/:w:/g/personal/amoon_westcapitallending_com/EWRwICMulRhCnsSMIRff8gkBOtB3HEaGAr10GijnGXr-6w" TargetMode="External"/><Relationship Id="rId3" Type="http://schemas.openxmlformats.org/officeDocument/2006/relationships/hyperlink" Target="https://rocketprotpo.pathfinder.foc.zone/" TargetMode="External"/><Relationship Id="rId25" Type="http://schemas.openxmlformats.org/officeDocument/2006/relationships/hyperlink" Target="../../../ymyil/:w:/g/personal/amoon_westcapitallending_com/EUijTNWfSmdHkm9_ZM3eD8oBJDZQ7DcrkdV-f1JNR303Ng" TargetMode="External"/><Relationship Id="rId46" Type="http://schemas.openxmlformats.org/officeDocument/2006/relationships/hyperlink" Target="../../../ymyil/:x:/g/personal/amoon_westcapitallending_com/EUp8PVuk5VVIpsWgZlFPR_QBlXWHyg5-e89gl14Ltkhfwg" TargetMode="External"/><Relationship Id="rId67" Type="http://schemas.openxmlformats.org/officeDocument/2006/relationships/hyperlink" Target="../../../ymyil/:w:/g/personal/amoon_westcapitallending_com/ERjiwcLuDR9MpNPR10im4WsBmWD3IHIlMK3_k_1lJNenGw"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BEFC9-4B62-4EA4-8A20-0D30EDDB8BD7}">
  <sheetPr codeName="Sheet9"/>
  <dimension ref="B6:C80"/>
  <sheetViews>
    <sheetView topLeftCell="A49" workbookViewId="0">
      <selection activeCell="G63" sqref="G63"/>
    </sheetView>
  </sheetViews>
  <sheetFormatPr defaultRowHeight="15"/>
  <cols>
    <col min="2" max="2" width="13.140625" bestFit="1" customWidth="1"/>
    <col min="3" max="3" width="17" bestFit="1" customWidth="1"/>
  </cols>
  <sheetData>
    <row r="6" spans="2:3">
      <c r="C6" s="29"/>
    </row>
    <row r="7" spans="2:3">
      <c r="C7" s="29"/>
    </row>
    <row r="8" spans="2:3">
      <c r="C8" s="29"/>
    </row>
    <row r="9" spans="2:3">
      <c r="C9" s="29"/>
    </row>
    <row r="13" spans="2:3">
      <c r="B13" t="s">
        <v>0</v>
      </c>
      <c r="C13" t="s">
        <v>1</v>
      </c>
    </row>
    <row r="14" spans="2:3">
      <c r="C14" t="s">
        <v>2</v>
      </c>
    </row>
    <row r="15" spans="2:3">
      <c r="C15" t="s">
        <v>3</v>
      </c>
    </row>
    <row r="16" spans="2:3">
      <c r="C16" t="s">
        <v>4</v>
      </c>
    </row>
    <row r="17" spans="3:3">
      <c r="C17" t="s">
        <v>5</v>
      </c>
    </row>
    <row r="18" spans="3:3">
      <c r="C18" t="s">
        <v>6</v>
      </c>
    </row>
    <row r="19" spans="3:3">
      <c r="C19" t="s">
        <v>7</v>
      </c>
    </row>
    <row r="20" spans="3:3">
      <c r="C20" t="s">
        <v>8</v>
      </c>
    </row>
    <row r="21" spans="3:3">
      <c r="C21" t="s">
        <v>9</v>
      </c>
    </row>
    <row r="22" spans="3:3">
      <c r="C22" t="s">
        <v>10</v>
      </c>
    </row>
    <row r="23" spans="3:3">
      <c r="C23" t="s">
        <v>11</v>
      </c>
    </row>
    <row r="24" spans="3:3">
      <c r="C24" t="s">
        <v>12</v>
      </c>
    </row>
    <row r="25" spans="3:3">
      <c r="C25" t="s">
        <v>13</v>
      </c>
    </row>
    <row r="26" spans="3:3">
      <c r="C26" t="s">
        <v>14</v>
      </c>
    </row>
    <row r="27" spans="3:3">
      <c r="C27" t="s">
        <v>15</v>
      </c>
    </row>
    <row r="28" spans="3:3">
      <c r="C28" t="s">
        <v>16</v>
      </c>
    </row>
    <row r="29" spans="3:3">
      <c r="C29" t="s">
        <v>17</v>
      </c>
    </row>
    <row r="30" spans="3:3">
      <c r="C30" t="s">
        <v>18</v>
      </c>
    </row>
    <row r="31" spans="3:3">
      <c r="C31" t="s">
        <v>19</v>
      </c>
    </row>
    <row r="32" spans="3:3">
      <c r="C32" t="s">
        <v>20</v>
      </c>
    </row>
    <row r="33" spans="3:3">
      <c r="C33" t="s">
        <v>21</v>
      </c>
    </row>
    <row r="34" spans="3:3">
      <c r="C34" t="s">
        <v>22</v>
      </c>
    </row>
    <row r="35" spans="3:3">
      <c r="C35" t="s">
        <v>23</v>
      </c>
    </row>
    <row r="36" spans="3:3">
      <c r="C36" t="s">
        <v>24</v>
      </c>
    </row>
    <row r="37" spans="3:3">
      <c r="C37" t="s">
        <v>25</v>
      </c>
    </row>
    <row r="38" spans="3:3">
      <c r="C38" t="s">
        <v>26</v>
      </c>
    </row>
    <row r="39" spans="3:3">
      <c r="C39" t="s">
        <v>27</v>
      </c>
    </row>
    <row r="40" spans="3:3">
      <c r="C40" t="s">
        <v>28</v>
      </c>
    </row>
    <row r="41" spans="3:3">
      <c r="C41" t="s">
        <v>29</v>
      </c>
    </row>
    <row r="42" spans="3:3">
      <c r="C42" t="s">
        <v>30</v>
      </c>
    </row>
    <row r="43" spans="3:3">
      <c r="C43" t="s">
        <v>31</v>
      </c>
    </row>
    <row r="52" spans="2:3">
      <c r="B52" t="s">
        <v>32</v>
      </c>
    </row>
    <row r="53" spans="2:3">
      <c r="B53" t="s">
        <v>33</v>
      </c>
    </row>
    <row r="54" spans="2:3">
      <c r="B54" t="s">
        <v>34</v>
      </c>
    </row>
    <row r="55" spans="2:3">
      <c r="B55" t="s">
        <v>35</v>
      </c>
    </row>
    <row r="56" spans="2:3">
      <c r="B56" t="s">
        <v>36</v>
      </c>
    </row>
    <row r="58" spans="2:3">
      <c r="B58" t="s">
        <v>37</v>
      </c>
    </row>
    <row r="59" spans="2:3">
      <c r="B59" t="s">
        <v>38</v>
      </c>
    </row>
    <row r="61" spans="2:3">
      <c r="B61" t="s">
        <v>39</v>
      </c>
    </row>
    <row r="64" spans="2:3">
      <c r="C64" t="s">
        <v>40</v>
      </c>
    </row>
    <row r="65" spans="2:3">
      <c r="C65" t="s">
        <v>41</v>
      </c>
    </row>
    <row r="66" spans="2:3">
      <c r="C66" t="s">
        <v>42</v>
      </c>
    </row>
    <row r="67" spans="2:3">
      <c r="C67" t="s">
        <v>43</v>
      </c>
    </row>
    <row r="68" spans="2:3">
      <c r="C68" t="s">
        <v>44</v>
      </c>
    </row>
    <row r="69" spans="2:3">
      <c r="C69" t="s">
        <v>45</v>
      </c>
    </row>
    <row r="70" spans="2:3">
      <c r="C70" t="s">
        <v>46</v>
      </c>
    </row>
    <row r="71" spans="2:3">
      <c r="C71" t="s">
        <v>47</v>
      </c>
    </row>
    <row r="72" spans="2:3">
      <c r="C72" t="s">
        <v>48</v>
      </c>
    </row>
    <row r="78" spans="2:3">
      <c r="B78" t="s">
        <v>49</v>
      </c>
    </row>
    <row r="79" spans="2:3">
      <c r="B79" t="s">
        <v>50</v>
      </c>
    </row>
    <row r="80" spans="2:3">
      <c r="B80" t="s">
        <v>51</v>
      </c>
    </row>
  </sheetData>
  <sheetProtection algorithmName="SHA-512" hashValue="TOgCTlSUT+wN57mlWo2VNewvCn6I0BLIsLc8JEWF1yT7xIXohkDll1dnTTnQAmbiea8ZcGU9wvOHmyIGPn8rdw==" saltValue="oLqlxkv5Bm4fRqCwX+lLHQ=="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3C408-90E9-4E0B-B39D-F59857DFE488}">
  <sheetPr codeName="Sheet23">
    <tabColor rgb="FF66FF33"/>
  </sheetPr>
  <dimension ref="A1:G97"/>
  <sheetViews>
    <sheetView zoomScale="120" zoomScaleNormal="120" workbookViewId="0">
      <selection activeCell="A2" sqref="A2:A97"/>
    </sheetView>
  </sheetViews>
  <sheetFormatPr defaultRowHeight="15"/>
  <cols>
    <col min="1" max="1" width="60.5703125" customWidth="1"/>
    <col min="4" max="6" width="19" customWidth="1"/>
    <col min="7" max="7" width="83.85546875" customWidth="1"/>
  </cols>
  <sheetData>
    <row r="1" spans="1:7" ht="15.75" thickBot="1">
      <c r="A1" s="493"/>
      <c r="B1" s="493"/>
      <c r="C1" s="493"/>
      <c r="D1" s="493"/>
      <c r="E1" s="493"/>
      <c r="F1" s="493"/>
      <c r="G1" s="493"/>
    </row>
    <row r="2" spans="1:7" ht="14.45" customHeight="1">
      <c r="A2" s="493"/>
      <c r="B2" s="529" t="s">
        <v>52</v>
      </c>
      <c r="C2" s="530"/>
      <c r="D2" s="530"/>
      <c r="E2" s="530"/>
      <c r="F2" s="531"/>
      <c r="G2" s="493"/>
    </row>
    <row r="3" spans="1:7" ht="14.45" customHeight="1" thickBot="1">
      <c r="A3" s="493"/>
      <c r="B3" s="532"/>
      <c r="C3" s="533"/>
      <c r="D3" s="533"/>
      <c r="E3" s="533"/>
      <c r="F3" s="534"/>
      <c r="G3" s="493"/>
    </row>
    <row r="4" spans="1:7" ht="15.75" thickBot="1">
      <c r="A4" s="493"/>
      <c r="B4" s="535" t="s">
        <v>53</v>
      </c>
      <c r="C4" s="536"/>
      <c r="D4" s="536"/>
      <c r="E4" s="536"/>
      <c r="F4" s="537"/>
      <c r="G4" s="493"/>
    </row>
    <row r="5" spans="1:7" ht="15.75" thickBot="1">
      <c r="A5" s="493"/>
      <c r="B5" s="538" t="s">
        <v>54</v>
      </c>
      <c r="C5" s="539"/>
      <c r="D5" s="539"/>
      <c r="E5" s="539"/>
      <c r="F5" s="540"/>
      <c r="G5" s="493"/>
    </row>
    <row r="6" spans="1:7" ht="15.75" thickBot="1">
      <c r="A6" s="493"/>
      <c r="B6" s="507" t="s">
        <v>55</v>
      </c>
      <c r="C6" s="508"/>
      <c r="D6" s="508"/>
      <c r="E6" s="508"/>
      <c r="F6" s="509"/>
      <c r="G6" s="493"/>
    </row>
    <row r="7" spans="1:7" ht="15.75" thickBot="1">
      <c r="A7" s="493"/>
      <c r="B7" s="494"/>
      <c r="C7" s="495"/>
      <c r="D7" s="495"/>
      <c r="E7" s="495"/>
      <c r="F7" s="496"/>
      <c r="G7" s="493"/>
    </row>
    <row r="8" spans="1:7">
      <c r="A8" s="493"/>
      <c r="B8" s="512" t="s">
        <v>56</v>
      </c>
      <c r="C8" s="497"/>
      <c r="D8" s="515" t="s">
        <v>57</v>
      </c>
      <c r="E8" s="516"/>
      <c r="F8" s="517"/>
      <c r="G8" s="493"/>
    </row>
    <row r="9" spans="1:7" ht="15.75" thickBot="1">
      <c r="A9" s="493"/>
      <c r="B9" s="513"/>
      <c r="C9" s="498"/>
      <c r="D9" s="518"/>
      <c r="E9" s="519"/>
      <c r="F9" s="520"/>
      <c r="G9" s="493"/>
    </row>
    <row r="10" spans="1:7" ht="15.75" thickBot="1">
      <c r="A10" s="493"/>
      <c r="B10" s="513"/>
      <c r="C10" s="498"/>
      <c r="D10" s="494"/>
      <c r="E10" s="495"/>
      <c r="F10" s="496"/>
      <c r="G10" s="493"/>
    </row>
    <row r="11" spans="1:7">
      <c r="A11" s="493"/>
      <c r="B11" s="513"/>
      <c r="C11" s="498"/>
      <c r="D11" s="521" t="s">
        <v>833</v>
      </c>
      <c r="E11" s="522"/>
      <c r="F11" s="523"/>
      <c r="G11" s="493"/>
    </row>
    <row r="12" spans="1:7">
      <c r="A12" s="493"/>
      <c r="B12" s="513"/>
      <c r="C12" s="498"/>
      <c r="D12" s="524"/>
      <c r="E12" s="525"/>
      <c r="F12" s="526"/>
      <c r="G12" s="493"/>
    </row>
    <row r="13" spans="1:7" ht="18">
      <c r="A13" s="493"/>
      <c r="B13" s="513"/>
      <c r="C13" s="498"/>
      <c r="D13" s="541" t="s">
        <v>834</v>
      </c>
      <c r="E13" s="542"/>
      <c r="F13" s="543"/>
      <c r="G13" s="493"/>
    </row>
    <row r="14" spans="1:7" ht="18">
      <c r="A14" s="493"/>
      <c r="B14" s="513"/>
      <c r="C14" s="498"/>
      <c r="D14" s="541" t="s">
        <v>835</v>
      </c>
      <c r="E14" s="542"/>
      <c r="F14" s="543"/>
      <c r="G14" s="493"/>
    </row>
    <row r="15" spans="1:7" ht="16.5">
      <c r="A15" s="493"/>
      <c r="B15" s="513"/>
      <c r="C15" s="498"/>
      <c r="D15" s="544" t="s">
        <v>58</v>
      </c>
      <c r="E15" s="545"/>
      <c r="F15" s="546"/>
      <c r="G15" s="493"/>
    </row>
    <row r="16" spans="1:7" ht="18">
      <c r="A16" s="493"/>
      <c r="B16" s="513"/>
      <c r="C16" s="498"/>
      <c r="D16" s="541" t="s">
        <v>836</v>
      </c>
      <c r="E16" s="542"/>
      <c r="F16" s="543"/>
      <c r="G16" s="493"/>
    </row>
    <row r="17" spans="1:7" ht="18.75" thickBot="1">
      <c r="A17" s="493"/>
      <c r="B17" s="514"/>
      <c r="C17" s="499"/>
      <c r="D17" s="547" t="s">
        <v>59</v>
      </c>
      <c r="E17" s="548"/>
      <c r="F17" s="549"/>
      <c r="G17" s="493"/>
    </row>
    <row r="18" spans="1:7" ht="15.75" thickBot="1">
      <c r="A18" s="493"/>
      <c r="B18" s="494"/>
      <c r="C18" s="495"/>
      <c r="D18" s="495"/>
      <c r="E18" s="495"/>
      <c r="F18" s="496"/>
      <c r="G18" s="493"/>
    </row>
    <row r="19" spans="1:7" ht="15.75" thickBot="1">
      <c r="A19" s="493"/>
      <c r="B19" s="512" t="s">
        <v>60</v>
      </c>
      <c r="C19" s="497"/>
      <c r="D19" s="500" t="s">
        <v>61</v>
      </c>
      <c r="E19" s="501"/>
      <c r="F19" s="502"/>
      <c r="G19" s="493"/>
    </row>
    <row r="20" spans="1:7" ht="15.75" thickBot="1">
      <c r="A20" s="493"/>
      <c r="B20" s="513"/>
      <c r="C20" s="498"/>
      <c r="D20" s="494"/>
      <c r="E20" s="495"/>
      <c r="F20" s="496"/>
      <c r="G20" s="493"/>
    </row>
    <row r="21" spans="1:7" ht="15.75" thickBot="1">
      <c r="A21" s="493"/>
      <c r="B21" s="513"/>
      <c r="C21" s="527"/>
      <c r="D21" s="32" t="s">
        <v>62</v>
      </c>
      <c r="E21" s="505" t="s">
        <v>837</v>
      </c>
      <c r="F21" s="506"/>
      <c r="G21" s="493"/>
    </row>
    <row r="22" spans="1:7" ht="15.75" thickBot="1">
      <c r="A22" s="493"/>
      <c r="B22" s="513"/>
      <c r="C22" s="527"/>
      <c r="D22" s="33" t="s">
        <v>63</v>
      </c>
      <c r="E22" s="510" t="s">
        <v>838</v>
      </c>
      <c r="F22" s="511"/>
      <c r="G22" s="493"/>
    </row>
    <row r="23" spans="1:7" ht="15.75" thickBot="1">
      <c r="A23" s="493"/>
      <c r="B23" s="513"/>
      <c r="C23" s="527"/>
      <c r="D23" s="33" t="s">
        <v>63</v>
      </c>
      <c r="E23" s="467" t="s">
        <v>838</v>
      </c>
      <c r="F23" s="35" t="s">
        <v>839</v>
      </c>
      <c r="G23" s="493"/>
    </row>
    <row r="24" spans="1:7" ht="15.75" thickBot="1">
      <c r="A24" s="493"/>
      <c r="B24" s="513"/>
      <c r="C24" s="527"/>
      <c r="D24" s="33" t="s">
        <v>64</v>
      </c>
      <c r="E24" s="503" t="s">
        <v>840</v>
      </c>
      <c r="F24" s="504"/>
      <c r="G24" s="493"/>
    </row>
    <row r="25" spans="1:7" ht="15.75" thickBot="1">
      <c r="A25" s="493"/>
      <c r="B25" s="514"/>
      <c r="C25" s="528"/>
      <c r="D25" s="34" t="s">
        <v>65</v>
      </c>
      <c r="E25" s="503" t="s">
        <v>841</v>
      </c>
      <c r="F25" s="504"/>
      <c r="G25" s="493"/>
    </row>
    <row r="26" spans="1:7">
      <c r="A26" s="493"/>
      <c r="G26" s="493"/>
    </row>
    <row r="27" spans="1:7">
      <c r="A27" s="493"/>
      <c r="G27" s="493"/>
    </row>
    <row r="28" spans="1:7">
      <c r="A28" s="493"/>
      <c r="G28" s="493"/>
    </row>
    <row r="29" spans="1:7">
      <c r="A29" s="493"/>
      <c r="G29" s="493"/>
    </row>
    <row r="30" spans="1:7">
      <c r="A30" s="493"/>
      <c r="G30" s="493"/>
    </row>
    <row r="31" spans="1:7">
      <c r="A31" s="493"/>
      <c r="G31" s="493"/>
    </row>
    <row r="32" spans="1:7">
      <c r="A32" s="493"/>
      <c r="F32" s="29"/>
      <c r="G32" s="493"/>
    </row>
    <row r="33" spans="1:7">
      <c r="A33" s="493"/>
      <c r="F33" s="29"/>
      <c r="G33" s="493"/>
    </row>
    <row r="34" spans="1:7">
      <c r="A34" s="493"/>
      <c r="F34" s="29"/>
      <c r="G34" s="493"/>
    </row>
    <row r="35" spans="1:7">
      <c r="A35" s="493"/>
      <c r="G35" s="493"/>
    </row>
    <row r="36" spans="1:7">
      <c r="A36" s="493"/>
      <c r="G36" s="493"/>
    </row>
    <row r="37" spans="1:7">
      <c r="A37" s="493"/>
      <c r="G37" s="493"/>
    </row>
    <row r="38" spans="1:7">
      <c r="A38" s="493"/>
      <c r="G38" s="493"/>
    </row>
    <row r="39" spans="1:7">
      <c r="A39" s="493"/>
      <c r="G39" s="493"/>
    </row>
    <row r="40" spans="1:7">
      <c r="A40" s="493"/>
      <c r="G40" s="493"/>
    </row>
    <row r="41" spans="1:7">
      <c r="A41" s="493"/>
      <c r="G41" s="493"/>
    </row>
    <row r="42" spans="1:7">
      <c r="A42" s="493"/>
      <c r="G42" s="493"/>
    </row>
    <row r="43" spans="1:7">
      <c r="A43" s="493"/>
      <c r="G43" s="493"/>
    </row>
    <row r="44" spans="1:7">
      <c r="A44" s="493"/>
      <c r="G44" s="493"/>
    </row>
    <row r="45" spans="1:7">
      <c r="A45" s="493"/>
      <c r="G45" s="493"/>
    </row>
    <row r="46" spans="1:7">
      <c r="A46" s="493"/>
      <c r="G46" s="493"/>
    </row>
    <row r="47" spans="1:7">
      <c r="A47" s="493"/>
      <c r="G47" s="493"/>
    </row>
    <row r="48" spans="1:7">
      <c r="A48" s="493"/>
      <c r="G48" s="493"/>
    </row>
    <row r="49" spans="1:7">
      <c r="A49" s="493"/>
      <c r="G49" s="493"/>
    </row>
    <row r="50" spans="1:7">
      <c r="A50" s="493"/>
      <c r="G50" s="493"/>
    </row>
    <row r="51" spans="1:7">
      <c r="A51" s="493"/>
      <c r="G51" s="493"/>
    </row>
    <row r="52" spans="1:7">
      <c r="A52" s="493"/>
      <c r="G52" s="493"/>
    </row>
    <row r="53" spans="1:7">
      <c r="A53" s="493"/>
      <c r="G53" s="493"/>
    </row>
    <row r="54" spans="1:7">
      <c r="A54" s="493"/>
      <c r="G54" s="493"/>
    </row>
    <row r="55" spans="1:7">
      <c r="A55" s="493"/>
      <c r="G55" s="493"/>
    </row>
    <row r="56" spans="1:7">
      <c r="A56" s="493"/>
      <c r="G56" s="493"/>
    </row>
    <row r="57" spans="1:7">
      <c r="A57" s="493"/>
      <c r="G57" s="493"/>
    </row>
    <row r="58" spans="1:7">
      <c r="A58" s="493"/>
      <c r="G58" s="493"/>
    </row>
    <row r="59" spans="1:7">
      <c r="A59" s="493"/>
      <c r="G59" s="493"/>
    </row>
    <row r="60" spans="1:7">
      <c r="A60" s="493"/>
      <c r="G60" s="493"/>
    </row>
    <row r="61" spans="1:7">
      <c r="A61" s="493"/>
      <c r="G61" s="493"/>
    </row>
    <row r="62" spans="1:7">
      <c r="A62" s="493"/>
      <c r="G62" s="493"/>
    </row>
    <row r="63" spans="1:7">
      <c r="A63" s="493"/>
      <c r="G63" s="493"/>
    </row>
    <row r="64" spans="1:7">
      <c r="A64" s="493"/>
      <c r="G64" s="493"/>
    </row>
    <row r="65" spans="1:7">
      <c r="A65" s="493"/>
      <c r="G65" s="493"/>
    </row>
    <row r="66" spans="1:7">
      <c r="A66" s="493"/>
      <c r="G66" s="493"/>
    </row>
    <row r="67" spans="1:7">
      <c r="A67" s="493"/>
      <c r="G67" s="493"/>
    </row>
    <row r="68" spans="1:7">
      <c r="A68" s="493"/>
      <c r="G68" s="493"/>
    </row>
    <row r="69" spans="1:7">
      <c r="A69" s="493"/>
      <c r="G69" s="493"/>
    </row>
    <row r="70" spans="1:7">
      <c r="A70" s="493"/>
      <c r="G70" s="493"/>
    </row>
    <row r="71" spans="1:7">
      <c r="A71" s="493"/>
      <c r="G71" s="493"/>
    </row>
    <row r="72" spans="1:7">
      <c r="A72" s="493"/>
      <c r="G72" s="493"/>
    </row>
    <row r="73" spans="1:7">
      <c r="A73" s="493"/>
      <c r="G73" s="493"/>
    </row>
    <row r="74" spans="1:7">
      <c r="A74" s="493"/>
      <c r="G74" s="493"/>
    </row>
    <row r="75" spans="1:7">
      <c r="A75" s="493"/>
      <c r="G75" s="493"/>
    </row>
    <row r="76" spans="1:7">
      <c r="A76" s="493"/>
      <c r="G76" s="493"/>
    </row>
    <row r="77" spans="1:7">
      <c r="A77" s="493"/>
      <c r="G77" s="493"/>
    </row>
    <row r="78" spans="1:7">
      <c r="A78" s="493"/>
      <c r="G78" s="493"/>
    </row>
    <row r="79" spans="1:7">
      <c r="A79" s="493"/>
      <c r="G79" s="493"/>
    </row>
    <row r="80" spans="1:7">
      <c r="A80" s="493"/>
      <c r="G80" s="493"/>
    </row>
    <row r="81" spans="1:7">
      <c r="A81" s="493"/>
      <c r="G81" s="493"/>
    </row>
    <row r="82" spans="1:7">
      <c r="A82" s="493"/>
      <c r="G82" s="493"/>
    </row>
    <row r="83" spans="1:7">
      <c r="A83" s="493"/>
      <c r="G83" s="493"/>
    </row>
    <row r="84" spans="1:7">
      <c r="A84" s="493"/>
      <c r="G84" s="493"/>
    </row>
    <row r="85" spans="1:7">
      <c r="A85" s="493"/>
      <c r="G85" s="493"/>
    </row>
    <row r="86" spans="1:7">
      <c r="A86" s="493"/>
      <c r="G86" s="493"/>
    </row>
    <row r="87" spans="1:7">
      <c r="A87" s="493"/>
      <c r="G87" s="493"/>
    </row>
    <row r="88" spans="1:7">
      <c r="A88" s="493"/>
      <c r="G88" s="493"/>
    </row>
    <row r="89" spans="1:7">
      <c r="A89" s="493"/>
      <c r="G89" s="493"/>
    </row>
    <row r="90" spans="1:7">
      <c r="A90" s="493"/>
      <c r="G90" s="493"/>
    </row>
    <row r="91" spans="1:7">
      <c r="A91" s="493"/>
      <c r="G91" s="493"/>
    </row>
    <row r="92" spans="1:7">
      <c r="A92" s="493"/>
      <c r="G92" s="493"/>
    </row>
    <row r="93" spans="1:7">
      <c r="A93" s="493"/>
      <c r="G93" s="493"/>
    </row>
    <row r="94" spans="1:7">
      <c r="A94" s="493"/>
      <c r="G94" s="493"/>
    </row>
    <row r="95" spans="1:7">
      <c r="A95" s="493"/>
      <c r="G95" s="493"/>
    </row>
    <row r="96" spans="1:7">
      <c r="A96" s="493"/>
      <c r="G96" s="493"/>
    </row>
    <row r="97" spans="1:7">
      <c r="A97" s="493"/>
      <c r="G97" s="493"/>
    </row>
  </sheetData>
  <sheetProtection algorithmName="SHA-512" hashValue="PyitAo0lls+jUTdO5XqPaNL0SX8IFBcQF6VlOn6IfrSM1rVd5aeKZZuoZILtH1ByHFe1GfB3/j469ThhnsKoeQ==" saltValue="jSt7gKJOM/dERFj6g3MDjA==" spinCount="100000" sheet="1" objects="1" scenarios="1"/>
  <protectedRanges>
    <protectedRange sqref="E25" name="Phone"/>
    <protectedRange sqref="E25:F25" name="NEW LO START PAGE_1"/>
    <protectedRange sqref="D11:F17 E21:F24" name="NEW LO START PAGE"/>
  </protectedRanges>
  <mergeCells count="27">
    <mergeCell ref="E25:F25"/>
    <mergeCell ref="C19:C25"/>
    <mergeCell ref="B19:B25"/>
    <mergeCell ref="B2:F3"/>
    <mergeCell ref="B4:F4"/>
    <mergeCell ref="B5:F5"/>
    <mergeCell ref="D13:F13"/>
    <mergeCell ref="D14:F14"/>
    <mergeCell ref="D15:F15"/>
    <mergeCell ref="D16:F16"/>
    <mergeCell ref="D17:F17"/>
    <mergeCell ref="A1:G1"/>
    <mergeCell ref="A2:A97"/>
    <mergeCell ref="G2:G97"/>
    <mergeCell ref="B18:F18"/>
    <mergeCell ref="B7:F7"/>
    <mergeCell ref="C8:C17"/>
    <mergeCell ref="D20:F20"/>
    <mergeCell ref="D10:F10"/>
    <mergeCell ref="D19:F19"/>
    <mergeCell ref="E24:F24"/>
    <mergeCell ref="E21:F21"/>
    <mergeCell ref="B6:F6"/>
    <mergeCell ref="E22:F22"/>
    <mergeCell ref="B8:B17"/>
    <mergeCell ref="D8:F9"/>
    <mergeCell ref="D11:F1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C85A6-393B-4418-8A95-585C67E4B450}">
  <sheetPr codeName="Sheet6">
    <tabColor rgb="FFFFFF00"/>
  </sheetPr>
  <dimension ref="A1:BE180"/>
  <sheetViews>
    <sheetView zoomScaleNormal="100" workbookViewId="0">
      <selection activeCell="B89" sqref="B89"/>
    </sheetView>
  </sheetViews>
  <sheetFormatPr defaultColWidth="8.85546875" defaultRowHeight="15" outlineLevelRow="1"/>
  <cols>
    <col min="1" max="1" width="11.85546875" customWidth="1"/>
    <col min="2" max="2" width="32.28515625" customWidth="1"/>
    <col min="3" max="3" width="11.140625" customWidth="1"/>
    <col min="4" max="4" width="16.140625" customWidth="1"/>
    <col min="5" max="5" width="13.7109375" customWidth="1"/>
    <col min="6" max="6" width="12.42578125" customWidth="1"/>
    <col min="7" max="7" width="22" customWidth="1"/>
    <col min="8" max="8" width="6.140625" style="3" customWidth="1"/>
    <col min="9" max="9" width="22" customWidth="1"/>
    <col min="10" max="10" width="7.28515625" customWidth="1"/>
    <col min="11" max="11" width="11.140625" bestFit="1" customWidth="1"/>
    <col min="12" max="12" width="12.5703125" customWidth="1"/>
    <col min="13" max="13" width="12.140625" customWidth="1"/>
    <col min="14" max="14" width="9.7109375" customWidth="1"/>
    <col min="15" max="15" width="12.140625" bestFit="1" customWidth="1"/>
    <col min="16" max="16" width="12.140625" customWidth="1"/>
    <col min="17" max="17" width="12.5703125" bestFit="1" customWidth="1"/>
    <col min="18" max="18" width="8.5703125" customWidth="1"/>
    <col min="19" max="19" width="13.7109375" customWidth="1"/>
    <col min="20" max="20" width="10" customWidth="1"/>
    <col min="21" max="22" width="6" style="3" customWidth="1"/>
    <col min="23" max="23" width="7.85546875" style="3" customWidth="1"/>
    <col min="24" max="24" width="6" style="3" customWidth="1"/>
    <col min="26" max="26" width="11.140625" bestFit="1" customWidth="1"/>
  </cols>
  <sheetData>
    <row r="1" spans="1:57" ht="32.25" customHeight="1">
      <c r="A1" s="170" t="s">
        <v>66</v>
      </c>
      <c r="B1" s="171" t="s">
        <v>67</v>
      </c>
      <c r="C1" s="170" t="s">
        <v>68</v>
      </c>
      <c r="D1" s="170" t="s">
        <v>69</v>
      </c>
      <c r="E1" s="170" t="s">
        <v>70</v>
      </c>
      <c r="F1" s="170" t="s">
        <v>71</v>
      </c>
      <c r="G1" s="170" t="s">
        <v>72</v>
      </c>
      <c r="H1" s="170" t="s">
        <v>73</v>
      </c>
      <c r="I1" s="170" t="s">
        <v>74</v>
      </c>
      <c r="J1" s="170" t="s">
        <v>75</v>
      </c>
      <c r="K1" s="170" t="s">
        <v>76</v>
      </c>
      <c r="L1" s="172" t="s">
        <v>77</v>
      </c>
      <c r="M1" s="172" t="s">
        <v>78</v>
      </c>
      <c r="N1" s="173" t="s">
        <v>79</v>
      </c>
      <c r="O1" s="174" t="s">
        <v>80</v>
      </c>
      <c r="P1" s="172" t="s">
        <v>81</v>
      </c>
      <c r="Q1" s="172" t="s">
        <v>82</v>
      </c>
      <c r="R1" s="174" t="s">
        <v>83</v>
      </c>
      <c r="S1" s="170" t="s">
        <v>84</v>
      </c>
      <c r="T1" s="170" t="s">
        <v>85</v>
      </c>
      <c r="U1" s="170" t="s">
        <v>86</v>
      </c>
      <c r="V1" s="170" t="s">
        <v>87</v>
      </c>
      <c r="W1" s="170" t="s">
        <v>88</v>
      </c>
      <c r="X1" s="170" t="s">
        <v>89</v>
      </c>
      <c r="Y1" s="172" t="s">
        <v>90</v>
      </c>
      <c r="Z1" s="170" t="s">
        <v>91</v>
      </c>
      <c r="AA1" s="158"/>
      <c r="AB1" s="158"/>
      <c r="AC1" s="158"/>
      <c r="AD1" s="158"/>
      <c r="AE1" s="158"/>
      <c r="AF1" s="158"/>
      <c r="AG1" s="158"/>
      <c r="AH1" s="158"/>
      <c r="AI1" s="158"/>
      <c r="AJ1" s="158"/>
      <c r="AK1" s="158"/>
      <c r="AL1" s="158"/>
      <c r="AM1" s="158"/>
      <c r="AN1" s="158"/>
      <c r="AO1" s="158"/>
      <c r="AP1" s="158"/>
      <c r="AQ1" s="158"/>
      <c r="AR1" s="158"/>
      <c r="AS1" s="158"/>
      <c r="AT1" s="158"/>
      <c r="AU1" s="158"/>
      <c r="AV1" s="158"/>
      <c r="AW1" s="158"/>
      <c r="AX1" s="158"/>
      <c r="AY1" s="158"/>
      <c r="AZ1" s="158"/>
      <c r="BA1" s="158"/>
      <c r="BB1" s="158"/>
      <c r="BC1" s="158"/>
      <c r="BD1" s="158"/>
      <c r="BE1" s="158"/>
    </row>
    <row r="2" spans="1:57" s="158" customFormat="1" ht="14.1" customHeight="1">
      <c r="A2" s="175">
        <f>COUNT(LEADS!A24:A10003) +1</f>
        <v>22</v>
      </c>
      <c r="B2" s="176">
        <f ca="1">TODAY()</f>
        <v>45196</v>
      </c>
      <c r="C2" s="175" t="s">
        <v>40</v>
      </c>
      <c r="D2" s="175" t="str">
        <f>B59</f>
        <v>Rob</v>
      </c>
      <c r="E2" s="175" t="str">
        <f>B60</f>
        <v>Crerar</v>
      </c>
      <c r="F2" s="177" t="str">
        <f>B61</f>
        <v>(813)312-6000</v>
      </c>
      <c r="G2" s="175" t="str">
        <f>B62</f>
        <v>robmcrerar@gmail.com</v>
      </c>
      <c r="H2" s="178" t="str">
        <f>B64</f>
        <v>FL</v>
      </c>
      <c r="I2" s="175" t="str">
        <f>B63</f>
        <v>1714 Citron Court, New Port Richey, FL, 34655</v>
      </c>
      <c r="J2" s="175" t="str">
        <f>B71</f>
        <v>Single</v>
      </c>
      <c r="K2" s="175" t="str">
        <f>B78</f>
        <v>refinance</v>
      </c>
      <c r="L2" s="179">
        <f>B65</f>
        <v>400000</v>
      </c>
      <c r="M2" s="179">
        <f>B66</f>
        <v>258678</v>
      </c>
      <c r="N2" s="179">
        <v>0</v>
      </c>
      <c r="O2" s="180">
        <f>B67</f>
        <v>0.64669500000000002</v>
      </c>
      <c r="P2" s="179">
        <f>B68</f>
        <v>100000</v>
      </c>
      <c r="Q2" s="181">
        <f>B69</f>
        <v>358678</v>
      </c>
      <c r="R2" s="180">
        <f>B70</f>
        <v>0.89669500000000002</v>
      </c>
      <c r="S2" s="175" t="str">
        <f>B73</f>
        <v>Excellent</v>
      </c>
      <c r="T2" s="175" t="str">
        <f>B72</f>
        <v>primary</v>
      </c>
      <c r="U2" s="178" t="str">
        <f>B74</f>
        <v>yes</v>
      </c>
      <c r="V2" s="178" t="str">
        <f>B75</f>
        <v>no</v>
      </c>
      <c r="W2" s="178" t="str">
        <f>B76</f>
        <v>no</v>
      </c>
      <c r="X2" s="178" t="str">
        <f>B79</f>
        <v>FRU</v>
      </c>
      <c r="Y2" s="181">
        <f>B77</f>
        <v>27</v>
      </c>
      <c r="Z2" s="181">
        <f>Z5+Y2</f>
        <v>567</v>
      </c>
    </row>
    <row r="3" spans="1:57" s="158" customFormat="1">
      <c r="G3" s="162"/>
      <c r="H3" s="163"/>
      <c r="L3" s="164"/>
      <c r="M3" s="164"/>
      <c r="O3" s="165"/>
      <c r="P3" s="164"/>
      <c r="Q3" s="166"/>
      <c r="R3" s="167"/>
      <c r="U3" s="159"/>
      <c r="V3" s="159"/>
      <c r="W3" s="159"/>
      <c r="X3" s="159"/>
    </row>
    <row r="4" spans="1:57" s="158" customFormat="1" ht="30">
      <c r="C4" s="168"/>
      <c r="G4" s="162"/>
      <c r="H4" s="163"/>
      <c r="L4" s="164"/>
      <c r="M4" s="164"/>
      <c r="O4" s="165"/>
      <c r="P4" s="164"/>
      <c r="Q4" s="166"/>
      <c r="R4" s="167"/>
      <c r="U4" s="159"/>
      <c r="V4" s="159"/>
      <c r="W4" s="159"/>
      <c r="X4" s="159"/>
      <c r="Z4" s="169" t="s">
        <v>92</v>
      </c>
    </row>
    <row r="5" spans="1:57" s="158" customFormat="1">
      <c r="C5" s="168"/>
      <c r="H5" s="159"/>
      <c r="L5" s="164"/>
      <c r="M5" s="164"/>
      <c r="O5" s="167"/>
      <c r="Q5" s="166"/>
      <c r="R5" s="167"/>
      <c r="U5" s="159"/>
      <c r="V5" s="159"/>
      <c r="W5" s="159"/>
      <c r="X5" s="159"/>
      <c r="Z5" s="161">
        <f>SUM(LEADS!Y24:Y10078)</f>
        <v>540</v>
      </c>
    </row>
    <row r="6" spans="1:57" s="158" customFormat="1" ht="15.75" thickBot="1">
      <c r="C6" s="168"/>
      <c r="H6" s="159"/>
      <c r="L6" s="164"/>
      <c r="M6" s="164"/>
      <c r="O6" s="167"/>
      <c r="Q6" s="166"/>
      <c r="R6" s="167"/>
      <c r="U6" s="159"/>
      <c r="V6" s="159"/>
      <c r="W6" s="159"/>
      <c r="X6" s="159"/>
    </row>
    <row r="7" spans="1:57" ht="29.1" customHeight="1" thickBot="1">
      <c r="A7" s="553" t="s">
        <v>93</v>
      </c>
      <c r="B7" s="554"/>
      <c r="C7" s="554"/>
      <c r="D7" s="554"/>
      <c r="E7" s="554"/>
      <c r="F7" s="554"/>
      <c r="G7" s="554"/>
      <c r="H7" s="554"/>
      <c r="I7" s="554"/>
      <c r="J7" s="554"/>
      <c r="K7" s="554"/>
      <c r="L7" s="554"/>
      <c r="M7" s="554"/>
      <c r="N7" s="554"/>
      <c r="O7" s="554"/>
      <c r="P7" s="554"/>
      <c r="Q7" s="550"/>
      <c r="R7" s="158"/>
      <c r="S7" s="158"/>
      <c r="T7" s="158"/>
      <c r="U7" s="159"/>
      <c r="V7" s="159"/>
      <c r="W7" s="159"/>
      <c r="X7" s="159"/>
      <c r="Y7" s="159"/>
      <c r="Z7" s="158"/>
      <c r="AA7" s="158"/>
      <c r="AB7" s="158"/>
      <c r="AC7" s="158"/>
      <c r="AD7" s="158"/>
      <c r="AE7" s="158"/>
      <c r="AF7" s="158"/>
      <c r="AG7" s="158"/>
      <c r="AH7" s="158"/>
      <c r="AI7" s="158"/>
      <c r="AJ7" s="158"/>
      <c r="AK7" s="158"/>
      <c r="AL7" s="158"/>
      <c r="AM7" s="158"/>
      <c r="AN7" s="158"/>
      <c r="AO7" s="158"/>
      <c r="AP7" s="158"/>
      <c r="AQ7" s="158"/>
      <c r="AR7" s="158"/>
      <c r="AS7" s="158"/>
      <c r="AT7" s="158"/>
      <c r="AU7" s="158"/>
      <c r="AV7" s="158"/>
      <c r="AW7" s="158"/>
      <c r="AX7" s="158"/>
      <c r="AY7" s="158"/>
      <c r="AZ7" s="158"/>
      <c r="BA7" s="158"/>
      <c r="BB7" s="158"/>
      <c r="BC7" s="158"/>
      <c r="BD7" s="158"/>
      <c r="BE7" s="158"/>
    </row>
    <row r="8" spans="1:57" ht="14.45" hidden="1" customHeight="1" outlineLevel="1">
      <c r="A8" s="6" t="s">
        <v>94</v>
      </c>
      <c r="Q8" s="551"/>
      <c r="R8" s="158"/>
      <c r="S8" s="158"/>
      <c r="T8" s="158"/>
      <c r="U8" s="159"/>
      <c r="V8" s="159"/>
      <c r="W8" s="159"/>
      <c r="X8" s="159"/>
      <c r="Y8" s="159"/>
      <c r="Z8" s="158"/>
      <c r="AA8" s="158"/>
      <c r="AB8" s="158"/>
      <c r="AC8" s="158"/>
      <c r="AD8" s="158"/>
      <c r="AE8" s="158"/>
      <c r="AF8" s="158"/>
      <c r="AG8" s="158"/>
      <c r="AH8" s="158"/>
      <c r="AI8" s="158"/>
      <c r="AJ8" s="158"/>
      <c r="AK8" s="158"/>
      <c r="AL8" s="158"/>
      <c r="AM8" s="158"/>
      <c r="AN8" s="158"/>
      <c r="AO8" s="158"/>
      <c r="AP8" s="158"/>
      <c r="AQ8" s="158"/>
      <c r="AR8" s="158"/>
      <c r="AS8" s="158"/>
      <c r="AT8" s="158"/>
      <c r="AU8" s="158"/>
      <c r="AV8" s="158"/>
      <c r="AW8" s="158"/>
      <c r="AX8" s="158"/>
      <c r="AY8" s="158"/>
      <c r="AZ8" s="158"/>
      <c r="BA8" s="158"/>
      <c r="BB8" s="158"/>
      <c r="BC8" s="158"/>
      <c r="BD8" s="158"/>
      <c r="BE8" s="158"/>
    </row>
    <row r="9" spans="1:57" ht="14.85" hidden="1" customHeight="1" outlineLevel="1">
      <c r="A9" s="6"/>
      <c r="Q9" s="551"/>
      <c r="R9" s="158"/>
      <c r="S9" s="158"/>
      <c r="T9" s="158"/>
      <c r="U9" s="159"/>
      <c r="V9" s="159"/>
      <c r="W9" s="159"/>
      <c r="X9" s="159"/>
      <c r="Y9" s="159"/>
      <c r="Z9" s="158"/>
      <c r="AA9" s="158"/>
      <c r="AB9" s="158"/>
      <c r="AC9" s="158"/>
      <c r="AD9" s="158"/>
      <c r="AE9" s="158"/>
      <c r="AF9" s="158"/>
      <c r="AG9" s="158"/>
      <c r="AH9" s="158"/>
      <c r="AI9" s="158"/>
      <c r="AJ9" s="158"/>
      <c r="AK9" s="158"/>
      <c r="AL9" s="158"/>
      <c r="AM9" s="158"/>
      <c r="AN9" s="158"/>
      <c r="AO9" s="158"/>
      <c r="AP9" s="158"/>
      <c r="AQ9" s="158"/>
      <c r="AR9" s="158"/>
      <c r="AS9" s="158"/>
      <c r="AT9" s="158"/>
      <c r="AU9" s="158"/>
      <c r="AV9" s="158"/>
      <c r="AW9" s="158"/>
      <c r="AX9" s="158"/>
      <c r="AY9" s="158"/>
      <c r="AZ9" s="158"/>
      <c r="BA9" s="158"/>
      <c r="BB9" s="158"/>
      <c r="BC9" s="158"/>
      <c r="BD9" s="158"/>
      <c r="BE9" s="158"/>
    </row>
    <row r="10" spans="1:57" ht="14.85" hidden="1" customHeight="1" outlineLevel="1">
      <c r="A10" s="6" t="s">
        <v>842</v>
      </c>
      <c r="D10" t="str" cm="1">
        <f t="array" ref="D10:E10">_xlfn.TEXTSPLIT(A10,"=")</f>
        <v xml:space="preserve">Campaign </v>
      </c>
      <c r="E10" t="str">
        <v xml:space="preserve"> FRU:Ellis Andersen.</v>
      </c>
      <c r="F10" t="str" cm="1">
        <f t="array" ref="F10:G10">TRIM(_xlfn.TEXTSPLIT(E10,":"))</f>
        <v>FRU</v>
      </c>
      <c r="G10" t="str">
        <v>Ellis Andersen.</v>
      </c>
      <c r="Q10" s="551"/>
      <c r="R10" s="158"/>
      <c r="S10" s="158"/>
      <c r="T10" s="158"/>
      <c r="U10" s="159"/>
      <c r="V10" s="159"/>
      <c r="W10" s="159"/>
      <c r="X10" s="159"/>
      <c r="Y10" s="159"/>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c r="BE10" s="158"/>
    </row>
    <row r="11" spans="1:57" ht="14.85" hidden="1" customHeight="1" outlineLevel="1">
      <c r="A11" s="6"/>
      <c r="Q11" s="551"/>
      <c r="R11" s="158"/>
      <c r="S11" s="158"/>
      <c r="T11" s="158"/>
      <c r="U11" s="159"/>
      <c r="V11" s="159"/>
      <c r="W11" s="159"/>
      <c r="X11" s="159"/>
      <c r="Y11" s="159"/>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c r="BE11" s="158"/>
    </row>
    <row r="12" spans="1:57" ht="14.85" hidden="1" customHeight="1" outlineLevel="1">
      <c r="A12" s="6" t="s">
        <v>957</v>
      </c>
      <c r="D12" t="str">
        <f>TRIM(RIGHT(A12,LEN(A12)-FIND("=",A12)))</f>
        <v>Rob.</v>
      </c>
      <c r="E12" t="str">
        <f>SUBSTITUTE(D12,".","")</f>
        <v>Rob</v>
      </c>
      <c r="Q12" s="551"/>
      <c r="R12" s="158"/>
      <c r="S12" s="158"/>
      <c r="T12" s="158"/>
      <c r="U12" s="159"/>
      <c r="V12" s="159"/>
      <c r="W12" s="159"/>
      <c r="X12" s="159"/>
      <c r="Y12" s="159"/>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c r="BE12" s="158"/>
    </row>
    <row r="13" spans="1:57" ht="14.85" hidden="1" customHeight="1" outlineLevel="1">
      <c r="A13" s="6" t="s">
        <v>958</v>
      </c>
      <c r="D13" t="str">
        <f>TRIM(RIGHT(A13,LEN(A13)-FIND("=",A13)))</f>
        <v>Crerar.</v>
      </c>
      <c r="E13" t="str">
        <f>SUBSTITUTE(D13,".","")</f>
        <v>Crerar</v>
      </c>
      <c r="Q13" s="551"/>
      <c r="R13" s="158"/>
      <c r="S13" s="158"/>
      <c r="T13" s="158"/>
      <c r="U13" s="159"/>
      <c r="V13" s="159"/>
      <c r="W13" s="159"/>
      <c r="X13" s="159"/>
      <c r="Y13" s="159"/>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c r="BE13" s="158"/>
    </row>
    <row r="14" spans="1:57" ht="14.85" hidden="1" customHeight="1" outlineLevel="1">
      <c r="A14" s="6" t="s">
        <v>959</v>
      </c>
      <c r="D14" t="str">
        <f>TRIM(RIGHT(A14,LEN(A14)-FIND("=",A14)))</f>
        <v>(813)312-6000.</v>
      </c>
      <c r="E14" t="str">
        <f>SUBSTITUTE(D14,".","")</f>
        <v>(813)312-6000</v>
      </c>
      <c r="Q14" s="551"/>
      <c r="R14" s="158"/>
      <c r="S14" s="158"/>
      <c r="T14" s="158"/>
      <c r="U14" s="159"/>
      <c r="V14" s="159"/>
      <c r="W14" s="159"/>
      <c r="X14" s="159"/>
      <c r="Y14" s="159"/>
      <c r="Z14" s="158"/>
      <c r="AA14" s="158"/>
      <c r="AB14" s="158"/>
      <c r="AC14" s="158"/>
      <c r="AD14" s="158"/>
      <c r="AE14" s="158"/>
      <c r="AF14" s="158"/>
      <c r="AG14" s="158"/>
      <c r="AH14" s="158"/>
      <c r="AI14" s="158"/>
      <c r="AJ14" s="158"/>
      <c r="AK14" s="158"/>
      <c r="AL14" s="158"/>
      <c r="AM14" s="158"/>
      <c r="AN14" s="158"/>
      <c r="AO14" s="158"/>
      <c r="AP14" s="158"/>
      <c r="AQ14" s="158"/>
      <c r="AR14" s="158"/>
      <c r="AS14" s="158"/>
      <c r="AT14" s="158"/>
      <c r="AU14" s="158"/>
      <c r="AV14" s="158"/>
      <c r="AW14" s="158"/>
      <c r="AX14" s="158"/>
      <c r="AY14" s="158"/>
      <c r="AZ14" s="158"/>
      <c r="BA14" s="158"/>
      <c r="BB14" s="158"/>
      <c r="BC14" s="158"/>
      <c r="BD14" s="158"/>
      <c r="BE14" s="158"/>
    </row>
    <row r="15" spans="1:57" ht="14.85" hidden="1" customHeight="1" outlineLevel="1">
      <c r="A15" s="17" t="s">
        <v>960</v>
      </c>
      <c r="D15" t="str">
        <f>TRIM(RIGHT(A15,LEN(A15)-FIND("=",A15)))</f>
        <v>robmcrerar@gmail.com</v>
      </c>
      <c r="Q15" s="551"/>
      <c r="R15" s="158"/>
      <c r="S15" s="158"/>
      <c r="T15" s="158"/>
      <c r="U15" s="159"/>
      <c r="V15" s="159"/>
      <c r="W15" s="159"/>
      <c r="X15" s="159"/>
      <c r="Y15" s="159"/>
      <c r="Z15" s="158"/>
      <c r="AA15" s="158"/>
      <c r="AB15" s="158"/>
      <c r="AC15" s="158"/>
      <c r="AD15" s="158"/>
      <c r="AE15" s="158"/>
      <c r="AF15" s="158"/>
      <c r="AG15" s="158"/>
      <c r="AH15" s="158"/>
      <c r="AI15" s="158"/>
      <c r="AJ15" s="158"/>
      <c r="AK15" s="158"/>
      <c r="AL15" s="158"/>
      <c r="AM15" s="158"/>
      <c r="AN15" s="158"/>
      <c r="AO15" s="158"/>
      <c r="AP15" s="158"/>
      <c r="AQ15" s="158"/>
      <c r="AR15" s="158"/>
      <c r="AS15" s="158"/>
      <c r="AT15" s="158"/>
      <c r="AU15" s="158"/>
      <c r="AV15" s="158"/>
      <c r="AW15" s="158"/>
      <c r="AX15" s="158"/>
      <c r="AY15" s="158"/>
      <c r="AZ15" s="158"/>
      <c r="BA15" s="158"/>
      <c r="BB15" s="158"/>
      <c r="BC15" s="158"/>
      <c r="BD15" s="158"/>
      <c r="BE15" s="158"/>
    </row>
    <row r="16" spans="1:57" ht="14.85" hidden="1" customHeight="1" outlineLevel="1">
      <c r="A16" s="6"/>
      <c r="Q16" s="551"/>
      <c r="R16" s="158"/>
      <c r="S16" s="158"/>
      <c r="T16" s="158"/>
      <c r="U16" s="159"/>
      <c r="V16" s="159"/>
      <c r="W16" s="159"/>
      <c r="X16" s="159"/>
      <c r="Y16" s="159"/>
      <c r="Z16" s="158"/>
      <c r="AA16" s="158"/>
      <c r="AB16" s="158"/>
      <c r="AC16" s="158"/>
      <c r="AD16" s="158"/>
      <c r="AE16" s="158"/>
      <c r="AF16" s="158"/>
      <c r="AG16" s="158"/>
      <c r="AH16" s="158"/>
      <c r="AI16" s="158"/>
      <c r="AJ16" s="158"/>
      <c r="AK16" s="158"/>
      <c r="AL16" s="158"/>
      <c r="AM16" s="158"/>
      <c r="AN16" s="158"/>
      <c r="AO16" s="158"/>
      <c r="AP16" s="158"/>
      <c r="AQ16" s="158"/>
      <c r="AR16" s="158"/>
      <c r="AS16" s="158"/>
      <c r="AT16" s="158"/>
      <c r="AU16" s="158"/>
      <c r="AV16" s="158"/>
      <c r="AW16" s="158"/>
      <c r="AX16" s="158"/>
      <c r="AY16" s="158"/>
      <c r="AZ16" s="158"/>
      <c r="BA16" s="158"/>
      <c r="BB16" s="158"/>
      <c r="BC16" s="158"/>
      <c r="BD16" s="158"/>
      <c r="BE16" s="158"/>
    </row>
    <row r="17" spans="1:57" ht="14.85" hidden="1" customHeight="1" outlineLevel="1">
      <c r="A17" s="6" t="s">
        <v>961</v>
      </c>
      <c r="D17" t="str">
        <f>TRIM(RIGHT(A17,LEN(A17)-FIND("=",A17)))</f>
        <v>1714 Citron Court.</v>
      </c>
      <c r="E17" t="str">
        <f>SUBSTITUTE(D17,".","")</f>
        <v>1714 Citron Court</v>
      </c>
      <c r="F17" t="str">
        <f>IF(E17="","N/A",E17)</f>
        <v>1714 Citron Court</v>
      </c>
      <c r="I17" t="str">
        <f>F17&amp;", "&amp;F18&amp;", "&amp;F19&amp;", "&amp;F20</f>
        <v>1714 Citron Court, New Port Richey, FL, 34655</v>
      </c>
      <c r="N17" t="str">
        <f>_xlfn.TEXTJOIN(" ",TRUE,_xlfn.UNIQUE(_xlfn.FILTERXML("&lt;t&gt;&lt;s&gt;"&amp;SUBSTITUTE(TRIM(I17)," ","&lt;/s&gt;&lt;s&gt;")&amp;"&lt;/s&gt;&lt;/t&gt;","//s")))</f>
        <v>1714 Citron Court, New Port Richey, FL, 34655</v>
      </c>
      <c r="Q17" s="551"/>
      <c r="R17" s="158"/>
      <c r="S17" s="158"/>
      <c r="T17" s="158"/>
      <c r="U17" s="159"/>
      <c r="V17" s="159"/>
      <c r="W17" s="159"/>
      <c r="X17" s="159"/>
      <c r="Y17" s="159"/>
      <c r="Z17" s="158"/>
      <c r="AA17" s="158"/>
      <c r="AB17" s="158"/>
      <c r="AC17" s="158"/>
      <c r="AD17" s="158"/>
      <c r="AE17" s="158"/>
      <c r="AF17" s="158"/>
      <c r="AG17" s="158"/>
      <c r="AH17" s="158"/>
      <c r="AI17" s="158"/>
      <c r="AJ17" s="158"/>
      <c r="AK17" s="158"/>
      <c r="AL17" s="158"/>
      <c r="AM17" s="158"/>
      <c r="AN17" s="158"/>
      <c r="AO17" s="158"/>
      <c r="AP17" s="158"/>
      <c r="AQ17" s="158"/>
      <c r="AR17" s="158"/>
      <c r="AS17" s="158"/>
      <c r="AT17" s="158"/>
      <c r="AU17" s="158"/>
      <c r="AV17" s="158"/>
      <c r="AW17" s="158"/>
      <c r="AX17" s="158"/>
      <c r="AY17" s="158"/>
      <c r="AZ17" s="158"/>
      <c r="BA17" s="158"/>
      <c r="BB17" s="158"/>
      <c r="BC17" s="158"/>
      <c r="BD17" s="158"/>
      <c r="BE17" s="158"/>
    </row>
    <row r="18" spans="1:57" ht="14.85" hidden="1" customHeight="1" outlineLevel="1">
      <c r="A18" s="6" t="s">
        <v>962</v>
      </c>
      <c r="D18" t="str">
        <f>TRIM(RIGHT(A18,LEN(A18)-FIND("=",A18)))</f>
        <v>New Port Richey.</v>
      </c>
      <c r="E18" t="str">
        <f>SUBSTITUTE(D18,".","")</f>
        <v>New Port Richey</v>
      </c>
      <c r="F18" t="str">
        <f>IF(E18="","N/A",E18)</f>
        <v>New Port Richey</v>
      </c>
      <c r="Q18" s="551"/>
      <c r="R18" s="158"/>
      <c r="S18" s="158"/>
      <c r="T18" s="158"/>
      <c r="U18" s="159"/>
      <c r="V18" s="159"/>
      <c r="W18" s="159"/>
      <c r="X18" s="159"/>
      <c r="Y18" s="159"/>
      <c r="Z18" s="158"/>
      <c r="AA18" s="158"/>
      <c r="AB18" s="158"/>
      <c r="AC18" s="158"/>
      <c r="AD18" s="158"/>
      <c r="AE18" s="158"/>
      <c r="AF18" s="158"/>
      <c r="AG18" s="158"/>
      <c r="AH18" s="158"/>
      <c r="AI18" s="158"/>
      <c r="AJ18" s="158"/>
      <c r="AK18" s="158"/>
      <c r="AL18" s="158"/>
      <c r="AM18" s="158"/>
      <c r="AN18" s="158"/>
      <c r="AO18" s="158"/>
      <c r="AP18" s="158"/>
      <c r="AQ18" s="158"/>
      <c r="AR18" s="158"/>
      <c r="AS18" s="158"/>
      <c r="AT18" s="158"/>
      <c r="AU18" s="158"/>
      <c r="AV18" s="158"/>
      <c r="AW18" s="158"/>
      <c r="AX18" s="158"/>
      <c r="AY18" s="158"/>
      <c r="AZ18" s="158"/>
      <c r="BA18" s="158"/>
      <c r="BB18" s="158"/>
      <c r="BC18" s="158"/>
      <c r="BD18" s="158"/>
      <c r="BE18" s="158"/>
    </row>
    <row r="19" spans="1:57" ht="14.85" hidden="1" customHeight="1" outlineLevel="1">
      <c r="A19" s="6" t="s">
        <v>937</v>
      </c>
      <c r="D19" t="str">
        <f>TRIM(RIGHT(A19,LEN(A19)-FIND("=",A19)))</f>
        <v>FL.</v>
      </c>
      <c r="E19" t="str">
        <f>SUBSTITUTE(D19,".","")</f>
        <v>FL</v>
      </c>
      <c r="F19" t="str">
        <f t="shared" ref="F19:F20" si="0">IF(E19="","N/A",E19)</f>
        <v>FL</v>
      </c>
      <c r="Q19" s="551"/>
      <c r="R19" s="158"/>
      <c r="S19" s="158"/>
      <c r="T19" s="158"/>
      <c r="U19" s="159"/>
      <c r="V19" s="159"/>
      <c r="W19" s="159"/>
      <c r="X19" s="159"/>
      <c r="Y19" s="159"/>
      <c r="Z19" s="158"/>
      <c r="AA19" s="158"/>
      <c r="AB19" s="158"/>
      <c r="AC19" s="158"/>
      <c r="AD19" s="158"/>
      <c r="AE19" s="158"/>
      <c r="AF19" s="158"/>
      <c r="AG19" s="158"/>
      <c r="AH19" s="158"/>
      <c r="AI19" s="158"/>
      <c r="AJ19" s="158"/>
      <c r="AK19" s="158"/>
      <c r="AL19" s="158"/>
      <c r="AM19" s="158"/>
      <c r="AN19" s="158"/>
      <c r="AO19" s="158"/>
      <c r="AP19" s="158"/>
      <c r="AQ19" s="158"/>
      <c r="AR19" s="158"/>
      <c r="AS19" s="158"/>
      <c r="AT19" s="158"/>
      <c r="AU19" s="158"/>
      <c r="AV19" s="158"/>
      <c r="AW19" s="158"/>
      <c r="AX19" s="158"/>
      <c r="AY19" s="158"/>
      <c r="AZ19" s="158"/>
      <c r="BA19" s="158"/>
      <c r="BB19" s="158"/>
      <c r="BC19" s="158"/>
      <c r="BD19" s="158"/>
      <c r="BE19" s="158"/>
    </row>
    <row r="20" spans="1:57" ht="14.85" hidden="1" customHeight="1" outlineLevel="1">
      <c r="A20" s="6" t="s">
        <v>963</v>
      </c>
      <c r="D20" t="str">
        <f>TRIM(RIGHT(A20,LEN(A20)-FIND("=",A20)))</f>
        <v>34655.</v>
      </c>
      <c r="E20" t="str">
        <f>SUBSTITUTE(D20,".","")</f>
        <v>34655</v>
      </c>
      <c r="F20" t="str">
        <f t="shared" si="0"/>
        <v>34655</v>
      </c>
      <c r="Q20" s="551"/>
      <c r="R20" s="158"/>
      <c r="S20" s="158"/>
      <c r="T20" s="158"/>
      <c r="U20" s="159"/>
      <c r="V20" s="159"/>
      <c r="W20" s="159"/>
      <c r="X20" s="159"/>
      <c r="Y20" s="159"/>
      <c r="Z20" s="158"/>
      <c r="AA20" s="158"/>
      <c r="AB20" s="158"/>
      <c r="AC20" s="158"/>
      <c r="AD20" s="158"/>
      <c r="AE20" s="158"/>
      <c r="AF20" s="158"/>
      <c r="AG20" s="158"/>
      <c r="AH20" s="158"/>
      <c r="AI20" s="158"/>
      <c r="AJ20" s="158"/>
      <c r="AK20" s="158"/>
      <c r="AL20" s="158"/>
      <c r="AM20" s="158"/>
      <c r="AN20" s="158"/>
      <c r="AO20" s="158"/>
      <c r="AP20" s="158"/>
      <c r="AQ20" s="158"/>
      <c r="AR20" s="158"/>
      <c r="AS20" s="158"/>
      <c r="AT20" s="158"/>
      <c r="AU20" s="158"/>
      <c r="AV20" s="158"/>
      <c r="AW20" s="158"/>
      <c r="AX20" s="158"/>
      <c r="AY20" s="158"/>
      <c r="AZ20" s="158"/>
      <c r="BA20" s="158"/>
      <c r="BB20" s="158"/>
      <c r="BC20" s="158"/>
      <c r="BD20" s="158"/>
      <c r="BE20" s="158"/>
    </row>
    <row r="21" spans="1:57" ht="14.85" hidden="1" customHeight="1" outlineLevel="1">
      <c r="A21" s="6"/>
      <c r="Q21" s="551"/>
      <c r="R21" s="158"/>
      <c r="S21" s="158"/>
      <c r="T21" s="158"/>
      <c r="U21" s="159"/>
      <c r="V21" s="159"/>
      <c r="W21" s="159"/>
      <c r="X21" s="159"/>
      <c r="Y21" s="159"/>
      <c r="Z21" s="158"/>
      <c r="AA21" s="158"/>
      <c r="AB21" s="158"/>
      <c r="AC21" s="158"/>
      <c r="AD21" s="158"/>
      <c r="AE21" s="158"/>
      <c r="AF21" s="158"/>
      <c r="AG21" s="158"/>
      <c r="AH21" s="158"/>
      <c r="AI21" s="158"/>
      <c r="AJ21" s="158"/>
      <c r="AK21" s="158"/>
      <c r="AL21" s="158"/>
      <c r="AM21" s="158"/>
      <c r="AN21" s="158"/>
      <c r="AO21" s="158"/>
      <c r="AP21" s="158"/>
      <c r="AQ21" s="158"/>
      <c r="AR21" s="158"/>
      <c r="AS21" s="158"/>
      <c r="AT21" s="158"/>
      <c r="AU21" s="158"/>
      <c r="AV21" s="158"/>
      <c r="AW21" s="158"/>
      <c r="AX21" s="158"/>
      <c r="AY21" s="158"/>
      <c r="AZ21" s="158"/>
      <c r="BA21" s="158"/>
      <c r="BB21" s="158"/>
      <c r="BC21" s="158"/>
      <c r="BD21" s="158"/>
      <c r="BE21" s="158"/>
    </row>
    <row r="22" spans="1:57" ht="14.85" hidden="1" customHeight="1" outlineLevel="1">
      <c r="A22" s="6" t="s">
        <v>843</v>
      </c>
      <c r="D22" t="str">
        <f>TRIM(RIGHT(A22,LEN(A22)-FIND("=",A22)))</f>
        <v>.</v>
      </c>
      <c r="E22" t="str">
        <f>SUBSTITUTE(D22,".","")</f>
        <v/>
      </c>
      <c r="F22" t="str">
        <f>IF(E22="","N/A",E22)</f>
        <v>N/A</v>
      </c>
      <c r="I22" t="str">
        <f>F22&amp;", "&amp;F23&amp;", "&amp;F24&amp;", "&amp;F25</f>
        <v>N/A, New Port Richey, FL, N/A</v>
      </c>
      <c r="N22" t="str">
        <f>_xlfn.TEXTJOIN(" ",TRUE,_xlfn.UNIQUE(_xlfn.FILTERXML("&lt;t&gt;&lt;s&gt;"&amp;SUBSTITUTE(TRIM(I22)," ","&lt;/s&gt;&lt;s&gt;")&amp;"&lt;/s&gt;&lt;/t&gt;","//s")))</f>
        <v>N/A, New Port Richey, FL, N/A</v>
      </c>
      <c r="Q22" s="551"/>
      <c r="R22" s="158"/>
      <c r="S22" s="158"/>
      <c r="T22" s="158"/>
      <c r="U22" s="159"/>
      <c r="V22" s="159"/>
      <c r="W22" s="159"/>
      <c r="X22" s="159"/>
      <c r="Y22" s="159"/>
      <c r="Z22" s="158"/>
      <c r="AA22" s="158"/>
      <c r="AB22" s="158"/>
      <c r="AC22" s="158"/>
      <c r="AD22" s="158"/>
      <c r="AE22" s="158"/>
      <c r="AF22" s="158"/>
      <c r="AG22" s="158"/>
      <c r="AH22" s="158"/>
      <c r="AI22" s="158"/>
      <c r="AJ22" s="158"/>
      <c r="AK22" s="158"/>
      <c r="AL22" s="158"/>
      <c r="AM22" s="158"/>
      <c r="AN22" s="158"/>
      <c r="AO22" s="158"/>
      <c r="AP22" s="158"/>
      <c r="AQ22" s="158"/>
      <c r="AR22" s="158"/>
      <c r="AS22" s="158"/>
      <c r="AT22" s="158"/>
      <c r="AU22" s="158"/>
      <c r="AV22" s="158"/>
      <c r="AW22" s="158"/>
      <c r="AX22" s="158"/>
      <c r="AY22" s="158"/>
      <c r="AZ22" s="158"/>
      <c r="BA22" s="158"/>
      <c r="BB22" s="158"/>
      <c r="BC22" s="158"/>
      <c r="BD22" s="158"/>
      <c r="BE22" s="158"/>
    </row>
    <row r="23" spans="1:57" ht="14.85" hidden="1" customHeight="1" outlineLevel="1">
      <c r="A23" s="6" t="s">
        <v>964</v>
      </c>
      <c r="D23" t="str">
        <f>TRIM(RIGHT(A23,LEN(A23)-FIND("=",A23)))</f>
        <v>New Port Richey.</v>
      </c>
      <c r="E23" t="str">
        <f>SUBSTITUTE(D23,".","")</f>
        <v>New Port Richey</v>
      </c>
      <c r="F23" t="str">
        <f>IF(E23="","N/A",E23)</f>
        <v>New Port Richey</v>
      </c>
      <c r="Q23" s="551"/>
      <c r="R23" s="158"/>
      <c r="S23" s="158"/>
      <c r="T23" s="158"/>
      <c r="U23" s="159"/>
      <c r="V23" s="159"/>
      <c r="W23" s="159"/>
      <c r="X23" s="159"/>
      <c r="Y23" s="159"/>
      <c r="Z23" s="158"/>
      <c r="AA23" s="158"/>
      <c r="AB23" s="158"/>
      <c r="AC23" s="158"/>
      <c r="AD23" s="158"/>
      <c r="AE23" s="158"/>
      <c r="AF23" s="158"/>
      <c r="AG23" s="158"/>
      <c r="AH23" s="158"/>
      <c r="AI23" s="158"/>
      <c r="AJ23" s="158"/>
      <c r="AK23" s="158"/>
      <c r="AL23" s="158"/>
      <c r="AM23" s="158"/>
      <c r="AN23" s="158"/>
      <c r="AO23" s="158"/>
      <c r="AP23" s="158"/>
      <c r="AQ23" s="158"/>
      <c r="AR23" s="158"/>
      <c r="AS23" s="158"/>
      <c r="AT23" s="158"/>
      <c r="AU23" s="158"/>
      <c r="AV23" s="158"/>
      <c r="AW23" s="158"/>
      <c r="AX23" s="158"/>
      <c r="AY23" s="158"/>
      <c r="AZ23" s="158"/>
      <c r="BA23" s="158"/>
      <c r="BB23" s="158"/>
      <c r="BC23" s="158"/>
      <c r="BD23" s="158"/>
      <c r="BE23" s="158"/>
    </row>
    <row r="24" spans="1:57" ht="14.85" hidden="1" customHeight="1" outlineLevel="1">
      <c r="A24" s="6" t="s">
        <v>938</v>
      </c>
      <c r="D24" t="str">
        <f>TRIM(RIGHT(A24,LEN(A24)-FIND("=",A24)))</f>
        <v>FL.</v>
      </c>
      <c r="E24" t="str">
        <f>SUBSTITUTE(D24,".","")</f>
        <v>FL</v>
      </c>
      <c r="F24" t="str">
        <f>IF(E24="","N/A",E24)</f>
        <v>FL</v>
      </c>
      <c r="Q24" s="551"/>
      <c r="R24" s="158"/>
      <c r="S24" s="158"/>
      <c r="T24" s="158"/>
      <c r="U24" s="159"/>
      <c r="V24" s="159"/>
      <c r="W24" s="159"/>
      <c r="X24" s="159"/>
      <c r="Y24" s="159"/>
      <c r="Z24" s="158"/>
      <c r="AA24" s="158"/>
      <c r="AB24" s="158"/>
      <c r="AC24" s="158"/>
      <c r="AD24" s="158"/>
      <c r="AE24" s="158"/>
      <c r="AF24" s="158"/>
      <c r="AG24" s="158"/>
      <c r="AH24" s="158"/>
      <c r="AI24" s="158"/>
      <c r="AJ24" s="158"/>
      <c r="AK24" s="158"/>
      <c r="AL24" s="158"/>
      <c r="AM24" s="158"/>
      <c r="AN24" s="158"/>
      <c r="AO24" s="158"/>
      <c r="AP24" s="158"/>
      <c r="AQ24" s="158"/>
      <c r="AR24" s="158"/>
      <c r="AS24" s="158"/>
      <c r="AT24" s="158"/>
      <c r="AU24" s="158"/>
      <c r="AV24" s="158"/>
      <c r="AW24" s="158"/>
      <c r="AX24" s="158"/>
      <c r="AY24" s="158"/>
      <c r="AZ24" s="158"/>
      <c r="BA24" s="158"/>
      <c r="BB24" s="158"/>
      <c r="BC24" s="158"/>
      <c r="BD24" s="158"/>
      <c r="BE24" s="158"/>
    </row>
    <row r="25" spans="1:57" ht="14.85" hidden="1" customHeight="1" outlineLevel="1">
      <c r="A25" s="6" t="s">
        <v>844</v>
      </c>
      <c r="D25" t="str">
        <f>TRIM(RIGHT(A25,LEN(A25)-FIND("=",A25)))</f>
        <v>.</v>
      </c>
      <c r="E25" t="str">
        <f>SUBSTITUTE(D25,".","")</f>
        <v/>
      </c>
      <c r="F25" t="str">
        <f t="shared" ref="F25" si="1">IF(E25="","N/A",E25)</f>
        <v>N/A</v>
      </c>
      <c r="Q25" s="551"/>
      <c r="R25" s="158"/>
      <c r="S25" s="158"/>
      <c r="T25" s="158"/>
      <c r="U25" s="159"/>
      <c r="V25" s="159"/>
      <c r="W25" s="159"/>
      <c r="X25" s="159"/>
      <c r="Y25" s="159"/>
      <c r="Z25" s="158"/>
      <c r="AA25" s="158"/>
      <c r="AB25" s="158"/>
      <c r="AC25" s="158"/>
      <c r="AD25" s="158"/>
      <c r="AE25" s="158"/>
      <c r="AF25" s="158"/>
      <c r="AG25" s="158"/>
      <c r="AH25" s="158"/>
      <c r="AI25" s="158"/>
      <c r="AJ25" s="158"/>
      <c r="AK25" s="158"/>
      <c r="AL25" s="158"/>
      <c r="AM25" s="158"/>
      <c r="AN25" s="158"/>
      <c r="AO25" s="158"/>
      <c r="AP25" s="158"/>
      <c r="AQ25" s="158"/>
      <c r="AR25" s="158"/>
      <c r="AS25" s="158"/>
      <c r="AT25" s="158"/>
      <c r="AU25" s="158"/>
      <c r="AV25" s="158"/>
      <c r="AW25" s="158"/>
      <c r="AX25" s="158"/>
      <c r="AY25" s="158"/>
      <c r="AZ25" s="158"/>
      <c r="BA25" s="158"/>
      <c r="BB25" s="158"/>
      <c r="BC25" s="158"/>
      <c r="BD25" s="158"/>
      <c r="BE25" s="158"/>
    </row>
    <row r="26" spans="1:57" ht="14.85" hidden="1" customHeight="1" outlineLevel="1">
      <c r="A26" s="6"/>
      <c r="Q26" s="551"/>
      <c r="R26" s="158"/>
      <c r="S26" s="158"/>
      <c r="T26" s="158"/>
      <c r="U26" s="159"/>
      <c r="V26" s="159"/>
      <c r="W26" s="159"/>
      <c r="X26" s="159"/>
      <c r="Y26" s="159"/>
      <c r="Z26" s="158"/>
      <c r="AA26" s="158"/>
      <c r="AB26" s="158"/>
      <c r="AC26" s="158"/>
      <c r="AD26" s="158"/>
      <c r="AE26" s="158"/>
      <c r="AF26" s="158"/>
      <c r="AG26" s="158"/>
      <c r="AH26" s="158"/>
      <c r="AI26" s="158"/>
      <c r="AJ26" s="158"/>
      <c r="AK26" s="158"/>
      <c r="AL26" s="158"/>
      <c r="AM26" s="158"/>
      <c r="AN26" s="158"/>
      <c r="AO26" s="158"/>
      <c r="AP26" s="158"/>
      <c r="AQ26" s="158"/>
      <c r="AR26" s="158"/>
      <c r="AS26" s="158"/>
      <c r="AT26" s="158"/>
      <c r="AU26" s="158"/>
      <c r="AV26" s="158"/>
      <c r="AW26" s="158"/>
      <c r="AX26" s="158"/>
      <c r="AY26" s="158"/>
      <c r="AZ26" s="158"/>
      <c r="BA26" s="158"/>
      <c r="BB26" s="158"/>
      <c r="BC26" s="158"/>
      <c r="BD26" s="158"/>
      <c r="BE26" s="158"/>
    </row>
    <row r="27" spans="1:57" ht="14.85" hidden="1" customHeight="1" outlineLevel="1">
      <c r="A27" s="6" t="s">
        <v>827</v>
      </c>
      <c r="D27" t="str">
        <f>TRIM(RIGHT(A27,LEN(A27)-FIND("=",A27)))</f>
        <v>refinance.</v>
      </c>
      <c r="E27" t="str">
        <f>SUBSTITUTE(D27,".","")</f>
        <v>refinance</v>
      </c>
      <c r="Q27" s="551"/>
      <c r="R27" s="158"/>
      <c r="S27" s="158"/>
      <c r="T27" s="158"/>
      <c r="U27" s="159"/>
      <c r="V27" s="159"/>
      <c r="W27" s="159"/>
      <c r="X27" s="159"/>
      <c r="Y27" s="159"/>
      <c r="Z27" s="158"/>
      <c r="AA27" s="158"/>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c r="AY27" s="158"/>
      <c r="AZ27" s="158"/>
      <c r="BA27" s="158"/>
      <c r="BB27" s="158"/>
      <c r="BC27" s="158"/>
      <c r="BD27" s="158"/>
      <c r="BE27" s="158"/>
    </row>
    <row r="28" spans="1:57" ht="14.85" hidden="1" customHeight="1" outlineLevel="1">
      <c r="A28" s="6" t="s">
        <v>828</v>
      </c>
      <c r="D28" t="str">
        <f>TRIM(RIGHT(A28,LEN(A28)-FIND("=",A28)))</f>
        <v>.</v>
      </c>
      <c r="E28" t="str">
        <f>SUBSTITUTE(D28,".","")</f>
        <v/>
      </c>
      <c r="F28" t="str">
        <f>IF(E28="","N/A",E28)</f>
        <v>N/A</v>
      </c>
      <c r="Q28" s="551"/>
      <c r="R28" s="158"/>
      <c r="S28" s="158"/>
      <c r="T28" s="158"/>
      <c r="U28" s="159"/>
      <c r="V28" s="159"/>
      <c r="W28" s="159"/>
      <c r="X28" s="159"/>
      <c r="Y28" s="159"/>
      <c r="Z28" s="158"/>
      <c r="AA28" s="158"/>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1:57" ht="14.85" hidden="1" customHeight="1" outlineLevel="1">
      <c r="A29" s="6" t="s">
        <v>829</v>
      </c>
      <c r="D29" t="str">
        <f>TRIM(RIGHT(A29,LEN(A29)-FIND("=",A29)))</f>
        <v>primary.</v>
      </c>
      <c r="E29" t="str">
        <f>SUBSTITUTE(D29,".","")</f>
        <v>primary</v>
      </c>
      <c r="F29" t="str">
        <f>IF(E29="","Not Provided",E29)</f>
        <v>primary</v>
      </c>
      <c r="Q29" s="551"/>
      <c r="R29" s="158"/>
      <c r="S29" s="158"/>
      <c r="T29" s="158"/>
      <c r="U29" s="159"/>
      <c r="V29" s="159"/>
      <c r="W29" s="159"/>
      <c r="X29" s="159"/>
      <c r="Y29" s="159"/>
      <c r="Z29" s="158"/>
      <c r="AA29" s="158"/>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1:57" ht="14.85" hidden="1" customHeight="1" outlineLevel="1">
      <c r="A30" s="6" t="s">
        <v>830</v>
      </c>
      <c r="D30" t="str">
        <f>TRIM(RIGHT(A30,LEN(A30)-FIND("=",A30)))</f>
        <v>Single.</v>
      </c>
      <c r="E30" t="str">
        <f>SUBSTITUTE(D30,".","")</f>
        <v>Single</v>
      </c>
      <c r="Q30" s="551"/>
      <c r="R30" s="158"/>
      <c r="S30" s="158"/>
      <c r="T30" s="158"/>
      <c r="U30" s="159"/>
      <c r="V30" s="159"/>
      <c r="W30" s="159"/>
      <c r="X30" s="159"/>
      <c r="Y30" s="159"/>
      <c r="Z30" s="158"/>
      <c r="AA30" s="158"/>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1:57" ht="14.85" hidden="1" customHeight="1" outlineLevel="1">
      <c r="A31" s="6" t="s">
        <v>845</v>
      </c>
      <c r="D31" t="str">
        <f>TRIM(RIGHT(A31,LEN(A31)-FIND("=",A31)))</f>
        <v>Excellent.</v>
      </c>
      <c r="E31" t="str">
        <f>SUBSTITUTE(D31,".","")</f>
        <v>Excellent</v>
      </c>
      <c r="Q31" s="551"/>
      <c r="R31" s="158"/>
      <c r="S31" s="158"/>
      <c r="T31" s="158"/>
      <c r="U31" s="159"/>
      <c r="V31" s="159"/>
      <c r="W31" s="159"/>
      <c r="X31" s="159"/>
      <c r="Y31" s="159"/>
      <c r="Z31" s="158"/>
      <c r="AA31" s="158"/>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1:57" ht="14.85" hidden="1" customHeight="1" outlineLevel="1">
      <c r="A32" s="6" t="s">
        <v>95</v>
      </c>
      <c r="D32" s="1">
        <f>IF(TRIM(RIGHT(A32,LEN(A32)-FIND("=",A32)))="{addl_PrimaryMortgageBalance}",0,TRIM(RIGHT(A32,LEN(A32)-FIND("=",A32))))</f>
        <v>0</v>
      </c>
      <c r="E32" s="1">
        <f>VALUE(D32)</f>
        <v>0</v>
      </c>
      <c r="Q32" s="551"/>
      <c r="R32" s="158"/>
      <c r="S32" s="158"/>
      <c r="T32" s="158"/>
      <c r="U32" s="159"/>
      <c r="V32" s="159"/>
      <c r="W32" s="159"/>
      <c r="X32" s="159"/>
      <c r="Y32" s="159"/>
      <c r="Z32" s="158"/>
      <c r="AA32" s="158"/>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1:57" ht="14.85" hidden="1" customHeight="1" outlineLevel="1">
      <c r="A33" s="6" t="s">
        <v>949</v>
      </c>
      <c r="D33" s="77" t="str">
        <f>TRIM(RIGHT(A33,LEN(A33)-FIND("=",A33)))</f>
        <v>400000</v>
      </c>
      <c r="E33" s="1">
        <f>IFERROR(VALUE(D33),0)</f>
        <v>400000</v>
      </c>
      <c r="Q33" s="551"/>
      <c r="R33" s="158"/>
      <c r="S33" s="158"/>
      <c r="T33" s="158"/>
      <c r="U33" s="159"/>
      <c r="V33" s="159"/>
      <c r="W33" s="159"/>
      <c r="X33" s="159"/>
      <c r="Y33" s="159"/>
      <c r="Z33" s="158"/>
      <c r="AA33" s="158"/>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1:57" ht="14.85" hidden="1" customHeight="1" outlineLevel="1">
      <c r="A34" s="6" t="s">
        <v>965</v>
      </c>
      <c r="D34" s="77" t="str">
        <f>TRIM(RIGHT(A34,LEN(A34)-FIND("=",A34)))</f>
        <v>258678</v>
      </c>
      <c r="E34" s="1">
        <f>IFERROR(VALUE(D34),0)</f>
        <v>258678</v>
      </c>
      <c r="Q34" s="551"/>
      <c r="R34" s="158"/>
      <c r="S34" s="158"/>
      <c r="T34" s="158"/>
      <c r="U34" s="159"/>
      <c r="V34" s="159"/>
      <c r="W34" s="159"/>
      <c r="X34" s="159"/>
      <c r="Y34" s="159"/>
      <c r="Z34" s="158"/>
      <c r="AA34" s="158"/>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row>
    <row r="35" spans="1:57" ht="14.85" hidden="1" customHeight="1" outlineLevel="1">
      <c r="A35" s="6" t="s">
        <v>966</v>
      </c>
      <c r="D35" t="str">
        <f>TRIM(RIGHT(A35,LEN(A35)-FIND("=",A35)))</f>
        <v>64.67</v>
      </c>
      <c r="E35" s="18">
        <f>VALUE(D35/100)</f>
        <v>0.64670000000000005</v>
      </c>
      <c r="Q35" s="551"/>
      <c r="R35" s="158"/>
      <c r="S35" s="158"/>
      <c r="T35" s="158"/>
      <c r="U35" s="159"/>
      <c r="V35" s="159"/>
      <c r="W35" s="159"/>
      <c r="X35" s="159"/>
      <c r="Y35" s="159"/>
      <c r="Z35" s="158"/>
      <c r="AA35" s="158"/>
      <c r="AB35" s="158"/>
      <c r="AC35" s="158"/>
      <c r="AD35" s="158"/>
      <c r="AE35" s="158"/>
      <c r="AF35" s="158"/>
      <c r="AG35" s="158"/>
      <c r="AH35" s="158"/>
      <c r="AI35" s="158"/>
      <c r="AJ35" s="158"/>
      <c r="AK35" s="158"/>
      <c r="AL35" s="158"/>
      <c r="AM35" s="158"/>
      <c r="AN35" s="158"/>
      <c r="AO35" s="158"/>
      <c r="AP35" s="158"/>
      <c r="AQ35" s="158"/>
      <c r="AR35" s="158"/>
      <c r="AS35" s="158"/>
      <c r="AT35" s="158"/>
      <c r="AU35" s="158"/>
      <c r="AV35" s="158"/>
      <c r="AW35" s="158"/>
      <c r="AX35" s="158"/>
      <c r="AY35" s="158"/>
      <c r="AZ35" s="158"/>
      <c r="BA35" s="158"/>
      <c r="BB35" s="158"/>
      <c r="BC35" s="158"/>
      <c r="BD35" s="158"/>
      <c r="BE35" s="158"/>
    </row>
    <row r="36" spans="1:57" ht="14.85" hidden="1" customHeight="1" outlineLevel="1">
      <c r="A36" s="6"/>
      <c r="Q36" s="551"/>
      <c r="R36" s="158"/>
      <c r="S36" s="158"/>
      <c r="T36" s="158"/>
      <c r="U36" s="159"/>
      <c r="V36" s="159"/>
      <c r="W36" s="159"/>
      <c r="X36" s="159"/>
      <c r="Y36" s="159"/>
      <c r="Z36" s="158"/>
      <c r="AA36" s="158"/>
      <c r="AB36" s="158"/>
      <c r="AC36" s="158"/>
      <c r="AD36" s="158"/>
      <c r="AE36" s="158"/>
      <c r="AF36" s="158"/>
      <c r="AG36" s="158"/>
      <c r="AH36" s="158"/>
      <c r="AI36" s="158"/>
      <c r="AJ36" s="158"/>
      <c r="AK36" s="158"/>
      <c r="AL36" s="158"/>
      <c r="AM36" s="158"/>
      <c r="AN36" s="158"/>
      <c r="AO36" s="158"/>
      <c r="AP36" s="158"/>
      <c r="AQ36" s="158"/>
      <c r="AR36" s="158"/>
      <c r="AS36" s="158"/>
      <c r="AT36" s="158"/>
      <c r="AU36" s="158"/>
      <c r="AV36" s="158"/>
      <c r="AW36" s="158"/>
      <c r="AX36" s="158"/>
      <c r="AY36" s="158"/>
      <c r="AZ36" s="158"/>
      <c r="BA36" s="158"/>
      <c r="BB36" s="158"/>
      <c r="BC36" s="158"/>
      <c r="BD36" s="158"/>
      <c r="BE36" s="158"/>
    </row>
    <row r="37" spans="1:57" ht="14.85" hidden="1" customHeight="1" outlineLevel="1">
      <c r="A37" s="6" t="s">
        <v>967</v>
      </c>
      <c r="D37" t="str">
        <f>TRIM(RIGHT(A37,LEN(A37)-FIND("=",A37)))</f>
        <v>100000</v>
      </c>
      <c r="E37" s="1">
        <f>IFERROR(VALUE(D37),0)</f>
        <v>100000</v>
      </c>
      <c r="Q37" s="551"/>
      <c r="R37" s="158"/>
      <c r="S37" s="158"/>
      <c r="T37" s="158"/>
      <c r="U37" s="159"/>
      <c r="V37" s="159"/>
      <c r="W37" s="159"/>
      <c r="X37" s="159"/>
      <c r="Y37" s="159"/>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1:57" ht="14.85" hidden="1" customHeight="1" outlineLevel="1">
      <c r="A38" s="6" t="s">
        <v>96</v>
      </c>
      <c r="D38" s="1">
        <f>IF(TRIM(RIGHT(A38,LEN(A38)-FIND("=",A38)))="{addl_HomeEquityAddlCash}",0,TRIM(RIGHT(A38,LEN(A38)-FIND("=",A38))))</f>
        <v>0</v>
      </c>
      <c r="E38" s="1">
        <f>VALUE(D38)</f>
        <v>0</v>
      </c>
      <c r="F38" s="4">
        <f>VALUE(SUBSTITUTE(E38,"/",""))</f>
        <v>0</v>
      </c>
      <c r="Q38" s="551"/>
      <c r="R38" s="158"/>
      <c r="S38" s="158"/>
      <c r="T38" s="158"/>
      <c r="U38" s="159"/>
      <c r="V38" s="159"/>
      <c r="W38" s="159"/>
      <c r="X38" s="159"/>
      <c r="Y38" s="159"/>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1:57" ht="14.85" hidden="1" customHeight="1" outlineLevel="1">
      <c r="A39" s="6" t="s">
        <v>968</v>
      </c>
      <c r="D39" t="str">
        <f>TRIM(RIGHT(A39,LEN(A39)-FIND("=",A39)))</f>
        <v>358678</v>
      </c>
      <c r="E39" s="1">
        <f>IFERROR(VALUE(D39),0)</f>
        <v>358678</v>
      </c>
      <c r="Q39" s="551"/>
      <c r="R39" s="158"/>
      <c r="S39" s="158"/>
      <c r="T39" s="158"/>
      <c r="U39" s="159"/>
      <c r="V39" s="159"/>
      <c r="W39" s="159"/>
      <c r="X39" s="159"/>
      <c r="Y39" s="159"/>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1:57" ht="14.85" hidden="1" customHeight="1" outlineLevel="1">
      <c r="A40" s="6"/>
      <c r="Q40" s="551"/>
      <c r="R40" s="158"/>
      <c r="S40" s="158"/>
      <c r="T40" s="158"/>
      <c r="U40" s="159"/>
      <c r="V40" s="159"/>
      <c r="W40" s="159"/>
      <c r="X40" s="159"/>
      <c r="Y40" s="159"/>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1:57" ht="14.85" hidden="1" customHeight="1" outlineLevel="1">
      <c r="A41" s="6" t="s">
        <v>831</v>
      </c>
      <c r="D41" t="str">
        <f>TRIM(RIGHT(A41,LEN(A41)-FIND("=",A41)))</f>
        <v>.</v>
      </c>
      <c r="E41" t="str">
        <f>SUBSTITUTE(D41,".","")</f>
        <v/>
      </c>
      <c r="F41" t="str">
        <f>IF(E41="","no",E41)</f>
        <v>no</v>
      </c>
      <c r="Q41" s="551"/>
      <c r="R41" s="158"/>
      <c r="S41" s="158"/>
      <c r="T41" s="158"/>
      <c r="U41" s="159"/>
      <c r="V41" s="159"/>
      <c r="W41" s="159"/>
      <c r="X41" s="159"/>
      <c r="Y41" s="159"/>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1:57" ht="14.85" hidden="1" customHeight="1" outlineLevel="1">
      <c r="A42" s="6" t="s">
        <v>832</v>
      </c>
      <c r="D42" t="str">
        <f>TRIM(RIGHT(A42,LEN(A42)-FIND("=",A42)))</f>
        <v>.</v>
      </c>
      <c r="E42" t="str">
        <f>SUBSTITUTE(D42,".","")</f>
        <v/>
      </c>
      <c r="F42" t="str">
        <f>IF(E42="","no",E42)</f>
        <v>no</v>
      </c>
      <c r="Q42" s="551"/>
      <c r="R42" s="158"/>
      <c r="S42" s="158"/>
      <c r="T42" s="158"/>
      <c r="U42" s="159"/>
      <c r="V42" s="159"/>
      <c r="W42" s="159"/>
      <c r="X42" s="159"/>
      <c r="Y42" s="159"/>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1:57" ht="14.85" hidden="1" customHeight="1" outlineLevel="1">
      <c r="A43" s="6" t="s">
        <v>927</v>
      </c>
      <c r="D43" t="str">
        <f>TRIM(RIGHT(A43,LEN(A43)-FIND("=",A43)))</f>
        <v>yes.</v>
      </c>
      <c r="E43" t="str">
        <f>SUBSTITUTE(D43,".","")</f>
        <v>yes</v>
      </c>
      <c r="F43" t="str">
        <f>IF(E43="","no",E43)</f>
        <v>yes</v>
      </c>
      <c r="Q43" s="551"/>
      <c r="R43" s="158"/>
      <c r="S43" s="158"/>
      <c r="T43" s="158"/>
      <c r="U43" s="159"/>
      <c r="V43" s="159"/>
      <c r="W43" s="159"/>
      <c r="X43" s="159"/>
      <c r="Y43" s="159"/>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1:57" ht="14.85" hidden="1" customHeight="1" outlineLevel="1">
      <c r="A44" s="6"/>
      <c r="Q44" s="551"/>
      <c r="R44" s="158"/>
      <c r="S44" s="158"/>
      <c r="T44" s="158"/>
      <c r="U44" s="159"/>
      <c r="V44" s="159"/>
      <c r="W44" s="159"/>
      <c r="X44" s="159"/>
      <c r="Y44" s="159"/>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1:57" ht="14.85" hidden="1" customHeight="1" outlineLevel="1">
      <c r="A45" s="6" t="s">
        <v>846</v>
      </c>
      <c r="D45" t="str">
        <f>TRIM(RIGHT(A45,LEN(A45)-FIND("=",A45)))</f>
        <v>27</v>
      </c>
      <c r="E45" s="1">
        <f>IFERROR(VALUE(D45),0)</f>
        <v>27</v>
      </c>
      <c r="Q45" s="551"/>
      <c r="R45" s="158"/>
      <c r="S45" s="158"/>
      <c r="T45" s="158"/>
      <c r="U45" s="159"/>
      <c r="V45" s="159"/>
      <c r="W45" s="159"/>
      <c r="X45" s="159"/>
      <c r="Y45" s="159"/>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1:57" ht="14.85" hidden="1" customHeight="1" outlineLevel="1">
      <c r="A46" s="6" t="s">
        <v>97</v>
      </c>
      <c r="Q46" s="551"/>
      <c r="R46" s="158"/>
      <c r="S46" s="158"/>
      <c r="T46" s="158"/>
      <c r="U46" s="159"/>
      <c r="V46" s="159"/>
      <c r="W46" s="159"/>
      <c r="X46" s="159"/>
      <c r="Y46" s="159"/>
      <c r="Z46" s="158"/>
      <c r="AA46" s="158"/>
      <c r="AB46" s="158"/>
      <c r="AC46" s="158"/>
      <c r="AD46" s="158"/>
      <c r="AE46" s="158"/>
      <c r="AF46" s="158"/>
      <c r="AG46" s="158"/>
      <c r="AH46" s="158"/>
      <c r="AI46" s="158"/>
      <c r="AJ46" s="158"/>
      <c r="AK46" s="158"/>
      <c r="AL46" s="158"/>
      <c r="AM46" s="158"/>
      <c r="AN46" s="158"/>
      <c r="AO46" s="158"/>
      <c r="AP46" s="158"/>
      <c r="AQ46" s="158"/>
      <c r="AR46" s="158"/>
      <c r="AS46" s="158"/>
      <c r="AT46" s="158"/>
      <c r="AU46" s="158"/>
      <c r="AV46" s="158"/>
      <c r="AW46" s="158"/>
      <c r="AX46" s="158"/>
      <c r="AY46" s="158"/>
      <c r="AZ46" s="158"/>
      <c r="BA46" s="158"/>
      <c r="BB46" s="158"/>
      <c r="BC46" s="158"/>
      <c r="BD46" s="158"/>
      <c r="BE46" s="158"/>
    </row>
    <row r="47" spans="1:57" ht="14.85" hidden="1" customHeight="1" outlineLevel="1">
      <c r="A47" s="6" t="s">
        <v>98</v>
      </c>
      <c r="D47" t="str">
        <f>TRIM(RIGHT(A47,LEN(A47)-FIND("=",A47)))</f>
        <v>.</v>
      </c>
      <c r="E47" t="str">
        <f>IF(D47="","N/A",D47)</f>
        <v>.</v>
      </c>
      <c r="F47" t="str">
        <f>SUBSTITUTE(E47,".","")</f>
        <v/>
      </c>
      <c r="Q47" s="551"/>
      <c r="R47" s="158"/>
      <c r="S47" s="158"/>
      <c r="T47" s="158"/>
      <c r="U47" s="159"/>
      <c r="V47" s="159"/>
      <c r="W47" s="159"/>
      <c r="X47" s="159"/>
      <c r="Y47" s="159"/>
      <c r="Z47" s="158"/>
      <c r="AA47" s="158"/>
      <c r="AB47" s="158"/>
      <c r="AC47" s="158"/>
      <c r="AD47" s="158"/>
      <c r="AE47" s="158"/>
      <c r="AF47" s="158"/>
      <c r="AG47" s="158"/>
      <c r="AH47" s="158"/>
      <c r="AI47" s="158"/>
      <c r="AJ47" s="158"/>
      <c r="AK47" s="158"/>
      <c r="AL47" s="158"/>
      <c r="AM47" s="158"/>
      <c r="AN47" s="158"/>
      <c r="AO47" s="158"/>
      <c r="AP47" s="158"/>
      <c r="AQ47" s="158"/>
      <c r="AR47" s="158"/>
      <c r="AS47" s="158"/>
      <c r="AT47" s="158"/>
      <c r="AU47" s="158"/>
      <c r="AV47" s="158"/>
      <c r="AW47" s="158"/>
      <c r="AX47" s="158"/>
      <c r="AY47" s="158"/>
      <c r="AZ47" s="158"/>
      <c r="BA47" s="158"/>
      <c r="BB47" s="158"/>
      <c r="BC47" s="158"/>
      <c r="BD47" s="158"/>
      <c r="BE47" s="158"/>
    </row>
    <row r="48" spans="1:57" ht="14.85" hidden="1" customHeight="1" outlineLevel="1">
      <c r="A48" s="6" t="s">
        <v>99</v>
      </c>
      <c r="D48" t="str">
        <f>TRIM(RIGHT(A48,LEN(A48)-FIND("=",A48)))</f>
        <v>.</v>
      </c>
      <c r="E48" t="str">
        <f>IF(D48="","N/A",D48)</f>
        <v>.</v>
      </c>
      <c r="F48" t="str">
        <f>SUBSTITUTE(E48,".","")</f>
        <v/>
      </c>
      <c r="Q48" s="551"/>
      <c r="R48" s="158"/>
      <c r="S48" s="158"/>
      <c r="T48" s="158"/>
      <c r="U48" s="159"/>
      <c r="V48" s="159"/>
      <c r="W48" s="159"/>
      <c r="X48" s="159"/>
      <c r="Y48" s="159"/>
      <c r="Z48" s="158"/>
      <c r="AA48" s="158"/>
      <c r="AB48" s="158"/>
      <c r="AC48" s="158"/>
      <c r="AD48" s="158"/>
      <c r="AE48" s="158"/>
      <c r="AF48" s="158"/>
      <c r="AG48" s="158"/>
      <c r="AH48" s="158"/>
      <c r="AI48" s="158"/>
      <c r="AJ48" s="158"/>
      <c r="AK48" s="158"/>
      <c r="AL48" s="158"/>
      <c r="AM48" s="158"/>
      <c r="AN48" s="158"/>
      <c r="AO48" s="158"/>
      <c r="AP48" s="158"/>
      <c r="AQ48" s="158"/>
      <c r="AR48" s="158"/>
      <c r="AS48" s="158"/>
      <c r="AT48" s="158"/>
      <c r="AU48" s="158"/>
      <c r="AV48" s="158"/>
      <c r="AW48" s="158"/>
      <c r="AX48" s="158"/>
      <c r="AY48" s="158"/>
      <c r="AZ48" s="158"/>
      <c r="BA48" s="158"/>
      <c r="BB48" s="158"/>
      <c r="BC48" s="158"/>
      <c r="BD48" s="158"/>
      <c r="BE48" s="158"/>
    </row>
    <row r="49" spans="1:57" ht="14.85" hidden="1" customHeight="1" outlineLevel="1">
      <c r="A49" s="6" t="s">
        <v>97</v>
      </c>
      <c r="Q49" s="551"/>
      <c r="R49" s="158"/>
      <c r="S49" s="158"/>
      <c r="T49" s="158"/>
      <c r="U49" s="159"/>
      <c r="V49" s="159"/>
      <c r="W49" s="159"/>
      <c r="X49" s="159"/>
      <c r="Y49" s="159"/>
      <c r="Z49" s="158"/>
      <c r="AA49" s="158"/>
      <c r="AB49" s="158"/>
      <c r="AC49" s="158"/>
      <c r="AD49" s="158"/>
      <c r="AE49" s="158"/>
      <c r="AF49" s="158"/>
      <c r="AG49" s="158"/>
      <c r="AH49" s="158"/>
      <c r="AI49" s="158"/>
      <c r="AJ49" s="158"/>
      <c r="AK49" s="158"/>
      <c r="AL49" s="158"/>
      <c r="AM49" s="158"/>
      <c r="AN49" s="158"/>
      <c r="AO49" s="158"/>
      <c r="AP49" s="158"/>
      <c r="AQ49" s="158"/>
      <c r="AR49" s="158"/>
      <c r="AS49" s="158"/>
      <c r="AT49" s="158"/>
      <c r="AU49" s="158"/>
      <c r="AV49" s="158"/>
      <c r="AW49" s="158"/>
      <c r="AX49" s="158"/>
      <c r="AY49" s="158"/>
      <c r="AZ49" s="158"/>
      <c r="BA49" s="158"/>
      <c r="BB49" s="158"/>
      <c r="BC49" s="158"/>
      <c r="BD49" s="158"/>
      <c r="BE49" s="158"/>
    </row>
    <row r="50" spans="1:57" ht="14.85" hidden="1" customHeight="1" outlineLevel="1">
      <c r="A50" s="17" t="s">
        <v>969</v>
      </c>
      <c r="Q50" s="551"/>
      <c r="R50" s="158"/>
      <c r="S50" s="158"/>
      <c r="T50" s="158"/>
      <c r="U50" s="159"/>
      <c r="V50" s="159"/>
      <c r="W50" s="159"/>
      <c r="X50" s="159"/>
      <c r="Y50" s="159"/>
      <c r="Z50" s="158"/>
      <c r="AA50" s="158"/>
      <c r="AB50" s="158"/>
      <c r="AC50" s="158"/>
      <c r="AD50" s="158"/>
      <c r="AE50" s="158"/>
      <c r="AF50" s="158"/>
      <c r="AG50" s="158"/>
      <c r="AH50" s="158"/>
      <c r="AI50" s="158"/>
      <c r="AJ50" s="158"/>
      <c r="AK50" s="158"/>
      <c r="AL50" s="158"/>
      <c r="AM50" s="158"/>
      <c r="AN50" s="158"/>
      <c r="AO50" s="158"/>
      <c r="AP50" s="158"/>
      <c r="AQ50" s="158"/>
      <c r="AR50" s="158"/>
      <c r="AS50" s="158"/>
      <c r="AT50" s="158"/>
      <c r="AU50" s="158"/>
      <c r="AV50" s="158"/>
      <c r="AW50" s="158"/>
      <c r="AX50" s="158"/>
      <c r="AY50" s="158"/>
      <c r="AZ50" s="158"/>
      <c r="BA50" s="158"/>
      <c r="BB50" s="158"/>
      <c r="BC50" s="158"/>
      <c r="BD50" s="158"/>
      <c r="BE50" s="158"/>
    </row>
    <row r="51" spans="1:57" ht="14.85" hidden="1" customHeight="1" outlineLevel="1">
      <c r="H51"/>
      <c r="Q51" s="551"/>
      <c r="R51" s="158"/>
      <c r="S51" s="158"/>
      <c r="T51" s="158"/>
      <c r="U51" s="159"/>
      <c r="V51" s="159"/>
      <c r="W51" s="159"/>
      <c r="X51" s="159"/>
      <c r="Y51" s="159"/>
      <c r="Z51" s="158"/>
      <c r="AA51" s="158"/>
      <c r="AB51" s="158"/>
      <c r="AC51" s="158"/>
      <c r="AD51" s="158"/>
      <c r="AE51" s="158"/>
      <c r="AF51" s="158"/>
      <c r="AG51" s="158"/>
      <c r="AH51" s="158"/>
      <c r="AI51" s="158"/>
      <c r="AJ51" s="158"/>
      <c r="AK51" s="158"/>
      <c r="AL51" s="158"/>
      <c r="AM51" s="158"/>
      <c r="AN51" s="158"/>
      <c r="AO51" s="158"/>
      <c r="AP51" s="158"/>
      <c r="AQ51" s="158"/>
      <c r="AR51" s="158"/>
      <c r="AS51" s="158"/>
      <c r="AT51" s="158"/>
      <c r="AU51" s="158"/>
      <c r="AV51" s="158"/>
      <c r="AW51" s="158"/>
      <c r="AX51" s="158"/>
      <c r="AY51" s="158"/>
      <c r="AZ51" s="158"/>
      <c r="BA51" s="158"/>
      <c r="BB51" s="158"/>
      <c r="BC51" s="158"/>
      <c r="BD51" s="158"/>
      <c r="BE51" s="158"/>
    </row>
    <row r="52" spans="1:57" ht="14.85" hidden="1" customHeight="1" outlineLevel="1">
      <c r="A52" s="8"/>
      <c r="H52"/>
      <c r="Q52" s="551"/>
      <c r="R52" s="158"/>
      <c r="S52" s="158"/>
      <c r="T52" s="158"/>
      <c r="U52" s="159"/>
      <c r="V52" s="159"/>
      <c r="W52" s="159"/>
      <c r="X52" s="159"/>
      <c r="Y52" s="159"/>
      <c r="Z52" s="158"/>
      <c r="AA52" s="158"/>
      <c r="AB52" s="158"/>
      <c r="AC52" s="158"/>
      <c r="AD52" s="158"/>
      <c r="AE52" s="158"/>
      <c r="AF52" s="158"/>
      <c r="AG52" s="158"/>
      <c r="AH52" s="158"/>
      <c r="AI52" s="158"/>
      <c r="AJ52" s="158"/>
      <c r="AK52" s="158"/>
      <c r="AL52" s="158"/>
      <c r="AM52" s="158"/>
      <c r="AN52" s="158"/>
      <c r="AO52" s="158"/>
      <c r="AP52" s="158"/>
      <c r="AQ52" s="158"/>
      <c r="AR52" s="158"/>
      <c r="AS52" s="158"/>
      <c r="AT52" s="158"/>
      <c r="AU52" s="158"/>
      <c r="AV52" s="158"/>
      <c r="AW52" s="158"/>
      <c r="AX52" s="158"/>
      <c r="AY52" s="158"/>
      <c r="AZ52" s="158"/>
      <c r="BA52" s="158"/>
      <c r="BB52" s="158"/>
      <c r="BC52" s="158"/>
      <c r="BD52" s="158"/>
      <c r="BE52" s="158"/>
    </row>
    <row r="53" spans="1:57" ht="14.85" hidden="1" customHeight="1" outlineLevel="1">
      <c r="H53"/>
      <c r="Q53" s="551"/>
      <c r="R53" s="158"/>
      <c r="S53" s="158"/>
      <c r="T53" s="158"/>
      <c r="U53" s="159"/>
      <c r="V53" s="159"/>
      <c r="W53" s="159"/>
      <c r="X53" s="159"/>
      <c r="Y53" s="159"/>
      <c r="Z53" s="158"/>
      <c r="AA53" s="158"/>
      <c r="AB53" s="158"/>
      <c r="AC53" s="158"/>
      <c r="AD53" s="158"/>
      <c r="AE53" s="158"/>
      <c r="AF53" s="158"/>
      <c r="AG53" s="158"/>
      <c r="AH53" s="158"/>
      <c r="AI53" s="158"/>
      <c r="AJ53" s="158"/>
      <c r="AK53" s="158"/>
      <c r="AL53" s="158"/>
      <c r="AM53" s="158"/>
      <c r="AN53" s="158"/>
      <c r="AO53" s="158"/>
      <c r="AP53" s="158"/>
      <c r="AQ53" s="158"/>
      <c r="AR53" s="158"/>
      <c r="AS53" s="158"/>
      <c r="AT53" s="158"/>
      <c r="AU53" s="158"/>
      <c r="AV53" s="158"/>
      <c r="AW53" s="158"/>
      <c r="AX53" s="158"/>
      <c r="AY53" s="158"/>
      <c r="AZ53" s="158"/>
      <c r="BA53" s="158"/>
      <c r="BB53" s="158"/>
      <c r="BC53" s="158"/>
      <c r="BD53" s="158"/>
      <c r="BE53" s="158"/>
    </row>
    <row r="54" spans="1:57" ht="14.85" hidden="1" customHeight="1" outlineLevel="1">
      <c r="H54"/>
      <c r="Q54" s="551"/>
      <c r="R54" s="158"/>
      <c r="S54" s="158"/>
      <c r="T54" s="158"/>
      <c r="U54" s="159"/>
      <c r="V54" s="159"/>
      <c r="W54" s="159"/>
      <c r="X54" s="159"/>
      <c r="Y54" s="159"/>
      <c r="Z54" s="158"/>
      <c r="AA54" s="158"/>
      <c r="AB54" s="158"/>
      <c r="AC54" s="158"/>
      <c r="AD54" s="158"/>
      <c r="AE54" s="158"/>
      <c r="AF54" s="158"/>
      <c r="AG54" s="158"/>
      <c r="AH54" s="158"/>
      <c r="AI54" s="158"/>
      <c r="AJ54" s="158"/>
      <c r="AK54" s="158"/>
      <c r="AL54" s="158"/>
      <c r="AM54" s="158"/>
      <c r="AN54" s="158"/>
      <c r="AO54" s="158"/>
      <c r="AP54" s="158"/>
      <c r="AQ54" s="158"/>
      <c r="AR54" s="158"/>
      <c r="AS54" s="158"/>
      <c r="AT54" s="158"/>
      <c r="AU54" s="158"/>
      <c r="AV54" s="158"/>
      <c r="AW54" s="158"/>
      <c r="AX54" s="158"/>
      <c r="AY54" s="158"/>
      <c r="AZ54" s="158"/>
      <c r="BA54" s="158"/>
      <c r="BB54" s="158"/>
      <c r="BC54" s="158"/>
      <c r="BD54" s="158"/>
      <c r="BE54" s="158"/>
    </row>
    <row r="55" spans="1:57" ht="14.85" hidden="1" customHeight="1" outlineLevel="1">
      <c r="H55"/>
      <c r="Q55" s="551"/>
      <c r="R55" s="158"/>
      <c r="S55" s="158"/>
      <c r="T55" s="158"/>
      <c r="U55" s="159"/>
      <c r="V55" s="159"/>
      <c r="W55" s="159"/>
      <c r="X55" s="159"/>
      <c r="Y55" s="159"/>
      <c r="Z55" s="158"/>
      <c r="AA55" s="158"/>
      <c r="AB55" s="158"/>
      <c r="AC55" s="158"/>
      <c r="AD55" s="158"/>
      <c r="AE55" s="158"/>
      <c r="AF55" s="158"/>
      <c r="AG55" s="158"/>
      <c r="AH55" s="158"/>
      <c r="AI55" s="158"/>
      <c r="AJ55" s="158"/>
      <c r="AK55" s="158"/>
      <c r="AL55" s="158"/>
      <c r="AM55" s="158"/>
      <c r="AN55" s="158"/>
      <c r="AO55" s="158"/>
      <c r="AP55" s="158"/>
      <c r="AQ55" s="158"/>
      <c r="AR55" s="158"/>
      <c r="AS55" s="158"/>
      <c r="AT55" s="158"/>
      <c r="AU55" s="158"/>
      <c r="AV55" s="158"/>
      <c r="AW55" s="158"/>
      <c r="AX55" s="158"/>
      <c r="AY55" s="158"/>
      <c r="AZ55" s="158"/>
      <c r="BA55" s="158"/>
      <c r="BB55" s="158"/>
      <c r="BC55" s="158"/>
      <c r="BD55" s="158"/>
      <c r="BE55" s="158"/>
    </row>
    <row r="56" spans="1:57" ht="14.85" hidden="1" customHeight="1" outlineLevel="1" thickBot="1">
      <c r="H56"/>
      <c r="Q56" s="551"/>
      <c r="R56" s="158"/>
      <c r="S56" s="158"/>
      <c r="T56" s="158"/>
      <c r="U56" s="159"/>
      <c r="V56" s="159"/>
      <c r="W56" s="159"/>
      <c r="X56" s="159"/>
      <c r="Y56" s="159"/>
      <c r="Z56" s="158"/>
      <c r="AA56" s="158"/>
      <c r="AB56" s="158"/>
      <c r="AC56" s="158"/>
      <c r="AD56" s="158"/>
      <c r="AE56" s="158"/>
      <c r="AF56" s="158"/>
      <c r="AG56" s="158"/>
      <c r="AH56" s="158"/>
      <c r="AI56" s="158"/>
      <c r="AJ56" s="158"/>
      <c r="AK56" s="158"/>
      <c r="AL56" s="158"/>
      <c r="AM56" s="158"/>
      <c r="AN56" s="158"/>
      <c r="AO56" s="158"/>
      <c r="AP56" s="158"/>
      <c r="AQ56" s="158"/>
      <c r="AR56" s="158"/>
      <c r="AS56" s="158"/>
      <c r="AT56" s="158"/>
      <c r="AU56" s="158"/>
      <c r="AV56" s="158"/>
      <c r="AW56" s="158"/>
      <c r="AX56" s="158"/>
      <c r="AY56" s="158"/>
      <c r="AZ56" s="158"/>
      <c r="BA56" s="158"/>
      <c r="BB56" s="158"/>
      <c r="BC56" s="158"/>
      <c r="BD56" s="158"/>
      <c r="BE56" s="158"/>
    </row>
    <row r="57" spans="1:57" ht="29.45" customHeight="1" collapsed="1" thickBot="1">
      <c r="A57" s="555"/>
      <c r="B57" s="556"/>
      <c r="C57" s="556"/>
      <c r="D57" s="556"/>
      <c r="E57" s="556"/>
      <c r="F57" s="556"/>
      <c r="G57" s="556"/>
      <c r="H57" s="556"/>
      <c r="I57" s="556"/>
      <c r="J57" s="556"/>
      <c r="K57" s="556"/>
      <c r="L57" s="556"/>
      <c r="M57" s="556"/>
      <c r="N57" s="556"/>
      <c r="O57" s="556"/>
      <c r="P57" s="556"/>
      <c r="Q57" s="552"/>
      <c r="R57" s="158"/>
      <c r="S57" s="158"/>
      <c r="T57" s="158"/>
      <c r="U57" s="159"/>
      <c r="V57" s="159"/>
      <c r="W57" s="159"/>
      <c r="X57" s="159"/>
      <c r="Y57" s="159"/>
      <c r="Z57" s="158"/>
      <c r="AA57" s="158"/>
      <c r="AB57" s="158"/>
      <c r="AC57" s="158"/>
      <c r="AD57" s="158"/>
      <c r="AE57" s="158"/>
      <c r="AF57" s="158"/>
      <c r="AG57" s="158"/>
      <c r="AH57" s="158"/>
      <c r="AI57" s="158"/>
      <c r="AJ57" s="158"/>
      <c r="AK57" s="158"/>
      <c r="AL57" s="158"/>
      <c r="AM57" s="158"/>
      <c r="AN57" s="158"/>
      <c r="AO57" s="158"/>
      <c r="AP57" s="158"/>
      <c r="AQ57" s="158"/>
      <c r="AR57" s="158"/>
      <c r="AS57" s="158"/>
      <c r="AT57" s="158"/>
      <c r="AU57" s="158"/>
      <c r="AV57" s="158"/>
      <c r="AW57" s="158"/>
      <c r="AX57" s="158"/>
      <c r="AY57" s="158"/>
      <c r="AZ57" s="158"/>
      <c r="BA57" s="158"/>
      <c r="BB57" s="158"/>
      <c r="BC57" s="158"/>
      <c r="BD57" s="158"/>
      <c r="BE57" s="158"/>
    </row>
    <row r="58" spans="1:57" ht="29.45" customHeight="1" thickBot="1">
      <c r="A58" s="557"/>
      <c r="B58" s="558"/>
      <c r="C58" s="558"/>
      <c r="D58" s="558"/>
      <c r="E58" s="558"/>
      <c r="F58" s="558"/>
      <c r="G58" s="558"/>
      <c r="H58" s="558"/>
      <c r="I58" s="558"/>
      <c r="J58" s="558"/>
      <c r="K58" s="558"/>
      <c r="L58" s="558"/>
      <c r="M58" s="558"/>
      <c r="N58" s="558"/>
      <c r="O58" s="558"/>
      <c r="P58" s="558"/>
      <c r="Q58" s="559"/>
      <c r="R58" s="158"/>
      <c r="S58" s="158"/>
      <c r="T58" s="158"/>
      <c r="U58" s="159"/>
      <c r="V58" s="159"/>
      <c r="W58" s="159"/>
      <c r="X58" s="159"/>
      <c r="Y58" s="159"/>
      <c r="Z58" s="158"/>
      <c r="AA58" s="158"/>
      <c r="AB58" s="158"/>
      <c r="AC58" s="158"/>
      <c r="AD58" s="158"/>
      <c r="AE58" s="158"/>
      <c r="AF58" s="158"/>
      <c r="AG58" s="158"/>
      <c r="AH58" s="158"/>
      <c r="AI58" s="158"/>
      <c r="AJ58" s="158"/>
      <c r="AK58" s="158"/>
      <c r="AL58" s="158"/>
      <c r="AM58" s="158"/>
      <c r="AN58" s="158"/>
      <c r="AO58" s="158"/>
      <c r="AP58" s="158"/>
      <c r="AQ58" s="158"/>
      <c r="AR58" s="158"/>
      <c r="AS58" s="158"/>
      <c r="AT58" s="158"/>
      <c r="AU58" s="158"/>
      <c r="AV58" s="158"/>
      <c r="AW58" s="158"/>
      <c r="AX58" s="158"/>
      <c r="AY58" s="158"/>
      <c r="AZ58" s="158"/>
      <c r="BA58" s="158"/>
      <c r="BB58" s="158"/>
      <c r="BC58" s="158"/>
      <c r="BD58" s="158"/>
      <c r="BE58" s="158"/>
    </row>
    <row r="59" spans="1:57" ht="15" hidden="1" customHeight="1" outlineLevel="1">
      <c r="A59" s="5" t="s">
        <v>100</v>
      </c>
      <c r="B59" s="80" t="str">
        <f>E12</f>
        <v>Rob</v>
      </c>
      <c r="F59" s="6"/>
      <c r="H59"/>
      <c r="Q59" s="560"/>
      <c r="R59" s="158"/>
      <c r="S59" s="158"/>
      <c r="T59" s="158"/>
      <c r="U59" s="159"/>
      <c r="V59" s="159"/>
      <c r="W59" s="159"/>
      <c r="X59" s="159"/>
      <c r="Y59" s="159"/>
      <c r="Z59" s="158"/>
      <c r="AA59" s="158"/>
      <c r="AB59" s="158"/>
      <c r="AC59" s="158"/>
      <c r="AD59" s="158"/>
      <c r="AE59" s="158"/>
      <c r="AF59" s="158"/>
      <c r="AG59" s="158"/>
      <c r="AH59" s="158"/>
      <c r="AI59" s="158"/>
      <c r="AJ59" s="158"/>
      <c r="AK59" s="158"/>
      <c r="AL59" s="158"/>
      <c r="AM59" s="158"/>
      <c r="AN59" s="158"/>
      <c r="AO59" s="158"/>
      <c r="AP59" s="158"/>
      <c r="AQ59" s="158"/>
      <c r="AR59" s="158"/>
      <c r="AS59" s="158"/>
      <c r="AT59" s="158"/>
      <c r="AU59" s="158"/>
      <c r="AV59" s="158"/>
      <c r="AW59" s="158"/>
      <c r="AX59" s="158"/>
      <c r="AY59" s="158"/>
      <c r="AZ59" s="158"/>
      <c r="BA59" s="158"/>
      <c r="BB59" s="158"/>
      <c r="BC59" s="158"/>
      <c r="BD59" s="158"/>
      <c r="BE59" s="158"/>
    </row>
    <row r="60" spans="1:57" ht="15" hidden="1" customHeight="1" outlineLevel="1">
      <c r="A60" s="5" t="s">
        <v>101</v>
      </c>
      <c r="B60" s="80" t="str">
        <f>E13</f>
        <v>Crerar</v>
      </c>
      <c r="F60" s="6"/>
      <c r="H60"/>
      <c r="Q60" s="560"/>
      <c r="R60" s="158"/>
      <c r="S60" s="158"/>
      <c r="T60" s="158"/>
      <c r="U60" s="159"/>
      <c r="V60" s="159"/>
      <c r="W60" s="159"/>
      <c r="X60" s="159"/>
      <c r="Y60" s="159"/>
      <c r="Z60" s="158"/>
      <c r="AA60" s="158"/>
      <c r="AB60" s="158"/>
      <c r="AC60" s="158"/>
      <c r="AD60" s="158"/>
      <c r="AE60" s="158"/>
      <c r="AF60" s="158"/>
      <c r="AG60" s="158"/>
      <c r="AH60" s="158"/>
      <c r="AI60" s="158"/>
      <c r="AJ60" s="158"/>
      <c r="AK60" s="158"/>
      <c r="AL60" s="158"/>
      <c r="AM60" s="158"/>
      <c r="AN60" s="158"/>
      <c r="AO60" s="158"/>
      <c r="AP60" s="158"/>
      <c r="AQ60" s="158"/>
      <c r="AR60" s="158"/>
      <c r="AS60" s="158"/>
      <c r="AT60" s="158"/>
      <c r="AU60" s="158"/>
      <c r="AV60" s="158"/>
      <c r="AW60" s="158"/>
      <c r="AX60" s="158"/>
      <c r="AY60" s="158"/>
      <c r="AZ60" s="158"/>
      <c r="BA60" s="158"/>
      <c r="BB60" s="158"/>
      <c r="BC60" s="158"/>
      <c r="BD60" s="158"/>
      <c r="BE60" s="158"/>
    </row>
    <row r="61" spans="1:57" ht="15" hidden="1" customHeight="1" outlineLevel="1">
      <c r="A61" s="5" t="s">
        <v>71</v>
      </c>
      <c r="B61" s="80" t="str">
        <f>E14</f>
        <v>(813)312-6000</v>
      </c>
      <c r="F61" s="6"/>
      <c r="H61"/>
      <c r="Q61" s="560"/>
      <c r="R61" s="158"/>
      <c r="S61" s="158"/>
      <c r="T61" s="158"/>
      <c r="U61" s="159"/>
      <c r="V61" s="159"/>
      <c r="W61" s="159"/>
      <c r="X61" s="159"/>
      <c r="Y61" s="159"/>
      <c r="Z61" s="158"/>
      <c r="AA61" s="158"/>
      <c r="AB61" s="158"/>
      <c r="AC61" s="158"/>
      <c r="AD61" s="158"/>
      <c r="AE61" s="158"/>
      <c r="AF61" s="158"/>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row>
    <row r="62" spans="1:57" ht="15" hidden="1" customHeight="1" outlineLevel="1">
      <c r="A62" s="5" t="s">
        <v>102</v>
      </c>
      <c r="B62" s="80" t="str">
        <f>D15</f>
        <v>robmcrerar@gmail.com</v>
      </c>
      <c r="F62" s="6"/>
      <c r="H62"/>
      <c r="Q62" s="560"/>
      <c r="R62" s="158"/>
      <c r="S62" s="158"/>
      <c r="T62" s="158"/>
      <c r="U62" s="159"/>
      <c r="V62" s="159"/>
      <c r="W62" s="159"/>
      <c r="X62" s="159"/>
      <c r="Y62" s="159"/>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c r="BD62" s="158"/>
      <c r="BE62" s="158"/>
    </row>
    <row r="63" spans="1:57" ht="15" hidden="1" customHeight="1" outlineLevel="1">
      <c r="A63" s="5" t="s">
        <v>103</v>
      </c>
      <c r="B63" s="80" t="str">
        <f>N17</f>
        <v>1714 Citron Court, New Port Richey, FL, 34655</v>
      </c>
      <c r="F63" s="6"/>
      <c r="H63"/>
      <c r="Q63" s="560"/>
      <c r="R63" s="158"/>
      <c r="S63" s="158"/>
      <c r="T63" s="158"/>
      <c r="U63" s="159"/>
      <c r="V63" s="159"/>
      <c r="W63" s="159"/>
      <c r="X63" s="159"/>
      <c r="Y63" s="159"/>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c r="BD63" s="158"/>
      <c r="BE63" s="158"/>
    </row>
    <row r="64" spans="1:57" ht="15" hidden="1" customHeight="1" outlineLevel="1">
      <c r="A64" s="5" t="s">
        <v>73</v>
      </c>
      <c r="B64" s="80" t="str">
        <f>F24</f>
        <v>FL</v>
      </c>
      <c r="F64" s="6"/>
      <c r="H64"/>
      <c r="Q64" s="560"/>
      <c r="R64" s="158"/>
      <c r="S64" s="158"/>
      <c r="T64" s="158"/>
      <c r="U64" s="159"/>
      <c r="V64" s="159"/>
      <c r="W64" s="159"/>
      <c r="X64" s="159"/>
      <c r="Y64" s="159"/>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c r="BD64" s="158"/>
      <c r="BE64" s="158"/>
    </row>
    <row r="65" spans="1:57" ht="15" hidden="1" customHeight="1" outlineLevel="1">
      <c r="A65" s="5" t="s">
        <v>77</v>
      </c>
      <c r="B65" s="81">
        <f>IF(E33&lt;&gt;0,E33,E39/E35)</f>
        <v>400000</v>
      </c>
      <c r="F65" s="6"/>
      <c r="H65"/>
      <c r="Q65" s="560"/>
      <c r="R65" s="158"/>
      <c r="S65" s="158"/>
      <c r="T65" s="158"/>
      <c r="U65" s="159"/>
      <c r="V65" s="159"/>
      <c r="W65" s="159"/>
      <c r="X65" s="159"/>
      <c r="Y65" s="159"/>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c r="BD65" s="158"/>
      <c r="BE65" s="158"/>
    </row>
    <row r="66" spans="1:57" ht="15" hidden="1" customHeight="1" outlineLevel="1">
      <c r="A66" s="5" t="s">
        <v>104</v>
      </c>
      <c r="B66" s="81">
        <f>E34+E32</f>
        <v>258678</v>
      </c>
      <c r="F66" s="6"/>
      <c r="H66"/>
      <c r="Q66" s="560"/>
      <c r="R66" s="158"/>
      <c r="S66" s="158"/>
      <c r="T66" s="158"/>
      <c r="U66" s="159"/>
      <c r="V66" s="159"/>
      <c r="W66" s="159"/>
      <c r="X66" s="159"/>
      <c r="Y66" s="159"/>
      <c r="Z66" s="158"/>
      <c r="AA66" s="158"/>
      <c r="AB66" s="158"/>
      <c r="AC66" s="158"/>
      <c r="AD66" s="158"/>
      <c r="AE66" s="158"/>
      <c r="AF66" s="158"/>
      <c r="AG66" s="158"/>
      <c r="AH66" s="158"/>
      <c r="AI66" s="158"/>
      <c r="AJ66" s="158"/>
      <c r="AK66" s="158"/>
      <c r="AL66" s="158"/>
      <c r="AM66" s="158"/>
      <c r="AN66" s="158"/>
      <c r="AO66" s="158"/>
      <c r="AP66" s="158"/>
      <c r="AQ66" s="158"/>
      <c r="AR66" s="158"/>
      <c r="AS66" s="158"/>
      <c r="AT66" s="158"/>
      <c r="AU66" s="158"/>
      <c r="AV66" s="158"/>
      <c r="AW66" s="158"/>
      <c r="AX66" s="158"/>
      <c r="AY66" s="158"/>
      <c r="AZ66" s="158"/>
      <c r="BA66" s="158"/>
      <c r="BB66" s="158"/>
      <c r="BC66" s="158"/>
      <c r="BD66" s="158"/>
      <c r="BE66" s="158"/>
    </row>
    <row r="67" spans="1:57" ht="15" hidden="1" customHeight="1" outlineLevel="1">
      <c r="A67" s="5" t="s">
        <v>80</v>
      </c>
      <c r="B67" s="82">
        <f>IFERROR(B66/B65,0)</f>
        <v>0.64669500000000002</v>
      </c>
      <c r="F67" s="6"/>
      <c r="H67"/>
      <c r="Q67" s="560"/>
      <c r="R67" s="158"/>
      <c r="S67" s="158"/>
      <c r="T67" s="158"/>
      <c r="U67" s="159"/>
      <c r="V67" s="159"/>
      <c r="W67" s="159"/>
      <c r="X67" s="159"/>
      <c r="Y67" s="159"/>
      <c r="Z67" s="158"/>
      <c r="AA67" s="158"/>
      <c r="AB67" s="158"/>
      <c r="AC67" s="158"/>
      <c r="AD67" s="158"/>
      <c r="AE67" s="158"/>
      <c r="AF67" s="158"/>
      <c r="AG67" s="158"/>
      <c r="AH67" s="158"/>
      <c r="AI67" s="158"/>
      <c r="AJ67" s="158"/>
      <c r="AK67" s="158"/>
      <c r="AL67" s="158"/>
      <c r="AM67" s="158"/>
      <c r="AN67" s="158"/>
      <c r="AO67" s="158"/>
      <c r="AP67" s="158"/>
      <c r="AQ67" s="158"/>
      <c r="AR67" s="158"/>
      <c r="AS67" s="158"/>
      <c r="AT67" s="158"/>
      <c r="AU67" s="158"/>
      <c r="AV67" s="158"/>
      <c r="AW67" s="158"/>
      <c r="AX67" s="158"/>
      <c r="AY67" s="158"/>
      <c r="AZ67" s="158"/>
      <c r="BA67" s="158"/>
      <c r="BB67" s="158"/>
      <c r="BC67" s="158"/>
      <c r="BD67" s="158"/>
      <c r="BE67" s="158"/>
    </row>
    <row r="68" spans="1:57" ht="15" hidden="1" customHeight="1" outlineLevel="1">
      <c r="A68" s="5" t="s">
        <v>105</v>
      </c>
      <c r="B68" s="81">
        <f>IFERROR(E37+F38,0)</f>
        <v>100000</v>
      </c>
      <c r="F68" s="17"/>
      <c r="H68"/>
      <c r="Q68" s="560"/>
      <c r="R68" s="158"/>
      <c r="S68" s="158"/>
      <c r="T68" s="158"/>
      <c r="U68" s="159"/>
      <c r="V68" s="159"/>
      <c r="W68" s="159"/>
      <c r="X68" s="159"/>
      <c r="Y68" s="159"/>
      <c r="Z68" s="158"/>
      <c r="AA68" s="158"/>
      <c r="AB68" s="158"/>
      <c r="AC68" s="158"/>
      <c r="AD68" s="158"/>
      <c r="AE68" s="158"/>
      <c r="AF68" s="158"/>
      <c r="AG68" s="158"/>
      <c r="AH68" s="158"/>
      <c r="AI68" s="158"/>
      <c r="AJ68" s="158"/>
      <c r="AK68" s="158"/>
      <c r="AL68" s="158"/>
      <c r="AM68" s="158"/>
      <c r="AN68" s="158"/>
      <c r="AO68" s="158"/>
      <c r="AP68" s="158"/>
      <c r="AQ68" s="158"/>
      <c r="AR68" s="158"/>
      <c r="AS68" s="158"/>
      <c r="AT68" s="158"/>
      <c r="AU68" s="158"/>
      <c r="AV68" s="158"/>
      <c r="AW68" s="158"/>
      <c r="AX68" s="158"/>
      <c r="AY68" s="158"/>
      <c r="AZ68" s="158"/>
      <c r="BA68" s="158"/>
      <c r="BB68" s="158"/>
      <c r="BC68" s="158"/>
      <c r="BD68" s="158"/>
      <c r="BE68" s="158"/>
    </row>
    <row r="69" spans="1:57" ht="15" hidden="1" customHeight="1" outlineLevel="1">
      <c r="A69" s="5" t="s">
        <v>106</v>
      </c>
      <c r="B69" s="81">
        <f>IF(F47="no",E39,(E37+F38+E34+E32))</f>
        <v>358678</v>
      </c>
      <c r="F69" s="6"/>
      <c r="H69"/>
      <c r="Q69" s="560"/>
      <c r="R69" s="158"/>
      <c r="S69" s="158"/>
      <c r="T69" s="158"/>
      <c r="U69" s="159"/>
      <c r="V69" s="159"/>
      <c r="W69" s="159"/>
      <c r="X69" s="159"/>
      <c r="Y69" s="159"/>
      <c r="Z69" s="158"/>
      <c r="AA69" s="158"/>
      <c r="AB69" s="158"/>
      <c r="AC69" s="158"/>
      <c r="AD69" s="158"/>
      <c r="AE69" s="158"/>
      <c r="AF69" s="158"/>
      <c r="AG69" s="158"/>
      <c r="AH69" s="158"/>
      <c r="AI69" s="158"/>
      <c r="AJ69" s="158"/>
      <c r="AK69" s="158"/>
      <c r="AL69" s="158"/>
      <c r="AM69" s="158"/>
      <c r="AN69" s="158"/>
      <c r="AO69" s="158"/>
      <c r="AP69" s="158"/>
      <c r="AQ69" s="158"/>
      <c r="AR69" s="158"/>
      <c r="AS69" s="158"/>
      <c r="AT69" s="158"/>
      <c r="AU69" s="158"/>
      <c r="AV69" s="158"/>
      <c r="AW69" s="158"/>
      <c r="AX69" s="158"/>
      <c r="AY69" s="158"/>
      <c r="AZ69" s="158"/>
      <c r="BA69" s="158"/>
      <c r="BB69" s="158"/>
      <c r="BC69" s="158"/>
      <c r="BD69" s="158"/>
      <c r="BE69" s="158"/>
    </row>
    <row r="70" spans="1:57" ht="15" hidden="1" customHeight="1" outlineLevel="1">
      <c r="A70" s="5" t="s">
        <v>83</v>
      </c>
      <c r="B70" s="82">
        <f>IFERROR(B69/B65,0)</f>
        <v>0.89669500000000002</v>
      </c>
      <c r="F70" s="6"/>
      <c r="H70"/>
      <c r="Q70" s="560"/>
      <c r="R70" s="158"/>
      <c r="S70" s="158"/>
      <c r="T70" s="158"/>
      <c r="U70" s="159"/>
      <c r="V70" s="159"/>
      <c r="W70" s="159"/>
      <c r="X70" s="159"/>
      <c r="Y70" s="159"/>
      <c r="Z70" s="158"/>
      <c r="AA70" s="158"/>
      <c r="AB70" s="158"/>
      <c r="AC70" s="158"/>
      <c r="AD70" s="158"/>
      <c r="AE70" s="158"/>
      <c r="AF70" s="158"/>
      <c r="AG70" s="158"/>
      <c r="AH70" s="158"/>
      <c r="AI70" s="158"/>
      <c r="AJ70" s="158"/>
      <c r="AK70" s="158"/>
      <c r="AL70" s="158"/>
      <c r="AM70" s="158"/>
      <c r="AN70" s="158"/>
      <c r="AO70" s="158"/>
      <c r="AP70" s="158"/>
      <c r="AQ70" s="158"/>
      <c r="AR70" s="158"/>
      <c r="AS70" s="158"/>
      <c r="AT70" s="158"/>
      <c r="AU70" s="158"/>
      <c r="AV70" s="158"/>
      <c r="AW70" s="158"/>
      <c r="AX70" s="158"/>
      <c r="AY70" s="158"/>
      <c r="AZ70" s="158"/>
      <c r="BA70" s="158"/>
      <c r="BB70" s="158"/>
      <c r="BC70" s="158"/>
      <c r="BD70" s="158"/>
      <c r="BE70" s="158"/>
    </row>
    <row r="71" spans="1:57" ht="15" hidden="1" customHeight="1" outlineLevel="1">
      <c r="A71" s="5" t="s">
        <v>75</v>
      </c>
      <c r="B71" s="80" t="str">
        <f>E30</f>
        <v>Single</v>
      </c>
      <c r="F71" s="6"/>
      <c r="H71"/>
      <c r="Q71" s="560"/>
      <c r="R71" s="158"/>
      <c r="S71" s="158"/>
      <c r="T71" s="158"/>
      <c r="U71" s="159"/>
      <c r="V71" s="159"/>
      <c r="W71" s="159"/>
      <c r="X71" s="159"/>
      <c r="Y71" s="159"/>
      <c r="Z71" s="158"/>
      <c r="AA71" s="158"/>
      <c r="AB71" s="158"/>
      <c r="AC71" s="158"/>
      <c r="AD71" s="158"/>
      <c r="AE71" s="158"/>
      <c r="AF71" s="158"/>
      <c r="AG71" s="158"/>
      <c r="AH71" s="158"/>
      <c r="AI71" s="158"/>
      <c r="AJ71" s="158"/>
      <c r="AK71" s="158"/>
      <c r="AL71" s="158"/>
      <c r="AM71" s="158"/>
      <c r="AN71" s="158"/>
      <c r="AO71" s="158"/>
      <c r="AP71" s="158"/>
      <c r="AQ71" s="158"/>
      <c r="AR71" s="158"/>
      <c r="AS71" s="158"/>
      <c r="AT71" s="158"/>
      <c r="AU71" s="158"/>
      <c r="AV71" s="158"/>
      <c r="AW71" s="158"/>
      <c r="AX71" s="158"/>
      <c r="AY71" s="158"/>
      <c r="AZ71" s="158"/>
      <c r="BA71" s="158"/>
      <c r="BB71" s="158"/>
      <c r="BC71" s="158"/>
      <c r="BD71" s="158"/>
      <c r="BE71" s="158"/>
    </row>
    <row r="72" spans="1:57" ht="15" hidden="1" customHeight="1" outlineLevel="1">
      <c r="A72" s="5" t="s">
        <v>107</v>
      </c>
      <c r="B72" s="80" t="str">
        <f>F29</f>
        <v>primary</v>
      </c>
      <c r="F72" s="6"/>
      <c r="H72"/>
      <c r="Q72" s="560"/>
      <c r="R72" s="158"/>
      <c r="S72" s="158"/>
      <c r="T72" s="158"/>
      <c r="U72" s="159"/>
      <c r="V72" s="159"/>
      <c r="W72" s="159"/>
      <c r="X72" s="159"/>
      <c r="Y72" s="159"/>
      <c r="Z72" s="158"/>
      <c r="AA72" s="158"/>
      <c r="AB72" s="158"/>
      <c r="AC72" s="158"/>
      <c r="AD72" s="158"/>
      <c r="AE72" s="158"/>
      <c r="AF72" s="158"/>
      <c r="AG72" s="158"/>
      <c r="AH72" s="158"/>
      <c r="AI72" s="158"/>
      <c r="AJ72" s="158"/>
      <c r="AK72" s="158"/>
      <c r="AL72" s="158"/>
      <c r="AM72" s="158"/>
      <c r="AN72" s="158"/>
      <c r="AO72" s="158"/>
      <c r="AP72" s="158"/>
      <c r="AQ72" s="158"/>
      <c r="AR72" s="158"/>
      <c r="AS72" s="158"/>
      <c r="AT72" s="158"/>
      <c r="AU72" s="158"/>
      <c r="AV72" s="158"/>
      <c r="AW72" s="158"/>
      <c r="AX72" s="158"/>
      <c r="AY72" s="158"/>
      <c r="AZ72" s="158"/>
      <c r="BA72" s="158"/>
      <c r="BB72" s="158"/>
      <c r="BC72" s="158"/>
      <c r="BD72" s="158"/>
      <c r="BE72" s="158"/>
    </row>
    <row r="73" spans="1:57" ht="15" hidden="1" customHeight="1" outlineLevel="1">
      <c r="A73" s="5" t="s">
        <v>108</v>
      </c>
      <c r="B73" s="80" t="str">
        <f>E31</f>
        <v>Excellent</v>
      </c>
      <c r="F73" s="6"/>
      <c r="H73"/>
      <c r="Q73" s="560"/>
      <c r="R73" s="158"/>
      <c r="S73" s="158"/>
      <c r="T73" s="158"/>
      <c r="U73" s="159"/>
      <c r="V73" s="159"/>
      <c r="W73" s="159"/>
      <c r="X73" s="159"/>
      <c r="Y73" s="159"/>
      <c r="Z73" s="158"/>
      <c r="AA73" s="158"/>
      <c r="AB73" s="158"/>
      <c r="AC73" s="158"/>
      <c r="AD73" s="158"/>
      <c r="AE73" s="158"/>
      <c r="AF73" s="158"/>
      <c r="AG73" s="158"/>
      <c r="AH73" s="158"/>
      <c r="AI73" s="158"/>
      <c r="AJ73" s="158"/>
      <c r="AK73" s="158"/>
      <c r="AL73" s="158"/>
      <c r="AM73" s="158"/>
      <c r="AN73" s="158"/>
      <c r="AO73" s="158"/>
      <c r="AP73" s="158"/>
      <c r="AQ73" s="158"/>
      <c r="AR73" s="158"/>
      <c r="AS73" s="158"/>
      <c r="AT73" s="158"/>
      <c r="AU73" s="158"/>
      <c r="AV73" s="158"/>
      <c r="AW73" s="158"/>
      <c r="AX73" s="158"/>
      <c r="AY73" s="158"/>
      <c r="AZ73" s="158"/>
      <c r="BA73" s="158"/>
      <c r="BB73" s="158"/>
      <c r="BC73" s="158"/>
      <c r="BD73" s="158"/>
      <c r="BE73" s="158"/>
    </row>
    <row r="74" spans="1:57" ht="15" hidden="1" customHeight="1" outlineLevel="1">
      <c r="A74" s="5" t="s">
        <v>50</v>
      </c>
      <c r="B74" s="80" t="str">
        <f>F43</f>
        <v>yes</v>
      </c>
      <c r="F74" s="6"/>
      <c r="H74"/>
      <c r="Q74" s="560"/>
      <c r="R74" s="158"/>
      <c r="S74" s="158"/>
      <c r="T74" s="158"/>
      <c r="U74" s="159"/>
      <c r="V74" s="159"/>
      <c r="W74" s="159"/>
      <c r="X74" s="159"/>
      <c r="Y74" s="159"/>
      <c r="Z74" s="158"/>
      <c r="AA74" s="158"/>
      <c r="AB74" s="158"/>
      <c r="AC74" s="158"/>
      <c r="AD74" s="158"/>
      <c r="AE74" s="158"/>
      <c r="AF74" s="158"/>
      <c r="AG74" s="158"/>
      <c r="AH74" s="158"/>
      <c r="AI74" s="158"/>
      <c r="AJ74" s="158"/>
      <c r="AK74" s="158"/>
      <c r="AL74" s="158"/>
      <c r="AM74" s="158"/>
      <c r="AN74" s="158"/>
      <c r="AO74" s="158"/>
      <c r="AP74" s="158"/>
      <c r="AQ74" s="158"/>
      <c r="AR74" s="158"/>
      <c r="AS74" s="158"/>
      <c r="AT74" s="158"/>
      <c r="AU74" s="158"/>
      <c r="AV74" s="158"/>
      <c r="AW74" s="158"/>
      <c r="AX74" s="158"/>
      <c r="AY74" s="158"/>
      <c r="AZ74" s="158"/>
      <c r="BA74" s="158"/>
      <c r="BB74" s="158"/>
      <c r="BC74" s="158"/>
      <c r="BD74" s="158"/>
      <c r="BE74" s="158"/>
    </row>
    <row r="75" spans="1:57" ht="15" hidden="1" customHeight="1" outlineLevel="1">
      <c r="A75" s="5" t="s">
        <v>51</v>
      </c>
      <c r="B75" s="80" t="str">
        <f>F42</f>
        <v>no</v>
      </c>
      <c r="F75" s="6"/>
      <c r="Q75" s="560"/>
      <c r="R75" s="158"/>
      <c r="S75" s="158"/>
      <c r="T75" s="158"/>
      <c r="U75" s="159"/>
      <c r="V75" s="159"/>
      <c r="W75" s="159"/>
      <c r="X75" s="159"/>
      <c r="Y75" s="159"/>
      <c r="Z75" s="158"/>
      <c r="AA75" s="158"/>
      <c r="AB75" s="158"/>
      <c r="AC75" s="158"/>
      <c r="AD75" s="158"/>
      <c r="AE75" s="158"/>
      <c r="AF75" s="158"/>
      <c r="AG75" s="158"/>
      <c r="AH75" s="158"/>
      <c r="AI75" s="158"/>
      <c r="AJ75" s="158"/>
      <c r="AK75" s="158"/>
      <c r="AL75" s="158"/>
      <c r="AM75" s="158"/>
      <c r="AN75" s="158"/>
      <c r="AO75" s="158"/>
      <c r="AP75" s="158"/>
      <c r="AQ75" s="158"/>
      <c r="AR75" s="158"/>
      <c r="AS75" s="158"/>
      <c r="AT75" s="158"/>
      <c r="AU75" s="158"/>
      <c r="AV75" s="158"/>
      <c r="AW75" s="158"/>
      <c r="AX75" s="158"/>
      <c r="AY75" s="158"/>
      <c r="AZ75" s="158"/>
      <c r="BA75" s="158"/>
      <c r="BB75" s="158"/>
      <c r="BC75" s="158"/>
      <c r="BD75" s="158"/>
      <c r="BE75" s="158"/>
    </row>
    <row r="76" spans="1:57" ht="15" hidden="1" customHeight="1" outlineLevel="1">
      <c r="A76" s="5" t="s">
        <v>88</v>
      </c>
      <c r="B76" s="80" t="str">
        <f>F41</f>
        <v>no</v>
      </c>
      <c r="F76" s="6"/>
      <c r="Q76" s="560"/>
      <c r="R76" s="158"/>
      <c r="S76" s="158"/>
      <c r="T76" s="158"/>
      <c r="U76" s="159"/>
      <c r="V76" s="159"/>
      <c r="W76" s="159"/>
      <c r="X76" s="159"/>
      <c r="Y76" s="159"/>
      <c r="Z76" s="158"/>
      <c r="AA76" s="158"/>
      <c r="AB76" s="158"/>
      <c r="AC76" s="158"/>
      <c r="AD76" s="158"/>
      <c r="AE76" s="158"/>
      <c r="AF76" s="158"/>
      <c r="AG76" s="158"/>
      <c r="AH76" s="158"/>
      <c r="AI76" s="158"/>
      <c r="AJ76" s="158"/>
      <c r="AK76" s="158"/>
      <c r="AL76" s="158"/>
      <c r="AM76" s="158"/>
      <c r="AN76" s="158"/>
      <c r="AO76" s="158"/>
      <c r="AP76" s="158"/>
      <c r="AQ76" s="158"/>
      <c r="AR76" s="158"/>
      <c r="AS76" s="158"/>
      <c r="AT76" s="158"/>
      <c r="AU76" s="158"/>
      <c r="AV76" s="158"/>
      <c r="AW76" s="158"/>
      <c r="AX76" s="158"/>
      <c r="AY76" s="158"/>
      <c r="AZ76" s="158"/>
      <c r="BA76" s="158"/>
      <c r="BB76" s="158"/>
      <c r="BC76" s="158"/>
      <c r="BD76" s="158"/>
      <c r="BE76" s="158"/>
    </row>
    <row r="77" spans="1:57" ht="15" hidden="1" customHeight="1" outlineLevel="1">
      <c r="A77" s="5" t="s">
        <v>109</v>
      </c>
      <c r="B77" s="81">
        <f>E45</f>
        <v>27</v>
      </c>
      <c r="F77" s="6"/>
      <c r="Q77" s="560"/>
      <c r="R77" s="158"/>
      <c r="S77" s="158"/>
      <c r="T77" s="158"/>
      <c r="U77" s="159"/>
      <c r="V77" s="159"/>
      <c r="W77" s="159"/>
      <c r="X77" s="159"/>
      <c r="Y77" s="159"/>
      <c r="Z77" s="158"/>
      <c r="AA77" s="158"/>
      <c r="AB77" s="158"/>
      <c r="AC77" s="158"/>
      <c r="AD77" s="158"/>
      <c r="AE77" s="158"/>
      <c r="AF77" s="158"/>
      <c r="AG77" s="158"/>
      <c r="AH77" s="158"/>
      <c r="AI77" s="158"/>
      <c r="AJ77" s="158"/>
      <c r="AK77" s="158"/>
      <c r="AL77" s="158"/>
      <c r="AM77" s="158"/>
      <c r="AN77" s="158"/>
      <c r="AO77" s="158"/>
      <c r="AP77" s="158"/>
      <c r="AQ77" s="158"/>
      <c r="AR77" s="158"/>
      <c r="AS77" s="158"/>
      <c r="AT77" s="158"/>
      <c r="AU77" s="158"/>
      <c r="AV77" s="158"/>
      <c r="AW77" s="158"/>
      <c r="AX77" s="158"/>
      <c r="AY77" s="158"/>
      <c r="AZ77" s="158"/>
      <c r="BA77" s="158"/>
      <c r="BB77" s="158"/>
      <c r="BC77" s="158"/>
      <c r="BD77" s="158"/>
      <c r="BE77" s="158"/>
    </row>
    <row r="78" spans="1:57" ht="15" hidden="1" customHeight="1" outlineLevel="1">
      <c r="A78" s="5" t="s">
        <v>110</v>
      </c>
      <c r="B78" s="80" t="str">
        <f>E27</f>
        <v>refinance</v>
      </c>
      <c r="Q78" s="560"/>
      <c r="R78" s="158"/>
      <c r="S78" s="158"/>
      <c r="T78" s="158"/>
      <c r="U78" s="159"/>
      <c r="V78" s="159"/>
      <c r="W78" s="159"/>
      <c r="X78" s="159"/>
      <c r="Y78" s="159"/>
      <c r="Z78" s="158"/>
      <c r="AA78" s="158"/>
      <c r="AB78" s="158"/>
      <c r="AC78" s="158"/>
      <c r="AD78" s="158"/>
      <c r="AE78" s="158"/>
      <c r="AF78" s="158"/>
      <c r="AG78" s="158"/>
      <c r="AH78" s="158"/>
      <c r="AI78" s="158"/>
      <c r="AJ78" s="158"/>
      <c r="AK78" s="158"/>
      <c r="AL78" s="158"/>
      <c r="AM78" s="158"/>
      <c r="AN78" s="158"/>
      <c r="AO78" s="158"/>
      <c r="AP78" s="158"/>
      <c r="AQ78" s="158"/>
      <c r="AR78" s="158"/>
      <c r="AS78" s="158"/>
      <c r="AT78" s="158"/>
      <c r="AU78" s="158"/>
      <c r="AV78" s="158"/>
      <c r="AW78" s="158"/>
      <c r="AX78" s="158"/>
      <c r="AY78" s="158"/>
      <c r="AZ78" s="158"/>
      <c r="BA78" s="158"/>
      <c r="BB78" s="158"/>
      <c r="BC78" s="158"/>
      <c r="BD78" s="158"/>
      <c r="BE78" s="158"/>
    </row>
    <row r="79" spans="1:57" ht="15" hidden="1" customHeight="1" outlineLevel="1" thickBot="1">
      <c r="A79" s="5" t="s">
        <v>89</v>
      </c>
      <c r="B79" s="80" t="str">
        <f>F10</f>
        <v>FRU</v>
      </c>
      <c r="Q79" s="560"/>
      <c r="R79" s="158"/>
      <c r="S79" s="158"/>
      <c r="T79" s="158"/>
      <c r="U79" s="159"/>
      <c r="V79" s="159"/>
      <c r="W79" s="159"/>
      <c r="X79" s="159"/>
      <c r="Y79" s="159"/>
      <c r="Z79" s="158"/>
      <c r="AA79" s="158"/>
      <c r="AB79" s="158"/>
      <c r="AC79" s="158"/>
      <c r="AD79" s="158"/>
      <c r="AE79" s="158"/>
      <c r="AF79" s="158"/>
      <c r="AG79" s="158"/>
      <c r="AH79" s="158"/>
      <c r="AI79" s="158"/>
      <c r="AJ79" s="158"/>
      <c r="AK79" s="158"/>
      <c r="AL79" s="158"/>
      <c r="AM79" s="158"/>
      <c r="AN79" s="158"/>
      <c r="AO79" s="158"/>
      <c r="AP79" s="158"/>
      <c r="AQ79" s="158"/>
      <c r="AR79" s="158"/>
      <c r="AS79" s="158"/>
      <c r="AT79" s="158"/>
      <c r="AU79" s="158"/>
      <c r="AV79" s="158"/>
      <c r="AW79" s="158"/>
      <c r="AX79" s="158"/>
      <c r="AY79" s="158"/>
      <c r="AZ79" s="158"/>
      <c r="BA79" s="158"/>
      <c r="BB79" s="158"/>
      <c r="BC79" s="158"/>
      <c r="BD79" s="158"/>
      <c r="BE79" s="158"/>
    </row>
    <row r="80" spans="1:57" ht="29.45" customHeight="1" collapsed="1" thickBot="1">
      <c r="A80" s="557"/>
      <c r="B80" s="558"/>
      <c r="C80" s="558"/>
      <c r="D80" s="558"/>
      <c r="E80" s="558"/>
      <c r="F80" s="558"/>
      <c r="G80" s="558"/>
      <c r="H80" s="558"/>
      <c r="I80" s="558"/>
      <c r="J80" s="558"/>
      <c r="K80" s="558"/>
      <c r="L80" s="558"/>
      <c r="M80" s="558"/>
      <c r="N80" s="558"/>
      <c r="O80" s="558"/>
      <c r="P80" s="558"/>
      <c r="Q80" s="561"/>
      <c r="R80" s="158"/>
      <c r="S80" s="158"/>
      <c r="T80" s="158"/>
      <c r="U80" s="159"/>
      <c r="V80" s="159"/>
      <c r="W80" s="159"/>
      <c r="X80" s="159"/>
      <c r="Y80" s="159"/>
      <c r="Z80" s="158"/>
      <c r="AA80" s="158"/>
      <c r="AB80" s="158"/>
      <c r="AC80" s="158"/>
      <c r="AD80" s="158"/>
      <c r="AE80" s="158"/>
      <c r="AF80" s="158"/>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row>
    <row r="81" spans="6:24" s="158" customFormat="1">
      <c r="F81" s="157"/>
      <c r="H81" s="159"/>
      <c r="M81" s="157"/>
      <c r="U81" s="159"/>
      <c r="V81" s="159"/>
      <c r="W81" s="159"/>
      <c r="X81" s="159"/>
    </row>
    <row r="82" spans="6:24" s="158" customFormat="1">
      <c r="F82" s="160"/>
      <c r="H82" s="159"/>
      <c r="M82" s="157"/>
      <c r="U82" s="159"/>
      <c r="V82" s="159"/>
      <c r="W82" s="159"/>
      <c r="X82" s="159"/>
    </row>
    <row r="83" spans="6:24" s="158" customFormat="1" ht="14.45" customHeight="1">
      <c r="F83" s="157"/>
      <c r="H83" s="159"/>
      <c r="M83" s="157"/>
      <c r="U83" s="159"/>
      <c r="V83" s="159"/>
      <c r="W83" s="159"/>
      <c r="X83" s="159"/>
    </row>
    <row r="84" spans="6:24" s="158" customFormat="1">
      <c r="F84" s="157"/>
      <c r="H84" s="159"/>
      <c r="M84" s="157"/>
      <c r="U84" s="159"/>
      <c r="V84" s="159"/>
      <c r="W84" s="159"/>
      <c r="X84" s="159"/>
    </row>
    <row r="85" spans="6:24" s="158" customFormat="1">
      <c r="F85" s="157"/>
      <c r="H85" s="159"/>
      <c r="M85" s="157"/>
      <c r="U85" s="159"/>
      <c r="V85" s="159"/>
      <c r="W85" s="159"/>
      <c r="X85" s="159"/>
    </row>
    <row r="86" spans="6:24" s="158" customFormat="1">
      <c r="F86" s="157"/>
      <c r="H86" s="159"/>
      <c r="U86" s="159"/>
      <c r="V86" s="159"/>
      <c r="W86" s="159"/>
      <c r="X86" s="159"/>
    </row>
    <row r="87" spans="6:24" s="158" customFormat="1">
      <c r="F87" s="157"/>
      <c r="H87" s="159"/>
      <c r="U87" s="159"/>
      <c r="V87" s="159"/>
      <c r="W87" s="159"/>
      <c r="X87" s="159"/>
    </row>
    <row r="88" spans="6:24" s="158" customFormat="1" ht="43.35" customHeight="1">
      <c r="F88" s="157"/>
      <c r="H88" s="159"/>
      <c r="U88" s="159"/>
      <c r="V88" s="159"/>
      <c r="W88" s="159"/>
      <c r="X88" s="159"/>
    </row>
    <row r="89" spans="6:24" s="158" customFormat="1">
      <c r="F89" s="157"/>
      <c r="H89" s="159"/>
      <c r="U89" s="159"/>
      <c r="V89" s="159"/>
      <c r="W89" s="159"/>
      <c r="X89" s="159"/>
    </row>
    <row r="90" spans="6:24" s="158" customFormat="1">
      <c r="F90" s="157"/>
      <c r="H90" s="159"/>
      <c r="U90" s="159"/>
      <c r="V90" s="159"/>
      <c r="W90" s="159"/>
      <c r="X90" s="159"/>
    </row>
    <row r="91" spans="6:24" s="158" customFormat="1">
      <c r="H91" s="159"/>
      <c r="U91" s="159"/>
      <c r="V91" s="159"/>
      <c r="W91" s="159"/>
      <c r="X91" s="159"/>
    </row>
    <row r="92" spans="6:24" s="158" customFormat="1">
      <c r="H92" s="159"/>
      <c r="U92" s="159"/>
      <c r="V92" s="159"/>
      <c r="W92" s="159"/>
      <c r="X92" s="159"/>
    </row>
    <row r="93" spans="6:24" s="158" customFormat="1">
      <c r="H93" s="159"/>
      <c r="U93" s="159"/>
      <c r="V93" s="159"/>
      <c r="W93" s="159"/>
      <c r="X93" s="159"/>
    </row>
    <row r="94" spans="6:24" s="158" customFormat="1">
      <c r="H94" s="159"/>
      <c r="U94" s="159"/>
      <c r="V94" s="159"/>
      <c r="W94" s="159"/>
      <c r="X94" s="159"/>
    </row>
    <row r="95" spans="6:24" s="158" customFormat="1">
      <c r="H95" s="159"/>
      <c r="U95" s="159"/>
      <c r="V95" s="159"/>
      <c r="W95" s="159"/>
      <c r="X95" s="159"/>
    </row>
    <row r="96" spans="6:24" s="158" customFormat="1">
      <c r="H96" s="159"/>
      <c r="U96" s="159"/>
      <c r="V96" s="159"/>
      <c r="W96" s="159"/>
      <c r="X96" s="159"/>
    </row>
    <row r="97" spans="8:24" s="158" customFormat="1">
      <c r="H97" s="159"/>
      <c r="U97" s="159"/>
      <c r="V97" s="159"/>
      <c r="W97" s="159"/>
      <c r="X97" s="159"/>
    </row>
    <row r="98" spans="8:24" s="158" customFormat="1">
      <c r="H98" s="159"/>
      <c r="U98" s="159"/>
      <c r="V98" s="159"/>
      <c r="W98" s="159"/>
      <c r="X98" s="159"/>
    </row>
    <row r="99" spans="8:24" s="158" customFormat="1">
      <c r="H99" s="159"/>
      <c r="U99" s="159"/>
      <c r="V99" s="159"/>
      <c r="W99" s="159"/>
      <c r="X99" s="159"/>
    </row>
    <row r="100" spans="8:24" s="158" customFormat="1">
      <c r="H100" s="159"/>
      <c r="U100" s="159"/>
      <c r="V100" s="159"/>
      <c r="W100" s="159"/>
      <c r="X100" s="159"/>
    </row>
    <row r="101" spans="8:24" s="158" customFormat="1">
      <c r="H101" s="159"/>
      <c r="U101" s="159"/>
      <c r="V101" s="159"/>
      <c r="W101" s="159"/>
      <c r="X101" s="159"/>
    </row>
    <row r="102" spans="8:24" s="158" customFormat="1">
      <c r="H102" s="159"/>
      <c r="U102" s="159"/>
      <c r="V102" s="159"/>
      <c r="W102" s="159"/>
      <c r="X102" s="159"/>
    </row>
    <row r="103" spans="8:24" s="158" customFormat="1">
      <c r="H103" s="159"/>
      <c r="U103" s="159"/>
      <c r="V103" s="159"/>
      <c r="W103" s="159"/>
      <c r="X103" s="159"/>
    </row>
    <row r="104" spans="8:24" s="158" customFormat="1">
      <c r="H104" s="159"/>
      <c r="U104" s="159"/>
      <c r="V104" s="159"/>
      <c r="W104" s="159"/>
      <c r="X104" s="159"/>
    </row>
    <row r="105" spans="8:24" s="158" customFormat="1">
      <c r="H105" s="159"/>
      <c r="U105" s="159"/>
      <c r="V105" s="159"/>
      <c r="W105" s="159"/>
      <c r="X105" s="159"/>
    </row>
    <row r="106" spans="8:24" s="158" customFormat="1">
      <c r="H106" s="159"/>
      <c r="U106" s="159"/>
      <c r="V106" s="159"/>
      <c r="W106" s="159"/>
      <c r="X106" s="159"/>
    </row>
    <row r="107" spans="8:24" s="158" customFormat="1">
      <c r="H107" s="159"/>
      <c r="U107" s="159"/>
      <c r="V107" s="159"/>
      <c r="W107" s="159"/>
      <c r="X107" s="159"/>
    </row>
    <row r="108" spans="8:24" s="158" customFormat="1">
      <c r="H108" s="159"/>
      <c r="U108" s="159"/>
      <c r="V108" s="159"/>
      <c r="W108" s="159"/>
      <c r="X108" s="159"/>
    </row>
    <row r="109" spans="8:24" s="158" customFormat="1">
      <c r="H109" s="159"/>
      <c r="U109" s="159"/>
      <c r="V109" s="159"/>
      <c r="W109" s="159"/>
      <c r="X109" s="159"/>
    </row>
    <row r="110" spans="8:24" s="158" customFormat="1">
      <c r="H110" s="159"/>
      <c r="U110" s="159"/>
      <c r="V110" s="159"/>
      <c r="W110" s="159"/>
      <c r="X110" s="159"/>
    </row>
    <row r="111" spans="8:24" s="158" customFormat="1">
      <c r="H111" s="159"/>
      <c r="U111" s="159"/>
      <c r="V111" s="159"/>
      <c r="W111" s="159"/>
      <c r="X111" s="159"/>
    </row>
    <row r="112" spans="8:24" s="158" customFormat="1">
      <c r="H112" s="159"/>
      <c r="U112" s="159"/>
      <c r="V112" s="159"/>
      <c r="W112" s="159"/>
      <c r="X112" s="159"/>
    </row>
    <row r="113" spans="8:24" s="158" customFormat="1">
      <c r="H113" s="159"/>
      <c r="U113" s="159"/>
      <c r="V113" s="159"/>
      <c r="W113" s="159"/>
      <c r="X113" s="159"/>
    </row>
    <row r="114" spans="8:24" s="158" customFormat="1">
      <c r="H114" s="159"/>
      <c r="U114" s="159"/>
      <c r="V114" s="159"/>
      <c r="W114" s="159"/>
      <c r="X114" s="159"/>
    </row>
    <row r="115" spans="8:24" s="158" customFormat="1">
      <c r="H115" s="159"/>
      <c r="U115" s="159"/>
      <c r="V115" s="159"/>
      <c r="W115" s="159"/>
      <c r="X115" s="159"/>
    </row>
    <row r="116" spans="8:24" s="158" customFormat="1">
      <c r="H116" s="159"/>
      <c r="U116" s="159"/>
      <c r="V116" s="159"/>
      <c r="W116" s="159"/>
      <c r="X116" s="159"/>
    </row>
    <row r="117" spans="8:24" s="158" customFormat="1">
      <c r="H117" s="159"/>
      <c r="U117" s="159"/>
      <c r="V117" s="159"/>
      <c r="W117" s="159"/>
      <c r="X117" s="159"/>
    </row>
    <row r="118" spans="8:24" s="158" customFormat="1">
      <c r="H118" s="159"/>
      <c r="U118" s="159"/>
      <c r="V118" s="159"/>
      <c r="W118" s="159"/>
      <c r="X118" s="159"/>
    </row>
    <row r="119" spans="8:24" s="158" customFormat="1">
      <c r="H119" s="159"/>
      <c r="U119" s="159"/>
      <c r="V119" s="159"/>
      <c r="W119" s="159"/>
      <c r="X119" s="159"/>
    </row>
    <row r="120" spans="8:24" s="158" customFormat="1">
      <c r="H120" s="159"/>
      <c r="U120" s="159"/>
      <c r="V120" s="159"/>
      <c r="W120" s="159"/>
      <c r="X120" s="159"/>
    </row>
    <row r="121" spans="8:24" s="158" customFormat="1">
      <c r="H121" s="159"/>
      <c r="U121" s="159"/>
      <c r="V121" s="159"/>
      <c r="W121" s="159"/>
      <c r="X121" s="159"/>
    </row>
    <row r="122" spans="8:24" s="158" customFormat="1">
      <c r="H122" s="159"/>
      <c r="U122" s="159"/>
      <c r="V122" s="159"/>
      <c r="W122" s="159"/>
      <c r="X122" s="159"/>
    </row>
    <row r="123" spans="8:24" s="158" customFormat="1">
      <c r="H123" s="159"/>
      <c r="U123" s="159"/>
      <c r="V123" s="159"/>
      <c r="W123" s="159"/>
      <c r="X123" s="159"/>
    </row>
    <row r="124" spans="8:24" s="158" customFormat="1">
      <c r="H124" s="159"/>
      <c r="U124" s="159"/>
      <c r="V124" s="159"/>
      <c r="W124" s="159"/>
      <c r="X124" s="159"/>
    </row>
    <row r="125" spans="8:24" s="158" customFormat="1">
      <c r="H125" s="159"/>
      <c r="U125" s="159"/>
      <c r="V125" s="159"/>
      <c r="W125" s="159"/>
      <c r="X125" s="159"/>
    </row>
    <row r="126" spans="8:24" s="158" customFormat="1">
      <c r="H126" s="159"/>
      <c r="U126" s="159"/>
      <c r="V126" s="159"/>
      <c r="W126" s="159"/>
      <c r="X126" s="159"/>
    </row>
    <row r="127" spans="8:24" s="158" customFormat="1">
      <c r="H127" s="159"/>
      <c r="U127" s="159"/>
      <c r="V127" s="159"/>
      <c r="W127" s="159"/>
      <c r="X127" s="159"/>
    </row>
    <row r="128" spans="8:24" s="158" customFormat="1">
      <c r="H128" s="159"/>
      <c r="U128" s="159"/>
      <c r="V128" s="159"/>
      <c r="W128" s="159"/>
      <c r="X128" s="159"/>
    </row>
    <row r="129" spans="8:24" s="158" customFormat="1">
      <c r="H129" s="159"/>
      <c r="U129" s="159"/>
      <c r="V129" s="159"/>
      <c r="W129" s="159"/>
      <c r="X129" s="159"/>
    </row>
    <row r="130" spans="8:24" s="158" customFormat="1">
      <c r="H130" s="159"/>
      <c r="U130" s="159"/>
      <c r="V130" s="159"/>
      <c r="W130" s="159"/>
      <c r="X130" s="159"/>
    </row>
    <row r="131" spans="8:24" s="158" customFormat="1">
      <c r="H131" s="159"/>
      <c r="U131" s="159"/>
      <c r="V131" s="159"/>
      <c r="W131" s="159"/>
      <c r="X131" s="159"/>
    </row>
    <row r="132" spans="8:24" s="158" customFormat="1">
      <c r="H132" s="159"/>
      <c r="U132" s="159"/>
      <c r="V132" s="159"/>
      <c r="W132" s="159"/>
      <c r="X132" s="159"/>
    </row>
    <row r="133" spans="8:24" s="158" customFormat="1">
      <c r="H133" s="159"/>
      <c r="U133" s="159"/>
      <c r="V133" s="159"/>
      <c r="W133" s="159"/>
      <c r="X133" s="159"/>
    </row>
    <row r="134" spans="8:24" s="158" customFormat="1">
      <c r="H134" s="159"/>
      <c r="U134" s="159"/>
      <c r="V134" s="159"/>
      <c r="W134" s="159"/>
      <c r="X134" s="159"/>
    </row>
    <row r="135" spans="8:24" s="158" customFormat="1">
      <c r="H135" s="159"/>
      <c r="U135" s="159"/>
      <c r="V135" s="159"/>
      <c r="W135" s="159"/>
      <c r="X135" s="159"/>
    </row>
    <row r="136" spans="8:24" s="158" customFormat="1">
      <c r="H136" s="159"/>
      <c r="U136" s="159"/>
      <c r="V136" s="159"/>
      <c r="W136" s="159"/>
      <c r="X136" s="159"/>
    </row>
    <row r="137" spans="8:24" s="158" customFormat="1">
      <c r="H137" s="159"/>
      <c r="U137" s="159"/>
      <c r="V137" s="159"/>
      <c r="W137" s="159"/>
      <c r="X137" s="159"/>
    </row>
    <row r="138" spans="8:24" s="158" customFormat="1">
      <c r="H138" s="159"/>
      <c r="U138" s="159"/>
      <c r="V138" s="159"/>
      <c r="W138" s="159"/>
      <c r="X138" s="159"/>
    </row>
    <row r="139" spans="8:24" s="158" customFormat="1">
      <c r="H139" s="159"/>
      <c r="U139" s="159"/>
      <c r="V139" s="159"/>
      <c r="W139" s="159"/>
      <c r="X139" s="159"/>
    </row>
    <row r="140" spans="8:24" s="158" customFormat="1">
      <c r="H140" s="159"/>
      <c r="U140" s="159"/>
      <c r="V140" s="159"/>
      <c r="W140" s="159"/>
      <c r="X140" s="159"/>
    </row>
    <row r="141" spans="8:24" s="158" customFormat="1">
      <c r="H141" s="159"/>
      <c r="U141" s="159"/>
      <c r="V141" s="159"/>
      <c r="W141" s="159"/>
      <c r="X141" s="159"/>
    </row>
    <row r="142" spans="8:24" s="158" customFormat="1">
      <c r="H142" s="159"/>
      <c r="U142" s="159"/>
      <c r="V142" s="159"/>
      <c r="W142" s="159"/>
      <c r="X142" s="159"/>
    </row>
    <row r="143" spans="8:24" s="158" customFormat="1">
      <c r="H143" s="159"/>
      <c r="U143" s="159"/>
      <c r="V143" s="159"/>
      <c r="W143" s="159"/>
      <c r="X143" s="159"/>
    </row>
    <row r="144" spans="8:24" s="158" customFormat="1">
      <c r="H144" s="159"/>
      <c r="U144" s="159"/>
      <c r="V144" s="159"/>
      <c r="W144" s="159"/>
      <c r="X144" s="159"/>
    </row>
    <row r="145" spans="8:24" s="158" customFormat="1">
      <c r="H145" s="159"/>
      <c r="U145" s="159"/>
      <c r="V145" s="159"/>
      <c r="W145" s="159"/>
      <c r="X145" s="159"/>
    </row>
    <row r="146" spans="8:24" s="158" customFormat="1">
      <c r="H146" s="159"/>
      <c r="U146" s="159"/>
      <c r="V146" s="159"/>
      <c r="W146" s="159"/>
      <c r="X146" s="159"/>
    </row>
    <row r="147" spans="8:24" s="158" customFormat="1">
      <c r="H147" s="159"/>
      <c r="U147" s="159"/>
      <c r="V147" s="159"/>
      <c r="W147" s="159"/>
      <c r="X147" s="159"/>
    </row>
    <row r="148" spans="8:24" s="158" customFormat="1">
      <c r="H148" s="159"/>
      <c r="U148" s="159"/>
      <c r="V148" s="159"/>
      <c r="W148" s="159"/>
      <c r="X148" s="159"/>
    </row>
    <row r="149" spans="8:24" s="158" customFormat="1">
      <c r="H149" s="159"/>
      <c r="U149" s="159"/>
      <c r="V149" s="159"/>
      <c r="W149" s="159"/>
      <c r="X149" s="159"/>
    </row>
    <row r="150" spans="8:24" s="158" customFormat="1">
      <c r="H150" s="159"/>
      <c r="U150" s="159"/>
      <c r="V150" s="159"/>
      <c r="W150" s="159"/>
      <c r="X150" s="159"/>
    </row>
    <row r="151" spans="8:24" s="158" customFormat="1">
      <c r="H151" s="159"/>
      <c r="U151" s="159"/>
      <c r="V151" s="159"/>
      <c r="W151" s="159"/>
      <c r="X151" s="159"/>
    </row>
    <row r="152" spans="8:24" s="158" customFormat="1">
      <c r="H152" s="159"/>
      <c r="U152" s="159"/>
      <c r="V152" s="159"/>
      <c r="W152" s="159"/>
      <c r="X152" s="159"/>
    </row>
    <row r="153" spans="8:24" s="158" customFormat="1">
      <c r="H153" s="159"/>
      <c r="U153" s="159"/>
      <c r="V153" s="159"/>
      <c r="W153" s="159"/>
      <c r="X153" s="159"/>
    </row>
    <row r="154" spans="8:24" s="158" customFormat="1">
      <c r="H154" s="159"/>
      <c r="U154" s="159"/>
      <c r="V154" s="159"/>
      <c r="W154" s="159"/>
      <c r="X154" s="159"/>
    </row>
    <row r="155" spans="8:24" s="158" customFormat="1">
      <c r="H155" s="159"/>
      <c r="U155" s="159"/>
      <c r="V155" s="159"/>
      <c r="W155" s="159"/>
      <c r="X155" s="159"/>
    </row>
    <row r="156" spans="8:24" s="158" customFormat="1">
      <c r="H156" s="159"/>
      <c r="U156" s="159"/>
      <c r="V156" s="159"/>
      <c r="W156" s="159"/>
      <c r="X156" s="159"/>
    </row>
    <row r="157" spans="8:24" s="158" customFormat="1">
      <c r="H157" s="159"/>
      <c r="U157" s="159"/>
      <c r="V157" s="159"/>
      <c r="W157" s="159"/>
      <c r="X157" s="159"/>
    </row>
    <row r="158" spans="8:24" s="158" customFormat="1">
      <c r="H158" s="159"/>
      <c r="U158" s="159"/>
      <c r="V158" s="159"/>
      <c r="W158" s="159"/>
      <c r="X158" s="159"/>
    </row>
    <row r="159" spans="8:24" s="158" customFormat="1">
      <c r="H159" s="159"/>
      <c r="U159" s="159"/>
      <c r="V159" s="159"/>
      <c r="W159" s="159"/>
      <c r="X159" s="159"/>
    </row>
    <row r="160" spans="8:24" s="158" customFormat="1">
      <c r="H160" s="159"/>
      <c r="U160" s="159"/>
      <c r="V160" s="159"/>
      <c r="W160" s="159"/>
      <c r="X160" s="159"/>
    </row>
    <row r="161" spans="8:24" s="158" customFormat="1">
      <c r="H161" s="159"/>
      <c r="U161" s="159"/>
      <c r="V161" s="159"/>
      <c r="W161" s="159"/>
      <c r="X161" s="159"/>
    </row>
    <row r="162" spans="8:24" s="158" customFormat="1">
      <c r="H162" s="159"/>
      <c r="U162" s="159"/>
      <c r="V162" s="159"/>
      <c r="W162" s="159"/>
      <c r="X162" s="159"/>
    </row>
    <row r="163" spans="8:24" s="158" customFormat="1">
      <c r="H163" s="159"/>
      <c r="U163" s="159"/>
      <c r="V163" s="159"/>
      <c r="W163" s="159"/>
      <c r="X163" s="159"/>
    </row>
    <row r="164" spans="8:24" s="158" customFormat="1">
      <c r="H164" s="159"/>
      <c r="U164" s="159"/>
      <c r="V164" s="159"/>
      <c r="W164" s="159"/>
      <c r="X164" s="159"/>
    </row>
    <row r="165" spans="8:24" s="158" customFormat="1">
      <c r="H165" s="159"/>
      <c r="U165" s="159"/>
      <c r="V165" s="159"/>
      <c r="W165" s="159"/>
      <c r="X165" s="159"/>
    </row>
    <row r="166" spans="8:24" s="158" customFormat="1">
      <c r="H166" s="159"/>
      <c r="U166" s="159"/>
      <c r="V166" s="159"/>
      <c r="W166" s="159"/>
      <c r="X166" s="159"/>
    </row>
    <row r="167" spans="8:24" s="158" customFormat="1">
      <c r="H167" s="159"/>
      <c r="U167" s="159"/>
      <c r="V167" s="159"/>
      <c r="W167" s="159"/>
      <c r="X167" s="159"/>
    </row>
    <row r="168" spans="8:24" s="158" customFormat="1">
      <c r="H168" s="159"/>
      <c r="U168" s="159"/>
      <c r="V168" s="159"/>
      <c r="W168" s="159"/>
      <c r="X168" s="159"/>
    </row>
    <row r="169" spans="8:24" s="158" customFormat="1">
      <c r="H169" s="159"/>
      <c r="U169" s="159"/>
      <c r="V169" s="159"/>
      <c r="W169" s="159"/>
      <c r="X169" s="159"/>
    </row>
    <row r="170" spans="8:24" s="158" customFormat="1">
      <c r="H170" s="159"/>
      <c r="U170" s="159"/>
      <c r="V170" s="159"/>
      <c r="W170" s="159"/>
      <c r="X170" s="159"/>
    </row>
    <row r="171" spans="8:24" s="158" customFormat="1">
      <c r="H171" s="159"/>
      <c r="U171" s="159"/>
      <c r="V171" s="159"/>
      <c r="W171" s="159"/>
      <c r="X171" s="159"/>
    </row>
    <row r="172" spans="8:24" s="158" customFormat="1">
      <c r="H172" s="159"/>
      <c r="U172" s="159"/>
      <c r="V172" s="159"/>
      <c r="W172" s="159"/>
      <c r="X172" s="159"/>
    </row>
    <row r="173" spans="8:24" s="158" customFormat="1">
      <c r="H173" s="159"/>
      <c r="U173" s="159"/>
      <c r="V173" s="159"/>
      <c r="W173" s="159"/>
      <c r="X173" s="159"/>
    </row>
    <row r="174" spans="8:24" s="158" customFormat="1">
      <c r="H174" s="159"/>
      <c r="U174" s="159"/>
      <c r="V174" s="159"/>
      <c r="W174" s="159"/>
      <c r="X174" s="159"/>
    </row>
    <row r="175" spans="8:24" s="158" customFormat="1">
      <c r="H175" s="159"/>
      <c r="U175" s="159"/>
      <c r="V175" s="159"/>
      <c r="W175" s="159"/>
      <c r="X175" s="159"/>
    </row>
    <row r="176" spans="8:24" s="158" customFormat="1">
      <c r="H176" s="159"/>
      <c r="U176" s="159"/>
      <c r="V176" s="159"/>
      <c r="W176" s="159"/>
      <c r="X176" s="159"/>
    </row>
    <row r="177" spans="8:24" s="158" customFormat="1">
      <c r="H177" s="159"/>
      <c r="U177" s="159"/>
      <c r="V177" s="159"/>
      <c r="W177" s="159"/>
      <c r="X177" s="159"/>
    </row>
    <row r="178" spans="8:24" s="158" customFormat="1">
      <c r="H178" s="159"/>
      <c r="U178" s="159"/>
      <c r="V178" s="159"/>
      <c r="W178" s="159"/>
      <c r="X178" s="159"/>
    </row>
    <row r="179" spans="8:24" s="158" customFormat="1">
      <c r="H179" s="159"/>
      <c r="U179" s="159"/>
      <c r="V179" s="159"/>
      <c r="W179" s="159"/>
      <c r="X179" s="159"/>
    </row>
    <row r="180" spans="8:24" s="158" customFormat="1">
      <c r="H180" s="159"/>
      <c r="U180" s="159"/>
      <c r="V180" s="159"/>
      <c r="W180" s="159"/>
      <c r="X180" s="159"/>
    </row>
  </sheetData>
  <protectedRanges>
    <protectedRange sqref="H8:P56 E33:E35 E37:E39 G36 E40:G40 E42:G56 E41:F41 F33:F39 A8:D56 E8:G32" name="Lead Entry_3_2"/>
  </protectedRanges>
  <customSheetViews>
    <customSheetView guid="{82FC3B1B-7B28-4E2A-B7A0-4534A26F3642}">
      <selection activeCell="F23" sqref="F23"/>
      <pageMargins left="0" right="0" top="0" bottom="0" header="0" footer="0"/>
      <pageSetup orientation="portrait" r:id="rId1"/>
    </customSheetView>
    <customSheetView guid="{F0D6CCAB-F353-4C30-A9A8-F9184F7C5D96}">
      <selection activeCell="D11" sqref="D11"/>
      <pageMargins left="0" right="0" top="0" bottom="0" header="0" footer="0"/>
    </customSheetView>
  </customSheetViews>
  <mergeCells count="6">
    <mergeCell ref="Q7:Q57"/>
    <mergeCell ref="A7:P7"/>
    <mergeCell ref="A57:P57"/>
    <mergeCell ref="A58:P58"/>
    <mergeCell ref="A80:P80"/>
    <mergeCell ref="Q58:Q80"/>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73" r:id="rId5" name="Button 5">
              <controlPr defaultSize="0" print="0" autoFill="0" autoPict="0" macro="[0]!Lead">
                <anchor moveWithCells="1" sizeWithCells="1">
                  <from>
                    <xdr:col>0</xdr:col>
                    <xdr:colOff>47625</xdr:colOff>
                    <xdr:row>3</xdr:row>
                    <xdr:rowOff>38100</xdr:rowOff>
                  </from>
                  <to>
                    <xdr:col>2</xdr:col>
                    <xdr:colOff>790575</xdr:colOff>
                    <xdr:row>4</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0F71B-9D06-4287-8FD8-E548F0A2E8C0}">
  <sheetPr codeName="Sheet7">
    <tabColor rgb="FFFFFF00"/>
  </sheetPr>
  <dimension ref="A1:AA10469"/>
  <sheetViews>
    <sheetView tabSelected="1" zoomScale="85" zoomScaleNormal="85" workbookViewId="0">
      <pane ySplit="23" topLeftCell="A33" activePane="bottomLeft" state="frozen"/>
      <selection activeCell="H42" sqref="H42"/>
      <selection pane="bottomLeft" activeCell="C40" sqref="C40"/>
    </sheetView>
  </sheetViews>
  <sheetFormatPr defaultColWidth="8.85546875" defaultRowHeight="15" outlineLevelRow="1" outlineLevelCol="1"/>
  <cols>
    <col min="1" max="1" width="5.5703125" style="3" bestFit="1" customWidth="1"/>
    <col min="2" max="2" width="10.85546875" style="13" customWidth="1"/>
    <col min="3" max="3" width="19" style="5" customWidth="1"/>
    <col min="4" max="4" width="12.140625" customWidth="1"/>
    <col min="5" max="5" width="14" customWidth="1"/>
    <col min="6" max="6" width="14" style="16" customWidth="1"/>
    <col min="7" max="7" width="27.7109375" customWidth="1"/>
    <col min="8" max="8" width="5.140625" style="3" customWidth="1"/>
    <col min="9" max="9" width="9.28515625" customWidth="1"/>
    <col min="10" max="10" width="12" style="3" customWidth="1"/>
    <col min="11" max="11" width="18.85546875" customWidth="1"/>
    <col min="12" max="12" width="16" style="4" customWidth="1"/>
    <col min="13" max="13" width="14.85546875" style="4" customWidth="1"/>
    <col min="14" max="14" width="10.5703125" style="26" hidden="1" customWidth="1" outlineLevel="1"/>
    <col min="15" max="15" width="8.42578125" style="10" customWidth="1" collapsed="1"/>
    <col min="16" max="17" width="14.28515625" style="4" customWidth="1"/>
    <col min="18" max="18" width="9" style="10" customWidth="1"/>
    <col min="19" max="19" width="8.140625" customWidth="1"/>
    <col min="20" max="20" width="10" customWidth="1"/>
    <col min="21" max="21" width="6.28515625" style="3" customWidth="1"/>
    <col min="22" max="22" width="5.5703125" style="3" customWidth="1"/>
    <col min="23" max="23" width="9.140625" style="3" customWidth="1"/>
    <col min="24" max="24" width="6" customWidth="1"/>
    <col min="25" max="25" width="12.5703125" style="4" bestFit="1" customWidth="1"/>
    <col min="26" max="26" width="12.5703125" style="1" customWidth="1"/>
    <col min="27" max="27" width="179.42578125" style="24" customWidth="1"/>
  </cols>
  <sheetData>
    <row r="1" spans="1:27" s="6" customFormat="1" ht="39.6" customHeight="1" thickBot="1">
      <c r="A1" s="562" t="s">
        <v>111</v>
      </c>
      <c r="B1" s="563"/>
      <c r="C1" s="563"/>
      <c r="D1" s="563"/>
      <c r="E1" s="563"/>
      <c r="F1" s="563"/>
      <c r="G1" s="563"/>
      <c r="H1" s="563"/>
      <c r="I1" s="563"/>
      <c r="J1" s="563"/>
      <c r="K1" s="563"/>
      <c r="L1" s="563"/>
      <c r="M1" s="563"/>
      <c r="N1" s="563"/>
      <c r="O1" s="563"/>
      <c r="P1" s="563"/>
      <c r="Q1" s="563"/>
      <c r="R1" s="563"/>
      <c r="S1" s="563"/>
      <c r="T1" s="563"/>
      <c r="U1" s="563"/>
      <c r="V1" s="563"/>
      <c r="W1" s="563"/>
      <c r="X1" s="563"/>
      <c r="Y1" s="563"/>
      <c r="Z1" s="563"/>
      <c r="AA1" s="23"/>
    </row>
    <row r="2" spans="1:27" ht="33.950000000000003" customHeight="1" thickBot="1">
      <c r="A2" s="468" t="s">
        <v>66</v>
      </c>
      <c r="B2" s="469" t="s">
        <v>67</v>
      </c>
      <c r="C2" s="468" t="s">
        <v>68</v>
      </c>
      <c r="D2" s="468" t="s">
        <v>69</v>
      </c>
      <c r="E2" s="468" t="s">
        <v>70</v>
      </c>
      <c r="F2" s="468" t="s">
        <v>71</v>
      </c>
      <c r="G2" s="468" t="s">
        <v>72</v>
      </c>
      <c r="H2" s="468" t="s">
        <v>73</v>
      </c>
      <c r="I2" s="468" t="s">
        <v>112</v>
      </c>
      <c r="J2" s="468" t="s">
        <v>75</v>
      </c>
      <c r="K2" s="468" t="s">
        <v>113</v>
      </c>
      <c r="L2" s="470" t="s">
        <v>77</v>
      </c>
      <c r="M2" s="470" t="s">
        <v>78</v>
      </c>
      <c r="N2" s="471" t="s">
        <v>79</v>
      </c>
      <c r="O2" s="472" t="s">
        <v>80</v>
      </c>
      <c r="P2" s="470" t="s">
        <v>81</v>
      </c>
      <c r="Q2" s="470" t="s">
        <v>82</v>
      </c>
      <c r="R2" s="470" t="s">
        <v>83</v>
      </c>
      <c r="S2" s="470" t="s">
        <v>84</v>
      </c>
      <c r="T2" s="470" t="s">
        <v>85</v>
      </c>
      <c r="U2" s="470" t="s">
        <v>86</v>
      </c>
      <c r="V2" s="470" t="s">
        <v>87</v>
      </c>
      <c r="W2" s="470" t="s">
        <v>114</v>
      </c>
      <c r="X2" s="470" t="s">
        <v>89</v>
      </c>
      <c r="Y2" s="470" t="s">
        <v>90</v>
      </c>
      <c r="Z2" s="473" t="s">
        <v>91</v>
      </c>
    </row>
    <row r="3" spans="1:27" ht="15.75" thickBot="1">
      <c r="A3" s="476">
        <v>17</v>
      </c>
      <c r="B3" s="477">
        <v>45196</v>
      </c>
      <c r="C3" s="478" t="s">
        <v>40</v>
      </c>
      <c r="D3" s="479" t="s">
        <v>932</v>
      </c>
      <c r="E3" s="479" t="s">
        <v>933</v>
      </c>
      <c r="F3" s="480" t="s">
        <v>934</v>
      </c>
      <c r="G3" s="479" t="s">
        <v>935</v>
      </c>
      <c r="H3" s="481" t="s">
        <v>851</v>
      </c>
      <c r="I3" s="479" t="s">
        <v>936</v>
      </c>
      <c r="J3" s="481" t="s">
        <v>853</v>
      </c>
      <c r="K3" s="479" t="s">
        <v>854</v>
      </c>
      <c r="L3" s="482">
        <v>1200000</v>
      </c>
      <c r="M3" s="482">
        <v>340000</v>
      </c>
      <c r="N3" s="483">
        <v>0</v>
      </c>
      <c r="O3" s="484">
        <v>0.28333333333333333</v>
      </c>
      <c r="P3" s="482">
        <v>740000</v>
      </c>
      <c r="Q3" s="482">
        <v>1080000</v>
      </c>
      <c r="R3" s="485">
        <v>0.9</v>
      </c>
      <c r="S3" s="479" t="s">
        <v>855</v>
      </c>
      <c r="T3" s="479" t="s">
        <v>856</v>
      </c>
      <c r="U3" s="481" t="s">
        <v>826</v>
      </c>
      <c r="V3" s="481" t="s">
        <v>826</v>
      </c>
      <c r="W3" s="481" t="s">
        <v>826</v>
      </c>
      <c r="X3" s="481" t="s">
        <v>23</v>
      </c>
      <c r="Y3" s="482">
        <v>27</v>
      </c>
      <c r="Z3" s="486">
        <v>432</v>
      </c>
    </row>
    <row r="4" spans="1:27" ht="15.75" thickBot="1">
      <c r="A4" s="493"/>
      <c r="B4" s="493"/>
      <c r="C4" s="493"/>
      <c r="D4" s="493"/>
      <c r="E4" s="493"/>
      <c r="F4" s="493"/>
      <c r="G4" s="493"/>
      <c r="H4" s="493"/>
      <c r="I4" s="493"/>
      <c r="J4" s="493"/>
      <c r="K4" s="493"/>
      <c r="L4" s="493"/>
      <c r="M4" s="493"/>
      <c r="N4" s="493"/>
      <c r="O4" s="493"/>
      <c r="P4" s="493"/>
      <c r="Q4" s="493"/>
      <c r="R4" s="493"/>
      <c r="S4" s="493"/>
      <c r="T4" s="493"/>
      <c r="U4" s="493"/>
      <c r="V4" s="493"/>
      <c r="W4" s="493"/>
      <c r="X4" s="493"/>
      <c r="Y4" s="493"/>
      <c r="Z4" s="493"/>
    </row>
    <row r="5" spans="1:27">
      <c r="A5" s="576" t="s">
        <v>115</v>
      </c>
      <c r="B5" s="577"/>
      <c r="C5" s="577"/>
      <c r="D5" s="577"/>
      <c r="E5" s="577"/>
      <c r="F5" s="577"/>
      <c r="G5" s="577"/>
      <c r="H5" s="577"/>
      <c r="I5" s="577"/>
      <c r="J5" s="577"/>
      <c r="K5" s="577"/>
      <c r="L5" s="577"/>
      <c r="M5" s="577"/>
      <c r="N5" s="577"/>
      <c r="O5" s="577"/>
      <c r="P5" s="577"/>
      <c r="Q5" s="577"/>
      <c r="R5" s="577"/>
      <c r="S5" s="577"/>
      <c r="T5" s="577"/>
      <c r="U5" s="577"/>
      <c r="V5" s="577"/>
      <c r="W5" s="577"/>
      <c r="X5" s="577"/>
      <c r="Y5" s="577"/>
      <c r="Z5" s="578"/>
    </row>
    <row r="6" spans="1:27" ht="15.75" thickBot="1">
      <c r="A6" s="579"/>
      <c r="B6" s="580"/>
      <c r="C6" s="580"/>
      <c r="D6" s="580"/>
      <c r="E6" s="580"/>
      <c r="F6" s="580"/>
      <c r="G6" s="580"/>
      <c r="H6" s="580"/>
      <c r="I6" s="580"/>
      <c r="J6" s="580"/>
      <c r="K6" s="580"/>
      <c r="L6" s="580"/>
      <c r="M6" s="580"/>
      <c r="N6" s="580"/>
      <c r="O6" s="580"/>
      <c r="P6" s="580"/>
      <c r="Q6" s="580"/>
      <c r="R6" s="580"/>
      <c r="S6" s="580"/>
      <c r="T6" s="580"/>
      <c r="U6" s="580"/>
      <c r="V6" s="580"/>
      <c r="W6" s="580"/>
      <c r="X6" s="580"/>
      <c r="Y6" s="580"/>
      <c r="Z6" s="581"/>
    </row>
    <row r="7" spans="1:27" ht="15.75" customHeight="1" outlineLevel="1" thickBot="1">
      <c r="A7" s="593" t="s">
        <v>116</v>
      </c>
      <c r="B7" s="582" t="str">
        <f>'3 OPT'!O3</f>
        <v xml:space="preserve">Hi Matthew, this is Ellis Andersen :blush: with West Capital Lending. I just received your inquiry to take about $740000 :moneybag: of equity from your home. I know you're shopping for the best deal so I will check with our most competitive lenders within our Broker Network. </v>
      </c>
      <c r="C7" s="583"/>
      <c r="D7" s="583"/>
      <c r="E7" s="583"/>
      <c r="F7" s="583"/>
      <c r="G7" s="583"/>
      <c r="H7" s="583"/>
      <c r="I7" s="583"/>
      <c r="J7" s="584"/>
      <c r="K7" s="474" t="str">
        <f>'3 OPT'!M15</f>
        <v>Follow Up</v>
      </c>
      <c r="L7" s="601" t="str">
        <f>'3 OPT'!O15</f>
        <v>Matthew , I just wanted to follow up with you did you get the text above :point_up_2: -  [Ellis w/ West Capital Lending]</v>
      </c>
      <c r="M7" s="602"/>
      <c r="N7" s="602"/>
      <c r="O7" s="602"/>
      <c r="P7" s="602"/>
      <c r="Q7" s="602"/>
      <c r="R7" s="602"/>
      <c r="S7" s="602"/>
      <c r="T7" s="602"/>
      <c r="U7" s="602"/>
      <c r="V7" s="602"/>
      <c r="W7" s="602"/>
      <c r="X7" s="602"/>
      <c r="Y7" s="602"/>
      <c r="Z7" s="603"/>
    </row>
    <row r="8" spans="1:27" ht="15.75" customHeight="1" outlineLevel="1">
      <c r="A8" s="594"/>
      <c r="B8" s="585"/>
      <c r="C8" s="586"/>
      <c r="D8" s="586"/>
      <c r="E8" s="586"/>
      <c r="F8" s="586"/>
      <c r="G8" s="586"/>
      <c r="H8" s="586"/>
      <c r="I8" s="586"/>
      <c r="J8" s="587"/>
      <c r="K8" s="588" t="str">
        <f>'3 OPT'!M17</f>
        <v>Market Drop</v>
      </c>
      <c r="L8" s="607" t="str">
        <f>'3 OPT'!O17</f>
        <v>Matthew, Great News! The Market took a heavy dip today :chart_with_downwards_trend: if you are at all still interested, now would be a great time to lock in your rate. :lock: [Ellis w/ West Capital Lending]</v>
      </c>
      <c r="M8" s="608"/>
      <c r="N8" s="608"/>
      <c r="O8" s="608"/>
      <c r="P8" s="608"/>
      <c r="Q8" s="608"/>
      <c r="R8" s="608"/>
      <c r="S8" s="608"/>
      <c r="T8" s="608"/>
      <c r="U8" s="608"/>
      <c r="V8" s="608"/>
      <c r="W8" s="608"/>
      <c r="X8" s="608"/>
      <c r="Y8" s="608"/>
      <c r="Z8" s="609"/>
    </row>
    <row r="9" spans="1:27" ht="15.75" customHeight="1" outlineLevel="1" thickBot="1">
      <c r="A9" s="594"/>
      <c r="B9" s="568" t="str">
        <f>'3 OPT'!O5</f>
        <v>Can you confirm the following:</v>
      </c>
      <c r="C9" s="569"/>
      <c r="D9" s="569"/>
      <c r="E9" s="569"/>
      <c r="F9" s="569"/>
      <c r="G9" s="569"/>
      <c r="H9" s="569"/>
      <c r="I9" s="569"/>
      <c r="J9" s="570"/>
      <c r="K9" s="589"/>
      <c r="L9" s="610"/>
      <c r="M9" s="611"/>
      <c r="N9" s="611"/>
      <c r="O9" s="611"/>
      <c r="P9" s="611"/>
      <c r="Q9" s="611"/>
      <c r="R9" s="611"/>
      <c r="S9" s="611"/>
      <c r="T9" s="611"/>
      <c r="U9" s="611"/>
      <c r="V9" s="611"/>
      <c r="W9" s="611"/>
      <c r="X9" s="611"/>
      <c r="Y9" s="611"/>
      <c r="Z9" s="612"/>
    </row>
    <row r="10" spans="1:27" ht="15.75" customHeight="1" outlineLevel="1">
      <c r="A10" s="594"/>
      <c r="B10" s="568" t="str">
        <f>'3 OPT'!O6</f>
        <v>This is your current address: 15244 W Auburn Ave, Denver, CO, 80228</v>
      </c>
      <c r="C10" s="569"/>
      <c r="D10" s="569"/>
      <c r="E10" s="569"/>
      <c r="F10" s="569"/>
      <c r="G10" s="569"/>
      <c r="H10" s="569"/>
      <c r="I10" s="569"/>
      <c r="J10" s="570"/>
      <c r="K10" s="574" t="str">
        <f>'3 OPT'!M20</f>
        <v>HELOC/HELOAN</v>
      </c>
      <c r="L10" s="607" t="str">
        <f>'3 OPT'!O20</f>
        <v>Matthew, If the quote I sent you was not what you were looking for I can send you additional options? Did you want to look at a Line of Credit :credit_card: or an Equity Loan :moneybag: instead? [Ellis w/ West Capital Lending]</v>
      </c>
      <c r="M10" s="608"/>
      <c r="N10" s="608"/>
      <c r="O10" s="608"/>
      <c r="P10" s="608"/>
      <c r="Q10" s="608"/>
      <c r="R10" s="608"/>
      <c r="S10" s="608"/>
      <c r="T10" s="608"/>
      <c r="U10" s="608"/>
      <c r="V10" s="608"/>
      <c r="W10" s="608"/>
      <c r="X10" s="608"/>
      <c r="Y10" s="608"/>
      <c r="Z10" s="609"/>
    </row>
    <row r="11" spans="1:27" ht="15.75" customHeight="1" outlineLevel="1" thickBot="1">
      <c r="A11" s="594"/>
      <c r="B11" s="568" t="str">
        <f>'3 OPT'!O7</f>
        <v>Home Value is: $1200000</v>
      </c>
      <c r="C11" s="569"/>
      <c r="D11" s="569"/>
      <c r="E11" s="569"/>
      <c r="F11" s="569"/>
      <c r="G11" s="569"/>
      <c r="H11" s="569"/>
      <c r="I11" s="569"/>
      <c r="J11" s="570"/>
      <c r="K11" s="575"/>
      <c r="L11" s="610"/>
      <c r="M11" s="611"/>
      <c r="N11" s="611"/>
      <c r="O11" s="611"/>
      <c r="P11" s="611"/>
      <c r="Q11" s="611"/>
      <c r="R11" s="611"/>
      <c r="S11" s="611"/>
      <c r="T11" s="611"/>
      <c r="U11" s="611"/>
      <c r="V11" s="611"/>
      <c r="W11" s="611"/>
      <c r="X11" s="611"/>
      <c r="Y11" s="611"/>
      <c r="Z11" s="612"/>
    </row>
    <row r="12" spans="1:27" ht="15.75" customHeight="1" outlineLevel="1" thickBot="1">
      <c r="A12" s="594"/>
      <c r="B12" s="568" t="str">
        <f>'3 OPT'!O8</f>
        <v>Your Current First Mortgage Balance is: $340000</v>
      </c>
      <c r="C12" s="569"/>
      <c r="D12" s="569"/>
      <c r="E12" s="569"/>
      <c r="F12" s="569"/>
      <c r="G12" s="569"/>
      <c r="H12" s="569"/>
      <c r="I12" s="569"/>
      <c r="J12" s="570"/>
      <c r="K12" s="474" t="str">
        <f>'3 OPT'!M23</f>
        <v>Did you get text?</v>
      </c>
      <c r="L12" s="601" t="str">
        <f>'3 OPT'!O23</f>
        <v>Matthew, just wanted to follow up with you did you get the text above :point_up_2:  [Ellis w/ West Capital Lending]</v>
      </c>
      <c r="M12" s="602"/>
      <c r="N12" s="602"/>
      <c r="O12" s="602"/>
      <c r="P12" s="602"/>
      <c r="Q12" s="602"/>
      <c r="R12" s="602"/>
      <c r="S12" s="602"/>
      <c r="T12" s="602"/>
      <c r="U12" s="602"/>
      <c r="V12" s="602"/>
      <c r="W12" s="602"/>
      <c r="X12" s="602"/>
      <c r="Y12" s="602"/>
      <c r="Z12" s="603"/>
    </row>
    <row r="13" spans="1:27" ht="15.75" customHeight="1" outlineLevel="1" thickBot="1">
      <c r="A13" s="594"/>
      <c r="B13" s="568" t="str">
        <f>'3 OPT'!O9</f>
        <v>Your Desired Cash Out is: $740000</v>
      </c>
      <c r="C13" s="569"/>
      <c r="D13" s="569"/>
      <c r="E13" s="569"/>
      <c r="F13" s="569"/>
      <c r="G13" s="569"/>
      <c r="H13" s="569"/>
      <c r="I13" s="569"/>
      <c r="J13" s="570"/>
      <c r="K13" s="474" t="str">
        <f>'3 OPT'!M25</f>
        <v>Another Lender</v>
      </c>
      <c r="L13" s="601" t="str">
        <f>'3 OPT'!O25</f>
        <v>Matthew, I know you may already be in process with another lender. :bank: Are you satisified with rate and service? :blush: :pensive: [Ellis w/ West Capital Lending]</v>
      </c>
      <c r="M13" s="602"/>
      <c r="N13" s="602"/>
      <c r="O13" s="602"/>
      <c r="P13" s="602"/>
      <c r="Q13" s="602"/>
      <c r="R13" s="602"/>
      <c r="S13" s="602"/>
      <c r="T13" s="602"/>
      <c r="U13" s="602"/>
      <c r="V13" s="602"/>
      <c r="W13" s="602"/>
      <c r="X13" s="602"/>
      <c r="Y13" s="602"/>
      <c r="Z13" s="603"/>
    </row>
    <row r="14" spans="1:27" ht="15.75" customHeight="1" outlineLevel="1" thickBot="1">
      <c r="A14" s="594"/>
      <c r="B14" s="568" t="str">
        <f>'3 OPT'!O10</f>
        <v>What is your Credit Score?</v>
      </c>
      <c r="C14" s="569"/>
      <c r="D14" s="569"/>
      <c r="E14" s="569"/>
      <c r="F14" s="569"/>
      <c r="G14" s="569"/>
      <c r="H14" s="569"/>
      <c r="I14" s="569"/>
      <c r="J14" s="570"/>
      <c r="K14" s="474" t="str">
        <f>'3 OPT'!M27</f>
        <v>STOP Contact</v>
      </c>
      <c r="L14" s="601" t="str">
        <f>'3 OPT'!O27</f>
        <v>Matthew, if you changed your mind let me know so I can stop contacting you if you wish? [Ellis w/ West Capital Lending]</v>
      </c>
      <c r="M14" s="602"/>
      <c r="N14" s="602"/>
      <c r="O14" s="602"/>
      <c r="P14" s="602"/>
      <c r="Q14" s="602"/>
      <c r="R14" s="602"/>
      <c r="S14" s="602"/>
      <c r="T14" s="602"/>
      <c r="U14" s="602"/>
      <c r="V14" s="602"/>
      <c r="W14" s="602"/>
      <c r="X14" s="602"/>
      <c r="Y14" s="602"/>
      <c r="Z14" s="603"/>
    </row>
    <row r="15" spans="1:27" ht="15.75" customHeight="1" outlineLevel="1" thickBot="1">
      <c r="A15" s="594"/>
      <c r="B15" s="568" t="str">
        <f>'3 OPT'!O11</f>
        <v>What is your annual gross income?</v>
      </c>
      <c r="C15" s="569"/>
      <c r="D15" s="569"/>
      <c r="E15" s="569"/>
      <c r="F15" s="569"/>
      <c r="G15" s="569"/>
      <c r="H15" s="569"/>
      <c r="I15" s="569"/>
      <c r="J15" s="570"/>
      <c r="K15" s="474" t="str">
        <f>'3 OPT'!M29</f>
        <v>Still Want Cash?</v>
      </c>
      <c r="L15" s="601" t="str">
        <f>'3 OPT'!O29</f>
        <v>Matthew, did you still want to take out the $740000 :money_with_wings: in cash from your home? [Ellis w/ West Capital Lending]</v>
      </c>
      <c r="M15" s="602"/>
      <c r="N15" s="602"/>
      <c r="O15" s="602"/>
      <c r="P15" s="602"/>
      <c r="Q15" s="602"/>
      <c r="R15" s="602"/>
      <c r="S15" s="602"/>
      <c r="T15" s="602"/>
      <c r="U15" s="602"/>
      <c r="V15" s="602"/>
      <c r="W15" s="602"/>
      <c r="X15" s="602"/>
      <c r="Y15" s="602"/>
      <c r="Z15" s="603"/>
    </row>
    <row r="16" spans="1:27" ht="15.75" customHeight="1" outlineLevel="1">
      <c r="A16" s="594"/>
      <c r="B16" s="585" t="str">
        <f>'3 OPT'!O12</f>
        <v>What type of Loan Products: Cash Out Refinance:heavy_dollar_sign:, Home Equity Loan:moneybag:, Home Equity Line of Credit:credit_card:</v>
      </c>
      <c r="C16" s="586"/>
      <c r="D16" s="586"/>
      <c r="E16" s="586"/>
      <c r="F16" s="586"/>
      <c r="G16" s="586"/>
      <c r="H16" s="586"/>
      <c r="I16" s="586"/>
      <c r="J16" s="587"/>
      <c r="K16" s="588" t="str">
        <f>'3 OPT'!M31</f>
        <v>Don’t Qualify?</v>
      </c>
      <c r="L16" s="607" t="str">
        <f>'3 OPT'!O31</f>
        <v>Matthew, generally when I do not receive a response it is because the client was told they didn't qualify. I am broker and I can work with any credit or income profile. [Ellis w/ West Capital Lending]</v>
      </c>
      <c r="M16" s="608"/>
      <c r="N16" s="608"/>
      <c r="O16" s="608"/>
      <c r="P16" s="608"/>
      <c r="Q16" s="608"/>
      <c r="R16" s="608"/>
      <c r="S16" s="608"/>
      <c r="T16" s="608"/>
      <c r="U16" s="608"/>
      <c r="V16" s="608"/>
      <c r="W16" s="608"/>
      <c r="X16" s="608"/>
      <c r="Y16" s="608"/>
      <c r="Z16" s="609"/>
    </row>
    <row r="17" spans="1:26" ht="15.75" customHeight="1" outlineLevel="1" thickBot="1">
      <c r="A17" s="594"/>
      <c r="B17" s="585"/>
      <c r="C17" s="586"/>
      <c r="D17" s="586"/>
      <c r="E17" s="586"/>
      <c r="F17" s="586"/>
      <c r="G17" s="586"/>
      <c r="H17" s="586"/>
      <c r="I17" s="586"/>
      <c r="J17" s="587"/>
      <c r="K17" s="589"/>
      <c r="L17" s="610"/>
      <c r="M17" s="611"/>
      <c r="N17" s="611"/>
      <c r="O17" s="611"/>
      <c r="P17" s="611"/>
      <c r="Q17" s="611"/>
      <c r="R17" s="611"/>
      <c r="S17" s="611"/>
      <c r="T17" s="611"/>
      <c r="U17" s="611"/>
      <c r="V17" s="611"/>
      <c r="W17" s="611"/>
      <c r="X17" s="611"/>
      <c r="Y17" s="611"/>
      <c r="Z17" s="612"/>
    </row>
    <row r="18" spans="1:26" ht="15.75" customHeight="1" outlineLevel="1" thickBot="1">
      <c r="A18" s="594"/>
      <c r="B18" s="571" t="str">
        <f>'3 OPT'!O14</f>
        <v>Once I have these I can send over a formal proposal to you. Thank You! :innocent:</v>
      </c>
      <c r="C18" s="572"/>
      <c r="D18" s="572"/>
      <c r="E18" s="572"/>
      <c r="F18" s="572"/>
      <c r="G18" s="572"/>
      <c r="H18" s="572"/>
      <c r="I18" s="572"/>
      <c r="J18" s="573"/>
      <c r="K18" s="474" t="str">
        <f>'3 OPT'!M33</f>
        <v>Home Prices Up</v>
      </c>
      <c r="L18" s="601" t="str">
        <f>'3 OPT'!O33</f>
        <v>Matthew, home values are trending up in your area. :zap: Have you had an evaluation done recently? [Ellis w/ West Capital Lending]</v>
      </c>
      <c r="M18" s="602"/>
      <c r="N18" s="602"/>
      <c r="O18" s="602"/>
      <c r="P18" s="602"/>
      <c r="Q18" s="602"/>
      <c r="R18" s="602"/>
      <c r="S18" s="602"/>
      <c r="T18" s="602"/>
      <c r="U18" s="602"/>
      <c r="V18" s="602"/>
      <c r="W18" s="602"/>
      <c r="X18" s="602"/>
      <c r="Y18" s="602"/>
      <c r="Z18" s="603"/>
    </row>
    <row r="19" spans="1:26" ht="15.75" customHeight="1" outlineLevel="1" thickBot="1">
      <c r="A19" s="594"/>
      <c r="B19" s="595"/>
      <c r="C19" s="596"/>
      <c r="D19" s="596"/>
      <c r="E19" s="596"/>
      <c r="F19" s="596"/>
      <c r="G19" s="596"/>
      <c r="H19" s="596"/>
      <c r="I19" s="596"/>
      <c r="J19" s="597"/>
      <c r="K19" s="474" t="str">
        <f>'3 OPT'!M35</f>
        <v>Debt Consolidation</v>
      </c>
      <c r="L19" s="601" t="str">
        <f>'3 OPT'!O35</f>
        <v>Matthew, a lot of my clients are calling to consolidate their debt. Do you carry any High Interest Balances? [Ellis w/ West Capital Lending]</v>
      </c>
      <c r="M19" s="602"/>
      <c r="N19" s="602"/>
      <c r="O19" s="602"/>
      <c r="P19" s="602"/>
      <c r="Q19" s="602"/>
      <c r="R19" s="602"/>
      <c r="S19" s="602"/>
      <c r="T19" s="602"/>
      <c r="U19" s="602"/>
      <c r="V19" s="602"/>
      <c r="W19" s="602"/>
      <c r="X19" s="602"/>
      <c r="Y19" s="602"/>
      <c r="Z19" s="603"/>
    </row>
    <row r="20" spans="1:26" ht="15.75" customHeight="1" outlineLevel="1" thickBot="1">
      <c r="A20" s="594"/>
      <c r="B20" s="598"/>
      <c r="C20" s="599"/>
      <c r="D20" s="599"/>
      <c r="E20" s="599"/>
      <c r="F20" s="599"/>
      <c r="G20" s="599"/>
      <c r="H20" s="599"/>
      <c r="I20" s="599"/>
      <c r="J20" s="600"/>
      <c r="K20" s="475" t="str">
        <f>'3 OPT'!M37</f>
        <v>Right Person?</v>
      </c>
      <c r="L20" s="604" t="str">
        <f>'3 OPT'!O37</f>
        <v>Do I have the right person? [Ellis w/ West Capital Lending]</v>
      </c>
      <c r="M20" s="605"/>
      <c r="N20" s="605"/>
      <c r="O20" s="605"/>
      <c r="P20" s="605"/>
      <c r="Q20" s="605"/>
      <c r="R20" s="605"/>
      <c r="S20" s="605"/>
      <c r="T20" s="605"/>
      <c r="U20" s="605"/>
      <c r="V20" s="605"/>
      <c r="W20" s="605"/>
      <c r="X20" s="605"/>
      <c r="Y20" s="605"/>
      <c r="Z20" s="606"/>
    </row>
    <row r="21" spans="1:26" ht="15.75" customHeight="1" outlineLevel="1" thickBot="1">
      <c r="A21" s="590"/>
      <c r="B21" s="591"/>
      <c r="C21" s="591"/>
      <c r="D21" s="591"/>
      <c r="E21" s="591"/>
      <c r="F21" s="591"/>
      <c r="G21" s="591"/>
      <c r="H21" s="591"/>
      <c r="I21" s="591"/>
      <c r="J21" s="591"/>
      <c r="K21" s="591"/>
      <c r="L21" s="591"/>
      <c r="M21" s="591"/>
      <c r="N21" s="591"/>
      <c r="O21" s="591"/>
      <c r="P21" s="591"/>
      <c r="Q21" s="591"/>
      <c r="R21" s="591"/>
      <c r="S21" s="591"/>
      <c r="T21" s="591"/>
      <c r="U21" s="591"/>
      <c r="V21" s="591"/>
      <c r="W21" s="591"/>
      <c r="X21" s="591"/>
      <c r="Y21" s="591"/>
      <c r="Z21" s="592"/>
    </row>
    <row r="22" spans="1:26" ht="39.6" customHeight="1" thickBot="1">
      <c r="A22" s="564" t="s">
        <v>117</v>
      </c>
      <c r="B22" s="565"/>
      <c r="C22" s="565"/>
      <c r="D22" s="565"/>
      <c r="E22" s="565"/>
      <c r="F22" s="565"/>
      <c r="G22" s="565"/>
      <c r="H22" s="565"/>
      <c r="I22" s="565"/>
      <c r="J22" s="565"/>
      <c r="K22" s="566"/>
      <c r="L22" s="566"/>
      <c r="M22" s="566"/>
      <c r="N22" s="566"/>
      <c r="O22" s="566"/>
      <c r="P22" s="566"/>
      <c r="Q22" s="566"/>
      <c r="R22" s="566"/>
      <c r="S22" s="566"/>
      <c r="T22" s="566"/>
      <c r="U22" s="566"/>
      <c r="V22" s="566"/>
      <c r="W22" s="566"/>
      <c r="X22" s="566"/>
      <c r="Y22" s="566"/>
      <c r="Z22" s="567"/>
    </row>
    <row r="23" spans="1:26" ht="32.25" customHeight="1" thickBot="1">
      <c r="A23" s="7" t="s">
        <v>66</v>
      </c>
      <c r="B23" s="14" t="s">
        <v>67</v>
      </c>
      <c r="C23" s="7" t="s">
        <v>68</v>
      </c>
      <c r="D23" s="7" t="s">
        <v>69</v>
      </c>
      <c r="E23" s="7" t="s">
        <v>70</v>
      </c>
      <c r="F23" s="7" t="s">
        <v>71</v>
      </c>
      <c r="G23" s="7" t="s">
        <v>72</v>
      </c>
      <c r="H23" s="7" t="s">
        <v>73</v>
      </c>
      <c r="I23" s="7" t="s">
        <v>112</v>
      </c>
      <c r="J23" s="7" t="s">
        <v>75</v>
      </c>
      <c r="K23" s="7" t="s">
        <v>113</v>
      </c>
      <c r="L23" s="9" t="s">
        <v>77</v>
      </c>
      <c r="M23" s="9" t="s">
        <v>78</v>
      </c>
      <c r="N23" s="25" t="s">
        <v>79</v>
      </c>
      <c r="O23" s="11" t="s">
        <v>80</v>
      </c>
      <c r="P23" s="9" t="s">
        <v>81</v>
      </c>
      <c r="Q23" s="9" t="s">
        <v>82</v>
      </c>
      <c r="R23" s="11" t="s">
        <v>83</v>
      </c>
      <c r="S23" s="7" t="s">
        <v>84</v>
      </c>
      <c r="T23" s="7" t="s">
        <v>85</v>
      </c>
      <c r="U23" s="7" t="s">
        <v>86</v>
      </c>
      <c r="V23" s="7" t="s">
        <v>87</v>
      </c>
      <c r="W23" s="7" t="s">
        <v>114</v>
      </c>
      <c r="X23" s="7" t="s">
        <v>89</v>
      </c>
      <c r="Y23" s="9" t="s">
        <v>90</v>
      </c>
      <c r="Z23" s="12" t="s">
        <v>91</v>
      </c>
    </row>
    <row r="24" spans="1:26">
      <c r="A24" s="3">
        <v>1</v>
      </c>
      <c r="B24" s="2"/>
      <c r="N24" s="464"/>
      <c r="R24" s="465"/>
      <c r="X24" s="3"/>
      <c r="Z24" s="466"/>
    </row>
    <row r="25" spans="1:26">
      <c r="A25" s="3">
        <v>2</v>
      </c>
      <c r="B25" s="2">
        <v>45193</v>
      </c>
      <c r="C25" s="5" t="s">
        <v>42</v>
      </c>
      <c r="D25" t="s">
        <v>847</v>
      </c>
      <c r="E25" t="s">
        <v>848</v>
      </c>
      <c r="F25" s="16" t="s">
        <v>849</v>
      </c>
      <c r="G25" t="s">
        <v>850</v>
      </c>
      <c r="H25" s="3" t="s">
        <v>851</v>
      </c>
      <c r="I25" t="s">
        <v>852</v>
      </c>
      <c r="J25" s="3" t="s">
        <v>853</v>
      </c>
      <c r="K25" t="s">
        <v>854</v>
      </c>
      <c r="L25" s="4">
        <v>664300</v>
      </c>
      <c r="M25" s="4">
        <v>520000</v>
      </c>
      <c r="N25" s="464">
        <v>0</v>
      </c>
      <c r="O25" s="10">
        <v>0.83870967741935487</v>
      </c>
      <c r="P25" s="4">
        <v>27500</v>
      </c>
      <c r="Q25" s="4">
        <v>547500</v>
      </c>
      <c r="R25" s="465">
        <v>0.88306451612903225</v>
      </c>
      <c r="S25" t="s">
        <v>855</v>
      </c>
      <c r="T25" t="s">
        <v>856</v>
      </c>
      <c r="U25" s="3" t="s">
        <v>857</v>
      </c>
      <c r="V25" s="3" t="s">
        <v>826</v>
      </c>
      <c r="W25" s="3" t="s">
        <v>826</v>
      </c>
      <c r="X25" s="3" t="s">
        <v>23</v>
      </c>
      <c r="Y25" s="4">
        <v>27</v>
      </c>
      <c r="Z25" s="466">
        <v>56</v>
      </c>
    </row>
    <row r="26" spans="1:26">
      <c r="A26" s="3">
        <v>3</v>
      </c>
      <c r="B26" s="2">
        <v>45193</v>
      </c>
      <c r="C26" s="5" t="s">
        <v>44</v>
      </c>
      <c r="D26" t="s">
        <v>858</v>
      </c>
      <c r="E26" t="s">
        <v>859</v>
      </c>
      <c r="F26" s="16" t="s">
        <v>860</v>
      </c>
      <c r="G26" t="s">
        <v>861</v>
      </c>
      <c r="H26" s="3" t="s">
        <v>862</v>
      </c>
      <c r="I26" t="s">
        <v>863</v>
      </c>
      <c r="J26" s="3" t="s">
        <v>853</v>
      </c>
      <c r="K26" t="s">
        <v>854</v>
      </c>
      <c r="L26" s="4">
        <v>1200000</v>
      </c>
      <c r="M26" s="4">
        <v>270000</v>
      </c>
      <c r="N26" s="464">
        <v>0</v>
      </c>
      <c r="O26" s="10">
        <v>0.22500000000000001</v>
      </c>
      <c r="P26" s="4">
        <v>690000</v>
      </c>
      <c r="Q26" s="4">
        <v>960000</v>
      </c>
      <c r="R26" s="465">
        <v>0.9</v>
      </c>
      <c r="S26" t="s">
        <v>855</v>
      </c>
      <c r="T26" t="s">
        <v>856</v>
      </c>
      <c r="U26" s="3" t="s">
        <v>826</v>
      </c>
      <c r="V26" s="3" t="s">
        <v>826</v>
      </c>
      <c r="W26" s="3" t="s">
        <v>826</v>
      </c>
      <c r="X26" s="3" t="s">
        <v>23</v>
      </c>
      <c r="Y26" s="4">
        <v>27</v>
      </c>
      <c r="Z26" s="466">
        <v>83</v>
      </c>
    </row>
    <row r="27" spans="1:26">
      <c r="A27" s="3">
        <v>4</v>
      </c>
      <c r="B27" s="2">
        <v>45193</v>
      </c>
      <c r="C27" s="5" t="s">
        <v>48</v>
      </c>
      <c r="D27" t="s">
        <v>864</v>
      </c>
      <c r="E27" t="s">
        <v>865</v>
      </c>
      <c r="F27" s="16" t="s">
        <v>866</v>
      </c>
      <c r="G27" t="s">
        <v>867</v>
      </c>
      <c r="H27" s="3" t="s">
        <v>868</v>
      </c>
      <c r="I27" t="s">
        <v>869</v>
      </c>
      <c r="J27" s="3" t="s">
        <v>853</v>
      </c>
      <c r="K27" t="s">
        <v>854</v>
      </c>
      <c r="L27" s="4">
        <v>556100</v>
      </c>
      <c r="M27" s="4">
        <v>180000</v>
      </c>
      <c r="N27" s="464">
        <v>0</v>
      </c>
      <c r="O27" s="10">
        <v>0.34615384615384615</v>
      </c>
      <c r="P27" s="4">
        <v>264880</v>
      </c>
      <c r="Q27" s="4">
        <v>468000</v>
      </c>
      <c r="R27" s="465">
        <v>0.9</v>
      </c>
      <c r="S27" t="s">
        <v>870</v>
      </c>
      <c r="T27" t="s">
        <v>856</v>
      </c>
      <c r="U27" s="3" t="s">
        <v>857</v>
      </c>
      <c r="V27" s="3" t="s">
        <v>826</v>
      </c>
      <c r="W27" s="3" t="s">
        <v>826</v>
      </c>
      <c r="X27" s="3" t="s">
        <v>23</v>
      </c>
      <c r="Y27" s="4">
        <v>27</v>
      </c>
      <c r="Z27" s="466">
        <v>81</v>
      </c>
    </row>
    <row r="28" spans="1:26">
      <c r="A28" s="3">
        <v>5</v>
      </c>
      <c r="B28" s="2">
        <v>45193</v>
      </c>
      <c r="C28" s="5" t="s">
        <v>45</v>
      </c>
      <c r="D28" t="s">
        <v>871</v>
      </c>
      <c r="E28" t="s">
        <v>872</v>
      </c>
      <c r="F28" s="16" t="s">
        <v>873</v>
      </c>
      <c r="G28" t="s">
        <v>874</v>
      </c>
      <c r="H28" s="3" t="s">
        <v>875</v>
      </c>
      <c r="I28" t="s">
        <v>876</v>
      </c>
      <c r="J28" s="3" t="s">
        <v>877</v>
      </c>
      <c r="K28" t="s">
        <v>854</v>
      </c>
      <c r="L28" s="4">
        <v>380000</v>
      </c>
      <c r="M28" s="4">
        <v>320000</v>
      </c>
      <c r="N28" s="464">
        <v>0</v>
      </c>
      <c r="O28" s="10">
        <v>0.84210526315789469</v>
      </c>
      <c r="P28" s="4">
        <v>60000</v>
      </c>
      <c r="Q28" s="4">
        <v>380000</v>
      </c>
      <c r="R28" s="465">
        <v>1</v>
      </c>
      <c r="S28" t="s">
        <v>870</v>
      </c>
      <c r="T28" t="s">
        <v>856</v>
      </c>
      <c r="U28" s="3" t="s">
        <v>826</v>
      </c>
      <c r="V28" s="3" t="s">
        <v>857</v>
      </c>
      <c r="W28" s="3" t="s">
        <v>826</v>
      </c>
      <c r="X28" s="3" t="s">
        <v>23</v>
      </c>
      <c r="Y28" s="4">
        <v>27</v>
      </c>
      <c r="Z28" s="466">
        <v>108</v>
      </c>
    </row>
    <row r="29" spans="1:26">
      <c r="A29" s="3">
        <v>6</v>
      </c>
      <c r="B29" s="2">
        <v>45193</v>
      </c>
      <c r="C29" s="5" t="s">
        <v>41</v>
      </c>
      <c r="D29" t="s">
        <v>878</v>
      </c>
      <c r="E29" t="s">
        <v>879</v>
      </c>
      <c r="F29" s="16" t="s">
        <v>880</v>
      </c>
      <c r="G29" t="s">
        <v>881</v>
      </c>
      <c r="H29" s="3" t="s">
        <v>882</v>
      </c>
      <c r="I29" t="s">
        <v>883</v>
      </c>
      <c r="J29" s="3" t="s">
        <v>853</v>
      </c>
      <c r="K29" t="s">
        <v>854</v>
      </c>
      <c r="L29" s="4">
        <v>553800</v>
      </c>
      <c r="M29" s="4">
        <v>170000</v>
      </c>
      <c r="N29" s="464">
        <v>0</v>
      </c>
      <c r="O29" s="10">
        <v>0.36956521739130432</v>
      </c>
      <c r="P29" s="4">
        <v>244000</v>
      </c>
      <c r="Q29" s="4">
        <v>414000</v>
      </c>
      <c r="R29" s="465">
        <v>0.9</v>
      </c>
      <c r="S29" t="s">
        <v>870</v>
      </c>
      <c r="T29" t="s">
        <v>856</v>
      </c>
      <c r="U29" s="3" t="s">
        <v>826</v>
      </c>
      <c r="V29" s="3" t="s">
        <v>826</v>
      </c>
      <c r="W29" s="3" t="s">
        <v>826</v>
      </c>
      <c r="X29" s="3" t="s">
        <v>23</v>
      </c>
      <c r="Y29" s="4">
        <v>27</v>
      </c>
      <c r="Z29" s="466">
        <v>135</v>
      </c>
    </row>
    <row r="30" spans="1:26">
      <c r="A30" s="3">
        <v>7</v>
      </c>
      <c r="B30" s="2">
        <v>45193</v>
      </c>
      <c r="C30" s="5" t="s">
        <v>41</v>
      </c>
      <c r="D30" t="s">
        <v>884</v>
      </c>
      <c r="E30" t="s">
        <v>885</v>
      </c>
      <c r="F30" s="16" t="s">
        <v>886</v>
      </c>
      <c r="G30" t="s">
        <v>887</v>
      </c>
      <c r="H30" s="3" t="s">
        <v>868</v>
      </c>
      <c r="I30" t="s">
        <v>888</v>
      </c>
      <c r="J30" s="3" t="s">
        <v>853</v>
      </c>
      <c r="K30" t="s">
        <v>854</v>
      </c>
      <c r="L30" s="4">
        <v>647900</v>
      </c>
      <c r="M30" s="4">
        <v>480000</v>
      </c>
      <c r="N30" s="464">
        <v>0</v>
      </c>
      <c r="O30" s="10">
        <v>0.66666666666666663</v>
      </c>
      <c r="P30" s="4">
        <v>168000</v>
      </c>
      <c r="Q30" s="4">
        <v>648000</v>
      </c>
      <c r="R30" s="465">
        <v>0.9</v>
      </c>
      <c r="S30" t="s">
        <v>870</v>
      </c>
      <c r="T30" t="s">
        <v>889</v>
      </c>
      <c r="U30" s="3" t="s">
        <v>857</v>
      </c>
      <c r="V30" s="3" t="s">
        <v>826</v>
      </c>
      <c r="W30" s="3" t="s">
        <v>826</v>
      </c>
      <c r="X30" s="3" t="s">
        <v>23</v>
      </c>
      <c r="Y30" s="4">
        <v>27</v>
      </c>
      <c r="Z30" s="466">
        <v>162</v>
      </c>
    </row>
    <row r="31" spans="1:26">
      <c r="A31" s="3">
        <v>8</v>
      </c>
      <c r="B31" s="2">
        <v>45193</v>
      </c>
      <c r="C31" s="5" t="s">
        <v>42</v>
      </c>
      <c r="D31" t="s">
        <v>890</v>
      </c>
      <c r="E31" t="s">
        <v>891</v>
      </c>
      <c r="F31" s="16" t="s">
        <v>892</v>
      </c>
      <c r="G31" t="s">
        <v>893</v>
      </c>
      <c r="H31" s="3" t="s">
        <v>862</v>
      </c>
      <c r="I31" t="s">
        <v>894</v>
      </c>
      <c r="J31" s="3" t="s">
        <v>853</v>
      </c>
      <c r="K31" t="s">
        <v>854</v>
      </c>
      <c r="L31" s="4">
        <v>858300</v>
      </c>
      <c r="M31" s="4">
        <v>320000</v>
      </c>
      <c r="N31" s="464">
        <v>0</v>
      </c>
      <c r="O31" s="10">
        <v>0.42105263157894735</v>
      </c>
      <c r="P31" s="4">
        <v>85000</v>
      </c>
      <c r="Q31" s="4">
        <v>405000</v>
      </c>
      <c r="R31" s="465">
        <v>0.53289473684210531</v>
      </c>
      <c r="S31" t="s">
        <v>855</v>
      </c>
      <c r="T31" t="s">
        <v>856</v>
      </c>
      <c r="U31" s="3" t="s">
        <v>826</v>
      </c>
      <c r="V31" s="3" t="s">
        <v>826</v>
      </c>
      <c r="W31" s="3" t="s">
        <v>826</v>
      </c>
      <c r="X31" s="3" t="s">
        <v>23</v>
      </c>
      <c r="Y31" s="4">
        <v>27</v>
      </c>
      <c r="Z31" s="466">
        <v>189</v>
      </c>
    </row>
    <row r="32" spans="1:26">
      <c r="A32" s="3">
        <v>9</v>
      </c>
      <c r="B32" s="2">
        <v>45193</v>
      </c>
      <c r="C32" s="5" t="s">
        <v>41</v>
      </c>
      <c r="D32" t="s">
        <v>895</v>
      </c>
      <c r="E32" t="s">
        <v>896</v>
      </c>
      <c r="F32" s="16" t="s">
        <v>897</v>
      </c>
      <c r="G32" t="s">
        <v>898</v>
      </c>
      <c r="H32" s="3" t="s">
        <v>868</v>
      </c>
      <c r="I32" t="s">
        <v>899</v>
      </c>
      <c r="J32" s="3" t="s">
        <v>853</v>
      </c>
      <c r="K32" t="s">
        <v>854</v>
      </c>
      <c r="L32" s="4">
        <v>560000</v>
      </c>
      <c r="M32" s="4">
        <v>390000</v>
      </c>
      <c r="N32" s="464">
        <v>0</v>
      </c>
      <c r="O32" s="10">
        <v>0.6964285714285714</v>
      </c>
      <c r="P32" s="4">
        <v>86000</v>
      </c>
      <c r="Q32" s="4">
        <v>504000</v>
      </c>
      <c r="R32" s="465">
        <v>0.9</v>
      </c>
      <c r="S32" t="s">
        <v>870</v>
      </c>
      <c r="T32" t="s">
        <v>856</v>
      </c>
      <c r="U32" s="3" t="s">
        <v>857</v>
      </c>
      <c r="V32" s="3" t="s">
        <v>826</v>
      </c>
      <c r="W32" s="3" t="s">
        <v>826</v>
      </c>
      <c r="X32" s="3" t="s">
        <v>23</v>
      </c>
      <c r="Y32" s="4">
        <v>27</v>
      </c>
      <c r="Z32" s="466">
        <v>216</v>
      </c>
    </row>
    <row r="33" spans="1:26">
      <c r="A33" s="3">
        <v>10</v>
      </c>
      <c r="B33" s="2">
        <v>45193</v>
      </c>
      <c r="C33" s="5" t="s">
        <v>47</v>
      </c>
      <c r="D33" t="s">
        <v>900</v>
      </c>
      <c r="E33" t="s">
        <v>901</v>
      </c>
      <c r="F33" s="16" t="s">
        <v>902</v>
      </c>
      <c r="G33" t="s">
        <v>903</v>
      </c>
      <c r="H33" s="3" t="s">
        <v>851</v>
      </c>
      <c r="I33" t="s">
        <v>904</v>
      </c>
      <c r="J33" s="3" t="s">
        <v>853</v>
      </c>
      <c r="K33" t="s">
        <v>854</v>
      </c>
      <c r="L33" s="4">
        <v>740000</v>
      </c>
      <c r="M33" s="4">
        <v>310000</v>
      </c>
      <c r="N33" s="464">
        <v>0</v>
      </c>
      <c r="O33" s="10">
        <v>0.41891891891891891</v>
      </c>
      <c r="P33" s="4">
        <v>356000</v>
      </c>
      <c r="Q33" s="4">
        <v>666000</v>
      </c>
      <c r="R33" s="465">
        <v>0.9</v>
      </c>
      <c r="S33" t="s">
        <v>855</v>
      </c>
      <c r="T33" t="s">
        <v>856</v>
      </c>
      <c r="U33" s="3" t="s">
        <v>826</v>
      </c>
      <c r="V33" s="3" t="s">
        <v>826</v>
      </c>
      <c r="W33" s="3" t="s">
        <v>826</v>
      </c>
      <c r="X33" s="3" t="s">
        <v>23</v>
      </c>
      <c r="Y33" s="4">
        <v>27</v>
      </c>
      <c r="Z33" s="466">
        <v>243</v>
      </c>
    </row>
    <row r="34" spans="1:26">
      <c r="A34" s="3">
        <v>11</v>
      </c>
      <c r="B34" s="2">
        <v>45193</v>
      </c>
      <c r="C34" s="5" t="s">
        <v>42</v>
      </c>
      <c r="D34" t="s">
        <v>138</v>
      </c>
      <c r="E34" t="s">
        <v>905</v>
      </c>
      <c r="F34" s="16" t="s">
        <v>906</v>
      </c>
      <c r="G34" t="s">
        <v>907</v>
      </c>
      <c r="H34" s="3" t="s">
        <v>908</v>
      </c>
      <c r="I34" t="s">
        <v>909</v>
      </c>
      <c r="J34" s="3" t="s">
        <v>853</v>
      </c>
      <c r="K34" t="s">
        <v>854</v>
      </c>
      <c r="L34" s="4">
        <v>890900</v>
      </c>
      <c r="M34" s="4">
        <v>80000</v>
      </c>
      <c r="N34" s="464">
        <v>0</v>
      </c>
      <c r="O34" s="10">
        <v>9.0909090909090912E-2</v>
      </c>
      <c r="P34" s="4">
        <v>632000</v>
      </c>
      <c r="Q34" s="4">
        <v>712000</v>
      </c>
      <c r="R34" s="465">
        <v>0.9</v>
      </c>
      <c r="S34" t="s">
        <v>855</v>
      </c>
      <c r="T34" t="s">
        <v>856</v>
      </c>
      <c r="U34" s="3" t="s">
        <v>826</v>
      </c>
      <c r="V34" s="3" t="s">
        <v>826</v>
      </c>
      <c r="W34" s="3" t="s">
        <v>826</v>
      </c>
      <c r="X34" s="3" t="s">
        <v>23</v>
      </c>
      <c r="Y34" s="4">
        <v>27</v>
      </c>
      <c r="Z34" s="466">
        <v>270</v>
      </c>
    </row>
    <row r="35" spans="1:26">
      <c r="A35" s="3">
        <v>12</v>
      </c>
      <c r="B35" s="2">
        <v>45193</v>
      </c>
      <c r="C35" s="5" t="s">
        <v>47</v>
      </c>
      <c r="D35" t="s">
        <v>910</v>
      </c>
      <c r="E35" t="s">
        <v>911</v>
      </c>
      <c r="F35" s="16" t="s">
        <v>912</v>
      </c>
      <c r="G35" t="s">
        <v>913</v>
      </c>
      <c r="H35" s="3" t="s">
        <v>914</v>
      </c>
      <c r="I35" t="s">
        <v>915</v>
      </c>
      <c r="J35" s="3" t="s">
        <v>853</v>
      </c>
      <c r="K35" t="s">
        <v>854</v>
      </c>
      <c r="L35" s="4">
        <v>428500</v>
      </c>
      <c r="M35" s="4">
        <v>340000</v>
      </c>
      <c r="N35" s="464">
        <v>0</v>
      </c>
      <c r="O35" s="10">
        <v>0.80952380952380953</v>
      </c>
      <c r="P35" s="4">
        <v>80000</v>
      </c>
      <c r="Q35" s="4">
        <v>420000</v>
      </c>
      <c r="R35" s="465">
        <v>1</v>
      </c>
      <c r="S35" t="s">
        <v>855</v>
      </c>
      <c r="T35" t="s">
        <v>856</v>
      </c>
      <c r="U35" s="3" t="s">
        <v>826</v>
      </c>
      <c r="V35" s="3" t="s">
        <v>857</v>
      </c>
      <c r="W35" s="3" t="s">
        <v>826</v>
      </c>
      <c r="X35" s="3" t="s">
        <v>23</v>
      </c>
      <c r="Y35" s="4">
        <v>27</v>
      </c>
      <c r="Z35" s="466">
        <v>297</v>
      </c>
    </row>
    <row r="36" spans="1:26">
      <c r="A36" s="3">
        <v>13</v>
      </c>
      <c r="B36" s="2">
        <v>45193</v>
      </c>
      <c r="C36" s="5" t="s">
        <v>43</v>
      </c>
      <c r="D36" t="s">
        <v>916</v>
      </c>
      <c r="E36" t="s">
        <v>917</v>
      </c>
      <c r="F36" s="16" t="s">
        <v>918</v>
      </c>
      <c r="G36" t="s">
        <v>919</v>
      </c>
      <c r="H36" s="3" t="s">
        <v>875</v>
      </c>
      <c r="I36" t="s">
        <v>920</v>
      </c>
      <c r="J36" s="3" t="s">
        <v>955</v>
      </c>
      <c r="K36" t="s">
        <v>854</v>
      </c>
      <c r="L36" s="4">
        <v>2600000</v>
      </c>
      <c r="M36" s="4">
        <v>0</v>
      </c>
      <c r="N36" s="464">
        <v>0</v>
      </c>
      <c r="O36" s="10">
        <v>0</v>
      </c>
      <c r="P36" s="4">
        <v>2340000</v>
      </c>
      <c r="Q36" s="4">
        <v>2340000</v>
      </c>
      <c r="R36" s="465">
        <v>0.9</v>
      </c>
      <c r="S36" t="s">
        <v>855</v>
      </c>
      <c r="T36" t="s">
        <v>921</v>
      </c>
      <c r="U36" s="3" t="s">
        <v>826</v>
      </c>
      <c r="V36" s="3" t="s">
        <v>826</v>
      </c>
      <c r="W36" s="3" t="s">
        <v>826</v>
      </c>
      <c r="X36" s="3" t="s">
        <v>23</v>
      </c>
      <c r="Y36" s="4">
        <v>27</v>
      </c>
      <c r="Z36" s="466">
        <v>324</v>
      </c>
    </row>
    <row r="37" spans="1:26">
      <c r="A37" s="3">
        <v>14</v>
      </c>
      <c r="B37" s="2">
        <v>45193</v>
      </c>
      <c r="C37" s="5" t="s">
        <v>47</v>
      </c>
      <c r="D37" t="s">
        <v>922</v>
      </c>
      <c r="E37" t="s">
        <v>923</v>
      </c>
      <c r="F37" s="16" t="s">
        <v>924</v>
      </c>
      <c r="G37" t="s">
        <v>925</v>
      </c>
      <c r="H37" s="3" t="s">
        <v>862</v>
      </c>
      <c r="I37" t="s">
        <v>926</v>
      </c>
      <c r="J37" s="3" t="s">
        <v>853</v>
      </c>
      <c r="K37" t="s">
        <v>181</v>
      </c>
      <c r="L37" s="4">
        <v>660000</v>
      </c>
      <c r="M37" s="4">
        <v>400000</v>
      </c>
      <c r="N37" s="464">
        <v>0</v>
      </c>
      <c r="O37" s="10">
        <v>0.60606060606060608</v>
      </c>
      <c r="P37" s="4">
        <v>37500</v>
      </c>
      <c r="Q37" s="4">
        <v>437500</v>
      </c>
      <c r="R37" s="465">
        <v>0.66287878787878785</v>
      </c>
      <c r="S37" t="s">
        <v>855</v>
      </c>
      <c r="T37" t="s">
        <v>856</v>
      </c>
      <c r="U37" s="3" t="s">
        <v>826</v>
      </c>
      <c r="V37" s="3" t="s">
        <v>826</v>
      </c>
      <c r="W37" s="3" t="s">
        <v>826</v>
      </c>
      <c r="X37" s="3" t="s">
        <v>23</v>
      </c>
      <c r="Y37" s="4">
        <v>27</v>
      </c>
      <c r="Z37" s="466">
        <v>351</v>
      </c>
    </row>
    <row r="38" spans="1:26">
      <c r="A38" s="3">
        <v>15</v>
      </c>
      <c r="B38" s="2">
        <v>45196</v>
      </c>
      <c r="C38" s="5" t="s">
        <v>41</v>
      </c>
      <c r="D38" t="s">
        <v>847</v>
      </c>
      <c r="E38" t="s">
        <v>848</v>
      </c>
      <c r="F38" s="16" t="s">
        <v>849</v>
      </c>
      <c r="G38" t="s">
        <v>850</v>
      </c>
      <c r="H38" s="3" t="s">
        <v>851</v>
      </c>
      <c r="I38" t="s">
        <v>852</v>
      </c>
      <c r="J38" s="3" t="s">
        <v>853</v>
      </c>
      <c r="K38" t="s">
        <v>854</v>
      </c>
      <c r="L38" s="4">
        <v>620000</v>
      </c>
      <c r="M38" s="4">
        <v>520000</v>
      </c>
      <c r="N38" s="464">
        <v>0</v>
      </c>
      <c r="O38" s="10">
        <v>0.83870967741935487</v>
      </c>
      <c r="P38" s="4">
        <v>27500</v>
      </c>
      <c r="Q38" s="4">
        <v>547500</v>
      </c>
      <c r="R38" s="465">
        <v>0.88306451612903225</v>
      </c>
      <c r="S38" t="s">
        <v>855</v>
      </c>
      <c r="T38" t="s">
        <v>856</v>
      </c>
      <c r="U38" s="3" t="s">
        <v>857</v>
      </c>
      <c r="V38" s="3" t="s">
        <v>826</v>
      </c>
      <c r="W38" s="3" t="s">
        <v>826</v>
      </c>
      <c r="X38" s="3" t="s">
        <v>23</v>
      </c>
      <c r="Y38" s="4">
        <v>27</v>
      </c>
      <c r="Z38" s="466">
        <v>378</v>
      </c>
    </row>
    <row r="39" spans="1:26">
      <c r="A39" s="3">
        <v>16</v>
      </c>
      <c r="B39" s="2">
        <v>45196</v>
      </c>
      <c r="C39" s="5" t="s">
        <v>47</v>
      </c>
      <c r="D39" t="s">
        <v>928</v>
      </c>
      <c r="E39" t="s">
        <v>929</v>
      </c>
      <c r="F39" s="16" t="s">
        <v>930</v>
      </c>
      <c r="G39" t="s">
        <v>931</v>
      </c>
      <c r="H39" s="3" t="s">
        <v>882</v>
      </c>
      <c r="I39" t="s">
        <v>956</v>
      </c>
      <c r="J39" s="3" t="s">
        <v>853</v>
      </c>
      <c r="K39" t="s">
        <v>854</v>
      </c>
      <c r="L39" s="4">
        <v>700000</v>
      </c>
      <c r="M39" s="4">
        <v>270000</v>
      </c>
      <c r="N39" s="464">
        <v>0</v>
      </c>
      <c r="O39" s="10">
        <v>0.38571428571428573</v>
      </c>
      <c r="P39" s="4">
        <v>152500</v>
      </c>
      <c r="Q39" s="4">
        <v>422500</v>
      </c>
      <c r="R39" s="465">
        <v>0.60357142857142854</v>
      </c>
      <c r="S39" t="s">
        <v>855</v>
      </c>
      <c r="T39" t="s">
        <v>856</v>
      </c>
      <c r="U39" s="3" t="s">
        <v>826</v>
      </c>
      <c r="V39" s="3" t="s">
        <v>826</v>
      </c>
      <c r="W39" s="3" t="s">
        <v>826</v>
      </c>
      <c r="X39" s="3" t="s">
        <v>23</v>
      </c>
      <c r="Y39" s="4">
        <v>27</v>
      </c>
      <c r="Z39" s="466">
        <v>405</v>
      </c>
    </row>
    <row r="40" spans="1:26">
      <c r="A40" s="3">
        <v>17</v>
      </c>
      <c r="B40" s="2">
        <v>45196</v>
      </c>
      <c r="C40" s="5" t="s">
        <v>42</v>
      </c>
      <c r="D40" t="s">
        <v>932</v>
      </c>
      <c r="E40" t="s">
        <v>933</v>
      </c>
      <c r="F40" s="16" t="s">
        <v>934</v>
      </c>
      <c r="G40" t="s">
        <v>935</v>
      </c>
      <c r="H40" s="3" t="s">
        <v>851</v>
      </c>
      <c r="I40" t="s">
        <v>936</v>
      </c>
      <c r="J40" s="3" t="s">
        <v>853</v>
      </c>
      <c r="K40" t="s">
        <v>854</v>
      </c>
      <c r="L40" s="4">
        <v>1200000</v>
      </c>
      <c r="M40" s="4">
        <v>340000</v>
      </c>
      <c r="N40" s="27">
        <v>0</v>
      </c>
      <c r="O40" s="10">
        <v>0.28333333333333333</v>
      </c>
      <c r="P40" s="4">
        <v>740000</v>
      </c>
      <c r="Q40" s="4">
        <v>1080000</v>
      </c>
      <c r="R40" s="15">
        <v>0.9</v>
      </c>
      <c r="S40" t="s">
        <v>855</v>
      </c>
      <c r="T40" t="s">
        <v>856</v>
      </c>
      <c r="U40" s="3" t="s">
        <v>826</v>
      </c>
      <c r="V40" s="3" t="s">
        <v>826</v>
      </c>
      <c r="W40" s="3" t="s">
        <v>826</v>
      </c>
      <c r="X40" s="3" t="s">
        <v>23</v>
      </c>
      <c r="Y40" s="4">
        <v>27</v>
      </c>
      <c r="Z40" s="28">
        <v>432</v>
      </c>
    </row>
    <row r="41" spans="1:26">
      <c r="A41" s="3">
        <v>18</v>
      </c>
      <c r="B41" s="2">
        <v>45196</v>
      </c>
      <c r="C41" s="5" t="s">
        <v>40</v>
      </c>
      <c r="D41" t="s">
        <v>939</v>
      </c>
      <c r="E41" t="s">
        <v>940</v>
      </c>
      <c r="F41" s="16" t="s">
        <v>941</v>
      </c>
      <c r="G41" t="s">
        <v>942</v>
      </c>
      <c r="H41" s="3" t="s">
        <v>868</v>
      </c>
      <c r="I41" t="s">
        <v>943</v>
      </c>
      <c r="J41" s="3" t="s">
        <v>853</v>
      </c>
      <c r="K41" t="s">
        <v>854</v>
      </c>
      <c r="L41" s="4">
        <v>820000</v>
      </c>
      <c r="M41" s="4">
        <v>480000</v>
      </c>
      <c r="N41" s="27">
        <v>0</v>
      </c>
      <c r="O41" s="10">
        <v>0.58536585365853655</v>
      </c>
      <c r="P41" s="4">
        <v>85000</v>
      </c>
      <c r="Q41" s="4">
        <v>565000</v>
      </c>
      <c r="R41" s="15">
        <v>0.68902439024390238</v>
      </c>
      <c r="S41" t="s">
        <v>855</v>
      </c>
      <c r="T41" t="s">
        <v>856</v>
      </c>
      <c r="U41" s="3" t="s">
        <v>826</v>
      </c>
      <c r="V41" s="3" t="s">
        <v>857</v>
      </c>
      <c r="W41" s="3" t="s">
        <v>826</v>
      </c>
      <c r="X41" s="3" t="s">
        <v>23</v>
      </c>
      <c r="Y41" s="4">
        <v>27</v>
      </c>
      <c r="Z41" s="28">
        <v>459</v>
      </c>
    </row>
    <row r="42" spans="1:26">
      <c r="A42" s="3">
        <v>19</v>
      </c>
      <c r="B42" s="2">
        <v>45196</v>
      </c>
      <c r="C42" s="5" t="s">
        <v>40</v>
      </c>
      <c r="D42" t="s">
        <v>944</v>
      </c>
      <c r="E42" t="s">
        <v>945</v>
      </c>
      <c r="F42" s="16" t="s">
        <v>946</v>
      </c>
      <c r="G42" t="s">
        <v>947</v>
      </c>
      <c r="H42" s="3" t="s">
        <v>875</v>
      </c>
      <c r="I42" t="s">
        <v>948</v>
      </c>
      <c r="J42" s="3" t="s">
        <v>853</v>
      </c>
      <c r="K42" t="s">
        <v>854</v>
      </c>
      <c r="L42" s="4">
        <v>900000</v>
      </c>
      <c r="M42" s="4">
        <v>560000</v>
      </c>
      <c r="N42" s="27">
        <v>0</v>
      </c>
      <c r="O42" s="10">
        <v>0.62222222222222223</v>
      </c>
      <c r="P42" s="4">
        <v>37500</v>
      </c>
      <c r="Q42" s="4">
        <v>597500</v>
      </c>
      <c r="R42" s="15">
        <v>0.66388888888888886</v>
      </c>
      <c r="S42" t="s">
        <v>855</v>
      </c>
      <c r="T42" t="s">
        <v>856</v>
      </c>
      <c r="U42" s="3" t="s">
        <v>826</v>
      </c>
      <c r="V42" s="3" t="s">
        <v>857</v>
      </c>
      <c r="W42" s="3" t="s">
        <v>826</v>
      </c>
      <c r="X42" s="3" t="s">
        <v>23</v>
      </c>
      <c r="Y42" s="4">
        <v>27</v>
      </c>
      <c r="Z42" s="28">
        <v>486</v>
      </c>
    </row>
    <row r="43" spans="1:26">
      <c r="A43" s="3">
        <v>20</v>
      </c>
      <c r="B43" s="2">
        <v>45196</v>
      </c>
      <c r="C43" s="5" t="s">
        <v>40</v>
      </c>
      <c r="D43" t="s">
        <v>950</v>
      </c>
      <c r="E43" t="s">
        <v>951</v>
      </c>
      <c r="F43" s="16" t="s">
        <v>952</v>
      </c>
      <c r="G43" t="s">
        <v>953</v>
      </c>
      <c r="H43" s="3" t="s">
        <v>868</v>
      </c>
      <c r="I43" t="s">
        <v>954</v>
      </c>
      <c r="J43" s="3" t="s">
        <v>853</v>
      </c>
      <c r="K43" t="s">
        <v>854</v>
      </c>
      <c r="L43" s="4">
        <v>400000</v>
      </c>
      <c r="M43" s="4">
        <v>200000</v>
      </c>
      <c r="N43" s="27">
        <v>0</v>
      </c>
      <c r="O43" s="10">
        <v>0.5</v>
      </c>
      <c r="P43" s="4">
        <v>160000</v>
      </c>
      <c r="Q43" s="4">
        <v>360000</v>
      </c>
      <c r="R43" s="15">
        <v>0.9</v>
      </c>
      <c r="S43" t="s">
        <v>870</v>
      </c>
      <c r="T43" t="s">
        <v>856</v>
      </c>
      <c r="U43" s="3" t="s">
        <v>857</v>
      </c>
      <c r="V43" s="3" t="s">
        <v>826</v>
      </c>
      <c r="W43" s="3" t="s">
        <v>826</v>
      </c>
      <c r="X43" s="3" t="s">
        <v>23</v>
      </c>
      <c r="Y43" s="4">
        <v>27</v>
      </c>
      <c r="Z43" s="28">
        <v>513</v>
      </c>
    </row>
    <row r="44" spans="1:26">
      <c r="A44" s="3">
        <v>21</v>
      </c>
      <c r="B44" s="2">
        <v>45196</v>
      </c>
      <c r="C44" s="5" t="s">
        <v>40</v>
      </c>
      <c r="D44" t="s">
        <v>970</v>
      </c>
      <c r="E44" t="s">
        <v>971</v>
      </c>
      <c r="F44" s="16" t="s">
        <v>972</v>
      </c>
      <c r="G44" t="s">
        <v>973</v>
      </c>
      <c r="H44" s="3" t="s">
        <v>868</v>
      </c>
      <c r="I44" t="s">
        <v>974</v>
      </c>
      <c r="J44" s="3" t="s">
        <v>853</v>
      </c>
      <c r="K44" t="s">
        <v>854</v>
      </c>
      <c r="L44" s="4">
        <v>400000</v>
      </c>
      <c r="M44" s="4">
        <v>258678</v>
      </c>
      <c r="N44" s="27">
        <v>0</v>
      </c>
      <c r="O44" s="10">
        <v>0.64669500000000002</v>
      </c>
      <c r="P44" s="4">
        <v>100000</v>
      </c>
      <c r="Q44" s="4">
        <v>358678</v>
      </c>
      <c r="R44" s="15">
        <v>0.89669500000000002</v>
      </c>
      <c r="S44" t="s">
        <v>855</v>
      </c>
      <c r="T44" t="s">
        <v>856</v>
      </c>
      <c r="U44" s="3" t="s">
        <v>857</v>
      </c>
      <c r="V44" s="3" t="s">
        <v>826</v>
      </c>
      <c r="W44" s="3" t="s">
        <v>826</v>
      </c>
      <c r="X44" s="3" t="s">
        <v>23</v>
      </c>
      <c r="Y44" s="4">
        <v>27</v>
      </c>
      <c r="Z44" s="28">
        <v>540</v>
      </c>
    </row>
    <row r="45" spans="1:26">
      <c r="B45" s="2"/>
      <c r="N45" s="27"/>
      <c r="R45" s="15"/>
      <c r="X45" s="3"/>
      <c r="Z45" s="28"/>
    </row>
    <row r="46" spans="1:26">
      <c r="B46" s="2"/>
      <c r="N46" s="27"/>
      <c r="R46" s="15"/>
      <c r="X46" s="3"/>
      <c r="Z46" s="28"/>
    </row>
    <row r="47" spans="1:26">
      <c r="B47" s="2"/>
      <c r="N47" s="27"/>
      <c r="R47" s="15"/>
      <c r="X47" s="3"/>
      <c r="Z47" s="28"/>
    </row>
    <row r="48" spans="1:26">
      <c r="B48" s="2"/>
      <c r="N48" s="27"/>
      <c r="R48" s="15"/>
      <c r="X48" s="3"/>
      <c r="Z48" s="28"/>
    </row>
    <row r="49" spans="2:26">
      <c r="B49" s="2"/>
      <c r="N49" s="27"/>
      <c r="R49" s="15"/>
      <c r="X49" s="3"/>
      <c r="Z49" s="28"/>
    </row>
    <row r="50" spans="2:26">
      <c r="B50" s="2"/>
      <c r="N50" s="27"/>
      <c r="R50" s="15"/>
      <c r="X50" s="3"/>
      <c r="Z50" s="28"/>
    </row>
    <row r="51" spans="2:26">
      <c r="B51" s="2"/>
      <c r="N51" s="27"/>
      <c r="R51" s="15"/>
      <c r="X51" s="3"/>
      <c r="Z51" s="28"/>
    </row>
    <row r="52" spans="2:26">
      <c r="B52" s="2"/>
      <c r="N52" s="27"/>
      <c r="R52" s="15"/>
      <c r="X52" s="3"/>
      <c r="Z52" s="28"/>
    </row>
    <row r="53" spans="2:26">
      <c r="B53" s="2"/>
      <c r="N53" s="27"/>
      <c r="R53" s="15"/>
      <c r="X53" s="3"/>
      <c r="Z53" s="28"/>
    </row>
    <row r="54" spans="2:26">
      <c r="B54" s="2"/>
      <c r="N54" s="27"/>
      <c r="R54" s="15"/>
      <c r="X54" s="3"/>
      <c r="Z54" s="28"/>
    </row>
    <row r="55" spans="2:26">
      <c r="B55" s="2"/>
      <c r="N55" s="27"/>
      <c r="R55" s="15"/>
      <c r="X55" s="3"/>
      <c r="Z55" s="28"/>
    </row>
    <row r="56" spans="2:26">
      <c r="B56" s="2"/>
      <c r="N56" s="27"/>
      <c r="R56" s="15"/>
      <c r="X56" s="3"/>
      <c r="Z56" s="28"/>
    </row>
    <row r="57" spans="2:26">
      <c r="B57" s="2"/>
      <c r="N57" s="27"/>
      <c r="R57" s="15"/>
      <c r="X57" s="3"/>
      <c r="Z57" s="28"/>
    </row>
    <row r="58" spans="2:26">
      <c r="B58" s="2"/>
      <c r="N58" s="27"/>
      <c r="R58" s="15"/>
      <c r="X58" s="3"/>
      <c r="Z58" s="28"/>
    </row>
    <row r="59" spans="2:26">
      <c r="B59" s="2"/>
      <c r="N59" s="27"/>
      <c r="R59" s="15"/>
      <c r="X59" s="3"/>
      <c r="Z59" s="28"/>
    </row>
    <row r="60" spans="2:26">
      <c r="B60" s="2"/>
      <c r="N60" s="27"/>
      <c r="R60" s="15"/>
      <c r="X60" s="3"/>
      <c r="Z60" s="28"/>
    </row>
    <row r="61" spans="2:26">
      <c r="B61" s="2"/>
      <c r="N61" s="27"/>
      <c r="R61" s="15"/>
      <c r="X61" s="3"/>
      <c r="Z61" s="28"/>
    </row>
    <row r="62" spans="2:26">
      <c r="B62" s="2"/>
      <c r="N62" s="27"/>
      <c r="R62" s="15"/>
      <c r="X62" s="3"/>
      <c r="Z62" s="28"/>
    </row>
    <row r="63" spans="2:26">
      <c r="B63" s="2"/>
      <c r="N63" s="27"/>
      <c r="R63" s="15"/>
      <c r="X63" s="3"/>
      <c r="Z63" s="28"/>
    </row>
    <row r="64" spans="2:26">
      <c r="B64" s="2"/>
      <c r="J64" s="3" t="e">
        <f>-LEADS!D40-LEADS!C40</f>
        <v>#VALUE!</v>
      </c>
      <c r="N64" s="27"/>
      <c r="R64" s="15"/>
      <c r="X64" s="3"/>
      <c r="Z64" s="28"/>
    </row>
    <row r="65" spans="2:26">
      <c r="B65" s="2"/>
      <c r="N65" s="27"/>
      <c r="R65" s="15"/>
      <c r="X65" s="3"/>
      <c r="Z65" s="28"/>
    </row>
    <row r="66" spans="2:26">
      <c r="B66" s="2"/>
      <c r="N66" s="27"/>
      <c r="R66" s="15"/>
      <c r="X66" s="3"/>
      <c r="Z66" s="28"/>
    </row>
    <row r="67" spans="2:26">
      <c r="B67" s="2"/>
      <c r="N67" s="27"/>
      <c r="R67" s="15"/>
      <c r="X67" s="3"/>
      <c r="Z67" s="28"/>
    </row>
    <row r="68" spans="2:26">
      <c r="B68" s="2"/>
      <c r="N68" s="27"/>
      <c r="R68" s="15"/>
      <c r="X68" s="3"/>
      <c r="Z68" s="28"/>
    </row>
    <row r="69" spans="2:26">
      <c r="B69" s="2"/>
      <c r="N69" s="27"/>
      <c r="R69" s="15"/>
      <c r="X69" s="3"/>
      <c r="Z69" s="28"/>
    </row>
    <row r="70" spans="2:26">
      <c r="B70" s="2"/>
      <c r="N70" s="27"/>
      <c r="R70" s="15"/>
      <c r="X70" s="3"/>
      <c r="Z70" s="28"/>
    </row>
    <row r="71" spans="2:26">
      <c r="B71" s="2"/>
      <c r="N71" s="27"/>
      <c r="R71" s="15"/>
      <c r="X71" s="3"/>
      <c r="Z71" s="28"/>
    </row>
    <row r="72" spans="2:26">
      <c r="B72" s="2"/>
      <c r="N72" s="27"/>
      <c r="R72" s="15"/>
      <c r="X72" s="3"/>
      <c r="Z72" s="28"/>
    </row>
    <row r="73" spans="2:26">
      <c r="B73" s="2"/>
      <c r="N73" s="27"/>
      <c r="R73" s="15"/>
      <c r="X73" s="3"/>
      <c r="Z73" s="28"/>
    </row>
    <row r="74" spans="2:26">
      <c r="B74" s="2"/>
      <c r="N74" s="27"/>
      <c r="R74" s="15"/>
      <c r="X74" s="3"/>
      <c r="Z74" s="28"/>
    </row>
    <row r="75" spans="2:26">
      <c r="B75" s="2"/>
      <c r="N75" s="27"/>
      <c r="R75" s="15"/>
      <c r="X75" s="3"/>
      <c r="Z75" s="28"/>
    </row>
    <row r="76" spans="2:26">
      <c r="B76" s="2"/>
      <c r="N76" s="27"/>
      <c r="R76" s="15"/>
      <c r="X76" s="3"/>
      <c r="Z76" s="28"/>
    </row>
    <row r="77" spans="2:26">
      <c r="B77" s="2"/>
      <c r="N77" s="27"/>
      <c r="R77" s="15"/>
      <c r="X77" s="3"/>
      <c r="Z77" s="28"/>
    </row>
    <row r="78" spans="2:26">
      <c r="B78" s="2"/>
      <c r="N78" s="27"/>
      <c r="R78" s="15"/>
      <c r="X78" s="3"/>
      <c r="Z78" s="28"/>
    </row>
    <row r="79" spans="2:26">
      <c r="B79" s="2"/>
      <c r="N79" s="27"/>
      <c r="R79" s="15"/>
      <c r="X79" s="3"/>
      <c r="Z79" s="28"/>
    </row>
    <row r="80" spans="2:26">
      <c r="B80" s="2"/>
      <c r="N80" s="27"/>
      <c r="R80" s="15"/>
      <c r="X80" s="3"/>
      <c r="Z80" s="28"/>
    </row>
    <row r="81" spans="2:26">
      <c r="B81" s="2"/>
      <c r="N81" s="27"/>
      <c r="R81" s="15"/>
      <c r="X81" s="3"/>
      <c r="Z81" s="28"/>
    </row>
    <row r="82" spans="2:26">
      <c r="B82" s="2"/>
      <c r="N82" s="27"/>
      <c r="R82" s="15"/>
      <c r="X82" s="3"/>
      <c r="Z82" s="28"/>
    </row>
    <row r="83" spans="2:26">
      <c r="B83" s="2"/>
      <c r="N83" s="27"/>
      <c r="R83" s="15"/>
      <c r="X83" s="3"/>
      <c r="Z83" s="28"/>
    </row>
    <row r="84" spans="2:26">
      <c r="B84" s="2"/>
      <c r="N84" s="27"/>
      <c r="R84" s="15"/>
      <c r="X84" s="3"/>
      <c r="Z84" s="28"/>
    </row>
    <row r="85" spans="2:26">
      <c r="B85" s="2"/>
      <c r="N85" s="27"/>
      <c r="R85" s="15"/>
      <c r="X85" s="3"/>
      <c r="Z85" s="28"/>
    </row>
    <row r="86" spans="2:26">
      <c r="B86" s="2"/>
      <c r="N86" s="27"/>
      <c r="R86" s="15"/>
      <c r="X86" s="3"/>
      <c r="Z86" s="28"/>
    </row>
    <row r="87" spans="2:26">
      <c r="B87" s="2"/>
      <c r="N87" s="27"/>
      <c r="R87" s="15"/>
      <c r="X87" s="3"/>
      <c r="Z87" s="28"/>
    </row>
    <row r="88" spans="2:26">
      <c r="B88" s="2"/>
      <c r="N88" s="27"/>
      <c r="R88" s="15"/>
      <c r="X88" s="3"/>
      <c r="Z88" s="28"/>
    </row>
    <row r="89" spans="2:26">
      <c r="B89" s="2"/>
      <c r="N89" s="27"/>
      <c r="R89" s="15"/>
      <c r="X89" s="3"/>
      <c r="Z89" s="28"/>
    </row>
    <row r="90" spans="2:26">
      <c r="B90" s="2"/>
      <c r="N90" s="27"/>
      <c r="R90" s="15"/>
      <c r="X90" s="3"/>
      <c r="Z90" s="28"/>
    </row>
    <row r="91" spans="2:26">
      <c r="B91" s="2"/>
      <c r="N91" s="27"/>
      <c r="R91" s="15"/>
      <c r="X91" s="3"/>
      <c r="Z91" s="28"/>
    </row>
    <row r="92" spans="2:26">
      <c r="B92" s="2"/>
      <c r="N92" s="27"/>
      <c r="R92" s="15"/>
      <c r="X92" s="3"/>
      <c r="Z92" s="28"/>
    </row>
    <row r="93" spans="2:26">
      <c r="B93" s="2"/>
      <c r="N93" s="27"/>
      <c r="R93" s="15"/>
      <c r="X93" s="3"/>
      <c r="Z93" s="28"/>
    </row>
    <row r="94" spans="2:26">
      <c r="B94" s="2"/>
      <c r="N94" s="27"/>
      <c r="R94" s="15"/>
      <c r="X94" s="3"/>
      <c r="Z94" s="28"/>
    </row>
    <row r="95" spans="2:26">
      <c r="B95" s="2"/>
      <c r="N95" s="27"/>
      <c r="R95" s="15"/>
      <c r="X95" s="3"/>
      <c r="Z95" s="28"/>
    </row>
    <row r="96" spans="2:26">
      <c r="B96" s="2"/>
      <c r="N96" s="27"/>
      <c r="R96" s="15"/>
      <c r="X96" s="3"/>
      <c r="Z96" s="28"/>
    </row>
    <row r="97" spans="2:26">
      <c r="B97" s="2"/>
      <c r="N97" s="27"/>
      <c r="R97" s="15"/>
      <c r="X97" s="3"/>
      <c r="Z97" s="28"/>
    </row>
    <row r="98" spans="2:26">
      <c r="B98" s="2"/>
      <c r="N98" s="27"/>
      <c r="R98" s="15"/>
      <c r="X98" s="3"/>
      <c r="Z98" s="28"/>
    </row>
    <row r="99" spans="2:26">
      <c r="B99" s="2"/>
      <c r="N99" s="27"/>
      <c r="R99" s="15"/>
      <c r="X99" s="3"/>
      <c r="Z99" s="28"/>
    </row>
    <row r="100" spans="2:26">
      <c r="B100" s="2"/>
      <c r="N100" s="27"/>
      <c r="R100" s="15"/>
      <c r="X100" s="3"/>
      <c r="Z100" s="28"/>
    </row>
    <row r="101" spans="2:26">
      <c r="B101" s="2"/>
      <c r="N101" s="27"/>
      <c r="R101" s="15"/>
      <c r="X101" s="3"/>
      <c r="Z101" s="28"/>
    </row>
    <row r="102" spans="2:26">
      <c r="B102" s="2"/>
      <c r="N102" s="27"/>
      <c r="R102" s="15"/>
      <c r="X102" s="3"/>
      <c r="Z102" s="28"/>
    </row>
    <row r="103" spans="2:26">
      <c r="B103" s="2"/>
      <c r="N103" s="27"/>
      <c r="R103" s="15"/>
      <c r="X103" s="3"/>
      <c r="Z103" s="28"/>
    </row>
    <row r="104" spans="2:26">
      <c r="B104" s="2"/>
      <c r="N104" s="27"/>
      <c r="R104" s="15"/>
      <c r="X104" s="3"/>
      <c r="Z104" s="28"/>
    </row>
    <row r="105" spans="2:26">
      <c r="B105" s="2"/>
      <c r="N105" s="27"/>
      <c r="R105" s="15"/>
      <c r="X105" s="3"/>
      <c r="Z105" s="28"/>
    </row>
    <row r="106" spans="2:26">
      <c r="B106" s="2"/>
      <c r="N106" s="27"/>
      <c r="R106" s="15"/>
      <c r="X106" s="3"/>
      <c r="Z106" s="28"/>
    </row>
    <row r="107" spans="2:26">
      <c r="B107" s="2"/>
      <c r="N107" s="27"/>
      <c r="R107" s="15"/>
      <c r="X107" s="3"/>
      <c r="Z107" s="28"/>
    </row>
    <row r="108" spans="2:26">
      <c r="B108" s="2"/>
      <c r="N108" s="27"/>
      <c r="R108" s="15"/>
      <c r="X108" s="3"/>
      <c r="Z108" s="28"/>
    </row>
    <row r="109" spans="2:26">
      <c r="B109" s="2"/>
      <c r="N109" s="27"/>
      <c r="R109" s="15"/>
      <c r="X109" s="3"/>
      <c r="Z109" s="28"/>
    </row>
    <row r="110" spans="2:26">
      <c r="B110" s="2"/>
      <c r="N110" s="27"/>
      <c r="R110" s="15"/>
      <c r="X110" s="3"/>
      <c r="Z110" s="28"/>
    </row>
    <row r="111" spans="2:26">
      <c r="B111" s="2"/>
      <c r="N111" s="27"/>
      <c r="R111" s="15"/>
      <c r="X111" s="3"/>
      <c r="Z111" s="28"/>
    </row>
    <row r="112" spans="2:26">
      <c r="B112" s="2"/>
      <c r="N112" s="27"/>
      <c r="R112" s="15"/>
      <c r="X112" s="3"/>
      <c r="Z112" s="28"/>
    </row>
    <row r="113" spans="2:26">
      <c r="B113" s="2"/>
      <c r="N113" s="27"/>
      <c r="R113" s="15"/>
      <c r="X113" s="3"/>
      <c r="Z113" s="28"/>
    </row>
    <row r="114" spans="2:26">
      <c r="B114" s="2"/>
      <c r="N114" s="27"/>
      <c r="R114" s="15"/>
      <c r="X114" s="3"/>
      <c r="Z114" s="28"/>
    </row>
    <row r="115" spans="2:26">
      <c r="B115" s="2"/>
      <c r="N115" s="27"/>
      <c r="R115" s="15"/>
      <c r="X115" s="3"/>
      <c r="Z115" s="28"/>
    </row>
    <row r="116" spans="2:26">
      <c r="B116" s="2"/>
      <c r="N116" s="27"/>
      <c r="R116" s="15"/>
      <c r="X116" s="3"/>
      <c r="Z116" s="28"/>
    </row>
    <row r="117" spans="2:26">
      <c r="B117" s="2"/>
      <c r="N117" s="27"/>
      <c r="R117" s="15"/>
      <c r="X117" s="3"/>
      <c r="Z117" s="28"/>
    </row>
    <row r="118" spans="2:26">
      <c r="B118" s="2"/>
      <c r="N118" s="27"/>
      <c r="R118" s="15"/>
      <c r="X118" s="3"/>
      <c r="Z118" s="28"/>
    </row>
    <row r="119" spans="2:26">
      <c r="B119" s="2"/>
      <c r="N119" s="27"/>
      <c r="R119" s="15"/>
      <c r="X119" s="3"/>
      <c r="Z119" s="28"/>
    </row>
    <row r="120" spans="2:26">
      <c r="B120" s="2"/>
      <c r="N120" s="27"/>
      <c r="R120" s="15"/>
      <c r="X120" s="3"/>
      <c r="Z120" s="28"/>
    </row>
    <row r="121" spans="2:26">
      <c r="B121" s="2"/>
      <c r="N121" s="27"/>
      <c r="R121" s="15"/>
      <c r="X121" s="3"/>
      <c r="Z121" s="28"/>
    </row>
    <row r="122" spans="2:26">
      <c r="B122" s="2"/>
      <c r="N122" s="27"/>
      <c r="R122" s="15"/>
      <c r="X122" s="3"/>
      <c r="Z122" s="28"/>
    </row>
    <row r="123" spans="2:26">
      <c r="B123" s="2"/>
      <c r="N123" s="27"/>
      <c r="R123" s="15"/>
      <c r="X123" s="3"/>
      <c r="Z123" s="28"/>
    </row>
    <row r="124" spans="2:26">
      <c r="B124" s="2"/>
      <c r="N124" s="27"/>
      <c r="R124" s="15"/>
      <c r="X124" s="3"/>
      <c r="Z124" s="28"/>
    </row>
    <row r="125" spans="2:26">
      <c r="B125" s="2"/>
      <c r="N125" s="27"/>
      <c r="R125" s="15"/>
      <c r="X125" s="3"/>
      <c r="Z125" s="28"/>
    </row>
    <row r="126" spans="2:26">
      <c r="B126" s="2"/>
      <c r="N126" s="27"/>
      <c r="R126" s="15"/>
      <c r="X126" s="3"/>
      <c r="Z126" s="28"/>
    </row>
    <row r="127" spans="2:26">
      <c r="B127" s="2"/>
      <c r="N127" s="27"/>
      <c r="R127" s="15"/>
      <c r="X127" s="3"/>
      <c r="Z127" s="28"/>
    </row>
    <row r="128" spans="2:26">
      <c r="B128" s="2"/>
      <c r="N128" s="27"/>
      <c r="R128" s="15"/>
      <c r="X128" s="3"/>
      <c r="Z128" s="28"/>
    </row>
    <row r="129" spans="2:26">
      <c r="B129" s="2"/>
      <c r="N129" s="27"/>
      <c r="R129" s="15"/>
      <c r="X129" s="3"/>
      <c r="Z129" s="28"/>
    </row>
    <row r="130" spans="2:26">
      <c r="B130" s="2"/>
      <c r="N130" s="27"/>
      <c r="R130" s="15"/>
      <c r="X130" s="3"/>
      <c r="Z130" s="28"/>
    </row>
    <row r="131" spans="2:26">
      <c r="B131" s="2"/>
      <c r="N131" s="27"/>
      <c r="R131" s="15"/>
      <c r="X131" s="3"/>
      <c r="Z131" s="28"/>
    </row>
    <row r="132" spans="2:26">
      <c r="B132" s="2"/>
      <c r="N132" s="27"/>
      <c r="R132" s="15"/>
      <c r="X132" s="3"/>
      <c r="Z132" s="28"/>
    </row>
    <row r="133" spans="2:26">
      <c r="B133" s="2"/>
      <c r="N133" s="27"/>
      <c r="R133" s="15"/>
      <c r="X133" s="3"/>
      <c r="Z133" s="28"/>
    </row>
    <row r="134" spans="2:26">
      <c r="B134" s="2"/>
      <c r="N134" s="27"/>
      <c r="R134" s="15"/>
      <c r="X134" s="3"/>
      <c r="Z134" s="28"/>
    </row>
    <row r="135" spans="2:26">
      <c r="B135" s="2"/>
      <c r="N135" s="27"/>
      <c r="R135" s="15"/>
      <c r="X135" s="3"/>
      <c r="Z135" s="28"/>
    </row>
    <row r="136" spans="2:26">
      <c r="B136" s="2"/>
      <c r="N136" s="27"/>
      <c r="R136" s="15"/>
      <c r="X136" s="3"/>
      <c r="Z136" s="28"/>
    </row>
    <row r="137" spans="2:26">
      <c r="B137" s="2"/>
      <c r="N137" s="27"/>
      <c r="R137" s="15"/>
      <c r="X137" s="3"/>
      <c r="Z137" s="28"/>
    </row>
    <row r="138" spans="2:26">
      <c r="B138" s="2"/>
      <c r="N138" s="27"/>
      <c r="R138" s="15"/>
      <c r="X138" s="3"/>
      <c r="Z138" s="28"/>
    </row>
    <row r="139" spans="2:26">
      <c r="B139" s="2"/>
      <c r="N139" s="27"/>
      <c r="R139" s="15"/>
      <c r="X139" s="3"/>
      <c r="Z139" s="28"/>
    </row>
    <row r="140" spans="2:26">
      <c r="B140" s="2"/>
      <c r="N140" s="27"/>
      <c r="R140" s="15"/>
      <c r="X140" s="3"/>
      <c r="Z140" s="28"/>
    </row>
    <row r="141" spans="2:26">
      <c r="B141" s="2"/>
      <c r="N141" s="27"/>
      <c r="R141" s="15"/>
      <c r="X141" s="3"/>
      <c r="Z141" s="28"/>
    </row>
    <row r="142" spans="2:26">
      <c r="B142" s="2"/>
      <c r="N142" s="27"/>
      <c r="R142" s="15"/>
      <c r="X142" s="3"/>
      <c r="Z142" s="28"/>
    </row>
    <row r="143" spans="2:26">
      <c r="B143" s="2"/>
      <c r="N143" s="27"/>
      <c r="R143" s="15"/>
      <c r="X143" s="3"/>
      <c r="Z143" s="28"/>
    </row>
    <row r="144" spans="2:26">
      <c r="B144" s="2"/>
      <c r="N144" s="27"/>
      <c r="R144" s="15"/>
      <c r="X144" s="3"/>
      <c r="Z144" s="28"/>
    </row>
    <row r="145" spans="2:26">
      <c r="B145" s="2"/>
      <c r="N145" s="27"/>
      <c r="R145" s="15"/>
      <c r="X145" s="3"/>
      <c r="Z145" s="28"/>
    </row>
    <row r="146" spans="2:26">
      <c r="B146" s="2"/>
      <c r="N146" s="27"/>
      <c r="R146" s="15"/>
      <c r="X146" s="3"/>
      <c r="Z146" s="28"/>
    </row>
    <row r="147" spans="2:26">
      <c r="B147" s="2"/>
      <c r="N147" s="27"/>
      <c r="R147" s="15"/>
      <c r="X147" s="3"/>
      <c r="Z147" s="28"/>
    </row>
    <row r="148" spans="2:26">
      <c r="B148" s="2"/>
      <c r="N148" s="27"/>
      <c r="R148" s="15"/>
      <c r="X148" s="3"/>
      <c r="Z148" s="28"/>
    </row>
    <row r="149" spans="2:26">
      <c r="B149" s="2"/>
      <c r="N149" s="27"/>
      <c r="R149" s="15"/>
      <c r="X149" s="3"/>
      <c r="Z149" s="28"/>
    </row>
    <row r="150" spans="2:26">
      <c r="B150" s="2"/>
      <c r="N150" s="27"/>
      <c r="R150" s="15"/>
      <c r="X150" s="3"/>
      <c r="Z150" s="28"/>
    </row>
    <row r="151" spans="2:26">
      <c r="B151" s="2"/>
      <c r="N151" s="27"/>
      <c r="R151" s="15"/>
      <c r="X151" s="3"/>
      <c r="Z151" s="28"/>
    </row>
    <row r="152" spans="2:26">
      <c r="B152" s="2"/>
      <c r="N152" s="27"/>
      <c r="R152" s="15"/>
      <c r="X152" s="3"/>
      <c r="Z152" s="28"/>
    </row>
    <row r="153" spans="2:26">
      <c r="B153" s="2"/>
      <c r="N153" s="27"/>
      <c r="R153" s="15"/>
      <c r="X153" s="3"/>
      <c r="Z153" s="28"/>
    </row>
    <row r="154" spans="2:26">
      <c r="B154" s="2"/>
      <c r="N154" s="27"/>
      <c r="R154" s="15"/>
      <c r="X154" s="3"/>
      <c r="Z154" s="28"/>
    </row>
    <row r="155" spans="2:26">
      <c r="B155" s="2"/>
      <c r="N155" s="27"/>
      <c r="R155" s="15"/>
      <c r="X155" s="3"/>
      <c r="Z155" s="28"/>
    </row>
    <row r="156" spans="2:26">
      <c r="B156" s="2"/>
      <c r="N156" s="27"/>
      <c r="R156" s="15"/>
      <c r="X156" s="3"/>
      <c r="Z156" s="28"/>
    </row>
    <row r="157" spans="2:26">
      <c r="B157" s="2"/>
      <c r="N157" s="27"/>
      <c r="R157" s="15"/>
      <c r="X157" s="3"/>
      <c r="Z157" s="28"/>
    </row>
    <row r="158" spans="2:26">
      <c r="B158" s="2"/>
      <c r="N158" s="27"/>
      <c r="R158" s="15"/>
      <c r="X158" s="3"/>
      <c r="Z158" s="28"/>
    </row>
    <row r="159" spans="2:26">
      <c r="B159" s="2"/>
      <c r="N159" s="27"/>
      <c r="R159" s="15"/>
      <c r="X159" s="3"/>
      <c r="Z159" s="28"/>
    </row>
    <row r="160" spans="2:26">
      <c r="B160" s="2"/>
      <c r="N160" s="27"/>
      <c r="R160" s="15"/>
      <c r="X160" s="3"/>
      <c r="Z160" s="28"/>
    </row>
    <row r="161" spans="2:26">
      <c r="B161" s="2"/>
      <c r="N161" s="27"/>
      <c r="R161" s="15"/>
      <c r="X161" s="3"/>
      <c r="Z161" s="28"/>
    </row>
    <row r="162" spans="2:26">
      <c r="B162" s="2"/>
      <c r="N162" s="27"/>
      <c r="R162" s="15"/>
      <c r="X162" s="3"/>
      <c r="Z162" s="28"/>
    </row>
    <row r="163" spans="2:26">
      <c r="B163" s="2"/>
      <c r="N163" s="27"/>
      <c r="R163" s="15"/>
      <c r="X163" s="3"/>
      <c r="Z163" s="28"/>
    </row>
    <row r="164" spans="2:26">
      <c r="B164" s="2"/>
      <c r="N164" s="27"/>
      <c r="R164" s="15"/>
      <c r="X164" s="3"/>
      <c r="Z164" s="28"/>
    </row>
    <row r="165" spans="2:26">
      <c r="B165" s="2"/>
      <c r="N165" s="27"/>
      <c r="R165" s="15"/>
      <c r="X165" s="3"/>
      <c r="Z165" s="28"/>
    </row>
    <row r="166" spans="2:26">
      <c r="B166" s="2"/>
      <c r="N166" s="27"/>
      <c r="R166" s="15"/>
      <c r="X166" s="3"/>
      <c r="Z166" s="28"/>
    </row>
    <row r="167" spans="2:26">
      <c r="B167" s="2"/>
      <c r="N167" s="27"/>
      <c r="R167" s="15"/>
      <c r="X167" s="3"/>
      <c r="Z167" s="28"/>
    </row>
    <row r="168" spans="2:26">
      <c r="B168" s="2"/>
      <c r="N168" s="27"/>
      <c r="R168" s="15"/>
      <c r="X168" s="3"/>
      <c r="Z168" s="28"/>
    </row>
    <row r="169" spans="2:26">
      <c r="B169" s="2"/>
      <c r="N169" s="27"/>
      <c r="R169" s="15"/>
      <c r="X169" s="3"/>
      <c r="Z169" s="28"/>
    </row>
    <row r="170" spans="2:26">
      <c r="B170" s="2"/>
      <c r="N170" s="27"/>
      <c r="R170" s="15"/>
      <c r="X170" s="3"/>
      <c r="Z170" s="28"/>
    </row>
    <row r="171" spans="2:26">
      <c r="B171" s="2"/>
      <c r="N171" s="27"/>
      <c r="R171" s="15"/>
      <c r="X171" s="3"/>
      <c r="Z171" s="28"/>
    </row>
    <row r="172" spans="2:26">
      <c r="B172" s="2"/>
      <c r="N172" s="27"/>
      <c r="R172" s="15"/>
      <c r="X172" s="3"/>
      <c r="Z172" s="28"/>
    </row>
    <row r="173" spans="2:26">
      <c r="B173" s="2"/>
      <c r="N173" s="27"/>
      <c r="R173" s="15"/>
      <c r="X173" s="3"/>
      <c r="Z173" s="28"/>
    </row>
    <row r="174" spans="2:26">
      <c r="B174" s="2"/>
      <c r="N174" s="27"/>
      <c r="R174" s="15"/>
      <c r="X174" s="3"/>
      <c r="Z174" s="28"/>
    </row>
    <row r="175" spans="2:26">
      <c r="B175" s="2"/>
      <c r="N175" s="27"/>
      <c r="R175" s="15"/>
      <c r="X175" s="3"/>
      <c r="Z175" s="28"/>
    </row>
    <row r="176" spans="2:26">
      <c r="B176" s="2"/>
      <c r="N176" s="27"/>
      <c r="R176" s="15"/>
      <c r="X176" s="3"/>
      <c r="Z176" s="28"/>
    </row>
    <row r="177" spans="2:26">
      <c r="B177" s="2"/>
      <c r="N177" s="27"/>
      <c r="R177" s="15"/>
      <c r="X177" s="3"/>
      <c r="Z177" s="28"/>
    </row>
    <row r="178" spans="2:26">
      <c r="B178" s="2"/>
      <c r="N178" s="27"/>
      <c r="R178" s="15"/>
      <c r="X178" s="3"/>
      <c r="Z178" s="28"/>
    </row>
    <row r="179" spans="2:26">
      <c r="B179" s="2"/>
      <c r="N179" s="27"/>
      <c r="R179" s="15"/>
      <c r="X179" s="3"/>
      <c r="Z179" s="28"/>
    </row>
    <row r="180" spans="2:26">
      <c r="B180" s="2"/>
      <c r="N180" s="27"/>
      <c r="R180" s="15"/>
      <c r="X180" s="3"/>
      <c r="Z180" s="28"/>
    </row>
    <row r="181" spans="2:26">
      <c r="B181" s="2"/>
      <c r="N181" s="27"/>
      <c r="R181" s="15"/>
      <c r="X181" s="3"/>
      <c r="Z181" s="28"/>
    </row>
    <row r="182" spans="2:26">
      <c r="B182" s="2"/>
      <c r="N182" s="27"/>
      <c r="R182" s="15"/>
      <c r="X182" s="3"/>
      <c r="Z182" s="28"/>
    </row>
    <row r="183" spans="2:26">
      <c r="B183" s="2"/>
      <c r="N183" s="27"/>
      <c r="R183" s="15"/>
      <c r="X183" s="3"/>
      <c r="Z183" s="28"/>
    </row>
    <row r="184" spans="2:26">
      <c r="B184" s="2"/>
      <c r="N184" s="27"/>
      <c r="R184" s="15"/>
      <c r="X184" s="3"/>
      <c r="Z184" s="28"/>
    </row>
    <row r="185" spans="2:26">
      <c r="B185" s="2"/>
      <c r="N185" s="27"/>
      <c r="R185" s="15"/>
      <c r="X185" s="3"/>
      <c r="Z185" s="28"/>
    </row>
    <row r="186" spans="2:26">
      <c r="B186" s="2"/>
      <c r="N186" s="27"/>
      <c r="R186" s="15"/>
      <c r="X186" s="3"/>
      <c r="Z186" s="28"/>
    </row>
    <row r="187" spans="2:26">
      <c r="B187" s="2"/>
      <c r="N187" s="27"/>
      <c r="R187" s="15"/>
      <c r="X187" s="3"/>
      <c r="Z187" s="28"/>
    </row>
    <row r="188" spans="2:26">
      <c r="B188" s="2"/>
      <c r="N188" s="27"/>
      <c r="R188" s="15"/>
      <c r="X188" s="3"/>
      <c r="Z188" s="28"/>
    </row>
    <row r="189" spans="2:26">
      <c r="B189" s="2"/>
      <c r="N189" s="27"/>
      <c r="R189" s="15"/>
      <c r="X189" s="3"/>
      <c r="Z189" s="28"/>
    </row>
    <row r="190" spans="2:26">
      <c r="B190" s="2"/>
      <c r="N190" s="27"/>
      <c r="R190" s="15"/>
      <c r="X190" s="3"/>
      <c r="Z190" s="28"/>
    </row>
    <row r="191" spans="2:26">
      <c r="B191" s="2"/>
      <c r="N191" s="27"/>
      <c r="R191" s="15"/>
      <c r="X191" s="3"/>
      <c r="Z191" s="28"/>
    </row>
    <row r="192" spans="2:26">
      <c r="B192" s="2"/>
      <c r="N192" s="27"/>
      <c r="R192" s="15"/>
      <c r="X192" s="3"/>
      <c r="Z192" s="28"/>
    </row>
    <row r="193" spans="2:26">
      <c r="B193" s="2"/>
      <c r="N193" s="27"/>
      <c r="R193" s="15"/>
      <c r="X193" s="3"/>
      <c r="Z193" s="28"/>
    </row>
    <row r="194" spans="2:26">
      <c r="B194" s="2"/>
      <c r="N194" s="27"/>
      <c r="R194" s="15"/>
      <c r="X194" s="3"/>
      <c r="Z194" s="28"/>
    </row>
    <row r="195" spans="2:26">
      <c r="B195" s="2"/>
      <c r="N195" s="27"/>
      <c r="R195" s="15"/>
      <c r="X195" s="3"/>
      <c r="Z195" s="28"/>
    </row>
    <row r="196" spans="2:26">
      <c r="B196" s="2"/>
      <c r="N196" s="27"/>
      <c r="R196" s="15"/>
      <c r="X196" s="3"/>
      <c r="Z196" s="28"/>
    </row>
    <row r="197" spans="2:26">
      <c r="B197" s="2"/>
      <c r="N197" s="27"/>
      <c r="R197" s="15"/>
      <c r="X197" s="3"/>
      <c r="Z197" s="28"/>
    </row>
    <row r="198" spans="2:26">
      <c r="B198" s="2"/>
      <c r="N198" s="27"/>
      <c r="R198" s="15"/>
      <c r="X198" s="3"/>
      <c r="Z198" s="28"/>
    </row>
    <row r="199" spans="2:26">
      <c r="B199" s="2"/>
      <c r="N199" s="27"/>
      <c r="R199" s="15"/>
      <c r="X199" s="3"/>
      <c r="Z199" s="28"/>
    </row>
    <row r="200" spans="2:26">
      <c r="B200" s="2"/>
      <c r="N200" s="27"/>
      <c r="R200" s="15"/>
      <c r="X200" s="3"/>
      <c r="Z200" s="28"/>
    </row>
    <row r="201" spans="2:26">
      <c r="B201" s="2"/>
      <c r="N201" s="27"/>
      <c r="R201" s="15"/>
      <c r="X201" s="3"/>
      <c r="Z201" s="28"/>
    </row>
    <row r="202" spans="2:26">
      <c r="B202" s="2"/>
      <c r="N202" s="27"/>
      <c r="R202" s="15"/>
      <c r="X202" s="3"/>
      <c r="Z202" s="28"/>
    </row>
    <row r="203" spans="2:26">
      <c r="B203" s="2"/>
      <c r="N203" s="27"/>
      <c r="R203" s="15"/>
      <c r="X203" s="3"/>
      <c r="Z203" s="28"/>
    </row>
    <row r="204" spans="2:26">
      <c r="B204" s="2"/>
      <c r="N204" s="27"/>
      <c r="R204" s="15"/>
      <c r="X204" s="3"/>
      <c r="Z204" s="28"/>
    </row>
    <row r="205" spans="2:26">
      <c r="B205" s="2"/>
      <c r="N205" s="27"/>
      <c r="R205" s="15"/>
      <c r="X205" s="3"/>
      <c r="Z205" s="28"/>
    </row>
    <row r="206" spans="2:26">
      <c r="B206" s="2"/>
      <c r="N206" s="27"/>
      <c r="R206" s="15"/>
      <c r="X206" s="3"/>
      <c r="Z206" s="28"/>
    </row>
    <row r="207" spans="2:26">
      <c r="B207" s="2"/>
      <c r="N207" s="27"/>
      <c r="R207" s="15"/>
      <c r="X207" s="3"/>
      <c r="Z207" s="28"/>
    </row>
    <row r="208" spans="2:26">
      <c r="B208" s="2"/>
      <c r="N208" s="27"/>
      <c r="R208" s="15"/>
      <c r="X208" s="3"/>
      <c r="Z208" s="28"/>
    </row>
    <row r="209" spans="2:26">
      <c r="B209" s="2"/>
      <c r="N209" s="27"/>
      <c r="R209" s="15"/>
      <c r="X209" s="3"/>
      <c r="Z209" s="28"/>
    </row>
    <row r="210" spans="2:26">
      <c r="B210" s="2"/>
      <c r="N210" s="27"/>
      <c r="R210" s="15"/>
      <c r="X210" s="3"/>
      <c r="Z210" s="28"/>
    </row>
    <row r="211" spans="2:26">
      <c r="B211" s="2"/>
      <c r="N211" s="27"/>
      <c r="R211" s="15"/>
      <c r="X211" s="3"/>
      <c r="Z211" s="28"/>
    </row>
    <row r="212" spans="2:26">
      <c r="B212" s="2"/>
      <c r="N212" s="27"/>
      <c r="R212" s="15"/>
      <c r="X212" s="3"/>
      <c r="Z212" s="28"/>
    </row>
    <row r="213" spans="2:26">
      <c r="B213" s="2"/>
      <c r="N213" s="27"/>
      <c r="R213" s="15"/>
      <c r="X213" s="3"/>
      <c r="Z213" s="28"/>
    </row>
    <row r="214" spans="2:26">
      <c r="B214" s="2"/>
      <c r="N214" s="27"/>
      <c r="R214" s="15"/>
      <c r="X214" s="3"/>
      <c r="Z214" s="28"/>
    </row>
    <row r="215" spans="2:26">
      <c r="B215" s="2"/>
      <c r="N215" s="27"/>
      <c r="R215" s="15"/>
      <c r="X215" s="3"/>
      <c r="Z215" s="28"/>
    </row>
    <row r="216" spans="2:26">
      <c r="B216" s="2"/>
      <c r="N216" s="27"/>
      <c r="R216" s="15"/>
      <c r="X216" s="3"/>
      <c r="Z216" s="28"/>
    </row>
    <row r="217" spans="2:26">
      <c r="B217" s="2"/>
      <c r="N217" s="27"/>
      <c r="R217" s="15"/>
      <c r="X217" s="3"/>
      <c r="Z217" s="28"/>
    </row>
    <row r="218" spans="2:26">
      <c r="B218" s="2"/>
      <c r="N218" s="27"/>
      <c r="R218" s="15"/>
      <c r="X218" s="3"/>
      <c r="Z218" s="28"/>
    </row>
    <row r="219" spans="2:26">
      <c r="B219" s="2"/>
      <c r="N219" s="27"/>
      <c r="R219" s="15"/>
      <c r="X219" s="3"/>
      <c r="Z219" s="28"/>
    </row>
    <row r="220" spans="2:26">
      <c r="B220" s="2"/>
      <c r="N220" s="27"/>
      <c r="R220" s="15"/>
      <c r="X220" s="3"/>
      <c r="Z220" s="28"/>
    </row>
    <row r="221" spans="2:26">
      <c r="B221" s="2"/>
      <c r="N221" s="27"/>
      <c r="R221" s="15"/>
      <c r="X221" s="3"/>
      <c r="Z221" s="28"/>
    </row>
    <row r="222" spans="2:26">
      <c r="B222" s="2"/>
      <c r="N222" s="27"/>
      <c r="R222" s="15"/>
      <c r="X222" s="3"/>
      <c r="Z222" s="28"/>
    </row>
    <row r="223" spans="2:26">
      <c r="B223" s="2"/>
      <c r="N223" s="27"/>
      <c r="R223" s="15"/>
      <c r="X223" s="3"/>
      <c r="Z223" s="28"/>
    </row>
    <row r="224" spans="2:26">
      <c r="B224" s="2"/>
      <c r="N224" s="27"/>
      <c r="R224" s="15"/>
      <c r="X224" s="3"/>
      <c r="Z224" s="28"/>
    </row>
    <row r="225" spans="2:26">
      <c r="B225" s="2"/>
      <c r="N225" s="27"/>
      <c r="R225" s="15"/>
      <c r="X225" s="3"/>
      <c r="Z225" s="28"/>
    </row>
    <row r="226" spans="2:26">
      <c r="B226" s="2"/>
      <c r="N226" s="27"/>
      <c r="R226" s="15"/>
      <c r="X226" s="3"/>
      <c r="Z226" s="28"/>
    </row>
    <row r="227" spans="2:26">
      <c r="B227" s="2"/>
      <c r="N227" s="27"/>
      <c r="R227" s="15"/>
      <c r="X227" s="3"/>
      <c r="Z227" s="28"/>
    </row>
    <row r="228" spans="2:26">
      <c r="B228" s="2"/>
      <c r="N228" s="27"/>
      <c r="R228" s="15"/>
      <c r="X228" s="3"/>
      <c r="Z228" s="28"/>
    </row>
    <row r="229" spans="2:26">
      <c r="B229" s="2"/>
      <c r="N229" s="27"/>
      <c r="R229" s="15"/>
      <c r="X229" s="3"/>
      <c r="Z229" s="28"/>
    </row>
    <row r="230" spans="2:26">
      <c r="B230" s="2"/>
      <c r="N230" s="27"/>
      <c r="R230" s="15"/>
      <c r="X230" s="3"/>
      <c r="Z230" s="28"/>
    </row>
    <row r="231" spans="2:26">
      <c r="B231" s="2"/>
      <c r="N231" s="27"/>
      <c r="R231" s="15"/>
      <c r="X231" s="3"/>
      <c r="Z231" s="28"/>
    </row>
    <row r="232" spans="2:26">
      <c r="B232" s="2"/>
      <c r="N232" s="27"/>
      <c r="R232" s="15"/>
      <c r="X232" s="3"/>
      <c r="Z232" s="28"/>
    </row>
    <row r="233" spans="2:26">
      <c r="B233" s="2"/>
      <c r="N233" s="27"/>
      <c r="R233" s="15"/>
      <c r="X233" s="3"/>
      <c r="Z233" s="28"/>
    </row>
    <row r="234" spans="2:26">
      <c r="B234" s="2"/>
      <c r="N234" s="27"/>
      <c r="R234" s="15"/>
      <c r="X234" s="3"/>
      <c r="Z234" s="28"/>
    </row>
    <row r="235" spans="2:26">
      <c r="B235" s="2"/>
      <c r="N235" s="27"/>
      <c r="R235" s="15"/>
      <c r="X235" s="3"/>
      <c r="Z235" s="28"/>
    </row>
    <row r="236" spans="2:26">
      <c r="B236" s="2"/>
      <c r="N236" s="27"/>
      <c r="R236" s="15"/>
      <c r="X236" s="3"/>
      <c r="Z236" s="28"/>
    </row>
    <row r="237" spans="2:26">
      <c r="B237" s="2"/>
      <c r="N237" s="27"/>
      <c r="R237" s="15"/>
      <c r="X237" s="3"/>
      <c r="Z237" s="28"/>
    </row>
    <row r="238" spans="2:26">
      <c r="B238" s="2"/>
      <c r="N238" s="27"/>
      <c r="R238" s="15"/>
      <c r="X238" s="3"/>
      <c r="Z238" s="28"/>
    </row>
    <row r="239" spans="2:26">
      <c r="B239" s="2"/>
      <c r="N239" s="27"/>
      <c r="R239" s="15"/>
      <c r="X239" s="3"/>
      <c r="Z239" s="28"/>
    </row>
    <row r="240" spans="2:26">
      <c r="B240" s="2"/>
      <c r="N240" s="27"/>
      <c r="R240" s="15"/>
      <c r="X240" s="3"/>
      <c r="Z240" s="28"/>
    </row>
    <row r="241" spans="2:26">
      <c r="B241" s="2"/>
      <c r="N241" s="27"/>
      <c r="R241" s="15"/>
      <c r="X241" s="3"/>
      <c r="Z241" s="28"/>
    </row>
    <row r="242" spans="2:26">
      <c r="B242" s="2"/>
      <c r="N242" s="27"/>
      <c r="R242" s="15"/>
      <c r="X242" s="3"/>
      <c r="Z242" s="28"/>
    </row>
    <row r="243" spans="2:26">
      <c r="B243" s="2"/>
      <c r="N243" s="27"/>
      <c r="R243" s="15"/>
      <c r="X243" s="3"/>
      <c r="Z243" s="28"/>
    </row>
    <row r="244" spans="2:26">
      <c r="B244" s="2"/>
      <c r="N244" s="27"/>
      <c r="R244" s="15"/>
      <c r="X244" s="3"/>
      <c r="Z244" s="28"/>
    </row>
    <row r="245" spans="2:26">
      <c r="B245" s="2"/>
      <c r="N245" s="27"/>
      <c r="R245" s="15"/>
      <c r="X245" s="3"/>
      <c r="Z245" s="28"/>
    </row>
    <row r="246" spans="2:26">
      <c r="B246" s="2"/>
      <c r="N246" s="27"/>
      <c r="R246" s="15"/>
      <c r="X246" s="3"/>
      <c r="Z246" s="28"/>
    </row>
    <row r="247" spans="2:26">
      <c r="B247" s="2"/>
      <c r="N247" s="27"/>
      <c r="R247" s="15"/>
      <c r="X247" s="3"/>
      <c r="Z247" s="28"/>
    </row>
    <row r="248" spans="2:26">
      <c r="B248" s="2"/>
      <c r="N248" s="27"/>
      <c r="R248" s="15"/>
      <c r="X248" s="3"/>
      <c r="Z248" s="28"/>
    </row>
    <row r="249" spans="2:26">
      <c r="B249" s="2"/>
      <c r="N249" s="27"/>
      <c r="R249" s="15"/>
      <c r="X249" s="3"/>
      <c r="Z249" s="28"/>
    </row>
    <row r="250" spans="2:26">
      <c r="B250" s="2"/>
      <c r="N250" s="27"/>
      <c r="R250" s="15"/>
      <c r="X250" s="3"/>
      <c r="Z250" s="28"/>
    </row>
    <row r="251" spans="2:26">
      <c r="B251" s="2"/>
      <c r="N251" s="27"/>
      <c r="R251" s="15"/>
      <c r="X251" s="3"/>
      <c r="Z251" s="28"/>
    </row>
    <row r="252" spans="2:26">
      <c r="B252" s="2"/>
      <c r="N252" s="27"/>
      <c r="R252" s="15"/>
      <c r="X252" s="3"/>
      <c r="Z252" s="28"/>
    </row>
    <row r="253" spans="2:26">
      <c r="B253" s="2"/>
      <c r="N253" s="27"/>
      <c r="R253" s="15"/>
      <c r="X253" s="3"/>
      <c r="Z253" s="28"/>
    </row>
    <row r="254" spans="2:26">
      <c r="B254" s="2"/>
      <c r="N254" s="27"/>
      <c r="R254" s="15"/>
      <c r="X254" s="3"/>
      <c r="Z254" s="28"/>
    </row>
    <row r="255" spans="2:26">
      <c r="B255" s="2"/>
      <c r="N255" s="27"/>
      <c r="R255" s="15"/>
      <c r="X255" s="3"/>
      <c r="Z255" s="28"/>
    </row>
    <row r="256" spans="2:26">
      <c r="B256" s="2"/>
      <c r="N256" s="27"/>
      <c r="R256" s="15"/>
      <c r="X256" s="3"/>
      <c r="Z256" s="28"/>
    </row>
    <row r="257" spans="2:26">
      <c r="B257" s="2"/>
      <c r="N257" s="27"/>
      <c r="R257" s="15"/>
      <c r="X257" s="3"/>
      <c r="Z257" s="28"/>
    </row>
    <row r="258" spans="2:26">
      <c r="B258" s="2"/>
      <c r="N258" s="27"/>
      <c r="R258" s="15"/>
      <c r="X258" s="3"/>
      <c r="Z258" s="28"/>
    </row>
    <row r="259" spans="2:26">
      <c r="B259" s="2"/>
      <c r="N259" s="27"/>
      <c r="R259" s="15"/>
      <c r="X259" s="3"/>
      <c r="Z259" s="28"/>
    </row>
    <row r="260" spans="2:26">
      <c r="B260" s="2"/>
      <c r="N260" s="27"/>
      <c r="R260" s="15"/>
      <c r="X260" s="3"/>
      <c r="Z260" s="28"/>
    </row>
    <row r="261" spans="2:26">
      <c r="B261" s="2"/>
      <c r="N261" s="27"/>
      <c r="R261" s="15"/>
      <c r="X261" s="3"/>
      <c r="Z261" s="28"/>
    </row>
    <row r="262" spans="2:26">
      <c r="B262" s="2"/>
      <c r="N262" s="27"/>
      <c r="R262" s="15"/>
      <c r="X262" s="3"/>
      <c r="Z262" s="28"/>
    </row>
    <row r="263" spans="2:26">
      <c r="B263" s="2"/>
      <c r="N263" s="27"/>
      <c r="R263" s="15"/>
      <c r="X263" s="3"/>
      <c r="Z263" s="28"/>
    </row>
    <row r="264" spans="2:26">
      <c r="B264" s="2"/>
      <c r="N264" s="27"/>
      <c r="R264" s="15"/>
      <c r="X264" s="3"/>
      <c r="Z264" s="28"/>
    </row>
    <row r="265" spans="2:26">
      <c r="B265" s="2"/>
      <c r="N265" s="27"/>
      <c r="R265" s="15"/>
      <c r="X265" s="3"/>
      <c r="Z265" s="28"/>
    </row>
    <row r="266" spans="2:26">
      <c r="B266" s="2"/>
      <c r="N266" s="27"/>
      <c r="R266" s="15"/>
      <c r="X266" s="3"/>
      <c r="Z266" s="28"/>
    </row>
    <row r="267" spans="2:26">
      <c r="B267" s="2"/>
      <c r="N267" s="27"/>
      <c r="R267" s="15"/>
      <c r="X267" s="3"/>
      <c r="Z267" s="28"/>
    </row>
    <row r="268" spans="2:26">
      <c r="B268" s="2"/>
      <c r="N268" s="27"/>
      <c r="R268" s="15"/>
      <c r="X268" s="3"/>
      <c r="Z268" s="28"/>
    </row>
    <row r="269" spans="2:26">
      <c r="B269" s="2"/>
      <c r="N269" s="27"/>
      <c r="R269" s="15"/>
      <c r="X269" s="3"/>
      <c r="Z269" s="28"/>
    </row>
    <row r="270" spans="2:26">
      <c r="B270" s="2"/>
      <c r="N270" s="27"/>
      <c r="R270" s="15"/>
      <c r="X270" s="3"/>
      <c r="Z270" s="28"/>
    </row>
    <row r="271" spans="2:26">
      <c r="B271" s="2"/>
      <c r="N271" s="27"/>
      <c r="R271" s="15"/>
      <c r="X271" s="3"/>
      <c r="Z271" s="28"/>
    </row>
    <row r="272" spans="2:26">
      <c r="B272" s="2"/>
      <c r="N272" s="27"/>
      <c r="R272" s="15"/>
      <c r="X272" s="3"/>
      <c r="Z272" s="28"/>
    </row>
    <row r="273" spans="2:26">
      <c r="B273" s="2"/>
      <c r="N273" s="27"/>
      <c r="R273" s="15"/>
      <c r="X273" s="3"/>
      <c r="Z273" s="28"/>
    </row>
    <row r="274" spans="2:26">
      <c r="B274" s="2"/>
      <c r="N274" s="27"/>
      <c r="R274" s="15"/>
      <c r="X274" s="3"/>
      <c r="Z274" s="28"/>
    </row>
    <row r="275" spans="2:26">
      <c r="B275" s="2"/>
      <c r="N275" s="27"/>
      <c r="R275" s="15"/>
      <c r="X275" s="3"/>
      <c r="Z275" s="28"/>
    </row>
    <row r="276" spans="2:26">
      <c r="B276" s="2"/>
      <c r="N276" s="27"/>
      <c r="R276" s="15"/>
      <c r="X276" s="3"/>
      <c r="Z276" s="28"/>
    </row>
    <row r="277" spans="2:26">
      <c r="B277" s="2"/>
      <c r="N277" s="27"/>
      <c r="R277" s="15"/>
      <c r="X277" s="3"/>
      <c r="Z277" s="28"/>
    </row>
    <row r="278" spans="2:26">
      <c r="B278" s="2"/>
      <c r="N278" s="27"/>
      <c r="R278" s="15"/>
      <c r="X278" s="3"/>
      <c r="Z278" s="28"/>
    </row>
    <row r="279" spans="2:26">
      <c r="B279" s="2"/>
      <c r="N279" s="27"/>
      <c r="R279" s="15"/>
      <c r="X279" s="3"/>
      <c r="Z279" s="28"/>
    </row>
    <row r="280" spans="2:26">
      <c r="B280" s="2"/>
      <c r="N280" s="27"/>
      <c r="R280" s="15"/>
      <c r="X280" s="3"/>
      <c r="Z280" s="28"/>
    </row>
    <row r="281" spans="2:26">
      <c r="B281" s="2"/>
      <c r="N281" s="27"/>
      <c r="R281" s="15"/>
      <c r="X281" s="3"/>
      <c r="Z281" s="28"/>
    </row>
    <row r="282" spans="2:26">
      <c r="B282" s="2"/>
      <c r="N282" s="27"/>
      <c r="R282" s="15"/>
      <c r="X282" s="3"/>
      <c r="Z282" s="28"/>
    </row>
    <row r="283" spans="2:26">
      <c r="B283" s="2"/>
      <c r="N283" s="27"/>
      <c r="R283" s="15"/>
      <c r="X283" s="3"/>
      <c r="Z283" s="28"/>
    </row>
    <row r="284" spans="2:26">
      <c r="B284" s="2"/>
      <c r="N284" s="27"/>
      <c r="R284" s="15"/>
      <c r="X284" s="3"/>
      <c r="Z284" s="28"/>
    </row>
    <row r="285" spans="2:26">
      <c r="B285" s="2"/>
      <c r="N285" s="27"/>
      <c r="R285" s="15"/>
      <c r="X285" s="3"/>
      <c r="Z285" s="28"/>
    </row>
    <row r="286" spans="2:26">
      <c r="B286" s="2"/>
      <c r="N286" s="27"/>
      <c r="R286" s="15"/>
      <c r="X286" s="3"/>
      <c r="Z286" s="28"/>
    </row>
    <row r="287" spans="2:26">
      <c r="B287" s="2"/>
      <c r="N287" s="27"/>
      <c r="R287" s="15"/>
      <c r="X287" s="3"/>
      <c r="Z287" s="28"/>
    </row>
    <row r="288" spans="2:26">
      <c r="B288" s="2"/>
      <c r="N288" s="27"/>
      <c r="R288" s="15"/>
      <c r="X288" s="3"/>
      <c r="Z288" s="28"/>
    </row>
    <row r="289" spans="2:26">
      <c r="B289" s="2"/>
      <c r="N289" s="27"/>
      <c r="R289" s="15"/>
      <c r="X289" s="3"/>
      <c r="Z289" s="28"/>
    </row>
    <row r="290" spans="2:26">
      <c r="B290" s="2"/>
      <c r="N290" s="27"/>
      <c r="R290" s="15"/>
      <c r="X290" s="3"/>
      <c r="Z290" s="28"/>
    </row>
    <row r="291" spans="2:26">
      <c r="B291" s="2"/>
      <c r="N291" s="27"/>
      <c r="R291" s="15"/>
      <c r="X291" s="3"/>
      <c r="Z291" s="28"/>
    </row>
    <row r="292" spans="2:26">
      <c r="B292" s="2"/>
      <c r="N292" s="27"/>
      <c r="R292" s="15"/>
      <c r="X292" s="3"/>
      <c r="Z292" s="28"/>
    </row>
    <row r="293" spans="2:26">
      <c r="B293" s="2"/>
      <c r="N293" s="27"/>
      <c r="R293" s="15"/>
      <c r="X293" s="3"/>
      <c r="Z293" s="28"/>
    </row>
    <row r="294" spans="2:26">
      <c r="B294" s="2"/>
      <c r="N294" s="27"/>
      <c r="R294" s="15"/>
      <c r="X294" s="3"/>
      <c r="Z294" s="28"/>
    </row>
    <row r="295" spans="2:26">
      <c r="B295" s="2"/>
      <c r="N295" s="27"/>
      <c r="R295" s="15"/>
      <c r="X295" s="3"/>
      <c r="Z295" s="28"/>
    </row>
    <row r="296" spans="2:26">
      <c r="B296" s="2"/>
      <c r="N296" s="27"/>
      <c r="R296" s="15"/>
      <c r="X296" s="3"/>
      <c r="Z296" s="28"/>
    </row>
    <row r="297" spans="2:26">
      <c r="B297" s="2"/>
      <c r="N297" s="27"/>
      <c r="R297" s="15"/>
      <c r="X297" s="3"/>
      <c r="Z297" s="28"/>
    </row>
    <row r="298" spans="2:26">
      <c r="B298" s="2"/>
      <c r="N298" s="27"/>
      <c r="R298" s="15"/>
      <c r="X298" s="3"/>
      <c r="Z298" s="28"/>
    </row>
    <row r="299" spans="2:26">
      <c r="B299" s="2"/>
      <c r="N299" s="27"/>
      <c r="R299" s="15"/>
      <c r="X299" s="3"/>
      <c r="Z299" s="28"/>
    </row>
    <row r="300" spans="2:26">
      <c r="B300" s="2"/>
      <c r="N300" s="27"/>
      <c r="R300" s="15"/>
      <c r="X300" s="3"/>
      <c r="Z300" s="28"/>
    </row>
    <row r="301" spans="2:26">
      <c r="B301" s="2"/>
      <c r="N301" s="27"/>
      <c r="R301" s="15"/>
      <c r="X301" s="3"/>
      <c r="Z301" s="28"/>
    </row>
    <row r="302" spans="2:26">
      <c r="B302" s="2"/>
      <c r="N302" s="27"/>
      <c r="R302" s="15"/>
      <c r="X302" s="3"/>
      <c r="Z302" s="28"/>
    </row>
    <row r="303" spans="2:26">
      <c r="B303" s="2"/>
      <c r="N303" s="27"/>
      <c r="R303" s="15"/>
      <c r="X303" s="3"/>
      <c r="Z303" s="28"/>
    </row>
    <row r="304" spans="2:26">
      <c r="B304" s="2"/>
      <c r="N304" s="27"/>
      <c r="R304" s="15"/>
      <c r="X304" s="3"/>
      <c r="Z304" s="28"/>
    </row>
    <row r="305" spans="2:26">
      <c r="B305" s="2"/>
      <c r="N305" s="27"/>
      <c r="R305" s="15"/>
      <c r="X305" s="3"/>
      <c r="Z305" s="28"/>
    </row>
    <row r="306" spans="2:26">
      <c r="B306" s="2"/>
      <c r="N306" s="27"/>
      <c r="R306" s="15"/>
      <c r="X306" s="3"/>
      <c r="Z306" s="28"/>
    </row>
    <row r="307" spans="2:26">
      <c r="B307" s="2"/>
      <c r="N307" s="27"/>
      <c r="R307" s="15"/>
      <c r="X307" s="3"/>
      <c r="Z307" s="28"/>
    </row>
    <row r="308" spans="2:26">
      <c r="B308" s="2"/>
      <c r="N308" s="27"/>
      <c r="R308" s="15"/>
      <c r="X308" s="3"/>
      <c r="Z308" s="28"/>
    </row>
    <row r="309" spans="2:26">
      <c r="B309" s="2"/>
      <c r="N309" s="27"/>
      <c r="R309" s="15"/>
      <c r="X309" s="3"/>
      <c r="Z309" s="28"/>
    </row>
    <row r="310" spans="2:26">
      <c r="B310" s="2"/>
      <c r="N310" s="27"/>
      <c r="R310" s="15"/>
      <c r="X310" s="3"/>
      <c r="Z310" s="28"/>
    </row>
    <row r="311" spans="2:26">
      <c r="B311" s="2"/>
      <c r="N311" s="27"/>
      <c r="R311" s="15"/>
      <c r="X311" s="3"/>
      <c r="Z311" s="28"/>
    </row>
    <row r="312" spans="2:26">
      <c r="B312" s="2"/>
      <c r="N312" s="27"/>
      <c r="R312" s="15"/>
      <c r="X312" s="3"/>
      <c r="Z312" s="28"/>
    </row>
    <row r="313" spans="2:26">
      <c r="B313" s="2"/>
      <c r="N313" s="27"/>
      <c r="R313" s="15"/>
      <c r="X313" s="3"/>
      <c r="Z313" s="28"/>
    </row>
    <row r="314" spans="2:26">
      <c r="B314" s="2"/>
      <c r="N314" s="27"/>
      <c r="R314" s="15"/>
      <c r="X314" s="3"/>
      <c r="Z314" s="28"/>
    </row>
    <row r="315" spans="2:26">
      <c r="B315" s="2"/>
      <c r="N315" s="27"/>
      <c r="R315" s="15"/>
      <c r="X315" s="3"/>
      <c r="Z315" s="28"/>
    </row>
    <row r="316" spans="2:26">
      <c r="B316" s="2"/>
      <c r="N316" s="27"/>
      <c r="R316" s="15"/>
      <c r="X316" s="3"/>
      <c r="Z316" s="28"/>
    </row>
    <row r="317" spans="2:26">
      <c r="B317" s="2"/>
      <c r="N317" s="27"/>
      <c r="R317" s="15"/>
      <c r="X317" s="3"/>
      <c r="Z317" s="28"/>
    </row>
    <row r="318" spans="2:26">
      <c r="B318" s="2"/>
      <c r="N318" s="27"/>
      <c r="R318" s="15"/>
      <c r="X318" s="3"/>
      <c r="Z318" s="28"/>
    </row>
    <row r="319" spans="2:26">
      <c r="B319" s="2"/>
      <c r="N319" s="27"/>
      <c r="R319" s="15"/>
      <c r="X319" s="3"/>
      <c r="Z319" s="28"/>
    </row>
    <row r="320" spans="2:26">
      <c r="B320" s="2"/>
      <c r="N320" s="27"/>
      <c r="R320" s="15"/>
      <c r="X320" s="3"/>
      <c r="Z320" s="28"/>
    </row>
    <row r="321" spans="2:26">
      <c r="B321" s="2"/>
      <c r="N321" s="27"/>
      <c r="R321" s="15"/>
      <c r="X321" s="3"/>
      <c r="Z321" s="28"/>
    </row>
    <row r="322" spans="2:26">
      <c r="B322" s="2"/>
      <c r="N322" s="27"/>
      <c r="R322" s="15"/>
      <c r="X322" s="3"/>
      <c r="Z322" s="28"/>
    </row>
    <row r="323" spans="2:26">
      <c r="B323" s="2"/>
      <c r="N323" s="27"/>
      <c r="R323" s="15"/>
      <c r="X323" s="3"/>
      <c r="Z323" s="28"/>
    </row>
    <row r="324" spans="2:26">
      <c r="B324" s="2"/>
      <c r="N324" s="27"/>
      <c r="R324" s="15"/>
      <c r="X324" s="3"/>
      <c r="Z324" s="28"/>
    </row>
    <row r="325" spans="2:26">
      <c r="B325" s="2"/>
      <c r="N325" s="27"/>
      <c r="R325" s="15"/>
      <c r="X325" s="3"/>
      <c r="Z325" s="28"/>
    </row>
    <row r="326" spans="2:26">
      <c r="B326" s="2"/>
      <c r="N326" s="27"/>
      <c r="R326" s="15"/>
      <c r="X326" s="3"/>
      <c r="Z326" s="28"/>
    </row>
    <row r="327" spans="2:26">
      <c r="B327" s="2"/>
      <c r="N327" s="27"/>
      <c r="R327" s="15"/>
      <c r="X327" s="3"/>
      <c r="Z327" s="28"/>
    </row>
    <row r="328" spans="2:26">
      <c r="B328" s="2"/>
      <c r="N328" s="27"/>
      <c r="R328" s="15"/>
      <c r="X328" s="3"/>
      <c r="Z328" s="28"/>
    </row>
    <row r="329" spans="2:26">
      <c r="B329" s="2"/>
      <c r="N329" s="27"/>
      <c r="R329" s="15"/>
      <c r="X329" s="3"/>
      <c r="Z329" s="28"/>
    </row>
    <row r="330" spans="2:26">
      <c r="B330" s="2"/>
      <c r="N330" s="27"/>
      <c r="R330" s="15"/>
      <c r="X330" s="3"/>
      <c r="Z330" s="28"/>
    </row>
    <row r="331" spans="2:26">
      <c r="B331" s="2"/>
      <c r="N331" s="27"/>
      <c r="R331" s="15"/>
      <c r="X331" s="3"/>
      <c r="Z331" s="28"/>
    </row>
    <row r="332" spans="2:26">
      <c r="B332" s="2"/>
      <c r="N332" s="27"/>
      <c r="R332" s="15"/>
      <c r="X332" s="3"/>
      <c r="Z332" s="28"/>
    </row>
    <row r="333" spans="2:26">
      <c r="B333" s="2"/>
      <c r="N333" s="27"/>
      <c r="R333" s="15"/>
      <c r="X333" s="3"/>
      <c r="Z333" s="28"/>
    </row>
    <row r="334" spans="2:26">
      <c r="B334" s="2"/>
      <c r="N334" s="27"/>
      <c r="R334" s="15"/>
      <c r="X334" s="3"/>
      <c r="Z334" s="28"/>
    </row>
    <row r="335" spans="2:26">
      <c r="B335" s="2"/>
      <c r="N335" s="27"/>
      <c r="R335" s="15"/>
      <c r="X335" s="3"/>
      <c r="Z335" s="28"/>
    </row>
    <row r="336" spans="2:26">
      <c r="B336" s="2"/>
      <c r="N336" s="27"/>
      <c r="R336" s="15"/>
      <c r="X336" s="3"/>
      <c r="Z336" s="28"/>
    </row>
    <row r="337" spans="2:26">
      <c r="B337" s="2"/>
      <c r="N337" s="27"/>
      <c r="R337" s="15"/>
      <c r="X337" s="3"/>
      <c r="Z337" s="28"/>
    </row>
    <row r="338" spans="2:26">
      <c r="B338" s="2"/>
      <c r="N338" s="27"/>
      <c r="R338" s="15"/>
      <c r="X338" s="3"/>
      <c r="Z338" s="28"/>
    </row>
    <row r="339" spans="2:26">
      <c r="B339" s="2"/>
      <c r="N339" s="27"/>
      <c r="R339" s="15"/>
      <c r="X339" s="3"/>
      <c r="Z339" s="28"/>
    </row>
    <row r="340" spans="2:26">
      <c r="B340" s="2"/>
      <c r="N340" s="27"/>
      <c r="R340" s="15"/>
      <c r="X340" s="3"/>
      <c r="Z340" s="28"/>
    </row>
    <row r="341" spans="2:26">
      <c r="B341" s="2"/>
      <c r="N341" s="27"/>
      <c r="R341" s="15"/>
      <c r="X341" s="3"/>
      <c r="Z341" s="28"/>
    </row>
    <row r="342" spans="2:26">
      <c r="B342" s="2"/>
      <c r="N342" s="27"/>
      <c r="R342" s="15"/>
      <c r="X342" s="3"/>
      <c r="Z342" s="28"/>
    </row>
    <row r="343" spans="2:26">
      <c r="B343" s="2"/>
      <c r="N343" s="27"/>
      <c r="R343" s="15"/>
      <c r="X343" s="3"/>
      <c r="Z343" s="28"/>
    </row>
    <row r="344" spans="2:26">
      <c r="B344" s="2"/>
      <c r="N344" s="27"/>
      <c r="R344" s="15"/>
      <c r="X344" s="3"/>
      <c r="Z344" s="28"/>
    </row>
    <row r="345" spans="2:26">
      <c r="B345" s="2"/>
      <c r="N345" s="27"/>
      <c r="R345" s="15"/>
      <c r="X345" s="3"/>
      <c r="Z345" s="28"/>
    </row>
    <row r="346" spans="2:26">
      <c r="B346" s="2"/>
      <c r="N346" s="27"/>
      <c r="R346" s="15"/>
      <c r="X346" s="3"/>
      <c r="Z346" s="28"/>
    </row>
    <row r="347" spans="2:26">
      <c r="B347" s="2"/>
      <c r="N347" s="27"/>
      <c r="R347" s="15"/>
      <c r="X347" s="3"/>
      <c r="Z347" s="28"/>
    </row>
    <row r="348" spans="2:26">
      <c r="B348" s="2"/>
      <c r="N348" s="27"/>
      <c r="R348" s="15"/>
      <c r="X348" s="3"/>
      <c r="Z348" s="28"/>
    </row>
    <row r="349" spans="2:26">
      <c r="B349" s="2"/>
      <c r="N349" s="27"/>
      <c r="R349" s="15"/>
      <c r="X349" s="3"/>
      <c r="Z349" s="28"/>
    </row>
    <row r="350" spans="2:26">
      <c r="B350" s="2"/>
      <c r="N350" s="27"/>
      <c r="R350" s="15"/>
      <c r="X350" s="3"/>
      <c r="Z350" s="28"/>
    </row>
    <row r="351" spans="2:26">
      <c r="B351" s="2"/>
      <c r="N351" s="27"/>
      <c r="R351" s="15"/>
      <c r="X351" s="3"/>
      <c r="Z351" s="28"/>
    </row>
    <row r="352" spans="2:26">
      <c r="B352" s="2"/>
      <c r="N352" s="27"/>
      <c r="R352" s="15"/>
      <c r="X352" s="3"/>
      <c r="Z352" s="28"/>
    </row>
    <row r="353" spans="2:26">
      <c r="B353" s="2"/>
      <c r="N353" s="27"/>
      <c r="R353" s="15"/>
      <c r="X353" s="3"/>
      <c r="Z353" s="28"/>
    </row>
    <row r="354" spans="2:26">
      <c r="B354" s="2"/>
      <c r="N354" s="27"/>
      <c r="R354" s="15"/>
      <c r="X354" s="3"/>
      <c r="Z354" s="28"/>
    </row>
    <row r="355" spans="2:26">
      <c r="B355" s="2"/>
      <c r="N355" s="27"/>
      <c r="R355" s="15"/>
      <c r="X355" s="3"/>
      <c r="Z355" s="28"/>
    </row>
    <row r="356" spans="2:26">
      <c r="B356" s="2"/>
      <c r="N356" s="27"/>
      <c r="R356" s="15"/>
      <c r="X356" s="3"/>
      <c r="Z356" s="28"/>
    </row>
    <row r="357" spans="2:26">
      <c r="B357" s="2"/>
      <c r="N357" s="27"/>
      <c r="R357" s="15"/>
      <c r="X357" s="3"/>
      <c r="Z357" s="28"/>
    </row>
    <row r="358" spans="2:26">
      <c r="B358" s="2"/>
      <c r="N358" s="27"/>
      <c r="R358" s="15"/>
      <c r="X358" s="3"/>
      <c r="Z358" s="28"/>
    </row>
    <row r="359" spans="2:26">
      <c r="B359" s="2"/>
      <c r="N359" s="27"/>
      <c r="R359" s="15"/>
      <c r="X359" s="3"/>
      <c r="Z359" s="28"/>
    </row>
    <row r="360" spans="2:26">
      <c r="B360" s="2"/>
      <c r="N360" s="27"/>
      <c r="R360" s="15"/>
      <c r="X360" s="3"/>
      <c r="Z360" s="28"/>
    </row>
    <row r="361" spans="2:26">
      <c r="B361" s="2"/>
      <c r="N361" s="27"/>
      <c r="R361" s="15"/>
      <c r="X361" s="3"/>
      <c r="Z361" s="28"/>
    </row>
    <row r="362" spans="2:26">
      <c r="B362" s="2"/>
      <c r="N362" s="27"/>
      <c r="R362" s="15"/>
      <c r="X362" s="3"/>
      <c r="Z362" s="28"/>
    </row>
    <row r="363" spans="2:26">
      <c r="B363" s="2"/>
      <c r="N363" s="27"/>
      <c r="R363" s="15"/>
      <c r="X363" s="3"/>
      <c r="Z363" s="28"/>
    </row>
    <row r="364" spans="2:26">
      <c r="B364" s="2"/>
      <c r="N364" s="27"/>
      <c r="R364" s="15"/>
      <c r="X364" s="3"/>
      <c r="Z364" s="28"/>
    </row>
    <row r="365" spans="2:26">
      <c r="B365" s="2"/>
      <c r="N365" s="27"/>
      <c r="R365" s="15"/>
      <c r="X365" s="3"/>
      <c r="Z365" s="28"/>
    </row>
    <row r="366" spans="2:26">
      <c r="B366" s="2"/>
      <c r="N366" s="27"/>
      <c r="R366" s="15"/>
      <c r="X366" s="3"/>
      <c r="Z366" s="28"/>
    </row>
    <row r="367" spans="2:26">
      <c r="B367" s="2"/>
      <c r="N367" s="27"/>
      <c r="R367" s="15"/>
      <c r="X367" s="3"/>
      <c r="Z367" s="28"/>
    </row>
    <row r="368" spans="2:26">
      <c r="B368" s="2"/>
      <c r="N368" s="27"/>
      <c r="R368" s="15"/>
      <c r="X368" s="3"/>
      <c r="Z368" s="28"/>
    </row>
    <row r="369" spans="2:26">
      <c r="B369" s="2"/>
      <c r="N369" s="27"/>
      <c r="R369" s="15"/>
      <c r="X369" s="3"/>
      <c r="Z369" s="28"/>
    </row>
    <row r="370" spans="2:26">
      <c r="B370" s="2"/>
      <c r="N370" s="27"/>
      <c r="R370" s="15"/>
      <c r="X370" s="3"/>
      <c r="Z370" s="28"/>
    </row>
    <row r="371" spans="2:26">
      <c r="B371" s="2"/>
      <c r="N371" s="27"/>
      <c r="R371" s="15"/>
      <c r="X371" s="3"/>
      <c r="Z371" s="28"/>
    </row>
    <row r="372" spans="2:26">
      <c r="B372" s="2"/>
      <c r="N372" s="27"/>
      <c r="R372" s="15"/>
      <c r="X372" s="3"/>
      <c r="Z372" s="28"/>
    </row>
    <row r="373" spans="2:26">
      <c r="B373" s="2"/>
      <c r="N373" s="27"/>
      <c r="R373" s="15"/>
      <c r="X373" s="3"/>
      <c r="Z373" s="28"/>
    </row>
    <row r="374" spans="2:26">
      <c r="B374" s="2"/>
      <c r="N374" s="27"/>
      <c r="R374" s="15"/>
      <c r="X374" s="3"/>
      <c r="Z374" s="28"/>
    </row>
    <row r="375" spans="2:26">
      <c r="B375" s="2"/>
      <c r="N375" s="27"/>
      <c r="R375" s="15"/>
      <c r="X375" s="3"/>
      <c r="Z375" s="28"/>
    </row>
    <row r="376" spans="2:26">
      <c r="B376" s="2"/>
      <c r="N376" s="27"/>
      <c r="R376" s="15"/>
      <c r="X376" s="3"/>
      <c r="Z376" s="28"/>
    </row>
    <row r="377" spans="2:26">
      <c r="B377" s="2"/>
      <c r="N377" s="27"/>
      <c r="R377" s="15"/>
      <c r="X377" s="3"/>
      <c r="Z377" s="28"/>
    </row>
    <row r="378" spans="2:26">
      <c r="B378" s="2"/>
      <c r="N378" s="27"/>
      <c r="R378" s="15"/>
      <c r="X378" s="3"/>
      <c r="Z378" s="28"/>
    </row>
    <row r="379" spans="2:26">
      <c r="B379" s="2"/>
      <c r="N379" s="27"/>
      <c r="R379" s="15"/>
      <c r="X379" s="3"/>
      <c r="Z379" s="28"/>
    </row>
    <row r="380" spans="2:26">
      <c r="B380" s="2"/>
      <c r="N380" s="27"/>
      <c r="R380" s="15"/>
      <c r="X380" s="3"/>
      <c r="Z380" s="28"/>
    </row>
    <row r="381" spans="2:26">
      <c r="B381" s="2"/>
      <c r="N381" s="27"/>
      <c r="R381" s="15"/>
      <c r="X381" s="3"/>
      <c r="Z381" s="28"/>
    </row>
    <row r="382" spans="2:26">
      <c r="B382" s="2"/>
      <c r="N382" s="27"/>
      <c r="R382" s="15"/>
      <c r="X382" s="3"/>
      <c r="Z382" s="28"/>
    </row>
    <row r="383" spans="2:26">
      <c r="B383" s="2"/>
      <c r="N383" s="27"/>
      <c r="R383" s="15"/>
      <c r="X383" s="3"/>
      <c r="Z383" s="28"/>
    </row>
    <row r="384" spans="2:26">
      <c r="B384" s="2"/>
      <c r="N384" s="27"/>
      <c r="R384" s="15"/>
      <c r="X384" s="3"/>
      <c r="Z384" s="28"/>
    </row>
    <row r="385" spans="2:26">
      <c r="B385" s="2"/>
      <c r="N385" s="27"/>
      <c r="R385" s="15"/>
      <c r="X385" s="3"/>
      <c r="Z385" s="28"/>
    </row>
    <row r="386" spans="2:26">
      <c r="B386" s="2"/>
      <c r="N386" s="27"/>
      <c r="R386" s="15"/>
      <c r="X386" s="3"/>
      <c r="Z386" s="28"/>
    </row>
    <row r="387" spans="2:26">
      <c r="B387" s="2"/>
      <c r="N387" s="27"/>
      <c r="R387" s="15"/>
      <c r="X387" s="3"/>
      <c r="Z387" s="28"/>
    </row>
    <row r="388" spans="2:26">
      <c r="B388" s="2"/>
      <c r="N388" s="27"/>
      <c r="R388" s="15"/>
      <c r="X388" s="3"/>
      <c r="Z388" s="28"/>
    </row>
    <row r="389" spans="2:26">
      <c r="B389" s="2"/>
      <c r="N389" s="27"/>
      <c r="R389" s="15"/>
      <c r="X389" s="3"/>
      <c r="Z389" s="28"/>
    </row>
    <row r="390" spans="2:26">
      <c r="B390" s="2"/>
      <c r="N390" s="27"/>
      <c r="R390" s="15"/>
      <c r="X390" s="3"/>
      <c r="Z390" s="28"/>
    </row>
    <row r="391" spans="2:26">
      <c r="B391" s="2"/>
      <c r="N391" s="27"/>
      <c r="R391" s="15"/>
      <c r="X391" s="3"/>
      <c r="Z391" s="28"/>
    </row>
    <row r="392" spans="2:26">
      <c r="B392" s="2"/>
      <c r="N392" s="27"/>
      <c r="R392" s="15"/>
      <c r="X392" s="3"/>
      <c r="Z392" s="28"/>
    </row>
    <row r="393" spans="2:26">
      <c r="B393" s="2"/>
      <c r="N393" s="27"/>
      <c r="R393" s="15"/>
      <c r="X393" s="3"/>
      <c r="Z393" s="28"/>
    </row>
    <row r="394" spans="2:26">
      <c r="B394" s="2"/>
      <c r="N394" s="27"/>
      <c r="R394" s="15"/>
      <c r="X394" s="3"/>
      <c r="Z394" s="28"/>
    </row>
    <row r="395" spans="2:26">
      <c r="B395" s="2"/>
      <c r="N395" s="27"/>
      <c r="R395" s="15"/>
      <c r="X395" s="3"/>
      <c r="Z395" s="28"/>
    </row>
    <row r="396" spans="2:26">
      <c r="B396" s="2"/>
      <c r="N396" s="27"/>
      <c r="R396" s="15"/>
      <c r="X396" s="3"/>
      <c r="Z396" s="28"/>
    </row>
    <row r="397" spans="2:26">
      <c r="B397" s="2"/>
      <c r="N397" s="27"/>
      <c r="R397" s="15"/>
      <c r="X397" s="3"/>
      <c r="Z397" s="28"/>
    </row>
    <row r="398" spans="2:26">
      <c r="B398" s="2"/>
      <c r="N398" s="27"/>
      <c r="R398" s="15"/>
      <c r="X398" s="3"/>
      <c r="Z398" s="28"/>
    </row>
    <row r="399" spans="2:26">
      <c r="B399" s="2"/>
      <c r="N399" s="27"/>
      <c r="R399" s="15"/>
      <c r="X399" s="3"/>
      <c r="Z399" s="28"/>
    </row>
    <row r="400" spans="2:26">
      <c r="B400" s="2"/>
      <c r="N400" s="27"/>
      <c r="R400" s="15"/>
      <c r="X400" s="3"/>
      <c r="Z400" s="28"/>
    </row>
    <row r="401" spans="2:26">
      <c r="B401" s="2"/>
      <c r="N401" s="27"/>
      <c r="R401" s="15"/>
      <c r="X401" s="3"/>
      <c r="Z401" s="28"/>
    </row>
    <row r="402" spans="2:26">
      <c r="B402" s="2"/>
      <c r="N402" s="27"/>
      <c r="R402" s="15"/>
      <c r="X402" s="3"/>
      <c r="Z402" s="28"/>
    </row>
    <row r="403" spans="2:26">
      <c r="B403" s="2"/>
      <c r="N403" s="27"/>
      <c r="R403" s="15"/>
      <c r="X403" s="3"/>
      <c r="Z403" s="28"/>
    </row>
    <row r="404" spans="2:26">
      <c r="B404" s="2"/>
      <c r="N404" s="27"/>
      <c r="R404" s="15"/>
      <c r="X404" s="3"/>
      <c r="Z404" s="28"/>
    </row>
    <row r="405" spans="2:26">
      <c r="B405" s="2"/>
      <c r="N405" s="27"/>
      <c r="R405" s="15"/>
      <c r="X405" s="3"/>
      <c r="Z405" s="28"/>
    </row>
    <row r="406" spans="2:26">
      <c r="B406" s="2"/>
      <c r="N406" s="27"/>
      <c r="R406" s="15"/>
      <c r="X406" s="3"/>
      <c r="Z406" s="28"/>
    </row>
    <row r="407" spans="2:26">
      <c r="B407" s="2"/>
      <c r="N407" s="27"/>
      <c r="R407" s="15"/>
      <c r="X407" s="3"/>
      <c r="Z407" s="28"/>
    </row>
    <row r="408" spans="2:26">
      <c r="B408" s="2"/>
      <c r="N408" s="27"/>
      <c r="R408" s="15"/>
      <c r="X408" s="3"/>
      <c r="Z408" s="28"/>
    </row>
    <row r="409" spans="2:26">
      <c r="B409" s="2"/>
      <c r="N409" s="27"/>
      <c r="R409" s="15"/>
      <c r="X409" s="3"/>
      <c r="Z409" s="28"/>
    </row>
    <row r="410" spans="2:26">
      <c r="B410" s="2"/>
      <c r="N410" s="27"/>
      <c r="R410" s="15"/>
      <c r="X410" s="3"/>
      <c r="Z410" s="28"/>
    </row>
    <row r="411" spans="2:26">
      <c r="B411" s="2"/>
      <c r="N411" s="27"/>
      <c r="R411" s="15"/>
      <c r="X411" s="3"/>
      <c r="Z411" s="28"/>
    </row>
    <row r="412" spans="2:26">
      <c r="B412" s="2"/>
      <c r="N412" s="27"/>
      <c r="R412" s="15"/>
      <c r="X412" s="3"/>
      <c r="Z412" s="28"/>
    </row>
    <row r="413" spans="2:26">
      <c r="B413" s="2"/>
      <c r="N413" s="27"/>
      <c r="R413" s="15"/>
      <c r="X413" s="3"/>
      <c r="Z413" s="28"/>
    </row>
    <row r="414" spans="2:26">
      <c r="B414" s="2"/>
      <c r="N414" s="27"/>
      <c r="R414" s="15"/>
      <c r="X414" s="3"/>
      <c r="Z414" s="28"/>
    </row>
    <row r="415" spans="2:26">
      <c r="B415" s="2"/>
      <c r="N415" s="27"/>
      <c r="R415" s="15"/>
      <c r="X415" s="3"/>
      <c r="Z415" s="28"/>
    </row>
    <row r="416" spans="2:26">
      <c r="B416" s="2"/>
      <c r="N416" s="27"/>
      <c r="R416" s="15"/>
      <c r="X416" s="3"/>
      <c r="Z416" s="28"/>
    </row>
    <row r="417" spans="2:26">
      <c r="B417" s="2"/>
      <c r="N417" s="27"/>
      <c r="R417" s="15"/>
      <c r="X417" s="3"/>
      <c r="Z417" s="28"/>
    </row>
    <row r="418" spans="2:26">
      <c r="B418" s="2"/>
      <c r="N418" s="27"/>
      <c r="R418" s="15"/>
      <c r="X418" s="3"/>
      <c r="Z418" s="28"/>
    </row>
    <row r="419" spans="2:26">
      <c r="B419" s="2"/>
      <c r="N419" s="27"/>
      <c r="R419" s="15"/>
      <c r="X419" s="3"/>
      <c r="Z419" s="28"/>
    </row>
    <row r="420" spans="2:26">
      <c r="B420" s="2"/>
      <c r="N420" s="27"/>
      <c r="R420" s="15"/>
      <c r="X420" s="3"/>
      <c r="Z420" s="28"/>
    </row>
    <row r="421" spans="2:26">
      <c r="B421" s="2"/>
      <c r="N421" s="27"/>
      <c r="R421" s="15"/>
      <c r="X421" s="3"/>
      <c r="Z421" s="28"/>
    </row>
    <row r="422" spans="2:26">
      <c r="B422" s="2"/>
      <c r="N422" s="27"/>
      <c r="R422" s="15"/>
      <c r="X422" s="3"/>
      <c r="Z422" s="28"/>
    </row>
    <row r="423" spans="2:26">
      <c r="B423" s="2"/>
      <c r="N423" s="27"/>
      <c r="R423" s="15"/>
      <c r="X423" s="3"/>
      <c r="Z423" s="28"/>
    </row>
    <row r="424" spans="2:26">
      <c r="B424" s="2"/>
      <c r="N424" s="27"/>
      <c r="R424" s="15"/>
      <c r="X424" s="3"/>
      <c r="Z424" s="28"/>
    </row>
    <row r="425" spans="2:26">
      <c r="B425" s="2"/>
      <c r="N425" s="27"/>
      <c r="R425" s="15"/>
      <c r="X425" s="3"/>
      <c r="Z425" s="28"/>
    </row>
    <row r="426" spans="2:26">
      <c r="B426" s="2"/>
      <c r="N426" s="27"/>
      <c r="R426" s="15"/>
      <c r="X426" s="3"/>
      <c r="Z426" s="28"/>
    </row>
    <row r="427" spans="2:26">
      <c r="B427" s="2"/>
      <c r="N427" s="27"/>
      <c r="R427" s="15"/>
      <c r="X427" s="3"/>
      <c r="Z427" s="28"/>
    </row>
    <row r="428" spans="2:26">
      <c r="B428" s="2"/>
      <c r="N428" s="27"/>
      <c r="R428" s="15"/>
      <c r="X428" s="3"/>
      <c r="Z428" s="28"/>
    </row>
    <row r="429" spans="2:26">
      <c r="B429" s="2"/>
      <c r="N429" s="27"/>
      <c r="R429" s="15"/>
      <c r="X429" s="3"/>
      <c r="Z429" s="28"/>
    </row>
    <row r="430" spans="2:26">
      <c r="B430" s="2"/>
      <c r="N430" s="27"/>
      <c r="R430" s="15"/>
      <c r="X430" s="3"/>
      <c r="Z430" s="28"/>
    </row>
    <row r="431" spans="2:26">
      <c r="B431" s="2"/>
      <c r="N431" s="27"/>
      <c r="R431" s="15"/>
      <c r="X431" s="3"/>
      <c r="Z431" s="28"/>
    </row>
    <row r="432" spans="2:26">
      <c r="B432" s="2"/>
      <c r="N432" s="27"/>
      <c r="R432" s="15"/>
      <c r="X432" s="3"/>
      <c r="Z432" s="28"/>
    </row>
    <row r="433" spans="2:26">
      <c r="B433" s="2"/>
      <c r="N433" s="27"/>
      <c r="R433" s="15"/>
      <c r="X433" s="3"/>
      <c r="Z433" s="28"/>
    </row>
    <row r="434" spans="2:26">
      <c r="B434" s="2"/>
      <c r="N434" s="27"/>
      <c r="R434" s="15"/>
      <c r="X434" s="3"/>
      <c r="Z434" s="28"/>
    </row>
    <row r="435" spans="2:26">
      <c r="B435" s="2"/>
      <c r="N435" s="27"/>
      <c r="R435" s="15"/>
      <c r="X435" s="3"/>
      <c r="Z435" s="28"/>
    </row>
    <row r="436" spans="2:26">
      <c r="B436" s="2"/>
      <c r="N436" s="27"/>
      <c r="R436" s="15"/>
      <c r="X436" s="3"/>
      <c r="Z436" s="28"/>
    </row>
    <row r="437" spans="2:26">
      <c r="B437" s="2"/>
      <c r="N437" s="27"/>
      <c r="R437" s="15"/>
      <c r="X437" s="3"/>
      <c r="Z437" s="28"/>
    </row>
    <row r="438" spans="2:26">
      <c r="B438" s="2"/>
      <c r="N438" s="27"/>
      <c r="R438" s="15"/>
      <c r="X438" s="3"/>
      <c r="Z438" s="28"/>
    </row>
    <row r="439" spans="2:26">
      <c r="B439" s="2"/>
      <c r="N439" s="27"/>
      <c r="R439" s="15"/>
      <c r="X439" s="3"/>
      <c r="Z439" s="28"/>
    </row>
    <row r="440" spans="2:26">
      <c r="B440" s="2"/>
      <c r="N440" s="27"/>
      <c r="R440" s="15"/>
      <c r="X440" s="3"/>
      <c r="Z440" s="28"/>
    </row>
    <row r="441" spans="2:26">
      <c r="B441" s="2"/>
      <c r="N441" s="27"/>
      <c r="R441" s="15"/>
      <c r="X441" s="3"/>
      <c r="Z441" s="28"/>
    </row>
    <row r="442" spans="2:26">
      <c r="B442" s="2"/>
      <c r="N442" s="27"/>
      <c r="R442" s="15"/>
      <c r="X442" s="3"/>
      <c r="Z442" s="28"/>
    </row>
    <row r="443" spans="2:26">
      <c r="B443" s="2"/>
      <c r="N443" s="27"/>
      <c r="R443" s="15"/>
      <c r="X443" s="3"/>
      <c r="Z443" s="28"/>
    </row>
    <row r="444" spans="2:26">
      <c r="B444" s="2"/>
      <c r="N444" s="27"/>
      <c r="R444" s="15"/>
      <c r="X444" s="3"/>
      <c r="Z444" s="28"/>
    </row>
    <row r="445" spans="2:26">
      <c r="B445" s="2"/>
      <c r="N445" s="27"/>
      <c r="R445" s="15"/>
      <c r="X445" s="3"/>
      <c r="Z445" s="28"/>
    </row>
    <row r="446" spans="2:26">
      <c r="B446" s="2"/>
      <c r="N446" s="27"/>
      <c r="R446" s="15"/>
      <c r="X446" s="3"/>
      <c r="Z446" s="28"/>
    </row>
    <row r="447" spans="2:26">
      <c r="B447" s="2"/>
      <c r="N447" s="27"/>
      <c r="R447" s="15"/>
      <c r="X447" s="3"/>
      <c r="Z447" s="28"/>
    </row>
    <row r="448" spans="2:26">
      <c r="B448" s="2"/>
      <c r="N448" s="27"/>
      <c r="R448" s="15"/>
      <c r="X448" s="3"/>
      <c r="Z448" s="28"/>
    </row>
    <row r="449" spans="2:26">
      <c r="B449" s="2"/>
      <c r="N449" s="27"/>
      <c r="R449" s="15"/>
      <c r="X449" s="3"/>
      <c r="Z449" s="28"/>
    </row>
    <row r="450" spans="2:26">
      <c r="B450" s="2"/>
      <c r="N450" s="27"/>
      <c r="R450" s="15"/>
      <c r="X450" s="3"/>
      <c r="Z450" s="28"/>
    </row>
    <row r="451" spans="2:26">
      <c r="B451" s="2"/>
      <c r="N451" s="27"/>
      <c r="R451" s="15"/>
      <c r="X451" s="3"/>
      <c r="Z451" s="28"/>
    </row>
    <row r="452" spans="2:26">
      <c r="B452" s="2"/>
      <c r="N452" s="27"/>
      <c r="R452" s="15"/>
      <c r="X452" s="3"/>
      <c r="Z452" s="28"/>
    </row>
    <row r="453" spans="2:26">
      <c r="B453" s="2"/>
      <c r="N453" s="27"/>
      <c r="R453" s="15"/>
      <c r="X453" s="3"/>
      <c r="Z453" s="28"/>
    </row>
    <row r="454" spans="2:26">
      <c r="B454" s="2"/>
      <c r="N454" s="27"/>
      <c r="R454" s="15"/>
      <c r="X454" s="3"/>
      <c r="Z454" s="28"/>
    </row>
    <row r="455" spans="2:26">
      <c r="B455" s="2"/>
      <c r="N455" s="27"/>
      <c r="R455" s="15"/>
      <c r="X455" s="3"/>
      <c r="Z455" s="28"/>
    </row>
    <row r="456" spans="2:26">
      <c r="B456" s="2"/>
      <c r="N456" s="27"/>
      <c r="R456" s="15"/>
      <c r="X456" s="3"/>
      <c r="Z456" s="28"/>
    </row>
    <row r="457" spans="2:26">
      <c r="B457" s="2"/>
      <c r="N457" s="27"/>
      <c r="R457" s="15"/>
      <c r="X457" s="3"/>
      <c r="Z457" s="28"/>
    </row>
    <row r="458" spans="2:26">
      <c r="B458" s="2"/>
      <c r="N458" s="27"/>
      <c r="R458" s="15"/>
      <c r="X458" s="3"/>
      <c r="Z458" s="28"/>
    </row>
    <row r="459" spans="2:26">
      <c r="B459" s="2"/>
      <c r="N459" s="27"/>
      <c r="R459" s="15"/>
      <c r="X459" s="3"/>
      <c r="Z459" s="28"/>
    </row>
    <row r="460" spans="2:26">
      <c r="B460" s="2"/>
      <c r="N460" s="27"/>
      <c r="R460" s="15"/>
      <c r="X460" s="3"/>
      <c r="Z460" s="28"/>
    </row>
    <row r="461" spans="2:26">
      <c r="B461" s="2"/>
      <c r="N461" s="27"/>
      <c r="R461" s="15"/>
      <c r="X461" s="3"/>
      <c r="Z461" s="28"/>
    </row>
    <row r="462" spans="2:26">
      <c r="B462" s="2"/>
      <c r="N462" s="27"/>
      <c r="R462" s="15"/>
      <c r="X462" s="3"/>
      <c r="Z462" s="28"/>
    </row>
    <row r="463" spans="2:26">
      <c r="B463" s="2"/>
      <c r="N463" s="27"/>
      <c r="R463" s="15"/>
      <c r="X463" s="3"/>
      <c r="Z463" s="28"/>
    </row>
    <row r="464" spans="2:26">
      <c r="B464" s="2"/>
      <c r="N464" s="27"/>
      <c r="R464" s="15"/>
      <c r="X464" s="3"/>
      <c r="Z464" s="28"/>
    </row>
    <row r="465" spans="2:26">
      <c r="B465" s="2"/>
      <c r="N465" s="27"/>
      <c r="R465" s="15"/>
      <c r="X465" s="3"/>
      <c r="Z465" s="28"/>
    </row>
    <row r="466" spans="2:26">
      <c r="B466" s="2"/>
      <c r="N466" s="27"/>
      <c r="R466" s="15"/>
      <c r="X466" s="3"/>
      <c r="Z466" s="28"/>
    </row>
    <row r="467" spans="2:26">
      <c r="B467" s="2"/>
      <c r="N467" s="27"/>
      <c r="R467" s="15"/>
      <c r="X467" s="3"/>
      <c r="Z467" s="28"/>
    </row>
    <row r="468" spans="2:26">
      <c r="B468" s="2"/>
      <c r="N468" s="27"/>
      <c r="R468" s="15"/>
      <c r="X468" s="3"/>
      <c r="Z468" s="28"/>
    </row>
    <row r="469" spans="2:26">
      <c r="B469" s="2"/>
      <c r="N469" s="27"/>
      <c r="R469" s="15"/>
      <c r="X469" s="3"/>
      <c r="Z469" s="28"/>
    </row>
    <row r="470" spans="2:26">
      <c r="B470" s="2"/>
      <c r="N470" s="27"/>
      <c r="R470" s="15"/>
      <c r="X470" s="3"/>
      <c r="Z470" s="28"/>
    </row>
    <row r="471" spans="2:26">
      <c r="B471" s="2"/>
      <c r="N471" s="27"/>
      <c r="R471" s="15"/>
      <c r="X471" s="3"/>
      <c r="Z471" s="28"/>
    </row>
    <row r="472" spans="2:26">
      <c r="B472" s="2"/>
      <c r="N472" s="27"/>
      <c r="R472" s="15"/>
      <c r="X472" s="3"/>
      <c r="Z472" s="28"/>
    </row>
    <row r="473" spans="2:26">
      <c r="B473" s="2"/>
      <c r="N473" s="27"/>
      <c r="R473" s="15"/>
      <c r="X473" s="3"/>
      <c r="Z473" s="28"/>
    </row>
    <row r="474" spans="2:26">
      <c r="B474" s="2"/>
      <c r="N474" s="27"/>
      <c r="R474" s="15"/>
      <c r="X474" s="3"/>
      <c r="Z474" s="28"/>
    </row>
    <row r="475" spans="2:26">
      <c r="B475" s="2"/>
      <c r="N475" s="27"/>
      <c r="R475" s="15"/>
      <c r="X475" s="3"/>
      <c r="Z475" s="28"/>
    </row>
    <row r="476" spans="2:26">
      <c r="B476" s="2"/>
      <c r="N476" s="27"/>
      <c r="R476" s="15"/>
      <c r="X476" s="3"/>
      <c r="Z476" s="28"/>
    </row>
    <row r="477" spans="2:26">
      <c r="B477" s="2"/>
      <c r="N477" s="27"/>
      <c r="R477" s="15"/>
      <c r="X477" s="3"/>
      <c r="Z477" s="28"/>
    </row>
    <row r="478" spans="2:26">
      <c r="B478" s="2"/>
      <c r="N478" s="27"/>
      <c r="R478" s="15"/>
      <c r="X478" s="3"/>
      <c r="Z478" s="28"/>
    </row>
    <row r="479" spans="2:26">
      <c r="B479" s="2"/>
      <c r="N479" s="27"/>
      <c r="R479" s="15"/>
      <c r="X479" s="3"/>
      <c r="Z479" s="28"/>
    </row>
    <row r="480" spans="2:26">
      <c r="B480" s="2"/>
      <c r="N480" s="27"/>
      <c r="R480" s="15"/>
      <c r="X480" s="3"/>
      <c r="Z480" s="28"/>
    </row>
    <row r="481" spans="2:26">
      <c r="B481" s="2"/>
      <c r="N481" s="27"/>
      <c r="R481" s="15"/>
      <c r="X481" s="3"/>
      <c r="Z481" s="28"/>
    </row>
    <row r="482" spans="2:26">
      <c r="B482" s="2"/>
      <c r="N482" s="27"/>
      <c r="R482" s="15"/>
      <c r="X482" s="3"/>
      <c r="Z482" s="28"/>
    </row>
    <row r="483" spans="2:26">
      <c r="B483" s="2"/>
      <c r="N483" s="27"/>
      <c r="R483" s="15"/>
      <c r="X483" s="3"/>
      <c r="Z483" s="28"/>
    </row>
    <row r="484" spans="2:26">
      <c r="B484" s="2"/>
      <c r="N484" s="27"/>
      <c r="R484" s="15"/>
      <c r="X484" s="3"/>
      <c r="Z484" s="28"/>
    </row>
    <row r="485" spans="2:26">
      <c r="B485" s="2"/>
      <c r="N485" s="27"/>
      <c r="R485" s="15"/>
      <c r="X485" s="3"/>
      <c r="Z485" s="28"/>
    </row>
    <row r="486" spans="2:26">
      <c r="B486" s="2"/>
      <c r="N486" s="27"/>
      <c r="R486" s="15"/>
      <c r="X486" s="3"/>
      <c r="Z486" s="28"/>
    </row>
    <row r="487" spans="2:26">
      <c r="B487" s="2"/>
      <c r="N487" s="27"/>
      <c r="R487" s="15"/>
      <c r="X487" s="3"/>
      <c r="Z487" s="28"/>
    </row>
    <row r="488" spans="2:26">
      <c r="B488" s="2"/>
      <c r="N488" s="27"/>
      <c r="R488" s="15"/>
      <c r="X488" s="3"/>
      <c r="Z488" s="28"/>
    </row>
    <row r="489" spans="2:26">
      <c r="B489" s="2"/>
      <c r="N489" s="27"/>
      <c r="R489" s="15"/>
      <c r="X489" s="3"/>
      <c r="Z489" s="28"/>
    </row>
    <row r="490" spans="2:26">
      <c r="B490" s="2"/>
      <c r="N490" s="27"/>
      <c r="R490" s="15"/>
      <c r="X490" s="3"/>
      <c r="Z490" s="28"/>
    </row>
    <row r="491" spans="2:26">
      <c r="B491" s="2"/>
      <c r="N491" s="27"/>
      <c r="R491" s="15"/>
      <c r="X491" s="3"/>
      <c r="Z491" s="28"/>
    </row>
    <row r="492" spans="2:26">
      <c r="B492" s="2"/>
      <c r="N492" s="27"/>
      <c r="R492" s="15"/>
      <c r="X492" s="3"/>
      <c r="Z492" s="28"/>
    </row>
    <row r="493" spans="2:26">
      <c r="B493" s="2"/>
      <c r="N493" s="27"/>
      <c r="R493" s="15"/>
      <c r="X493" s="3"/>
      <c r="Z493" s="28"/>
    </row>
    <row r="494" spans="2:26">
      <c r="B494" s="2"/>
      <c r="N494" s="27"/>
      <c r="R494" s="15"/>
      <c r="X494" s="3"/>
      <c r="Z494" s="28"/>
    </row>
    <row r="495" spans="2:26">
      <c r="B495" s="2"/>
      <c r="N495" s="27"/>
      <c r="R495" s="15"/>
      <c r="X495" s="3"/>
      <c r="Z495" s="28"/>
    </row>
    <row r="496" spans="2:26">
      <c r="B496" s="2"/>
      <c r="N496" s="27"/>
      <c r="R496" s="15"/>
      <c r="X496" s="3"/>
      <c r="Z496" s="28"/>
    </row>
    <row r="497" spans="2:26">
      <c r="B497" s="2"/>
      <c r="N497" s="27"/>
      <c r="R497" s="15"/>
      <c r="X497" s="3"/>
      <c r="Z497" s="28"/>
    </row>
    <row r="498" spans="2:26">
      <c r="B498" s="2"/>
      <c r="N498" s="27"/>
      <c r="R498" s="15"/>
      <c r="X498" s="3"/>
      <c r="Z498" s="28"/>
    </row>
    <row r="499" spans="2:26">
      <c r="B499" s="2"/>
      <c r="N499" s="27"/>
      <c r="R499" s="15"/>
      <c r="X499" s="3"/>
      <c r="Z499" s="28"/>
    </row>
    <row r="500" spans="2:26">
      <c r="B500" s="2"/>
      <c r="N500" s="27"/>
      <c r="R500" s="15"/>
      <c r="X500" s="3"/>
      <c r="Z500" s="28"/>
    </row>
    <row r="501" spans="2:26">
      <c r="B501" s="2"/>
      <c r="N501" s="27"/>
      <c r="R501" s="15"/>
      <c r="X501" s="3"/>
      <c r="Z501" s="28"/>
    </row>
    <row r="502" spans="2:26">
      <c r="B502" s="2"/>
      <c r="N502" s="27"/>
      <c r="R502" s="15"/>
      <c r="X502" s="3"/>
      <c r="Z502" s="28"/>
    </row>
    <row r="503" spans="2:26">
      <c r="B503" s="2"/>
      <c r="N503" s="27"/>
      <c r="R503" s="15"/>
      <c r="X503" s="3"/>
      <c r="Z503" s="28"/>
    </row>
    <row r="504" spans="2:26">
      <c r="B504" s="2"/>
      <c r="N504" s="27"/>
      <c r="R504" s="15"/>
      <c r="X504" s="3"/>
      <c r="Z504" s="28"/>
    </row>
    <row r="505" spans="2:26">
      <c r="B505" s="2"/>
      <c r="N505" s="27"/>
      <c r="R505" s="15"/>
      <c r="X505" s="3"/>
      <c r="Z505" s="28"/>
    </row>
    <row r="506" spans="2:26">
      <c r="B506" s="2"/>
      <c r="N506" s="27"/>
      <c r="R506" s="15"/>
      <c r="X506" s="3"/>
      <c r="Z506" s="28"/>
    </row>
    <row r="507" spans="2:26">
      <c r="B507" s="2"/>
      <c r="N507" s="27"/>
      <c r="R507" s="15"/>
      <c r="X507" s="3"/>
      <c r="Z507" s="28"/>
    </row>
    <row r="508" spans="2:26">
      <c r="B508" s="2"/>
      <c r="N508" s="27"/>
      <c r="R508" s="15"/>
      <c r="X508" s="3"/>
      <c r="Z508" s="28"/>
    </row>
    <row r="509" spans="2:26">
      <c r="B509" s="2"/>
      <c r="N509" s="27"/>
      <c r="R509" s="15"/>
      <c r="X509" s="3"/>
      <c r="Z509" s="28"/>
    </row>
    <row r="510" spans="2:26">
      <c r="B510" s="2"/>
      <c r="N510" s="27"/>
      <c r="R510" s="15"/>
      <c r="X510" s="3"/>
      <c r="Z510" s="28"/>
    </row>
    <row r="511" spans="2:26">
      <c r="B511" s="2"/>
      <c r="N511" s="27"/>
      <c r="R511" s="15"/>
      <c r="X511" s="3"/>
      <c r="Z511" s="28"/>
    </row>
    <row r="512" spans="2:26">
      <c r="B512" s="2"/>
      <c r="N512" s="27"/>
      <c r="R512" s="15"/>
      <c r="X512" s="3"/>
      <c r="Z512" s="28"/>
    </row>
    <row r="513" spans="2:26">
      <c r="B513" s="2"/>
      <c r="N513" s="27"/>
      <c r="R513" s="15"/>
      <c r="X513" s="3"/>
      <c r="Z513" s="28"/>
    </row>
    <row r="514" spans="2:26">
      <c r="B514" s="2"/>
      <c r="N514" s="27"/>
      <c r="R514" s="15"/>
      <c r="X514" s="3"/>
      <c r="Z514" s="28"/>
    </row>
    <row r="515" spans="2:26">
      <c r="B515" s="2"/>
      <c r="N515" s="27"/>
      <c r="R515" s="15"/>
      <c r="X515" s="3"/>
      <c r="Z515" s="28"/>
    </row>
    <row r="516" spans="2:26">
      <c r="B516" s="2"/>
      <c r="N516" s="27"/>
      <c r="R516" s="15"/>
      <c r="X516" s="3"/>
      <c r="Z516" s="28"/>
    </row>
    <row r="517" spans="2:26">
      <c r="B517" s="2"/>
      <c r="N517" s="27"/>
      <c r="R517" s="15"/>
      <c r="X517" s="3"/>
      <c r="Z517" s="28"/>
    </row>
    <row r="518" spans="2:26">
      <c r="B518" s="2"/>
      <c r="N518" s="27"/>
      <c r="R518" s="15"/>
      <c r="X518" s="3"/>
      <c r="Z518" s="28"/>
    </row>
    <row r="519" spans="2:26">
      <c r="B519" s="2"/>
      <c r="N519" s="27"/>
      <c r="R519" s="15"/>
      <c r="X519" s="3"/>
      <c r="Z519" s="28"/>
    </row>
    <row r="520" spans="2:26">
      <c r="B520" s="2"/>
      <c r="N520" s="27"/>
      <c r="R520" s="15"/>
      <c r="X520" s="3"/>
      <c r="Z520" s="28"/>
    </row>
    <row r="521" spans="2:26">
      <c r="B521" s="2"/>
      <c r="N521" s="27"/>
      <c r="R521" s="15"/>
      <c r="X521" s="3"/>
      <c r="Z521" s="28"/>
    </row>
    <row r="522" spans="2:26">
      <c r="B522" s="2"/>
      <c r="N522" s="27"/>
      <c r="R522" s="15"/>
      <c r="X522" s="3"/>
      <c r="Z522" s="28"/>
    </row>
    <row r="523" spans="2:26">
      <c r="B523" s="2"/>
      <c r="N523" s="27"/>
      <c r="R523" s="15"/>
      <c r="X523" s="3"/>
      <c r="Z523" s="28"/>
    </row>
    <row r="524" spans="2:26">
      <c r="B524" s="2"/>
      <c r="N524" s="27"/>
      <c r="R524" s="15"/>
      <c r="X524" s="3"/>
      <c r="Z524" s="28"/>
    </row>
    <row r="525" spans="2:26">
      <c r="B525" s="2"/>
      <c r="N525" s="27"/>
      <c r="R525" s="15"/>
      <c r="X525" s="3"/>
      <c r="Z525" s="28"/>
    </row>
    <row r="526" spans="2:26">
      <c r="B526" s="2"/>
      <c r="N526" s="27"/>
      <c r="R526" s="15"/>
      <c r="X526" s="3"/>
      <c r="Z526" s="28"/>
    </row>
    <row r="527" spans="2:26">
      <c r="B527" s="2"/>
      <c r="N527" s="27"/>
      <c r="R527" s="15"/>
      <c r="X527" s="3"/>
      <c r="Z527" s="28"/>
    </row>
    <row r="528" spans="2:26">
      <c r="B528" s="2"/>
      <c r="N528" s="27"/>
      <c r="R528" s="15"/>
      <c r="X528" s="3"/>
      <c r="Z528" s="28"/>
    </row>
    <row r="529" spans="2:26">
      <c r="B529" s="2"/>
      <c r="N529" s="27"/>
      <c r="R529" s="15"/>
      <c r="X529" s="3"/>
      <c r="Z529" s="28"/>
    </row>
    <row r="530" spans="2:26">
      <c r="B530" s="2"/>
      <c r="N530" s="27"/>
      <c r="R530" s="15"/>
      <c r="X530" s="3"/>
      <c r="Z530" s="28"/>
    </row>
    <row r="531" spans="2:26">
      <c r="B531" s="2"/>
      <c r="N531" s="27"/>
      <c r="R531" s="15"/>
      <c r="X531" s="3"/>
      <c r="Z531" s="28"/>
    </row>
    <row r="532" spans="2:26">
      <c r="B532" s="2"/>
      <c r="N532" s="27"/>
      <c r="R532" s="15"/>
      <c r="X532" s="3"/>
      <c r="Z532" s="28"/>
    </row>
    <row r="533" spans="2:26">
      <c r="B533" s="2"/>
      <c r="N533" s="27"/>
      <c r="R533" s="15"/>
      <c r="X533" s="3"/>
      <c r="Z533" s="28"/>
    </row>
    <row r="534" spans="2:26">
      <c r="B534" s="2"/>
      <c r="N534" s="27"/>
      <c r="R534" s="15"/>
      <c r="X534" s="3"/>
      <c r="Z534" s="28"/>
    </row>
    <row r="535" spans="2:26">
      <c r="B535" s="2"/>
      <c r="N535" s="27"/>
      <c r="R535" s="15"/>
      <c r="X535" s="3"/>
      <c r="Z535" s="28"/>
    </row>
    <row r="536" spans="2:26">
      <c r="B536" s="2"/>
      <c r="N536" s="27"/>
      <c r="R536" s="15"/>
      <c r="X536" s="3"/>
      <c r="Z536" s="28"/>
    </row>
    <row r="537" spans="2:26">
      <c r="B537" s="2"/>
      <c r="N537" s="27"/>
      <c r="R537" s="15"/>
      <c r="X537" s="3"/>
      <c r="Z537" s="28"/>
    </row>
    <row r="538" spans="2:26">
      <c r="B538" s="2"/>
      <c r="N538" s="27"/>
      <c r="R538" s="15"/>
      <c r="X538" s="3"/>
      <c r="Z538" s="28"/>
    </row>
    <row r="539" spans="2:26">
      <c r="B539" s="2"/>
      <c r="N539" s="27"/>
      <c r="R539" s="15"/>
      <c r="X539" s="3"/>
      <c r="Z539" s="28"/>
    </row>
    <row r="540" spans="2:26">
      <c r="B540" s="2"/>
      <c r="N540" s="27"/>
      <c r="R540" s="15"/>
      <c r="X540" s="3"/>
      <c r="Z540" s="28"/>
    </row>
    <row r="541" spans="2:26">
      <c r="B541" s="2"/>
      <c r="N541" s="27"/>
      <c r="R541" s="15"/>
      <c r="X541" s="3"/>
      <c r="Z541" s="28"/>
    </row>
    <row r="542" spans="2:26">
      <c r="B542" s="2"/>
      <c r="N542" s="27"/>
      <c r="R542" s="15"/>
      <c r="X542" s="3"/>
      <c r="Z542" s="28"/>
    </row>
    <row r="543" spans="2:26">
      <c r="B543" s="2"/>
      <c r="N543" s="27"/>
      <c r="R543" s="15"/>
      <c r="X543" s="3"/>
      <c r="Z543" s="28"/>
    </row>
    <row r="544" spans="2:26">
      <c r="B544" s="2"/>
      <c r="N544" s="27"/>
      <c r="R544" s="15"/>
      <c r="X544" s="3"/>
      <c r="Z544" s="28"/>
    </row>
    <row r="545" spans="2:26">
      <c r="B545" s="2"/>
      <c r="N545" s="27"/>
      <c r="R545" s="15"/>
      <c r="X545" s="3"/>
      <c r="Z545" s="28"/>
    </row>
    <row r="546" spans="2:26">
      <c r="B546" s="2"/>
      <c r="N546" s="27"/>
      <c r="R546" s="15"/>
      <c r="X546" s="3"/>
      <c r="Z546" s="28"/>
    </row>
    <row r="547" spans="2:26">
      <c r="B547" s="2"/>
      <c r="N547" s="27"/>
      <c r="R547" s="15"/>
      <c r="X547" s="3"/>
      <c r="Z547" s="28"/>
    </row>
    <row r="548" spans="2:26">
      <c r="B548" s="2"/>
      <c r="N548" s="27"/>
      <c r="R548" s="15"/>
      <c r="X548" s="3"/>
      <c r="Z548" s="28"/>
    </row>
    <row r="549" spans="2:26">
      <c r="B549" s="2"/>
      <c r="N549" s="27"/>
      <c r="R549" s="15"/>
      <c r="X549" s="3"/>
      <c r="Z549" s="28"/>
    </row>
    <row r="550" spans="2:26">
      <c r="B550" s="2"/>
      <c r="N550" s="27"/>
      <c r="R550" s="15"/>
      <c r="X550" s="3"/>
      <c r="Z550" s="28"/>
    </row>
    <row r="551" spans="2:26">
      <c r="B551" s="2"/>
      <c r="N551" s="27"/>
      <c r="R551" s="15"/>
      <c r="X551" s="3"/>
      <c r="Z551" s="28"/>
    </row>
    <row r="552" spans="2:26">
      <c r="B552" s="2"/>
      <c r="N552" s="27"/>
      <c r="R552" s="15"/>
      <c r="X552" s="3"/>
      <c r="Z552" s="28"/>
    </row>
    <row r="553" spans="2:26">
      <c r="B553" s="2"/>
      <c r="N553" s="27"/>
      <c r="R553" s="15"/>
      <c r="X553" s="3"/>
      <c r="Z553" s="28"/>
    </row>
    <row r="554" spans="2:26">
      <c r="B554" s="2"/>
      <c r="N554" s="27"/>
      <c r="R554" s="15"/>
      <c r="X554" s="3"/>
      <c r="Z554" s="28"/>
    </row>
    <row r="555" spans="2:26">
      <c r="B555" s="2"/>
      <c r="N555" s="27"/>
      <c r="R555" s="15"/>
      <c r="X555" s="3"/>
      <c r="Z555" s="28"/>
    </row>
    <row r="556" spans="2:26">
      <c r="B556" s="2"/>
      <c r="N556" s="27"/>
      <c r="R556" s="15"/>
      <c r="X556" s="3"/>
      <c r="Z556" s="28"/>
    </row>
    <row r="557" spans="2:26">
      <c r="B557" s="2"/>
      <c r="N557" s="27"/>
      <c r="R557" s="15"/>
      <c r="X557" s="3"/>
      <c r="Z557" s="28"/>
    </row>
    <row r="558" spans="2:26">
      <c r="B558" s="2"/>
      <c r="N558" s="27"/>
      <c r="R558" s="15"/>
      <c r="X558" s="3"/>
      <c r="Z558" s="28"/>
    </row>
    <row r="559" spans="2:26">
      <c r="B559" s="2"/>
      <c r="N559" s="27"/>
      <c r="R559" s="15"/>
      <c r="X559" s="3"/>
      <c r="Z559" s="28"/>
    </row>
    <row r="560" spans="2:26">
      <c r="B560" s="2"/>
      <c r="N560" s="27"/>
      <c r="R560" s="15"/>
      <c r="X560" s="3"/>
      <c r="Z560" s="28"/>
    </row>
    <row r="561" spans="2:26">
      <c r="B561" s="2"/>
      <c r="N561" s="27"/>
      <c r="R561" s="15"/>
      <c r="X561" s="3"/>
      <c r="Z561" s="28"/>
    </row>
    <row r="562" spans="2:26">
      <c r="B562" s="2"/>
      <c r="N562" s="27"/>
      <c r="R562" s="15"/>
      <c r="X562" s="3"/>
      <c r="Z562" s="28"/>
    </row>
    <row r="563" spans="2:26">
      <c r="B563" s="2"/>
      <c r="N563" s="27"/>
      <c r="R563" s="15"/>
      <c r="X563" s="3"/>
      <c r="Z563" s="28"/>
    </row>
    <row r="564" spans="2:26">
      <c r="B564" s="2"/>
      <c r="N564" s="27"/>
      <c r="R564" s="15"/>
      <c r="X564" s="3"/>
      <c r="Z564" s="28"/>
    </row>
    <row r="565" spans="2:26">
      <c r="B565" s="2"/>
      <c r="N565" s="27"/>
      <c r="R565" s="15"/>
      <c r="X565" s="3"/>
      <c r="Z565" s="28"/>
    </row>
    <row r="566" spans="2:26">
      <c r="B566" s="2"/>
      <c r="N566" s="27"/>
      <c r="R566" s="15"/>
      <c r="X566" s="3"/>
      <c r="Z566" s="28"/>
    </row>
    <row r="567" spans="2:26">
      <c r="B567" s="2"/>
      <c r="N567" s="27"/>
      <c r="R567" s="15"/>
      <c r="X567" s="3"/>
      <c r="Z567" s="28"/>
    </row>
    <row r="568" spans="2:26">
      <c r="B568" s="2"/>
      <c r="N568" s="27"/>
      <c r="R568" s="15"/>
      <c r="X568" s="3"/>
      <c r="Z568" s="28"/>
    </row>
    <row r="569" spans="2:26">
      <c r="B569" s="2"/>
      <c r="N569" s="27"/>
      <c r="R569" s="15"/>
      <c r="X569" s="3"/>
      <c r="Z569" s="28"/>
    </row>
    <row r="570" spans="2:26">
      <c r="B570" s="2"/>
      <c r="N570" s="27"/>
      <c r="R570" s="15"/>
      <c r="X570" s="3"/>
      <c r="Z570" s="28"/>
    </row>
    <row r="571" spans="2:26">
      <c r="B571" s="2"/>
      <c r="N571" s="27"/>
      <c r="R571" s="15"/>
      <c r="X571" s="3"/>
      <c r="Z571" s="28"/>
    </row>
    <row r="572" spans="2:26">
      <c r="B572" s="2"/>
      <c r="N572" s="27"/>
      <c r="R572" s="15"/>
      <c r="X572" s="3"/>
      <c r="Z572" s="28"/>
    </row>
    <row r="573" spans="2:26">
      <c r="B573" s="2"/>
      <c r="N573" s="27"/>
      <c r="R573" s="15"/>
      <c r="X573" s="3"/>
      <c r="Z573" s="28"/>
    </row>
    <row r="574" spans="2:26">
      <c r="B574" s="2"/>
      <c r="N574" s="27"/>
      <c r="R574" s="15"/>
      <c r="X574" s="3"/>
      <c r="Z574" s="28"/>
    </row>
    <row r="575" spans="2:26">
      <c r="B575" s="2"/>
      <c r="N575" s="27"/>
      <c r="R575" s="15"/>
      <c r="X575" s="3"/>
      <c r="Z575" s="28"/>
    </row>
    <row r="576" spans="2:26">
      <c r="B576" s="2"/>
      <c r="N576" s="27"/>
      <c r="R576" s="15"/>
      <c r="X576" s="3"/>
      <c r="Z576" s="28"/>
    </row>
    <row r="577" spans="2:26">
      <c r="B577" s="2"/>
      <c r="N577" s="27"/>
      <c r="R577" s="15"/>
      <c r="X577" s="3"/>
      <c r="Z577" s="28"/>
    </row>
    <row r="578" spans="2:26">
      <c r="B578" s="2"/>
      <c r="N578" s="27"/>
      <c r="R578" s="15"/>
      <c r="X578" s="3"/>
      <c r="Z578" s="28"/>
    </row>
    <row r="579" spans="2:26">
      <c r="B579" s="2"/>
      <c r="N579" s="27"/>
      <c r="R579" s="15"/>
      <c r="X579" s="3"/>
      <c r="Z579" s="28"/>
    </row>
    <row r="580" spans="2:26">
      <c r="B580" s="2"/>
      <c r="N580" s="27"/>
      <c r="R580" s="15"/>
      <c r="X580" s="3"/>
      <c r="Z580" s="28"/>
    </row>
    <row r="581" spans="2:26">
      <c r="B581" s="2"/>
      <c r="N581" s="27"/>
      <c r="R581" s="15"/>
      <c r="X581" s="3"/>
      <c r="Z581" s="28"/>
    </row>
    <row r="582" spans="2:26">
      <c r="B582" s="2"/>
      <c r="N582" s="27"/>
      <c r="R582" s="15"/>
      <c r="X582" s="3"/>
      <c r="Z582" s="28"/>
    </row>
    <row r="583" spans="2:26">
      <c r="B583" s="2"/>
      <c r="N583" s="27"/>
      <c r="R583" s="15"/>
      <c r="X583" s="3"/>
      <c r="Z583" s="28"/>
    </row>
    <row r="584" spans="2:26">
      <c r="B584" s="2"/>
      <c r="N584" s="27"/>
      <c r="R584" s="15"/>
      <c r="X584" s="3"/>
      <c r="Z584" s="28"/>
    </row>
    <row r="585" spans="2:26">
      <c r="B585" s="2"/>
      <c r="N585" s="27"/>
      <c r="R585" s="15"/>
      <c r="X585" s="3"/>
      <c r="Z585" s="28"/>
    </row>
    <row r="586" spans="2:26">
      <c r="B586" s="2"/>
      <c r="N586" s="27"/>
      <c r="R586" s="15"/>
      <c r="X586" s="3"/>
      <c r="Z586" s="28"/>
    </row>
    <row r="587" spans="2:26">
      <c r="B587" s="2"/>
      <c r="N587" s="27"/>
      <c r="R587" s="15"/>
      <c r="X587" s="3"/>
      <c r="Z587" s="28"/>
    </row>
    <row r="588" spans="2:26">
      <c r="B588" s="2"/>
      <c r="N588" s="27"/>
      <c r="R588" s="15"/>
      <c r="X588" s="3"/>
      <c r="Z588" s="28"/>
    </row>
    <row r="589" spans="2:26">
      <c r="B589" s="2"/>
      <c r="N589" s="27"/>
      <c r="R589" s="15"/>
      <c r="X589" s="3"/>
      <c r="Z589" s="28"/>
    </row>
    <row r="590" spans="2:26">
      <c r="B590" s="2"/>
      <c r="N590" s="27"/>
      <c r="R590" s="15"/>
      <c r="X590" s="3"/>
      <c r="Z590" s="28"/>
    </row>
    <row r="591" spans="2:26">
      <c r="B591" s="2"/>
      <c r="N591" s="27"/>
      <c r="R591" s="15"/>
      <c r="X591" s="3"/>
      <c r="Z591" s="28"/>
    </row>
    <row r="592" spans="2:26">
      <c r="B592" s="2"/>
      <c r="N592" s="27"/>
      <c r="R592" s="15"/>
      <c r="X592" s="3"/>
      <c r="Z592" s="28"/>
    </row>
    <row r="593" spans="2:26">
      <c r="B593" s="2"/>
      <c r="N593" s="27"/>
      <c r="R593" s="15"/>
      <c r="X593" s="3"/>
      <c r="Z593" s="28"/>
    </row>
    <row r="594" spans="2:26">
      <c r="B594" s="2"/>
      <c r="N594" s="27"/>
      <c r="R594" s="15"/>
      <c r="X594" s="3"/>
      <c r="Z594" s="28"/>
    </row>
    <row r="595" spans="2:26">
      <c r="B595" s="2"/>
      <c r="N595" s="27"/>
      <c r="R595" s="15"/>
      <c r="X595" s="3"/>
      <c r="Z595" s="28"/>
    </row>
    <row r="596" spans="2:26">
      <c r="B596" s="2"/>
      <c r="N596" s="27"/>
      <c r="R596" s="15"/>
      <c r="X596" s="3"/>
      <c r="Z596" s="28"/>
    </row>
    <row r="597" spans="2:26">
      <c r="B597" s="2"/>
      <c r="N597" s="27"/>
      <c r="R597" s="15"/>
      <c r="X597" s="3"/>
      <c r="Z597" s="28"/>
    </row>
    <row r="598" spans="2:26">
      <c r="B598" s="2"/>
      <c r="N598" s="27"/>
      <c r="R598" s="15"/>
      <c r="X598" s="3"/>
      <c r="Z598" s="28"/>
    </row>
    <row r="599" spans="2:26">
      <c r="B599" s="2"/>
      <c r="N599" s="27"/>
      <c r="R599" s="15"/>
      <c r="X599" s="3"/>
      <c r="Z599" s="28"/>
    </row>
    <row r="600" spans="2:26">
      <c r="B600" s="2"/>
      <c r="N600" s="27"/>
      <c r="R600" s="15"/>
      <c r="X600" s="3"/>
      <c r="Z600" s="28"/>
    </row>
    <row r="601" spans="2:26">
      <c r="B601" s="2"/>
      <c r="N601" s="27"/>
      <c r="R601" s="15"/>
      <c r="X601" s="3"/>
      <c r="Z601" s="28"/>
    </row>
    <row r="602" spans="2:26">
      <c r="B602" s="2"/>
      <c r="N602" s="27"/>
      <c r="R602" s="15"/>
      <c r="X602" s="3"/>
      <c r="Z602" s="28"/>
    </row>
    <row r="603" spans="2:26">
      <c r="B603" s="2"/>
      <c r="N603" s="27"/>
      <c r="R603" s="15"/>
      <c r="X603" s="3"/>
      <c r="Z603" s="28"/>
    </row>
    <row r="604" spans="2:26">
      <c r="B604" s="2"/>
      <c r="N604" s="27"/>
      <c r="R604" s="15"/>
      <c r="X604" s="3"/>
      <c r="Z604" s="28"/>
    </row>
    <row r="605" spans="2:26">
      <c r="B605" s="2"/>
      <c r="N605" s="27"/>
      <c r="R605" s="15"/>
      <c r="X605" s="3"/>
      <c r="Z605" s="28"/>
    </row>
    <row r="606" spans="2:26">
      <c r="B606" s="2"/>
      <c r="N606" s="27"/>
      <c r="R606" s="15"/>
      <c r="X606" s="3"/>
      <c r="Z606" s="28"/>
    </row>
    <row r="607" spans="2:26">
      <c r="B607" s="2"/>
      <c r="N607" s="27"/>
      <c r="R607" s="15"/>
      <c r="X607" s="3"/>
      <c r="Z607" s="28"/>
    </row>
    <row r="608" spans="2:26">
      <c r="B608" s="2"/>
      <c r="N608" s="27"/>
      <c r="R608" s="15"/>
      <c r="X608" s="3"/>
      <c r="Z608" s="28"/>
    </row>
    <row r="609" spans="2:26">
      <c r="B609" s="2"/>
      <c r="N609" s="27"/>
      <c r="R609" s="15"/>
      <c r="X609" s="3"/>
      <c r="Z609" s="28"/>
    </row>
    <row r="610" spans="2:26">
      <c r="B610" s="2"/>
      <c r="N610" s="27"/>
      <c r="R610" s="15"/>
      <c r="X610" s="3"/>
      <c r="Z610" s="28"/>
    </row>
    <row r="611" spans="2:26">
      <c r="B611" s="2"/>
      <c r="N611" s="27"/>
      <c r="R611" s="15"/>
      <c r="X611" s="3"/>
      <c r="Z611" s="28"/>
    </row>
    <row r="612" spans="2:26">
      <c r="B612" s="2"/>
      <c r="N612" s="27"/>
      <c r="R612" s="15"/>
      <c r="X612" s="3"/>
      <c r="Z612" s="28"/>
    </row>
    <row r="613" spans="2:26">
      <c r="B613" s="2"/>
      <c r="N613" s="27"/>
      <c r="R613" s="15"/>
      <c r="X613" s="3"/>
      <c r="Z613" s="28"/>
    </row>
    <row r="614" spans="2:26">
      <c r="B614" s="2"/>
      <c r="N614" s="27"/>
      <c r="R614" s="15"/>
      <c r="X614" s="3"/>
      <c r="Z614" s="28"/>
    </row>
    <row r="615" spans="2:26">
      <c r="B615" s="2"/>
      <c r="N615" s="27"/>
      <c r="R615" s="15"/>
      <c r="X615" s="3"/>
      <c r="Z615" s="28"/>
    </row>
    <row r="616" spans="2:26">
      <c r="B616" s="2"/>
      <c r="N616" s="27"/>
      <c r="R616" s="15"/>
      <c r="X616" s="3"/>
      <c r="Z616" s="28"/>
    </row>
    <row r="617" spans="2:26">
      <c r="B617" s="2"/>
      <c r="N617" s="27"/>
      <c r="R617" s="15"/>
      <c r="X617" s="3"/>
      <c r="Z617" s="28"/>
    </row>
    <row r="618" spans="2:26">
      <c r="B618" s="2"/>
      <c r="N618" s="27"/>
      <c r="R618" s="15"/>
      <c r="X618" s="3"/>
      <c r="Z618" s="28"/>
    </row>
    <row r="619" spans="2:26">
      <c r="B619" s="2"/>
      <c r="N619" s="27"/>
      <c r="R619" s="15"/>
      <c r="X619" s="3"/>
      <c r="Z619" s="28"/>
    </row>
    <row r="620" spans="2:26">
      <c r="B620" s="2"/>
      <c r="N620" s="27"/>
      <c r="R620" s="15"/>
      <c r="X620" s="3"/>
      <c r="Z620" s="28"/>
    </row>
    <row r="621" spans="2:26">
      <c r="B621" s="2"/>
      <c r="N621" s="27"/>
      <c r="R621" s="15"/>
      <c r="X621" s="3"/>
      <c r="Z621" s="28"/>
    </row>
    <row r="622" spans="2:26">
      <c r="B622" s="2"/>
      <c r="N622" s="27"/>
      <c r="R622" s="15"/>
      <c r="X622" s="3"/>
      <c r="Z622" s="28"/>
    </row>
    <row r="623" spans="2:26">
      <c r="B623" s="2"/>
      <c r="N623" s="27"/>
      <c r="R623" s="15"/>
      <c r="X623" s="3"/>
      <c r="Z623" s="28"/>
    </row>
    <row r="624" spans="2:26">
      <c r="B624" s="2"/>
      <c r="N624" s="27"/>
      <c r="R624" s="15"/>
      <c r="X624" s="3"/>
      <c r="Z624" s="28"/>
    </row>
    <row r="625" spans="2:26">
      <c r="B625" s="2"/>
      <c r="N625" s="27"/>
      <c r="R625" s="15"/>
      <c r="X625" s="3"/>
      <c r="Z625" s="28"/>
    </row>
    <row r="626" spans="2:26">
      <c r="B626" s="2"/>
      <c r="N626" s="27"/>
      <c r="R626" s="15"/>
      <c r="X626" s="3"/>
      <c r="Z626" s="28"/>
    </row>
    <row r="627" spans="2:26">
      <c r="B627" s="2"/>
      <c r="N627" s="27"/>
      <c r="R627" s="15"/>
      <c r="X627" s="3"/>
      <c r="Z627" s="28"/>
    </row>
    <row r="628" spans="2:26">
      <c r="B628" s="2"/>
      <c r="N628" s="27"/>
      <c r="R628" s="15"/>
      <c r="X628" s="3"/>
      <c r="Z628" s="28"/>
    </row>
    <row r="629" spans="2:26">
      <c r="B629" s="2"/>
      <c r="N629" s="27"/>
      <c r="R629" s="15"/>
      <c r="X629" s="3"/>
      <c r="Z629" s="28"/>
    </row>
    <row r="630" spans="2:26">
      <c r="B630" s="2"/>
      <c r="N630" s="27"/>
      <c r="R630" s="15"/>
      <c r="X630" s="3"/>
      <c r="Z630" s="28"/>
    </row>
    <row r="631" spans="2:26">
      <c r="B631" s="2"/>
      <c r="N631" s="27"/>
      <c r="R631" s="15"/>
      <c r="X631" s="3"/>
      <c r="Z631" s="28"/>
    </row>
    <row r="632" spans="2:26">
      <c r="B632" s="2"/>
      <c r="N632" s="27"/>
      <c r="R632" s="15"/>
      <c r="X632" s="3"/>
      <c r="Z632" s="28"/>
    </row>
    <row r="633" spans="2:26">
      <c r="B633" s="2"/>
      <c r="N633" s="27"/>
      <c r="R633" s="15"/>
      <c r="X633" s="3"/>
      <c r="Z633" s="28"/>
    </row>
    <row r="634" spans="2:26">
      <c r="B634" s="2"/>
      <c r="N634" s="27"/>
      <c r="R634" s="15"/>
      <c r="X634" s="3"/>
      <c r="Z634" s="28"/>
    </row>
    <row r="635" spans="2:26">
      <c r="B635" s="2"/>
      <c r="N635" s="27"/>
      <c r="R635" s="15"/>
      <c r="X635" s="3"/>
      <c r="Z635" s="28"/>
    </row>
    <row r="636" spans="2:26">
      <c r="B636" s="2"/>
      <c r="N636" s="27"/>
      <c r="R636" s="15"/>
      <c r="X636" s="3"/>
      <c r="Z636" s="28"/>
    </row>
    <row r="637" spans="2:26">
      <c r="B637" s="2"/>
      <c r="N637" s="27"/>
      <c r="R637" s="15"/>
      <c r="X637" s="3"/>
      <c r="Z637" s="28"/>
    </row>
    <row r="638" spans="2:26">
      <c r="B638" s="2"/>
      <c r="N638" s="27"/>
      <c r="R638" s="15"/>
      <c r="X638" s="3"/>
      <c r="Z638" s="28"/>
    </row>
    <row r="639" spans="2:26">
      <c r="B639" s="2"/>
      <c r="N639" s="27"/>
      <c r="R639" s="15"/>
      <c r="X639" s="3"/>
      <c r="Z639" s="28"/>
    </row>
    <row r="640" spans="2:26">
      <c r="B640" s="2"/>
      <c r="N640" s="27"/>
      <c r="R640" s="15"/>
      <c r="X640" s="3"/>
      <c r="Z640" s="28"/>
    </row>
    <row r="641" spans="2:26">
      <c r="B641" s="2"/>
      <c r="N641" s="27"/>
      <c r="R641" s="15"/>
      <c r="X641" s="3"/>
      <c r="Z641" s="28"/>
    </row>
    <row r="642" spans="2:26">
      <c r="B642" s="2"/>
      <c r="N642" s="27"/>
      <c r="R642" s="15"/>
      <c r="X642" s="3"/>
      <c r="Z642" s="28"/>
    </row>
    <row r="643" spans="2:26">
      <c r="B643" s="2"/>
      <c r="N643" s="27"/>
      <c r="R643" s="15"/>
      <c r="X643" s="3"/>
      <c r="Z643" s="28"/>
    </row>
    <row r="644" spans="2:26">
      <c r="B644" s="2"/>
      <c r="N644" s="27"/>
      <c r="R644" s="15"/>
      <c r="X644" s="3"/>
      <c r="Z644" s="28"/>
    </row>
    <row r="645" spans="2:26">
      <c r="B645" s="2"/>
      <c r="N645" s="27"/>
      <c r="R645" s="15"/>
      <c r="X645" s="3"/>
      <c r="Z645" s="28"/>
    </row>
    <row r="646" spans="2:26">
      <c r="B646" s="2"/>
      <c r="N646" s="27"/>
      <c r="R646" s="15"/>
      <c r="X646" s="3"/>
      <c r="Z646" s="28"/>
    </row>
    <row r="647" spans="2:26">
      <c r="B647" s="2"/>
      <c r="N647" s="27"/>
      <c r="R647" s="15"/>
      <c r="X647" s="3"/>
      <c r="Z647" s="28"/>
    </row>
    <row r="648" spans="2:26">
      <c r="B648" s="2"/>
      <c r="N648" s="27"/>
      <c r="R648" s="15"/>
      <c r="X648" s="3"/>
      <c r="Z648" s="28"/>
    </row>
    <row r="649" spans="2:26">
      <c r="B649" s="2"/>
      <c r="N649" s="27"/>
      <c r="R649" s="15"/>
      <c r="X649" s="3"/>
      <c r="Z649" s="28"/>
    </row>
    <row r="650" spans="2:26">
      <c r="B650" s="2"/>
      <c r="N650" s="27"/>
      <c r="R650" s="15"/>
      <c r="X650" s="3"/>
      <c r="Z650" s="28"/>
    </row>
    <row r="651" spans="2:26">
      <c r="B651" s="2"/>
      <c r="N651" s="27"/>
      <c r="R651" s="15"/>
      <c r="X651" s="3"/>
      <c r="Z651" s="28"/>
    </row>
    <row r="652" spans="2:26">
      <c r="B652" s="2"/>
      <c r="N652" s="27"/>
      <c r="R652" s="15"/>
      <c r="X652" s="3"/>
      <c r="Z652" s="28"/>
    </row>
    <row r="653" spans="2:26">
      <c r="B653" s="2"/>
      <c r="N653" s="27"/>
      <c r="R653" s="15"/>
      <c r="X653" s="3"/>
      <c r="Z653" s="28"/>
    </row>
    <row r="654" spans="2:26">
      <c r="B654" s="2"/>
      <c r="N654" s="27"/>
      <c r="R654" s="15"/>
      <c r="X654" s="3"/>
      <c r="Z654" s="28"/>
    </row>
    <row r="655" spans="2:26">
      <c r="B655" s="2"/>
      <c r="N655" s="27"/>
      <c r="R655" s="15"/>
      <c r="X655" s="3"/>
      <c r="Z655" s="28"/>
    </row>
    <row r="656" spans="2:26">
      <c r="B656" s="2"/>
      <c r="N656" s="27"/>
      <c r="R656" s="15"/>
      <c r="X656" s="3"/>
      <c r="Z656" s="28"/>
    </row>
    <row r="657" spans="2:26">
      <c r="B657" s="2"/>
      <c r="N657" s="27"/>
      <c r="R657" s="15"/>
      <c r="X657" s="3"/>
      <c r="Z657" s="28"/>
    </row>
    <row r="658" spans="2:26">
      <c r="B658" s="2"/>
      <c r="N658" s="27"/>
      <c r="R658" s="15"/>
      <c r="X658" s="3"/>
      <c r="Z658" s="28"/>
    </row>
    <row r="659" spans="2:26">
      <c r="B659" s="2"/>
      <c r="N659" s="27"/>
      <c r="R659" s="15"/>
      <c r="X659" s="3"/>
      <c r="Z659" s="28"/>
    </row>
    <row r="660" spans="2:26">
      <c r="B660" s="2"/>
      <c r="N660" s="27"/>
      <c r="R660" s="15"/>
      <c r="X660" s="3"/>
      <c r="Z660" s="28"/>
    </row>
    <row r="661" spans="2:26">
      <c r="B661" s="2"/>
      <c r="N661" s="27"/>
      <c r="R661" s="15"/>
      <c r="X661" s="3"/>
      <c r="Z661" s="28"/>
    </row>
    <row r="662" spans="2:26">
      <c r="B662" s="2"/>
      <c r="N662" s="27"/>
      <c r="R662" s="15"/>
      <c r="X662" s="3"/>
      <c r="Z662" s="28"/>
    </row>
    <row r="663" spans="2:26">
      <c r="B663" s="2"/>
      <c r="N663" s="27"/>
      <c r="R663" s="15"/>
      <c r="X663" s="3"/>
      <c r="Z663" s="28"/>
    </row>
    <row r="664" spans="2:26">
      <c r="B664" s="2"/>
      <c r="N664" s="27"/>
      <c r="R664" s="15"/>
      <c r="X664" s="3"/>
      <c r="Z664" s="28"/>
    </row>
    <row r="665" spans="2:26">
      <c r="B665" s="2"/>
      <c r="N665" s="27"/>
      <c r="R665" s="15"/>
      <c r="X665" s="3"/>
      <c r="Z665" s="28"/>
    </row>
    <row r="666" spans="2:26">
      <c r="B666" s="2"/>
      <c r="N666" s="27"/>
      <c r="R666" s="15"/>
      <c r="X666" s="3"/>
      <c r="Z666" s="28"/>
    </row>
    <row r="667" spans="2:26">
      <c r="B667" s="2"/>
      <c r="N667" s="27"/>
      <c r="R667" s="15"/>
      <c r="X667" s="3"/>
      <c r="Z667" s="28"/>
    </row>
    <row r="668" spans="2:26">
      <c r="B668" s="2"/>
      <c r="N668" s="27"/>
      <c r="R668" s="15"/>
      <c r="X668" s="3"/>
      <c r="Z668" s="28"/>
    </row>
    <row r="669" spans="2:26">
      <c r="B669" s="2"/>
      <c r="N669" s="27"/>
      <c r="R669" s="15"/>
      <c r="X669" s="3"/>
      <c r="Z669" s="28"/>
    </row>
    <row r="670" spans="2:26">
      <c r="B670" s="2"/>
      <c r="N670" s="27"/>
      <c r="R670" s="15"/>
      <c r="X670" s="3"/>
      <c r="Z670" s="28"/>
    </row>
    <row r="671" spans="2:26">
      <c r="B671" s="2"/>
      <c r="N671" s="27"/>
      <c r="R671" s="15"/>
      <c r="X671" s="3"/>
      <c r="Z671" s="28"/>
    </row>
    <row r="672" spans="2:26">
      <c r="B672" s="2"/>
      <c r="N672" s="27"/>
      <c r="R672" s="15"/>
      <c r="X672" s="3"/>
      <c r="Z672" s="28"/>
    </row>
    <row r="673" spans="2:26">
      <c r="B673" s="2"/>
      <c r="N673" s="27"/>
      <c r="R673" s="15"/>
      <c r="X673" s="3"/>
      <c r="Z673" s="28"/>
    </row>
    <row r="674" spans="2:26">
      <c r="B674" s="2"/>
      <c r="N674" s="27"/>
      <c r="R674" s="15"/>
      <c r="X674" s="3"/>
      <c r="Z674" s="28"/>
    </row>
    <row r="675" spans="2:26">
      <c r="B675" s="2"/>
      <c r="N675" s="27"/>
      <c r="R675" s="15"/>
      <c r="X675" s="3"/>
      <c r="Z675" s="28"/>
    </row>
    <row r="676" spans="2:26">
      <c r="B676" s="2"/>
      <c r="N676" s="27"/>
      <c r="R676" s="15"/>
      <c r="X676" s="3"/>
      <c r="Z676" s="28"/>
    </row>
    <row r="677" spans="2:26">
      <c r="B677" s="2"/>
      <c r="N677" s="27"/>
      <c r="R677" s="15"/>
      <c r="X677" s="3"/>
      <c r="Z677" s="28"/>
    </row>
    <row r="678" spans="2:26">
      <c r="B678" s="2"/>
      <c r="N678" s="27"/>
      <c r="R678" s="15"/>
      <c r="X678" s="3"/>
      <c r="Z678" s="28"/>
    </row>
    <row r="679" spans="2:26">
      <c r="B679" s="2"/>
      <c r="N679" s="27"/>
      <c r="R679" s="15"/>
      <c r="X679" s="3"/>
      <c r="Z679" s="28"/>
    </row>
    <row r="680" spans="2:26">
      <c r="B680" s="2"/>
      <c r="N680" s="27"/>
      <c r="R680" s="15"/>
      <c r="X680" s="3"/>
      <c r="Z680" s="28"/>
    </row>
    <row r="681" spans="2:26">
      <c r="B681" s="2"/>
      <c r="N681" s="27"/>
      <c r="R681" s="15"/>
      <c r="X681" s="3"/>
      <c r="Z681" s="28"/>
    </row>
    <row r="682" spans="2:26">
      <c r="B682" s="2"/>
      <c r="N682" s="27"/>
      <c r="R682" s="15"/>
      <c r="X682" s="3"/>
      <c r="Z682" s="28"/>
    </row>
    <row r="683" spans="2:26">
      <c r="B683" s="2"/>
      <c r="N683" s="27"/>
      <c r="R683" s="15"/>
      <c r="X683" s="3"/>
      <c r="Z683" s="28"/>
    </row>
    <row r="684" spans="2:26">
      <c r="B684" s="2"/>
      <c r="N684" s="27"/>
      <c r="R684" s="15"/>
      <c r="X684" s="3"/>
      <c r="Z684" s="28"/>
    </row>
    <row r="685" spans="2:26">
      <c r="B685" s="2"/>
      <c r="N685" s="27"/>
      <c r="R685" s="15"/>
      <c r="X685" s="3"/>
      <c r="Z685" s="28"/>
    </row>
    <row r="686" spans="2:26">
      <c r="B686" s="2"/>
      <c r="N686" s="27"/>
      <c r="R686" s="15"/>
      <c r="X686" s="3"/>
      <c r="Z686" s="28"/>
    </row>
    <row r="687" spans="2:26">
      <c r="B687" s="2"/>
      <c r="N687" s="27"/>
      <c r="R687" s="15"/>
      <c r="X687" s="3"/>
      <c r="Z687" s="28"/>
    </row>
    <row r="688" spans="2:26">
      <c r="B688" s="2"/>
      <c r="N688" s="27"/>
      <c r="R688" s="15"/>
      <c r="X688" s="3"/>
      <c r="Z688" s="28"/>
    </row>
    <row r="689" spans="2:26">
      <c r="B689" s="2"/>
      <c r="N689" s="27"/>
      <c r="R689" s="15"/>
      <c r="X689" s="3"/>
      <c r="Z689" s="28"/>
    </row>
    <row r="690" spans="2:26">
      <c r="B690" s="2"/>
      <c r="N690" s="27"/>
      <c r="R690" s="15"/>
      <c r="X690" s="3"/>
      <c r="Z690" s="28"/>
    </row>
    <row r="691" spans="2:26">
      <c r="B691" s="2"/>
      <c r="N691" s="27"/>
      <c r="R691" s="15"/>
      <c r="X691" s="3"/>
      <c r="Z691" s="28"/>
    </row>
    <row r="692" spans="2:26">
      <c r="B692" s="2"/>
      <c r="N692" s="27"/>
      <c r="R692" s="15"/>
      <c r="X692" s="3"/>
      <c r="Z692" s="28"/>
    </row>
    <row r="693" spans="2:26">
      <c r="B693" s="2"/>
      <c r="N693" s="27"/>
      <c r="R693" s="15"/>
      <c r="X693" s="3"/>
      <c r="Z693" s="28"/>
    </row>
    <row r="694" spans="2:26">
      <c r="B694" s="2"/>
      <c r="N694" s="27"/>
      <c r="R694" s="15"/>
      <c r="X694" s="3"/>
      <c r="Z694" s="28"/>
    </row>
    <row r="695" spans="2:26">
      <c r="B695" s="2"/>
      <c r="N695" s="27"/>
      <c r="R695" s="15"/>
      <c r="X695" s="3"/>
      <c r="Z695" s="28"/>
    </row>
    <row r="696" spans="2:26">
      <c r="B696" s="2"/>
      <c r="N696" s="27"/>
      <c r="R696" s="15"/>
      <c r="X696" s="3"/>
      <c r="Z696" s="28"/>
    </row>
    <row r="697" spans="2:26">
      <c r="B697" s="2"/>
      <c r="N697" s="27"/>
      <c r="R697" s="15"/>
      <c r="X697" s="3"/>
      <c r="Z697" s="28"/>
    </row>
    <row r="698" spans="2:26">
      <c r="B698" s="2"/>
      <c r="N698" s="27"/>
      <c r="R698" s="15"/>
      <c r="X698" s="3"/>
      <c r="Z698" s="28"/>
    </row>
    <row r="699" spans="2:26">
      <c r="B699" s="2"/>
      <c r="N699" s="27"/>
      <c r="R699" s="15"/>
      <c r="X699" s="3"/>
      <c r="Z699" s="28"/>
    </row>
    <row r="700" spans="2:26">
      <c r="B700" s="2"/>
      <c r="N700" s="27"/>
      <c r="R700" s="15"/>
      <c r="X700" s="3"/>
      <c r="Z700" s="28"/>
    </row>
    <row r="701" spans="2:26">
      <c r="B701" s="2"/>
      <c r="N701" s="27"/>
      <c r="R701" s="15"/>
      <c r="X701" s="3"/>
      <c r="Z701" s="28"/>
    </row>
    <row r="702" spans="2:26">
      <c r="B702" s="2"/>
      <c r="N702" s="27"/>
      <c r="R702" s="15"/>
      <c r="X702" s="3"/>
      <c r="Z702" s="28"/>
    </row>
    <row r="703" spans="2:26">
      <c r="B703" s="2"/>
      <c r="N703" s="27"/>
      <c r="R703" s="15"/>
      <c r="X703" s="3"/>
      <c r="Z703" s="28"/>
    </row>
    <row r="704" spans="2:26">
      <c r="B704" s="2"/>
      <c r="N704" s="27"/>
      <c r="R704" s="15"/>
      <c r="X704" s="3"/>
      <c r="Z704" s="28"/>
    </row>
    <row r="705" spans="2:26">
      <c r="B705" s="2"/>
      <c r="N705" s="27"/>
      <c r="R705" s="15"/>
      <c r="X705" s="3"/>
      <c r="Z705" s="28"/>
    </row>
    <row r="706" spans="2:26">
      <c r="B706" s="2"/>
      <c r="N706" s="27"/>
      <c r="R706" s="15"/>
      <c r="X706" s="3"/>
      <c r="Z706" s="28"/>
    </row>
    <row r="707" spans="2:26">
      <c r="B707" s="2"/>
      <c r="N707" s="27"/>
      <c r="R707" s="15"/>
      <c r="X707" s="3"/>
      <c r="Z707" s="28"/>
    </row>
    <row r="708" spans="2:26">
      <c r="B708" s="2"/>
      <c r="N708" s="27"/>
      <c r="R708" s="15"/>
      <c r="X708" s="3"/>
      <c r="Z708" s="28"/>
    </row>
    <row r="709" spans="2:26">
      <c r="B709" s="2"/>
      <c r="N709" s="27"/>
      <c r="R709" s="15"/>
      <c r="X709" s="3"/>
      <c r="Z709" s="28"/>
    </row>
    <row r="710" spans="2:26">
      <c r="B710" s="2"/>
      <c r="N710" s="27"/>
      <c r="R710" s="15"/>
      <c r="X710" s="3"/>
      <c r="Z710" s="28"/>
    </row>
    <row r="711" spans="2:26">
      <c r="B711" s="2"/>
      <c r="N711" s="27"/>
      <c r="R711" s="15"/>
      <c r="X711" s="3"/>
      <c r="Z711" s="28"/>
    </row>
    <row r="712" spans="2:26">
      <c r="B712" s="2"/>
      <c r="N712" s="27"/>
      <c r="R712" s="15"/>
      <c r="X712" s="3"/>
      <c r="Z712" s="28"/>
    </row>
    <row r="713" spans="2:26">
      <c r="B713" s="2"/>
      <c r="N713" s="27"/>
      <c r="R713" s="15"/>
      <c r="X713" s="3"/>
      <c r="Z713" s="28"/>
    </row>
    <row r="714" spans="2:26">
      <c r="B714" s="2"/>
      <c r="N714" s="27"/>
      <c r="R714" s="15"/>
      <c r="X714" s="3"/>
      <c r="Z714" s="28"/>
    </row>
    <row r="715" spans="2:26">
      <c r="B715" s="2"/>
      <c r="N715" s="27"/>
      <c r="R715" s="15"/>
      <c r="X715" s="3"/>
      <c r="Z715" s="28"/>
    </row>
    <row r="716" spans="2:26">
      <c r="B716" s="2"/>
      <c r="N716" s="27"/>
      <c r="R716" s="15"/>
      <c r="X716" s="3"/>
      <c r="Z716" s="28"/>
    </row>
    <row r="717" spans="2:26">
      <c r="B717" s="2"/>
      <c r="N717" s="27"/>
      <c r="R717" s="15"/>
      <c r="X717" s="3"/>
      <c r="Z717" s="28"/>
    </row>
    <row r="718" spans="2:26">
      <c r="B718" s="2"/>
      <c r="N718" s="27"/>
      <c r="R718" s="15"/>
      <c r="X718" s="3"/>
      <c r="Z718" s="28"/>
    </row>
    <row r="719" spans="2:26">
      <c r="B719" s="2"/>
      <c r="N719" s="27"/>
      <c r="R719" s="15"/>
      <c r="X719" s="3"/>
      <c r="Z719" s="28"/>
    </row>
    <row r="720" spans="2:26">
      <c r="B720" s="2"/>
      <c r="N720" s="27"/>
      <c r="R720" s="15"/>
      <c r="X720" s="3"/>
      <c r="Z720" s="28"/>
    </row>
    <row r="721" spans="2:26">
      <c r="B721" s="2"/>
      <c r="N721" s="27"/>
      <c r="R721" s="15"/>
      <c r="X721" s="3"/>
      <c r="Z721" s="28"/>
    </row>
    <row r="722" spans="2:26">
      <c r="B722" s="2"/>
      <c r="N722" s="27"/>
      <c r="R722" s="15"/>
      <c r="X722" s="3"/>
      <c r="Z722" s="28"/>
    </row>
    <row r="723" spans="2:26">
      <c r="B723" s="2"/>
      <c r="N723" s="27"/>
      <c r="R723" s="15"/>
      <c r="X723" s="3"/>
      <c r="Z723" s="28"/>
    </row>
    <row r="724" spans="2:26">
      <c r="B724" s="2"/>
      <c r="N724" s="27"/>
      <c r="R724" s="15"/>
      <c r="X724" s="3"/>
      <c r="Z724" s="28"/>
    </row>
    <row r="725" spans="2:26">
      <c r="B725" s="2"/>
      <c r="N725" s="27"/>
      <c r="R725" s="15"/>
      <c r="X725" s="3"/>
      <c r="Z725" s="28"/>
    </row>
    <row r="726" spans="2:26">
      <c r="B726" s="2"/>
      <c r="N726" s="27"/>
      <c r="R726" s="15"/>
      <c r="X726" s="3"/>
      <c r="Z726" s="28"/>
    </row>
    <row r="727" spans="2:26">
      <c r="B727" s="2"/>
      <c r="N727" s="27"/>
      <c r="R727" s="15"/>
      <c r="X727" s="3"/>
      <c r="Z727" s="28"/>
    </row>
    <row r="728" spans="2:26">
      <c r="B728" s="2"/>
      <c r="N728" s="27"/>
      <c r="R728" s="15"/>
      <c r="X728" s="3"/>
      <c r="Z728" s="28"/>
    </row>
    <row r="729" spans="2:26">
      <c r="B729" s="2"/>
      <c r="N729" s="27"/>
      <c r="R729" s="15"/>
      <c r="X729" s="3"/>
      <c r="Z729" s="28"/>
    </row>
    <row r="730" spans="2:26">
      <c r="B730" s="2"/>
      <c r="N730" s="27"/>
      <c r="R730" s="15"/>
      <c r="X730" s="3"/>
      <c r="Z730" s="28"/>
    </row>
    <row r="731" spans="2:26">
      <c r="B731" s="2"/>
      <c r="N731" s="27"/>
      <c r="R731" s="15"/>
      <c r="X731" s="3"/>
      <c r="Z731" s="28"/>
    </row>
    <row r="732" spans="2:26">
      <c r="B732" s="2"/>
      <c r="N732" s="27"/>
      <c r="R732" s="15"/>
      <c r="X732" s="3"/>
      <c r="Z732" s="28"/>
    </row>
    <row r="733" spans="2:26">
      <c r="B733" s="2"/>
      <c r="N733" s="27"/>
      <c r="R733" s="15"/>
      <c r="X733" s="3"/>
      <c r="Z733" s="28"/>
    </row>
    <row r="734" spans="2:26">
      <c r="B734" s="2"/>
      <c r="N734" s="27"/>
      <c r="R734" s="15"/>
      <c r="X734" s="3"/>
      <c r="Z734" s="28"/>
    </row>
    <row r="735" spans="2:26">
      <c r="B735" s="2"/>
      <c r="N735" s="27"/>
      <c r="R735" s="15"/>
      <c r="X735" s="3"/>
      <c r="Z735" s="28"/>
    </row>
    <row r="736" spans="2:26">
      <c r="B736" s="2"/>
      <c r="N736" s="27"/>
      <c r="R736" s="15"/>
      <c r="X736" s="3"/>
      <c r="Z736" s="28"/>
    </row>
    <row r="737" spans="2:26">
      <c r="B737" s="2"/>
      <c r="N737" s="27"/>
      <c r="R737" s="15"/>
      <c r="X737" s="3"/>
      <c r="Z737" s="28"/>
    </row>
    <row r="738" spans="2:26">
      <c r="B738" s="2"/>
      <c r="N738" s="27"/>
      <c r="R738" s="15"/>
      <c r="X738" s="3"/>
      <c r="Z738" s="28"/>
    </row>
    <row r="739" spans="2:26">
      <c r="B739" s="2"/>
      <c r="N739" s="27"/>
      <c r="R739" s="15"/>
      <c r="X739" s="3"/>
      <c r="Z739" s="28"/>
    </row>
    <row r="740" spans="2:26">
      <c r="B740" s="2"/>
      <c r="N740" s="27"/>
      <c r="R740" s="15"/>
      <c r="X740" s="3"/>
      <c r="Z740" s="28"/>
    </row>
    <row r="741" spans="2:26">
      <c r="B741" s="2"/>
      <c r="N741" s="27"/>
      <c r="R741" s="15"/>
      <c r="X741" s="3"/>
      <c r="Z741" s="28"/>
    </row>
    <row r="742" spans="2:26">
      <c r="B742" s="2"/>
      <c r="N742" s="27"/>
      <c r="R742" s="15"/>
      <c r="X742" s="3"/>
      <c r="Z742" s="28"/>
    </row>
    <row r="743" spans="2:26">
      <c r="B743" s="2"/>
      <c r="N743" s="27"/>
      <c r="R743" s="15"/>
      <c r="X743" s="3"/>
      <c r="Z743" s="28"/>
    </row>
    <row r="744" spans="2:26">
      <c r="B744" s="2"/>
      <c r="N744" s="27"/>
      <c r="R744" s="15"/>
      <c r="X744" s="3"/>
      <c r="Z744" s="28"/>
    </row>
    <row r="745" spans="2:26">
      <c r="B745" s="2"/>
      <c r="N745" s="27"/>
      <c r="R745" s="15"/>
      <c r="X745" s="3"/>
      <c r="Z745" s="28"/>
    </row>
    <row r="746" spans="2:26">
      <c r="B746" s="2"/>
      <c r="N746" s="27"/>
      <c r="R746" s="15"/>
      <c r="X746" s="3"/>
      <c r="Z746" s="28"/>
    </row>
    <row r="747" spans="2:26">
      <c r="B747" s="2"/>
      <c r="N747" s="27"/>
      <c r="R747" s="15"/>
      <c r="X747" s="3"/>
      <c r="Z747" s="28"/>
    </row>
    <row r="748" spans="2:26">
      <c r="B748" s="2"/>
      <c r="N748" s="27"/>
      <c r="R748" s="15"/>
      <c r="X748" s="3"/>
      <c r="Z748" s="28"/>
    </row>
    <row r="749" spans="2:26">
      <c r="B749" s="2"/>
      <c r="N749" s="27"/>
      <c r="R749" s="15"/>
      <c r="X749" s="3"/>
      <c r="Z749" s="28"/>
    </row>
    <row r="750" spans="2:26">
      <c r="B750" s="2"/>
      <c r="N750" s="27"/>
      <c r="R750" s="15"/>
      <c r="X750" s="3"/>
      <c r="Z750" s="28"/>
    </row>
    <row r="751" spans="2:26">
      <c r="B751" s="2"/>
      <c r="N751" s="27"/>
      <c r="R751" s="15"/>
      <c r="X751" s="3"/>
      <c r="Z751" s="28"/>
    </row>
    <row r="752" spans="2:26">
      <c r="B752" s="2"/>
      <c r="N752" s="27"/>
      <c r="R752" s="15"/>
      <c r="X752" s="3"/>
      <c r="Z752" s="28"/>
    </row>
    <row r="753" spans="2:26">
      <c r="B753" s="2"/>
      <c r="N753" s="27"/>
      <c r="R753" s="15"/>
      <c r="X753" s="3"/>
      <c r="Z753" s="28"/>
    </row>
    <row r="754" spans="2:26">
      <c r="B754" s="2"/>
      <c r="N754" s="27"/>
      <c r="R754" s="15"/>
      <c r="X754" s="3"/>
      <c r="Z754" s="28"/>
    </row>
    <row r="755" spans="2:26">
      <c r="B755" s="2"/>
      <c r="N755" s="27"/>
      <c r="R755" s="15"/>
      <c r="X755" s="3"/>
      <c r="Z755" s="28"/>
    </row>
    <row r="756" spans="2:26">
      <c r="B756" s="2"/>
      <c r="N756" s="27"/>
      <c r="R756" s="15"/>
      <c r="X756" s="3"/>
      <c r="Z756" s="28"/>
    </row>
    <row r="757" spans="2:26">
      <c r="B757" s="2"/>
      <c r="N757" s="27"/>
      <c r="R757" s="15"/>
      <c r="X757" s="3"/>
      <c r="Z757" s="28"/>
    </row>
    <row r="758" spans="2:26">
      <c r="B758" s="2"/>
      <c r="N758" s="27"/>
      <c r="R758" s="15"/>
      <c r="X758" s="3"/>
      <c r="Z758" s="28"/>
    </row>
    <row r="759" spans="2:26">
      <c r="B759" s="2"/>
      <c r="N759" s="27"/>
      <c r="R759" s="15"/>
      <c r="X759" s="3"/>
      <c r="Z759" s="28"/>
    </row>
    <row r="760" spans="2:26">
      <c r="B760" s="2"/>
      <c r="N760" s="27"/>
      <c r="R760" s="15"/>
      <c r="X760" s="3"/>
      <c r="Z760" s="28"/>
    </row>
    <row r="761" spans="2:26">
      <c r="B761" s="2"/>
      <c r="N761" s="27"/>
      <c r="R761" s="15"/>
      <c r="X761" s="3"/>
      <c r="Z761" s="28"/>
    </row>
    <row r="762" spans="2:26">
      <c r="B762" s="2"/>
      <c r="N762" s="27"/>
      <c r="R762" s="15"/>
      <c r="X762" s="3"/>
      <c r="Z762" s="28"/>
    </row>
    <row r="763" spans="2:26">
      <c r="B763" s="2"/>
      <c r="N763" s="27"/>
      <c r="R763" s="15"/>
      <c r="X763" s="3"/>
      <c r="Z763" s="28"/>
    </row>
    <row r="764" spans="2:26">
      <c r="B764" s="2"/>
      <c r="N764" s="27"/>
      <c r="R764" s="15"/>
      <c r="X764" s="3"/>
      <c r="Z764" s="28"/>
    </row>
    <row r="765" spans="2:26">
      <c r="B765" s="2"/>
      <c r="N765" s="27"/>
      <c r="R765" s="15"/>
      <c r="X765" s="3"/>
      <c r="Z765" s="28"/>
    </row>
    <row r="766" spans="2:26">
      <c r="B766" s="2"/>
      <c r="N766" s="27"/>
      <c r="R766" s="15"/>
      <c r="X766" s="3"/>
      <c r="Z766" s="28"/>
    </row>
    <row r="767" spans="2:26">
      <c r="B767" s="2"/>
      <c r="N767" s="27"/>
      <c r="R767" s="15"/>
      <c r="X767" s="3"/>
      <c r="Z767" s="28"/>
    </row>
    <row r="768" spans="2:26">
      <c r="B768" s="2"/>
      <c r="N768" s="27"/>
      <c r="R768" s="15"/>
      <c r="X768" s="3"/>
      <c r="Z768" s="28"/>
    </row>
    <row r="769" spans="2:26">
      <c r="B769" s="2"/>
      <c r="N769" s="27"/>
      <c r="R769" s="15"/>
      <c r="X769" s="3"/>
      <c r="Z769" s="28"/>
    </row>
    <row r="770" spans="2:26">
      <c r="B770" s="2"/>
      <c r="N770" s="27"/>
      <c r="R770" s="15"/>
      <c r="X770" s="3"/>
      <c r="Z770" s="28"/>
    </row>
    <row r="771" spans="2:26">
      <c r="B771" s="2"/>
      <c r="N771" s="27"/>
      <c r="R771" s="15"/>
      <c r="X771" s="3"/>
      <c r="Z771" s="28"/>
    </row>
    <row r="772" spans="2:26">
      <c r="B772" s="2"/>
      <c r="N772" s="27"/>
      <c r="R772" s="15"/>
      <c r="X772" s="3"/>
      <c r="Z772" s="28"/>
    </row>
    <row r="773" spans="2:26">
      <c r="B773" s="2"/>
      <c r="N773" s="27"/>
      <c r="R773" s="15"/>
      <c r="X773" s="3"/>
      <c r="Z773" s="28"/>
    </row>
    <row r="774" spans="2:26">
      <c r="B774" s="2"/>
      <c r="N774" s="27"/>
      <c r="R774" s="15"/>
      <c r="X774" s="3"/>
      <c r="Z774" s="28"/>
    </row>
    <row r="775" spans="2:26">
      <c r="B775" s="2"/>
      <c r="N775" s="27"/>
      <c r="R775" s="15"/>
      <c r="X775" s="3"/>
      <c r="Z775" s="28"/>
    </row>
    <row r="776" spans="2:26">
      <c r="B776" s="2"/>
      <c r="N776" s="27"/>
      <c r="R776" s="15"/>
      <c r="X776" s="3"/>
      <c r="Z776" s="28"/>
    </row>
    <row r="777" spans="2:26">
      <c r="B777" s="2"/>
      <c r="N777" s="27"/>
      <c r="R777" s="15"/>
      <c r="X777" s="3"/>
      <c r="Z777" s="28"/>
    </row>
    <row r="778" spans="2:26">
      <c r="B778" s="2"/>
      <c r="N778" s="27"/>
      <c r="R778" s="15"/>
      <c r="X778" s="3"/>
      <c r="Z778" s="28"/>
    </row>
    <row r="779" spans="2:26">
      <c r="B779" s="2"/>
      <c r="N779" s="27"/>
      <c r="R779" s="15"/>
      <c r="X779" s="3"/>
      <c r="Z779" s="28"/>
    </row>
    <row r="780" spans="2:26">
      <c r="B780" s="2"/>
      <c r="N780" s="27"/>
      <c r="R780" s="15"/>
      <c r="X780" s="3"/>
      <c r="Z780" s="28"/>
    </row>
    <row r="781" spans="2:26">
      <c r="B781" s="2"/>
      <c r="N781" s="27"/>
      <c r="R781" s="15"/>
      <c r="X781" s="3"/>
      <c r="Z781" s="28"/>
    </row>
    <row r="782" spans="2:26">
      <c r="B782" s="2"/>
      <c r="N782" s="27"/>
      <c r="R782" s="15"/>
      <c r="X782" s="3"/>
      <c r="Z782" s="28"/>
    </row>
    <row r="783" spans="2:26">
      <c r="B783" s="2"/>
      <c r="N783" s="27"/>
      <c r="R783" s="15"/>
      <c r="X783" s="3"/>
      <c r="Z783" s="28"/>
    </row>
    <row r="784" spans="2:26">
      <c r="B784" s="2"/>
      <c r="N784" s="27"/>
      <c r="R784" s="15"/>
      <c r="X784" s="3"/>
      <c r="Z784" s="28"/>
    </row>
    <row r="785" spans="2:26">
      <c r="B785" s="2"/>
      <c r="N785" s="27"/>
      <c r="R785" s="15"/>
      <c r="X785" s="3"/>
      <c r="Z785" s="28"/>
    </row>
    <row r="786" spans="2:26">
      <c r="B786" s="2"/>
      <c r="N786" s="27"/>
      <c r="R786" s="15"/>
      <c r="X786" s="3"/>
      <c r="Z786" s="28"/>
    </row>
    <row r="787" spans="2:26">
      <c r="B787" s="2"/>
      <c r="N787" s="27"/>
      <c r="R787" s="15"/>
      <c r="X787" s="3"/>
      <c r="Z787" s="28"/>
    </row>
    <row r="788" spans="2:26">
      <c r="B788" s="2"/>
      <c r="N788" s="27"/>
      <c r="R788" s="15"/>
      <c r="X788" s="3"/>
      <c r="Z788" s="28"/>
    </row>
    <row r="789" spans="2:26">
      <c r="B789" s="2"/>
      <c r="N789" s="27"/>
      <c r="R789" s="15"/>
      <c r="X789" s="3"/>
      <c r="Z789" s="28"/>
    </row>
    <row r="790" spans="2:26">
      <c r="B790" s="2"/>
      <c r="N790" s="27"/>
      <c r="R790" s="15"/>
      <c r="X790" s="3"/>
      <c r="Z790" s="28"/>
    </row>
    <row r="791" spans="2:26">
      <c r="B791" s="2"/>
      <c r="N791" s="27"/>
      <c r="R791" s="15"/>
      <c r="X791" s="3"/>
      <c r="Z791" s="28"/>
    </row>
    <row r="792" spans="2:26">
      <c r="B792" s="2"/>
      <c r="N792" s="27"/>
      <c r="R792" s="15"/>
      <c r="X792" s="3"/>
      <c r="Z792" s="28"/>
    </row>
    <row r="793" spans="2:26">
      <c r="B793" s="2"/>
      <c r="N793" s="27"/>
      <c r="R793" s="15"/>
      <c r="X793" s="3"/>
      <c r="Z793" s="28"/>
    </row>
    <row r="794" spans="2:26">
      <c r="B794" s="2"/>
      <c r="N794" s="27"/>
      <c r="R794" s="15"/>
      <c r="X794" s="3"/>
      <c r="Z794" s="28"/>
    </row>
    <row r="795" spans="2:26">
      <c r="B795" s="2"/>
      <c r="N795" s="27"/>
      <c r="R795" s="15"/>
      <c r="X795" s="3"/>
      <c r="Z795" s="28"/>
    </row>
    <row r="796" spans="2:26">
      <c r="B796" s="2"/>
      <c r="N796" s="27"/>
      <c r="R796" s="15"/>
      <c r="X796" s="3"/>
      <c r="Z796" s="28"/>
    </row>
    <row r="797" spans="2:26">
      <c r="B797" s="2"/>
      <c r="N797" s="27"/>
      <c r="R797" s="15"/>
      <c r="X797" s="3"/>
      <c r="Z797" s="28"/>
    </row>
    <row r="798" spans="2:26">
      <c r="B798" s="2"/>
      <c r="N798" s="27"/>
      <c r="R798" s="15"/>
      <c r="X798" s="3"/>
      <c r="Z798" s="28"/>
    </row>
    <row r="799" spans="2:26">
      <c r="B799" s="2"/>
      <c r="N799" s="27"/>
      <c r="R799" s="15"/>
      <c r="X799" s="3"/>
      <c r="Z799" s="28"/>
    </row>
    <row r="800" spans="2:26">
      <c r="B800" s="2"/>
      <c r="N800" s="27"/>
      <c r="R800" s="15"/>
      <c r="X800" s="3"/>
      <c r="Z800" s="28"/>
    </row>
    <row r="801" spans="2:26">
      <c r="B801" s="2"/>
      <c r="N801" s="27"/>
      <c r="R801" s="15"/>
      <c r="X801" s="3"/>
      <c r="Z801" s="28"/>
    </row>
    <row r="802" spans="2:26">
      <c r="B802" s="2"/>
      <c r="N802" s="27"/>
      <c r="R802" s="15"/>
      <c r="X802" s="3"/>
      <c r="Z802" s="28"/>
    </row>
    <row r="803" spans="2:26">
      <c r="B803" s="2"/>
      <c r="N803" s="27"/>
      <c r="R803" s="15"/>
      <c r="X803" s="3"/>
      <c r="Z803" s="28"/>
    </row>
    <row r="804" spans="2:26">
      <c r="B804" s="2"/>
      <c r="N804" s="27"/>
      <c r="R804" s="15"/>
      <c r="X804" s="3"/>
      <c r="Z804" s="28"/>
    </row>
    <row r="805" spans="2:26">
      <c r="B805" s="2"/>
      <c r="N805" s="27"/>
      <c r="R805" s="15"/>
      <c r="X805" s="3"/>
      <c r="Z805" s="28"/>
    </row>
    <row r="806" spans="2:26">
      <c r="B806" s="2"/>
      <c r="N806" s="27"/>
      <c r="R806" s="15"/>
      <c r="X806" s="3"/>
      <c r="Z806" s="28"/>
    </row>
    <row r="807" spans="2:26">
      <c r="B807" s="2"/>
      <c r="N807" s="27"/>
      <c r="R807" s="15"/>
      <c r="X807" s="3"/>
      <c r="Z807" s="28"/>
    </row>
    <row r="808" spans="2:26">
      <c r="B808" s="2"/>
      <c r="N808" s="27"/>
      <c r="R808" s="15"/>
      <c r="X808" s="3"/>
      <c r="Z808" s="28"/>
    </row>
    <row r="809" spans="2:26">
      <c r="B809" s="2"/>
      <c r="N809" s="27"/>
      <c r="R809" s="15"/>
      <c r="X809" s="3"/>
      <c r="Z809" s="28"/>
    </row>
    <row r="810" spans="2:26">
      <c r="B810" s="2"/>
      <c r="N810" s="27"/>
      <c r="R810" s="15"/>
      <c r="X810" s="3"/>
      <c r="Z810" s="28"/>
    </row>
    <row r="811" spans="2:26">
      <c r="B811" s="2"/>
      <c r="N811" s="27"/>
      <c r="R811" s="15"/>
      <c r="X811" s="3"/>
      <c r="Z811" s="28"/>
    </row>
    <row r="812" spans="2:26">
      <c r="B812" s="2"/>
      <c r="N812" s="27"/>
      <c r="R812" s="15"/>
      <c r="X812" s="3"/>
      <c r="Z812" s="28"/>
    </row>
    <row r="813" spans="2:26">
      <c r="B813" s="2"/>
      <c r="N813" s="27"/>
      <c r="R813" s="15"/>
      <c r="X813" s="3"/>
      <c r="Z813" s="28"/>
    </row>
    <row r="814" spans="2:26">
      <c r="B814" s="2"/>
      <c r="N814" s="27"/>
      <c r="R814" s="15"/>
      <c r="X814" s="3"/>
      <c r="Z814" s="28"/>
    </row>
    <row r="815" spans="2:26">
      <c r="B815" s="2"/>
      <c r="N815" s="27"/>
      <c r="R815" s="15"/>
      <c r="X815" s="3"/>
      <c r="Z815" s="28"/>
    </row>
    <row r="816" spans="2:26">
      <c r="B816" s="2"/>
      <c r="N816" s="27"/>
      <c r="R816" s="15"/>
      <c r="X816" s="3"/>
      <c r="Z816" s="28"/>
    </row>
    <row r="817" spans="2:26">
      <c r="B817" s="2"/>
      <c r="N817" s="27"/>
      <c r="R817" s="15"/>
      <c r="X817" s="3"/>
      <c r="Z817" s="28"/>
    </row>
    <row r="818" spans="2:26">
      <c r="B818" s="2"/>
      <c r="N818" s="27"/>
      <c r="R818" s="15"/>
      <c r="X818" s="3"/>
      <c r="Z818" s="28"/>
    </row>
    <row r="819" spans="2:26">
      <c r="B819" s="2"/>
      <c r="N819" s="27"/>
      <c r="R819" s="15"/>
      <c r="X819" s="3"/>
      <c r="Z819" s="28"/>
    </row>
    <row r="820" spans="2:26">
      <c r="B820" s="2"/>
      <c r="N820" s="27"/>
      <c r="R820" s="15"/>
      <c r="X820" s="3"/>
      <c r="Z820" s="28"/>
    </row>
    <row r="821" spans="2:26">
      <c r="B821" s="2"/>
      <c r="N821" s="27"/>
      <c r="R821" s="15"/>
      <c r="X821" s="3"/>
      <c r="Z821" s="28"/>
    </row>
    <row r="822" spans="2:26">
      <c r="B822" s="2"/>
      <c r="N822" s="27"/>
      <c r="R822" s="15"/>
      <c r="X822" s="3"/>
      <c r="Z822" s="28"/>
    </row>
    <row r="823" spans="2:26">
      <c r="B823" s="2"/>
      <c r="N823" s="27"/>
      <c r="R823" s="15"/>
      <c r="X823" s="3"/>
      <c r="Z823" s="28"/>
    </row>
    <row r="824" spans="2:26">
      <c r="B824" s="2"/>
      <c r="N824" s="27"/>
      <c r="R824" s="15"/>
      <c r="X824" s="3"/>
      <c r="Z824" s="28"/>
    </row>
    <row r="825" spans="2:26">
      <c r="B825" s="2"/>
      <c r="N825" s="27"/>
      <c r="R825" s="15"/>
      <c r="X825" s="3"/>
      <c r="Z825" s="28"/>
    </row>
    <row r="826" spans="2:26">
      <c r="B826" s="2"/>
      <c r="N826" s="27"/>
      <c r="R826" s="15"/>
      <c r="X826" s="3"/>
      <c r="Z826" s="28"/>
    </row>
    <row r="827" spans="2:26">
      <c r="B827" s="2"/>
      <c r="N827" s="27"/>
      <c r="R827" s="15"/>
      <c r="X827" s="3"/>
      <c r="Z827" s="28"/>
    </row>
    <row r="828" spans="2:26">
      <c r="B828" s="2"/>
      <c r="N828" s="27"/>
      <c r="R828" s="15"/>
      <c r="X828" s="3"/>
      <c r="Z828" s="28"/>
    </row>
    <row r="829" spans="2:26">
      <c r="B829" s="2"/>
      <c r="N829" s="27"/>
      <c r="R829" s="15"/>
      <c r="X829" s="3"/>
      <c r="Z829" s="28"/>
    </row>
    <row r="830" spans="2:26">
      <c r="B830" s="2"/>
      <c r="N830" s="27"/>
      <c r="R830" s="15"/>
      <c r="X830" s="3"/>
      <c r="Z830" s="28"/>
    </row>
    <row r="831" spans="2:26">
      <c r="B831" s="2"/>
      <c r="N831" s="27"/>
      <c r="R831" s="15"/>
      <c r="X831" s="3"/>
      <c r="Z831" s="28"/>
    </row>
    <row r="832" spans="2:26">
      <c r="B832" s="2"/>
      <c r="N832" s="27"/>
      <c r="R832" s="15"/>
      <c r="X832" s="3"/>
      <c r="Z832" s="28"/>
    </row>
    <row r="833" spans="2:26">
      <c r="B833" s="2"/>
      <c r="N833" s="27"/>
      <c r="R833" s="15"/>
      <c r="X833" s="3"/>
      <c r="Z833" s="28"/>
    </row>
    <row r="834" spans="2:26">
      <c r="B834" s="2"/>
      <c r="N834" s="27"/>
      <c r="R834" s="15"/>
      <c r="X834" s="3"/>
      <c r="Z834" s="28"/>
    </row>
    <row r="835" spans="2:26">
      <c r="B835" s="2"/>
      <c r="N835" s="27"/>
      <c r="R835" s="15"/>
      <c r="X835" s="3"/>
      <c r="Z835" s="28"/>
    </row>
    <row r="836" spans="2:26">
      <c r="B836" s="2"/>
      <c r="N836" s="27"/>
      <c r="R836" s="15"/>
      <c r="X836" s="3"/>
      <c r="Z836" s="28"/>
    </row>
    <row r="837" spans="2:26">
      <c r="B837" s="2"/>
      <c r="N837" s="27"/>
      <c r="R837" s="15"/>
      <c r="X837" s="3"/>
      <c r="Z837" s="28"/>
    </row>
    <row r="838" spans="2:26">
      <c r="B838" s="2"/>
      <c r="N838" s="27"/>
      <c r="R838" s="15"/>
      <c r="X838" s="3"/>
      <c r="Z838" s="28"/>
    </row>
    <row r="839" spans="2:26">
      <c r="B839" s="2"/>
      <c r="N839" s="27"/>
      <c r="R839" s="15"/>
      <c r="X839" s="3"/>
      <c r="Z839" s="28"/>
    </row>
    <row r="840" spans="2:26">
      <c r="B840" s="2"/>
      <c r="N840" s="27"/>
      <c r="R840" s="15"/>
      <c r="X840" s="3"/>
      <c r="Z840" s="28"/>
    </row>
    <row r="841" spans="2:26">
      <c r="B841" s="2"/>
      <c r="N841" s="27"/>
      <c r="R841" s="15"/>
      <c r="X841" s="3"/>
      <c r="Z841" s="28"/>
    </row>
    <row r="842" spans="2:26">
      <c r="B842" s="2"/>
      <c r="N842" s="27"/>
      <c r="R842" s="15"/>
      <c r="X842" s="3"/>
      <c r="Z842" s="28"/>
    </row>
    <row r="843" spans="2:26">
      <c r="B843" s="2"/>
      <c r="N843" s="27"/>
      <c r="R843" s="15"/>
      <c r="X843" s="3"/>
      <c r="Z843" s="28"/>
    </row>
    <row r="844" spans="2:26">
      <c r="B844" s="2"/>
      <c r="N844" s="27"/>
      <c r="R844" s="15"/>
      <c r="X844" s="3"/>
      <c r="Z844" s="28"/>
    </row>
    <row r="845" spans="2:26">
      <c r="B845" s="2"/>
      <c r="N845" s="27"/>
      <c r="R845" s="15"/>
      <c r="X845" s="3"/>
      <c r="Z845" s="28"/>
    </row>
    <row r="846" spans="2:26">
      <c r="B846" s="2"/>
      <c r="N846" s="27"/>
      <c r="R846" s="15"/>
      <c r="X846" s="3"/>
      <c r="Z846" s="28"/>
    </row>
    <row r="847" spans="2:26">
      <c r="B847" s="2"/>
      <c r="N847" s="27"/>
      <c r="R847" s="15"/>
      <c r="X847" s="3"/>
      <c r="Z847" s="28"/>
    </row>
    <row r="848" spans="2:26">
      <c r="B848" s="2"/>
      <c r="N848" s="27"/>
      <c r="R848" s="15"/>
      <c r="X848" s="3"/>
      <c r="Z848" s="28"/>
    </row>
    <row r="849" spans="2:26">
      <c r="B849" s="2"/>
      <c r="N849" s="27"/>
      <c r="R849" s="15"/>
      <c r="X849" s="3"/>
      <c r="Z849" s="28"/>
    </row>
    <row r="850" spans="2:26">
      <c r="B850" s="2"/>
      <c r="N850" s="27"/>
      <c r="R850" s="15"/>
      <c r="X850" s="3"/>
      <c r="Z850" s="28"/>
    </row>
    <row r="851" spans="2:26">
      <c r="B851" s="2"/>
      <c r="N851" s="27"/>
      <c r="R851" s="15"/>
      <c r="X851" s="3"/>
      <c r="Z851" s="28"/>
    </row>
    <row r="852" spans="2:26">
      <c r="B852" s="2"/>
      <c r="N852" s="27"/>
      <c r="R852" s="15"/>
      <c r="X852" s="3"/>
      <c r="Z852" s="28"/>
    </row>
    <row r="853" spans="2:26">
      <c r="B853" s="2"/>
      <c r="N853" s="27"/>
      <c r="R853" s="15"/>
      <c r="X853" s="3"/>
      <c r="Z853" s="28"/>
    </row>
    <row r="854" spans="2:26">
      <c r="B854" s="2"/>
      <c r="N854" s="27"/>
      <c r="R854" s="15"/>
      <c r="X854" s="3"/>
      <c r="Z854" s="28"/>
    </row>
    <row r="855" spans="2:26">
      <c r="B855" s="2"/>
      <c r="N855" s="27"/>
      <c r="R855" s="15"/>
      <c r="X855" s="3"/>
      <c r="Z855" s="28"/>
    </row>
    <row r="856" spans="2:26">
      <c r="B856" s="2"/>
      <c r="N856" s="27"/>
      <c r="R856" s="15"/>
      <c r="X856" s="3"/>
      <c r="Z856" s="28"/>
    </row>
    <row r="857" spans="2:26">
      <c r="B857" s="2"/>
      <c r="N857" s="27"/>
      <c r="R857" s="15"/>
      <c r="X857" s="3"/>
      <c r="Z857" s="28"/>
    </row>
    <row r="858" spans="2:26">
      <c r="B858" s="2"/>
      <c r="N858" s="27"/>
      <c r="R858" s="15"/>
      <c r="X858" s="3"/>
      <c r="Z858" s="28"/>
    </row>
    <row r="859" spans="2:26">
      <c r="B859" s="2"/>
      <c r="N859" s="27"/>
      <c r="R859" s="15"/>
      <c r="X859" s="3"/>
      <c r="Z859" s="28"/>
    </row>
    <row r="860" spans="2:26">
      <c r="B860" s="2"/>
      <c r="N860" s="27"/>
      <c r="R860" s="15"/>
      <c r="X860" s="3"/>
      <c r="Z860" s="28"/>
    </row>
    <row r="861" spans="2:26">
      <c r="B861" s="2"/>
      <c r="N861" s="27"/>
      <c r="R861" s="15"/>
      <c r="X861" s="3"/>
      <c r="Z861" s="28"/>
    </row>
    <row r="862" spans="2:26">
      <c r="B862" s="2"/>
      <c r="N862" s="27"/>
      <c r="R862" s="15"/>
      <c r="X862" s="3"/>
      <c r="Z862" s="28"/>
    </row>
    <row r="863" spans="2:26">
      <c r="B863" s="2"/>
      <c r="N863" s="27"/>
      <c r="R863" s="15"/>
      <c r="X863" s="3"/>
      <c r="Z863" s="28"/>
    </row>
    <row r="864" spans="2:26">
      <c r="B864" s="2"/>
      <c r="N864" s="27"/>
      <c r="R864" s="15"/>
      <c r="X864" s="3"/>
      <c r="Z864" s="28"/>
    </row>
    <row r="865" spans="2:26">
      <c r="B865" s="2"/>
      <c r="N865" s="27"/>
      <c r="R865" s="15"/>
      <c r="X865" s="3"/>
      <c r="Z865" s="28"/>
    </row>
    <row r="866" spans="2:26">
      <c r="B866" s="2"/>
      <c r="N866" s="27"/>
      <c r="R866" s="15"/>
      <c r="X866" s="3"/>
      <c r="Z866" s="28"/>
    </row>
    <row r="867" spans="2:26">
      <c r="B867" s="2"/>
      <c r="N867" s="27"/>
      <c r="R867" s="15"/>
      <c r="X867" s="3"/>
      <c r="Z867" s="28"/>
    </row>
    <row r="868" spans="2:26">
      <c r="B868" s="2"/>
      <c r="N868" s="27"/>
      <c r="R868" s="15"/>
      <c r="X868" s="3"/>
      <c r="Z868" s="28"/>
    </row>
    <row r="869" spans="2:26">
      <c r="B869" s="2"/>
      <c r="N869" s="27"/>
      <c r="R869" s="15"/>
      <c r="X869" s="3"/>
      <c r="Z869" s="28"/>
    </row>
    <row r="870" spans="2:26">
      <c r="B870" s="2"/>
      <c r="N870" s="27"/>
      <c r="R870" s="15"/>
      <c r="X870" s="3"/>
      <c r="Z870" s="28"/>
    </row>
    <row r="871" spans="2:26">
      <c r="B871" s="2"/>
      <c r="N871" s="27"/>
      <c r="R871" s="15"/>
      <c r="X871" s="3"/>
      <c r="Z871" s="28"/>
    </row>
    <row r="872" spans="2:26">
      <c r="B872" s="2"/>
      <c r="N872" s="27"/>
      <c r="R872" s="15"/>
      <c r="X872" s="3"/>
      <c r="Z872" s="28"/>
    </row>
    <row r="873" spans="2:26">
      <c r="B873" s="2"/>
      <c r="N873" s="27"/>
      <c r="R873" s="15"/>
      <c r="X873" s="3"/>
      <c r="Z873" s="28"/>
    </row>
    <row r="874" spans="2:26">
      <c r="B874" s="2"/>
      <c r="N874" s="27"/>
      <c r="R874" s="15"/>
      <c r="X874" s="3"/>
      <c r="Z874" s="28"/>
    </row>
    <row r="875" spans="2:26">
      <c r="B875" s="2"/>
      <c r="N875" s="27"/>
      <c r="R875" s="15"/>
      <c r="X875" s="3"/>
      <c r="Z875" s="28"/>
    </row>
    <row r="876" spans="2:26">
      <c r="B876" s="2"/>
      <c r="N876" s="27"/>
      <c r="R876" s="15"/>
      <c r="X876" s="3"/>
      <c r="Z876" s="28"/>
    </row>
    <row r="877" spans="2:26">
      <c r="B877" s="2"/>
      <c r="N877" s="27"/>
      <c r="R877" s="15"/>
      <c r="X877" s="3"/>
      <c r="Z877" s="28"/>
    </row>
    <row r="878" spans="2:26">
      <c r="B878" s="2"/>
      <c r="N878" s="27"/>
      <c r="R878" s="15"/>
      <c r="X878" s="3"/>
      <c r="Z878" s="28"/>
    </row>
    <row r="879" spans="2:26">
      <c r="B879" s="2"/>
      <c r="N879" s="27"/>
      <c r="R879" s="15"/>
      <c r="X879" s="3"/>
      <c r="Z879" s="28"/>
    </row>
    <row r="880" spans="2:26">
      <c r="B880" s="2"/>
      <c r="N880" s="27"/>
      <c r="R880" s="15"/>
      <c r="X880" s="3"/>
      <c r="Z880" s="28"/>
    </row>
    <row r="881" spans="2:26">
      <c r="B881" s="2"/>
      <c r="N881" s="27"/>
      <c r="R881" s="15"/>
      <c r="X881" s="3"/>
      <c r="Z881" s="28"/>
    </row>
    <row r="882" spans="2:26">
      <c r="B882" s="2"/>
      <c r="N882" s="27"/>
      <c r="R882" s="15"/>
      <c r="X882" s="3"/>
      <c r="Z882" s="28"/>
    </row>
    <row r="883" spans="2:26">
      <c r="B883" s="2"/>
      <c r="N883" s="27"/>
      <c r="R883" s="15"/>
      <c r="X883" s="3"/>
      <c r="Z883" s="28"/>
    </row>
    <row r="884" spans="2:26">
      <c r="B884" s="2"/>
      <c r="N884" s="27"/>
      <c r="R884" s="15"/>
      <c r="X884" s="3"/>
      <c r="Z884" s="28"/>
    </row>
    <row r="885" spans="2:26">
      <c r="B885" s="2"/>
      <c r="N885" s="27"/>
      <c r="R885" s="15"/>
      <c r="X885" s="3"/>
      <c r="Z885" s="28"/>
    </row>
    <row r="886" spans="2:26">
      <c r="B886" s="2"/>
      <c r="N886" s="27"/>
      <c r="R886" s="15"/>
      <c r="X886" s="3"/>
      <c r="Z886" s="28"/>
    </row>
    <row r="887" spans="2:26">
      <c r="B887" s="2"/>
      <c r="N887" s="27"/>
      <c r="R887" s="15"/>
      <c r="X887" s="3"/>
      <c r="Z887" s="28"/>
    </row>
    <row r="888" spans="2:26">
      <c r="B888" s="2"/>
      <c r="N888" s="27"/>
      <c r="R888" s="15"/>
      <c r="X888" s="3"/>
      <c r="Z888" s="28"/>
    </row>
    <row r="889" spans="2:26">
      <c r="B889" s="2"/>
      <c r="N889" s="27"/>
      <c r="R889" s="15"/>
      <c r="X889" s="3"/>
      <c r="Z889" s="28"/>
    </row>
    <row r="890" spans="2:26">
      <c r="B890" s="2"/>
      <c r="N890" s="27"/>
      <c r="R890" s="15"/>
      <c r="X890" s="3"/>
      <c r="Z890" s="28"/>
    </row>
    <row r="891" spans="2:26">
      <c r="B891" s="2"/>
      <c r="N891" s="27"/>
      <c r="R891" s="15"/>
      <c r="X891" s="3"/>
      <c r="Z891" s="28"/>
    </row>
    <row r="892" spans="2:26">
      <c r="B892" s="2"/>
      <c r="N892" s="27"/>
      <c r="R892" s="15"/>
      <c r="X892" s="3"/>
      <c r="Z892" s="28"/>
    </row>
    <row r="893" spans="2:26">
      <c r="B893" s="2"/>
      <c r="N893" s="27"/>
      <c r="R893" s="15"/>
      <c r="X893" s="3"/>
      <c r="Z893" s="28"/>
    </row>
    <row r="894" spans="2:26">
      <c r="B894" s="2"/>
      <c r="N894" s="27"/>
      <c r="R894" s="15"/>
      <c r="X894" s="3"/>
      <c r="Z894" s="28"/>
    </row>
    <row r="895" spans="2:26">
      <c r="B895" s="2"/>
      <c r="N895" s="27"/>
      <c r="R895" s="15"/>
      <c r="X895" s="3"/>
      <c r="Z895" s="28"/>
    </row>
    <row r="896" spans="2:26">
      <c r="B896" s="2"/>
      <c r="N896" s="27"/>
      <c r="R896" s="15"/>
      <c r="X896" s="3"/>
      <c r="Z896" s="28"/>
    </row>
    <row r="897" spans="2:26">
      <c r="B897" s="2"/>
      <c r="N897" s="27"/>
      <c r="R897" s="15"/>
      <c r="X897" s="3"/>
      <c r="Z897" s="28"/>
    </row>
    <row r="898" spans="2:26">
      <c r="B898" s="2"/>
      <c r="N898" s="27"/>
      <c r="R898" s="15"/>
      <c r="X898" s="3"/>
      <c r="Z898" s="28"/>
    </row>
    <row r="899" spans="2:26">
      <c r="B899" s="2"/>
      <c r="N899" s="27"/>
      <c r="R899" s="15"/>
      <c r="X899" s="3"/>
      <c r="Z899" s="28"/>
    </row>
    <row r="900" spans="2:26">
      <c r="B900" s="2"/>
      <c r="N900" s="27"/>
      <c r="R900" s="15"/>
      <c r="X900" s="3"/>
      <c r="Z900" s="28"/>
    </row>
    <row r="901" spans="2:26">
      <c r="B901" s="2"/>
      <c r="N901" s="27"/>
      <c r="R901" s="15"/>
      <c r="X901" s="3"/>
      <c r="Z901" s="28"/>
    </row>
    <row r="902" spans="2:26">
      <c r="B902" s="2"/>
      <c r="N902" s="27"/>
      <c r="R902" s="15"/>
      <c r="X902" s="3"/>
      <c r="Z902" s="28"/>
    </row>
    <row r="903" spans="2:26">
      <c r="B903" s="2"/>
      <c r="N903" s="27"/>
      <c r="R903" s="15"/>
      <c r="X903" s="3"/>
      <c r="Z903" s="28"/>
    </row>
    <row r="904" spans="2:26">
      <c r="B904" s="2"/>
      <c r="N904" s="27"/>
      <c r="R904" s="15"/>
      <c r="X904" s="3"/>
      <c r="Z904" s="28"/>
    </row>
    <row r="905" spans="2:26">
      <c r="B905" s="2"/>
      <c r="N905" s="27"/>
      <c r="R905" s="15"/>
      <c r="X905" s="3"/>
      <c r="Z905" s="28"/>
    </row>
    <row r="906" spans="2:26">
      <c r="B906" s="2"/>
      <c r="N906" s="27"/>
      <c r="R906" s="15"/>
      <c r="X906" s="3"/>
      <c r="Z906" s="28"/>
    </row>
    <row r="907" spans="2:26">
      <c r="B907" s="2"/>
      <c r="N907" s="27"/>
      <c r="R907" s="15"/>
      <c r="X907" s="3"/>
      <c r="Z907" s="28"/>
    </row>
    <row r="908" spans="2:26">
      <c r="B908" s="2"/>
      <c r="N908" s="27"/>
      <c r="R908" s="15"/>
      <c r="X908" s="3"/>
      <c r="Z908" s="28"/>
    </row>
    <row r="909" spans="2:26">
      <c r="B909" s="2"/>
      <c r="N909" s="27"/>
      <c r="R909" s="15"/>
      <c r="X909" s="3"/>
      <c r="Z909" s="28"/>
    </row>
    <row r="910" spans="2:26">
      <c r="B910" s="2"/>
      <c r="N910" s="27"/>
      <c r="R910" s="15"/>
      <c r="X910" s="3"/>
      <c r="Z910" s="28"/>
    </row>
    <row r="911" spans="2:26">
      <c r="B911" s="2"/>
      <c r="N911" s="27"/>
      <c r="R911" s="15"/>
      <c r="X911" s="3"/>
      <c r="Z911" s="28"/>
    </row>
    <row r="912" spans="2:26">
      <c r="B912" s="2"/>
      <c r="N912" s="27"/>
      <c r="R912" s="15"/>
      <c r="X912" s="3"/>
      <c r="Z912" s="28"/>
    </row>
    <row r="913" spans="2:26">
      <c r="B913" s="2"/>
      <c r="N913" s="27"/>
      <c r="R913" s="15"/>
      <c r="X913" s="3"/>
      <c r="Z913" s="28"/>
    </row>
    <row r="914" spans="2:26">
      <c r="B914" s="2"/>
      <c r="N914" s="27"/>
      <c r="R914" s="15"/>
      <c r="X914" s="3"/>
      <c r="Z914" s="28"/>
    </row>
    <row r="915" spans="2:26">
      <c r="B915" s="2"/>
      <c r="N915" s="27"/>
      <c r="R915" s="15"/>
      <c r="X915" s="3"/>
      <c r="Z915" s="28"/>
    </row>
    <row r="916" spans="2:26">
      <c r="B916" s="2"/>
      <c r="N916" s="27"/>
      <c r="R916" s="15"/>
      <c r="X916" s="3"/>
      <c r="Z916" s="28"/>
    </row>
    <row r="917" spans="2:26">
      <c r="B917" s="2"/>
      <c r="N917" s="27"/>
      <c r="R917" s="15"/>
      <c r="X917" s="3"/>
      <c r="Z917" s="28"/>
    </row>
    <row r="918" spans="2:26">
      <c r="B918" s="2"/>
      <c r="N918" s="27"/>
      <c r="R918" s="15"/>
      <c r="X918" s="3"/>
      <c r="Z918" s="28"/>
    </row>
    <row r="919" spans="2:26">
      <c r="B919" s="2"/>
      <c r="N919" s="27"/>
      <c r="R919" s="15"/>
      <c r="X919" s="3"/>
      <c r="Z919" s="28"/>
    </row>
    <row r="920" spans="2:26">
      <c r="B920" s="2"/>
      <c r="N920" s="27"/>
      <c r="R920" s="15"/>
      <c r="X920" s="3"/>
      <c r="Z920" s="28"/>
    </row>
    <row r="921" spans="2:26">
      <c r="B921" s="2"/>
      <c r="N921" s="27"/>
      <c r="R921" s="15"/>
      <c r="X921" s="3"/>
      <c r="Z921" s="28"/>
    </row>
    <row r="922" spans="2:26">
      <c r="B922" s="2"/>
      <c r="N922" s="27"/>
      <c r="R922" s="15"/>
      <c r="X922" s="3"/>
      <c r="Z922" s="28"/>
    </row>
    <row r="923" spans="2:26">
      <c r="B923" s="2"/>
      <c r="N923" s="27"/>
      <c r="R923" s="15"/>
      <c r="X923" s="3"/>
      <c r="Z923" s="28"/>
    </row>
    <row r="924" spans="2:26">
      <c r="B924" s="2"/>
      <c r="N924" s="27"/>
      <c r="R924" s="15"/>
      <c r="X924" s="3"/>
      <c r="Z924" s="28"/>
    </row>
    <row r="925" spans="2:26">
      <c r="B925" s="2"/>
      <c r="N925" s="27"/>
      <c r="R925" s="15"/>
      <c r="X925" s="3"/>
      <c r="Z925" s="28"/>
    </row>
    <row r="926" spans="2:26">
      <c r="B926" s="2"/>
      <c r="N926" s="27"/>
      <c r="R926" s="15"/>
      <c r="X926" s="3"/>
      <c r="Z926" s="28"/>
    </row>
    <row r="927" spans="2:26">
      <c r="B927" s="2"/>
      <c r="N927" s="27"/>
      <c r="R927" s="15"/>
      <c r="X927" s="3"/>
      <c r="Z927" s="28"/>
    </row>
    <row r="928" spans="2:26">
      <c r="B928" s="2"/>
      <c r="N928" s="27"/>
      <c r="R928" s="15"/>
      <c r="X928" s="3"/>
      <c r="Z928" s="28"/>
    </row>
    <row r="929" spans="2:26">
      <c r="B929" s="2"/>
      <c r="N929" s="27"/>
      <c r="R929" s="15"/>
      <c r="X929" s="3"/>
      <c r="Z929" s="28"/>
    </row>
    <row r="930" spans="2:26">
      <c r="B930" s="2"/>
      <c r="N930" s="27"/>
      <c r="R930" s="15"/>
      <c r="X930" s="3"/>
      <c r="Z930" s="28"/>
    </row>
    <row r="931" spans="2:26">
      <c r="B931" s="2"/>
      <c r="N931" s="27"/>
      <c r="R931" s="15"/>
      <c r="X931" s="3"/>
      <c r="Z931" s="28"/>
    </row>
    <row r="932" spans="2:26">
      <c r="B932" s="2"/>
      <c r="N932" s="27"/>
      <c r="R932" s="15"/>
      <c r="X932" s="3"/>
      <c r="Z932" s="28"/>
    </row>
    <row r="933" spans="2:26">
      <c r="B933" s="2"/>
      <c r="N933" s="27"/>
      <c r="R933" s="15"/>
      <c r="X933" s="3"/>
      <c r="Z933" s="28"/>
    </row>
    <row r="934" spans="2:26">
      <c r="B934" s="2"/>
      <c r="N934" s="27"/>
      <c r="R934" s="15"/>
      <c r="X934" s="3"/>
      <c r="Z934" s="28"/>
    </row>
    <row r="935" spans="2:26">
      <c r="B935" s="2"/>
      <c r="N935" s="27"/>
      <c r="R935" s="15"/>
      <c r="X935" s="3"/>
      <c r="Z935" s="28"/>
    </row>
    <row r="936" spans="2:26">
      <c r="B936" s="2"/>
      <c r="N936" s="27"/>
      <c r="R936" s="15"/>
      <c r="X936" s="3"/>
      <c r="Z936" s="28"/>
    </row>
    <row r="937" spans="2:26">
      <c r="B937" s="2"/>
      <c r="N937" s="27"/>
      <c r="R937" s="15"/>
      <c r="X937" s="3"/>
      <c r="Z937" s="28"/>
    </row>
    <row r="938" spans="2:26">
      <c r="B938" s="2"/>
      <c r="N938" s="27"/>
      <c r="R938" s="15"/>
      <c r="X938" s="3"/>
      <c r="Z938" s="28"/>
    </row>
    <row r="939" spans="2:26">
      <c r="B939" s="2"/>
      <c r="N939" s="27"/>
      <c r="R939" s="15"/>
      <c r="X939" s="3"/>
      <c r="Z939" s="28"/>
    </row>
    <row r="940" spans="2:26">
      <c r="B940" s="2"/>
      <c r="N940" s="27"/>
      <c r="R940" s="15"/>
      <c r="X940" s="3"/>
      <c r="Z940" s="28"/>
    </row>
    <row r="941" spans="2:26">
      <c r="B941" s="2"/>
      <c r="N941" s="27"/>
      <c r="R941" s="15"/>
      <c r="X941" s="3"/>
      <c r="Z941" s="28"/>
    </row>
    <row r="942" spans="2:26">
      <c r="B942" s="2"/>
      <c r="N942" s="27"/>
      <c r="R942" s="15"/>
      <c r="X942" s="3"/>
      <c r="Z942" s="28"/>
    </row>
    <row r="943" spans="2:26">
      <c r="B943" s="2"/>
      <c r="N943" s="27"/>
      <c r="R943" s="15"/>
      <c r="X943" s="3"/>
      <c r="Z943" s="28"/>
    </row>
    <row r="944" spans="2:26">
      <c r="B944" s="2"/>
      <c r="N944" s="27"/>
      <c r="R944" s="15"/>
      <c r="X944" s="3"/>
      <c r="Z944" s="28"/>
    </row>
    <row r="945" spans="2:26">
      <c r="B945" s="2"/>
      <c r="N945" s="27"/>
      <c r="R945" s="15"/>
      <c r="X945" s="3"/>
      <c r="Z945" s="28"/>
    </row>
    <row r="946" spans="2:26">
      <c r="B946" s="2"/>
      <c r="N946" s="27"/>
      <c r="R946" s="15"/>
      <c r="X946" s="3"/>
      <c r="Z946" s="28"/>
    </row>
    <row r="947" spans="2:26">
      <c r="B947" s="2"/>
      <c r="N947" s="27"/>
      <c r="R947" s="15"/>
      <c r="X947" s="3"/>
      <c r="Z947" s="28"/>
    </row>
    <row r="948" spans="2:26">
      <c r="B948" s="2"/>
      <c r="N948" s="27"/>
      <c r="R948" s="15"/>
      <c r="X948" s="3"/>
      <c r="Z948" s="28"/>
    </row>
    <row r="949" spans="2:26">
      <c r="B949" s="2"/>
      <c r="N949" s="27"/>
      <c r="R949" s="15"/>
      <c r="X949" s="3"/>
      <c r="Z949" s="28"/>
    </row>
    <row r="950" spans="2:26">
      <c r="B950" s="2"/>
      <c r="N950" s="27"/>
      <c r="R950" s="15"/>
      <c r="X950" s="3"/>
      <c r="Z950" s="28"/>
    </row>
    <row r="951" spans="2:26">
      <c r="B951" s="2"/>
      <c r="N951" s="27"/>
      <c r="R951" s="15"/>
      <c r="X951" s="3"/>
      <c r="Z951" s="28"/>
    </row>
    <row r="952" spans="2:26">
      <c r="B952" s="2"/>
      <c r="N952" s="27"/>
      <c r="R952" s="15"/>
      <c r="X952" s="3"/>
      <c r="Z952" s="28"/>
    </row>
    <row r="953" spans="2:26">
      <c r="B953" s="2"/>
      <c r="N953" s="27"/>
      <c r="R953" s="15"/>
      <c r="X953" s="3"/>
      <c r="Z953" s="28"/>
    </row>
    <row r="954" spans="2:26">
      <c r="B954" s="2"/>
      <c r="N954" s="27"/>
      <c r="R954" s="15"/>
      <c r="X954" s="3"/>
      <c r="Z954" s="28"/>
    </row>
    <row r="955" spans="2:26">
      <c r="B955" s="2"/>
      <c r="N955" s="27"/>
      <c r="R955" s="15"/>
      <c r="X955" s="3"/>
      <c r="Z955" s="28"/>
    </row>
    <row r="956" spans="2:26">
      <c r="B956" s="2"/>
      <c r="N956" s="27"/>
      <c r="R956" s="15"/>
      <c r="X956" s="3"/>
      <c r="Z956" s="28"/>
    </row>
    <row r="957" spans="2:26">
      <c r="B957" s="2"/>
      <c r="N957" s="27"/>
      <c r="R957" s="15"/>
      <c r="X957" s="3"/>
      <c r="Z957" s="28"/>
    </row>
    <row r="958" spans="2:26">
      <c r="B958" s="2"/>
      <c r="N958" s="27"/>
      <c r="R958" s="15"/>
      <c r="X958" s="3"/>
      <c r="Z958" s="28"/>
    </row>
    <row r="959" spans="2:26">
      <c r="B959" s="2"/>
      <c r="N959" s="27"/>
      <c r="R959" s="15"/>
      <c r="X959" s="3"/>
      <c r="Z959" s="28"/>
    </row>
    <row r="960" spans="2:26">
      <c r="B960" s="2"/>
      <c r="N960" s="27"/>
      <c r="R960" s="15"/>
      <c r="X960" s="3"/>
      <c r="Z960" s="28"/>
    </row>
    <row r="961" spans="2:26">
      <c r="B961" s="2"/>
      <c r="N961" s="27"/>
      <c r="R961" s="15"/>
      <c r="X961" s="3"/>
      <c r="Z961" s="28"/>
    </row>
    <row r="962" spans="2:26">
      <c r="B962" s="2"/>
      <c r="N962" s="27"/>
      <c r="R962" s="15"/>
      <c r="X962" s="3"/>
      <c r="Z962" s="28"/>
    </row>
    <row r="963" spans="2:26">
      <c r="B963" s="2"/>
      <c r="N963" s="27"/>
      <c r="R963" s="15"/>
      <c r="X963" s="3"/>
      <c r="Z963" s="28"/>
    </row>
    <row r="964" spans="2:26">
      <c r="B964" s="2"/>
      <c r="N964" s="27"/>
      <c r="R964" s="15"/>
      <c r="X964" s="3"/>
      <c r="Z964" s="28"/>
    </row>
    <row r="965" spans="2:26">
      <c r="B965" s="2"/>
      <c r="N965" s="27"/>
      <c r="R965" s="15"/>
      <c r="X965" s="3"/>
      <c r="Z965" s="28"/>
    </row>
    <row r="966" spans="2:26">
      <c r="B966" s="2"/>
      <c r="N966" s="27"/>
      <c r="R966" s="15"/>
      <c r="X966" s="3"/>
      <c r="Z966" s="28"/>
    </row>
    <row r="967" spans="2:26">
      <c r="B967" s="2"/>
      <c r="N967" s="27"/>
      <c r="R967" s="15"/>
      <c r="X967" s="3"/>
      <c r="Z967" s="28"/>
    </row>
    <row r="968" spans="2:26">
      <c r="B968" s="2"/>
      <c r="N968" s="27"/>
      <c r="R968" s="15"/>
      <c r="X968" s="3"/>
      <c r="Z968" s="28"/>
    </row>
    <row r="969" spans="2:26">
      <c r="B969" s="2"/>
      <c r="N969" s="27"/>
      <c r="R969" s="15"/>
      <c r="X969" s="3"/>
      <c r="Z969" s="28"/>
    </row>
    <row r="970" spans="2:26">
      <c r="B970" s="2"/>
      <c r="N970" s="27"/>
      <c r="R970" s="15"/>
      <c r="X970" s="3"/>
      <c r="Z970" s="28"/>
    </row>
    <row r="971" spans="2:26">
      <c r="B971" s="2"/>
      <c r="N971" s="27"/>
      <c r="R971" s="15"/>
      <c r="X971" s="3"/>
      <c r="Z971" s="28"/>
    </row>
    <row r="972" spans="2:26">
      <c r="B972" s="2"/>
      <c r="N972" s="27"/>
      <c r="R972" s="15"/>
      <c r="X972" s="3"/>
      <c r="Z972" s="28"/>
    </row>
    <row r="973" spans="2:26">
      <c r="B973" s="2"/>
      <c r="N973" s="27"/>
      <c r="R973" s="15"/>
      <c r="X973" s="3"/>
      <c r="Z973" s="28"/>
    </row>
    <row r="974" spans="2:26">
      <c r="B974" s="2"/>
      <c r="N974" s="27"/>
      <c r="R974" s="15"/>
      <c r="X974" s="3"/>
      <c r="Z974" s="28"/>
    </row>
    <row r="975" spans="2:26">
      <c r="B975" s="2"/>
      <c r="N975" s="27"/>
      <c r="R975" s="15"/>
      <c r="X975" s="3"/>
      <c r="Z975" s="28"/>
    </row>
    <row r="976" spans="2:26">
      <c r="B976" s="2"/>
      <c r="N976" s="27"/>
      <c r="R976" s="15"/>
      <c r="X976" s="3"/>
      <c r="Z976" s="28"/>
    </row>
    <row r="977" spans="2:26">
      <c r="B977" s="2"/>
      <c r="N977" s="27"/>
      <c r="R977" s="15"/>
      <c r="X977" s="3"/>
      <c r="Z977" s="28"/>
    </row>
    <row r="978" spans="2:26">
      <c r="B978" s="2"/>
      <c r="N978" s="27"/>
      <c r="R978" s="15"/>
      <c r="X978" s="3"/>
      <c r="Z978" s="28"/>
    </row>
    <row r="979" spans="2:26">
      <c r="B979" s="2"/>
      <c r="N979" s="27"/>
      <c r="R979" s="15"/>
      <c r="X979" s="3"/>
      <c r="Z979" s="28"/>
    </row>
    <row r="980" spans="2:26">
      <c r="B980" s="2"/>
      <c r="N980" s="27"/>
      <c r="R980" s="15"/>
      <c r="X980" s="3"/>
      <c r="Z980" s="28"/>
    </row>
    <row r="981" spans="2:26">
      <c r="B981" s="2"/>
      <c r="N981" s="27"/>
      <c r="R981" s="15"/>
      <c r="X981" s="3"/>
      <c r="Z981" s="28"/>
    </row>
    <row r="982" spans="2:26">
      <c r="B982" s="2"/>
      <c r="N982" s="27"/>
      <c r="R982" s="15"/>
      <c r="X982" s="3"/>
      <c r="Z982" s="28"/>
    </row>
    <row r="983" spans="2:26">
      <c r="B983" s="2"/>
      <c r="N983" s="27"/>
      <c r="R983" s="15"/>
      <c r="X983" s="3"/>
      <c r="Z983" s="28"/>
    </row>
    <row r="984" spans="2:26">
      <c r="B984" s="2"/>
      <c r="N984" s="27"/>
      <c r="R984" s="15"/>
      <c r="X984" s="3"/>
      <c r="Z984" s="28"/>
    </row>
    <row r="985" spans="2:26">
      <c r="B985" s="2"/>
      <c r="N985" s="27"/>
      <c r="R985" s="15"/>
      <c r="X985" s="3"/>
      <c r="Z985" s="28"/>
    </row>
    <row r="986" spans="2:26">
      <c r="B986" s="2"/>
      <c r="N986" s="27"/>
      <c r="R986" s="15"/>
      <c r="X986" s="3"/>
      <c r="Z986" s="28"/>
    </row>
    <row r="987" spans="2:26">
      <c r="B987" s="2"/>
      <c r="N987" s="27"/>
      <c r="R987" s="15"/>
      <c r="X987" s="3"/>
      <c r="Z987" s="28"/>
    </row>
    <row r="988" spans="2:26">
      <c r="B988" s="2"/>
      <c r="N988" s="27"/>
      <c r="R988" s="15"/>
      <c r="X988" s="3"/>
      <c r="Z988" s="28"/>
    </row>
    <row r="989" spans="2:26">
      <c r="B989" s="2"/>
      <c r="N989" s="27"/>
      <c r="R989" s="15"/>
      <c r="X989" s="3"/>
      <c r="Z989" s="28"/>
    </row>
    <row r="990" spans="2:26">
      <c r="B990" s="2"/>
      <c r="N990" s="27"/>
      <c r="R990" s="15"/>
      <c r="X990" s="3"/>
      <c r="Z990" s="28"/>
    </row>
    <row r="991" spans="2:26">
      <c r="B991" s="2"/>
      <c r="N991" s="27"/>
      <c r="R991" s="15"/>
      <c r="X991" s="3"/>
      <c r="Z991" s="28"/>
    </row>
    <row r="992" spans="2:26">
      <c r="B992" s="2"/>
      <c r="N992" s="27"/>
      <c r="R992" s="15"/>
      <c r="X992" s="3"/>
      <c r="Z992" s="28"/>
    </row>
    <row r="993" spans="2:26">
      <c r="B993" s="2"/>
      <c r="N993" s="27"/>
      <c r="R993" s="15"/>
      <c r="X993" s="3"/>
      <c r="Z993" s="28"/>
    </row>
    <row r="994" spans="2:26">
      <c r="B994" s="2"/>
      <c r="N994" s="27"/>
      <c r="R994" s="15"/>
      <c r="X994" s="3"/>
      <c r="Z994" s="28"/>
    </row>
    <row r="995" spans="2:26">
      <c r="B995" s="2"/>
      <c r="N995" s="27"/>
      <c r="R995" s="15"/>
      <c r="X995" s="3"/>
      <c r="Z995" s="28"/>
    </row>
    <row r="996" spans="2:26">
      <c r="B996" s="2"/>
      <c r="N996" s="27"/>
      <c r="R996" s="15"/>
      <c r="X996" s="3"/>
      <c r="Z996" s="28"/>
    </row>
    <row r="997" spans="2:26">
      <c r="B997" s="2"/>
      <c r="N997" s="27"/>
      <c r="R997" s="15"/>
      <c r="X997" s="3"/>
      <c r="Z997" s="28"/>
    </row>
    <row r="998" spans="2:26">
      <c r="B998" s="2"/>
      <c r="N998" s="27"/>
      <c r="R998" s="15"/>
      <c r="X998" s="3"/>
      <c r="Z998" s="28"/>
    </row>
    <row r="999" spans="2:26">
      <c r="B999" s="2"/>
      <c r="N999" s="27"/>
      <c r="R999" s="15"/>
      <c r="X999" s="3"/>
      <c r="Z999" s="28"/>
    </row>
    <row r="1000" spans="2:26">
      <c r="B1000" s="2"/>
      <c r="N1000" s="27"/>
      <c r="R1000" s="15"/>
      <c r="X1000" s="3"/>
      <c r="Z1000" s="28"/>
    </row>
    <row r="1001" spans="2:26">
      <c r="B1001" s="2"/>
      <c r="N1001" s="27"/>
      <c r="R1001" s="15"/>
      <c r="X1001" s="3"/>
      <c r="Z1001" s="28"/>
    </row>
    <row r="1002" spans="2:26">
      <c r="B1002" s="2"/>
      <c r="N1002" s="27"/>
      <c r="R1002" s="15"/>
      <c r="X1002" s="3"/>
      <c r="Z1002" s="28"/>
    </row>
    <row r="1003" spans="2:26">
      <c r="B1003" s="2"/>
      <c r="N1003" s="27"/>
      <c r="R1003" s="15"/>
      <c r="X1003" s="3"/>
      <c r="Z1003" s="28"/>
    </row>
    <row r="1004" spans="2:26">
      <c r="B1004" s="2"/>
      <c r="N1004" s="27"/>
      <c r="R1004" s="15"/>
      <c r="X1004" s="3"/>
      <c r="Z1004" s="28"/>
    </row>
    <row r="1005" spans="2:26">
      <c r="B1005" s="2"/>
      <c r="N1005" s="27"/>
      <c r="R1005" s="15"/>
      <c r="X1005" s="3"/>
      <c r="Z1005" s="28"/>
    </row>
    <row r="1006" spans="2:26">
      <c r="B1006" s="2"/>
      <c r="N1006" s="27"/>
      <c r="R1006" s="15"/>
      <c r="X1006" s="3"/>
      <c r="Z1006" s="28"/>
    </row>
    <row r="1007" spans="2:26">
      <c r="B1007" s="2"/>
      <c r="N1007" s="27"/>
      <c r="R1007" s="15"/>
      <c r="X1007" s="3"/>
      <c r="Z1007" s="28"/>
    </row>
    <row r="1008" spans="2:26">
      <c r="B1008" s="2"/>
      <c r="N1008" s="27"/>
      <c r="R1008" s="15"/>
      <c r="X1008" s="3"/>
      <c r="Z1008" s="28"/>
    </row>
    <row r="1009" spans="2:26">
      <c r="B1009" s="2"/>
      <c r="N1009" s="27"/>
      <c r="R1009" s="15"/>
      <c r="X1009" s="3"/>
      <c r="Z1009" s="28"/>
    </row>
    <row r="1010" spans="2:26">
      <c r="B1010" s="2"/>
      <c r="N1010" s="27"/>
      <c r="R1010" s="15"/>
      <c r="X1010" s="3"/>
      <c r="Z1010" s="28"/>
    </row>
    <row r="1011" spans="2:26">
      <c r="B1011" s="2"/>
      <c r="N1011" s="27"/>
      <c r="R1011" s="15"/>
      <c r="X1011" s="3"/>
      <c r="Z1011" s="28"/>
    </row>
    <row r="1012" spans="2:26">
      <c r="B1012" s="2"/>
      <c r="N1012" s="27"/>
      <c r="R1012" s="15"/>
      <c r="X1012" s="3"/>
      <c r="Z1012" s="28"/>
    </row>
    <row r="1013" spans="2:26">
      <c r="B1013" s="2"/>
      <c r="N1013" s="27"/>
      <c r="R1013" s="15"/>
      <c r="X1013" s="3"/>
      <c r="Z1013" s="28"/>
    </row>
    <row r="1014" spans="2:26">
      <c r="B1014" s="2"/>
      <c r="N1014" s="27"/>
      <c r="R1014" s="15"/>
      <c r="X1014" s="3"/>
      <c r="Z1014" s="28"/>
    </row>
    <row r="1015" spans="2:26">
      <c r="B1015" s="2"/>
      <c r="N1015" s="27"/>
      <c r="R1015" s="15"/>
      <c r="X1015" s="3"/>
      <c r="Z1015" s="28"/>
    </row>
    <row r="1016" spans="2:26">
      <c r="B1016" s="2"/>
      <c r="N1016" s="27"/>
      <c r="R1016" s="15"/>
      <c r="X1016" s="3"/>
      <c r="Z1016" s="28"/>
    </row>
    <row r="1017" spans="2:26">
      <c r="B1017" s="2"/>
      <c r="N1017" s="27"/>
      <c r="R1017" s="15"/>
      <c r="X1017" s="3"/>
      <c r="Z1017" s="28"/>
    </row>
    <row r="1018" spans="2:26">
      <c r="B1018" s="2"/>
      <c r="N1018" s="27"/>
      <c r="R1018" s="15"/>
      <c r="X1018" s="3"/>
      <c r="Z1018" s="28"/>
    </row>
    <row r="1019" spans="2:26">
      <c r="B1019" s="2"/>
      <c r="N1019" s="27"/>
      <c r="R1019" s="15"/>
      <c r="X1019" s="3"/>
      <c r="Z1019" s="28"/>
    </row>
    <row r="1020" spans="2:26">
      <c r="B1020" s="2"/>
      <c r="N1020" s="27"/>
      <c r="R1020" s="15"/>
      <c r="X1020" s="3"/>
      <c r="Z1020" s="28"/>
    </row>
    <row r="1021" spans="2:26">
      <c r="B1021" s="2"/>
      <c r="N1021" s="27"/>
      <c r="R1021" s="15"/>
      <c r="X1021" s="3"/>
      <c r="Z1021" s="28"/>
    </row>
    <row r="1022" spans="2:26">
      <c r="B1022" s="2"/>
      <c r="N1022" s="27"/>
      <c r="R1022" s="15"/>
      <c r="X1022" s="3"/>
      <c r="Z1022" s="28"/>
    </row>
    <row r="1023" spans="2:26">
      <c r="B1023" s="2"/>
      <c r="N1023" s="27"/>
      <c r="R1023" s="15"/>
      <c r="X1023" s="3"/>
      <c r="Z1023" s="28"/>
    </row>
    <row r="1024" spans="2:26">
      <c r="B1024" s="2"/>
      <c r="N1024" s="27"/>
      <c r="R1024" s="15"/>
      <c r="X1024" s="3"/>
      <c r="Z1024" s="28"/>
    </row>
    <row r="1025" spans="2:26">
      <c r="B1025" s="2"/>
      <c r="N1025" s="27"/>
      <c r="R1025" s="15"/>
      <c r="X1025" s="3"/>
      <c r="Z1025" s="28"/>
    </row>
    <row r="1026" spans="2:26">
      <c r="B1026" s="2"/>
      <c r="N1026" s="27"/>
      <c r="R1026" s="15"/>
      <c r="X1026" s="3"/>
      <c r="Z1026" s="28"/>
    </row>
    <row r="1027" spans="2:26">
      <c r="B1027" s="2"/>
      <c r="N1027" s="27"/>
      <c r="R1027" s="15"/>
      <c r="X1027" s="3"/>
      <c r="Z1027" s="28"/>
    </row>
    <row r="1028" spans="2:26">
      <c r="B1028" s="2"/>
      <c r="N1028" s="27"/>
      <c r="R1028" s="15"/>
      <c r="X1028" s="3"/>
      <c r="Z1028" s="28"/>
    </row>
    <row r="1029" spans="2:26">
      <c r="B1029" s="2"/>
      <c r="N1029" s="27"/>
      <c r="R1029" s="15"/>
      <c r="X1029" s="3"/>
      <c r="Z1029" s="28"/>
    </row>
    <row r="1030" spans="2:26">
      <c r="B1030" s="2"/>
      <c r="N1030" s="27"/>
      <c r="R1030" s="15"/>
      <c r="X1030" s="3"/>
      <c r="Z1030" s="28"/>
    </row>
    <row r="1031" spans="2:26">
      <c r="B1031" s="2"/>
      <c r="N1031" s="27"/>
      <c r="R1031" s="15"/>
      <c r="X1031" s="3"/>
      <c r="Z1031" s="28"/>
    </row>
    <row r="1032" spans="2:26">
      <c r="B1032" s="2"/>
      <c r="N1032" s="27"/>
      <c r="R1032" s="15"/>
      <c r="X1032" s="3"/>
      <c r="Z1032" s="28"/>
    </row>
    <row r="1033" spans="2:26">
      <c r="B1033" s="2"/>
      <c r="N1033" s="27"/>
      <c r="R1033" s="15"/>
      <c r="X1033" s="3"/>
      <c r="Z1033" s="28"/>
    </row>
    <row r="1034" spans="2:26">
      <c r="B1034" s="2"/>
      <c r="N1034" s="27"/>
      <c r="R1034" s="15"/>
      <c r="X1034" s="3"/>
      <c r="Z1034" s="28"/>
    </row>
    <row r="1035" spans="2:26">
      <c r="B1035" s="2"/>
      <c r="N1035" s="27"/>
      <c r="R1035" s="15"/>
      <c r="X1035" s="3"/>
      <c r="Z1035" s="28"/>
    </row>
    <row r="1036" spans="2:26">
      <c r="B1036" s="2"/>
      <c r="N1036" s="27"/>
      <c r="R1036" s="15"/>
      <c r="X1036" s="3"/>
      <c r="Z1036" s="28"/>
    </row>
    <row r="1037" spans="2:26">
      <c r="B1037" s="2"/>
      <c r="N1037" s="27"/>
      <c r="R1037" s="15"/>
      <c r="X1037" s="3"/>
      <c r="Z1037" s="28"/>
    </row>
    <row r="1038" spans="2:26">
      <c r="B1038" s="2"/>
      <c r="N1038" s="27"/>
      <c r="R1038" s="15"/>
      <c r="X1038" s="3"/>
      <c r="Z1038" s="28"/>
    </row>
    <row r="1039" spans="2:26">
      <c r="B1039" s="2"/>
      <c r="N1039" s="27"/>
      <c r="R1039" s="15"/>
      <c r="X1039" s="3"/>
      <c r="Z1039" s="28"/>
    </row>
    <row r="1040" spans="2:26">
      <c r="B1040" s="2"/>
      <c r="N1040" s="27"/>
      <c r="R1040" s="15"/>
      <c r="X1040" s="3"/>
      <c r="Z1040" s="28"/>
    </row>
    <row r="1041" spans="2:26">
      <c r="B1041" s="2"/>
      <c r="N1041" s="27"/>
      <c r="R1041" s="15"/>
      <c r="X1041" s="3"/>
      <c r="Z1041" s="28"/>
    </row>
    <row r="1042" spans="2:26">
      <c r="B1042" s="2"/>
      <c r="N1042" s="27"/>
      <c r="R1042" s="15"/>
      <c r="X1042" s="3"/>
      <c r="Z1042" s="28"/>
    </row>
    <row r="1043" spans="2:26">
      <c r="B1043" s="2"/>
      <c r="N1043" s="27"/>
      <c r="R1043" s="15"/>
      <c r="X1043" s="3"/>
      <c r="Z1043" s="28"/>
    </row>
    <row r="1044" spans="2:26">
      <c r="B1044" s="2"/>
      <c r="N1044" s="27"/>
      <c r="R1044" s="15"/>
      <c r="X1044" s="3"/>
      <c r="Z1044" s="28"/>
    </row>
    <row r="1045" spans="2:26">
      <c r="B1045" s="2"/>
      <c r="N1045" s="27"/>
      <c r="R1045" s="15"/>
      <c r="X1045" s="3"/>
      <c r="Z1045" s="28"/>
    </row>
    <row r="1046" spans="2:26">
      <c r="B1046" s="2"/>
      <c r="N1046" s="27"/>
      <c r="R1046" s="15"/>
      <c r="X1046" s="3"/>
      <c r="Z1046" s="28"/>
    </row>
    <row r="1047" spans="2:26">
      <c r="B1047" s="2"/>
      <c r="N1047" s="27"/>
      <c r="R1047" s="15"/>
      <c r="X1047" s="3"/>
      <c r="Z1047" s="28"/>
    </row>
    <row r="1048" spans="2:26">
      <c r="B1048" s="2"/>
      <c r="N1048" s="27"/>
      <c r="R1048" s="15"/>
      <c r="X1048" s="3"/>
      <c r="Z1048" s="28"/>
    </row>
    <row r="1049" spans="2:26">
      <c r="B1049" s="2"/>
      <c r="N1049" s="27"/>
      <c r="R1049" s="15"/>
      <c r="X1049" s="3"/>
      <c r="Z1049" s="28"/>
    </row>
    <row r="1050" spans="2:26">
      <c r="B1050" s="2"/>
      <c r="N1050" s="27"/>
      <c r="R1050" s="15"/>
      <c r="X1050" s="3"/>
      <c r="Z1050" s="28"/>
    </row>
    <row r="1051" spans="2:26">
      <c r="B1051" s="2"/>
      <c r="N1051" s="27"/>
      <c r="R1051" s="15"/>
      <c r="X1051" s="3"/>
      <c r="Z1051" s="28"/>
    </row>
    <row r="1052" spans="2:26">
      <c r="B1052" s="2"/>
      <c r="N1052" s="27"/>
      <c r="R1052" s="15"/>
      <c r="X1052" s="3"/>
      <c r="Z1052" s="28"/>
    </row>
    <row r="1053" spans="2:26">
      <c r="B1053" s="2"/>
      <c r="N1053" s="27"/>
      <c r="R1053" s="15"/>
      <c r="X1053" s="3"/>
      <c r="Z1053" s="28"/>
    </row>
    <row r="1054" spans="2:26">
      <c r="B1054" s="2"/>
      <c r="N1054" s="27"/>
      <c r="R1054" s="15"/>
      <c r="X1054" s="3"/>
      <c r="Z1054" s="28"/>
    </row>
    <row r="1055" spans="2:26">
      <c r="B1055" s="2"/>
      <c r="N1055" s="27"/>
      <c r="R1055" s="15"/>
      <c r="X1055" s="3"/>
      <c r="Z1055" s="28"/>
    </row>
    <row r="1056" spans="2:26">
      <c r="B1056" s="2"/>
      <c r="N1056" s="27"/>
      <c r="R1056" s="15"/>
      <c r="X1056" s="3"/>
      <c r="Z1056" s="28"/>
    </row>
    <row r="1057" spans="2:26">
      <c r="B1057" s="2"/>
      <c r="N1057" s="27"/>
      <c r="R1057" s="15"/>
      <c r="X1057" s="3"/>
      <c r="Z1057" s="28"/>
    </row>
    <row r="1058" spans="2:26">
      <c r="B1058" s="2"/>
      <c r="N1058" s="27"/>
      <c r="R1058" s="15"/>
      <c r="X1058" s="3"/>
      <c r="Z1058" s="28"/>
    </row>
    <row r="1059" spans="2:26">
      <c r="B1059" s="2"/>
      <c r="N1059" s="27"/>
      <c r="R1059" s="15"/>
      <c r="X1059" s="3"/>
      <c r="Z1059" s="28"/>
    </row>
    <row r="1060" spans="2:26">
      <c r="B1060" s="2"/>
      <c r="N1060" s="27"/>
      <c r="R1060" s="15"/>
      <c r="X1060" s="3"/>
      <c r="Z1060" s="28"/>
    </row>
    <row r="1061" spans="2:26">
      <c r="B1061" s="2"/>
      <c r="N1061" s="27"/>
      <c r="R1061" s="15"/>
      <c r="X1061" s="3"/>
      <c r="Z1061" s="28"/>
    </row>
    <row r="1062" spans="2:26">
      <c r="B1062" s="2"/>
      <c r="N1062" s="27"/>
      <c r="R1062" s="15"/>
      <c r="X1062" s="3"/>
      <c r="Z1062" s="28"/>
    </row>
    <row r="1063" spans="2:26">
      <c r="B1063" s="2"/>
      <c r="N1063" s="27"/>
      <c r="R1063" s="15"/>
      <c r="X1063" s="3"/>
      <c r="Z1063" s="28"/>
    </row>
    <row r="1064" spans="2:26">
      <c r="B1064" s="2"/>
      <c r="N1064" s="27"/>
      <c r="R1064" s="15"/>
      <c r="X1064" s="3"/>
      <c r="Z1064" s="28"/>
    </row>
    <row r="1065" spans="2:26">
      <c r="B1065" s="2"/>
      <c r="N1065" s="27"/>
      <c r="R1065" s="15"/>
      <c r="X1065" s="3"/>
      <c r="Z1065" s="28"/>
    </row>
    <row r="1066" spans="2:26">
      <c r="B1066" s="2"/>
      <c r="N1066" s="27"/>
      <c r="R1066" s="15"/>
      <c r="X1066" s="3"/>
      <c r="Z1066" s="28"/>
    </row>
    <row r="1067" spans="2:26">
      <c r="B1067" s="2"/>
      <c r="N1067" s="27"/>
      <c r="R1067" s="15"/>
      <c r="X1067" s="3"/>
      <c r="Z1067" s="28"/>
    </row>
    <row r="1068" spans="2:26">
      <c r="B1068" s="2"/>
      <c r="N1068" s="27"/>
      <c r="R1068" s="15"/>
      <c r="X1068" s="3"/>
      <c r="Z1068" s="28"/>
    </row>
    <row r="1069" spans="2:26">
      <c r="B1069" s="2"/>
      <c r="N1069" s="27"/>
      <c r="R1069" s="15"/>
      <c r="X1069" s="3"/>
      <c r="Z1069" s="28"/>
    </row>
    <row r="1070" spans="2:26">
      <c r="B1070" s="2"/>
      <c r="N1070" s="27"/>
      <c r="R1070" s="15"/>
      <c r="X1070" s="3"/>
      <c r="Z1070" s="28"/>
    </row>
    <row r="1071" spans="2:26">
      <c r="B1071" s="2"/>
      <c r="N1071" s="27"/>
      <c r="R1071" s="15"/>
      <c r="X1071" s="3"/>
      <c r="Z1071" s="28"/>
    </row>
    <row r="1072" spans="2:26">
      <c r="B1072" s="2"/>
      <c r="N1072" s="27"/>
      <c r="R1072" s="15"/>
      <c r="X1072" s="3"/>
      <c r="Z1072" s="28"/>
    </row>
    <row r="1073" spans="2:26">
      <c r="B1073" s="2"/>
      <c r="N1073" s="27"/>
      <c r="R1073" s="15"/>
      <c r="X1073" s="3"/>
      <c r="Z1073" s="28"/>
    </row>
    <row r="1074" spans="2:26">
      <c r="B1074" s="2"/>
      <c r="N1074" s="27"/>
      <c r="R1074" s="15"/>
      <c r="X1074" s="3"/>
      <c r="Z1074" s="28"/>
    </row>
    <row r="1075" spans="2:26">
      <c r="B1075" s="2"/>
      <c r="N1075" s="27"/>
      <c r="R1075" s="15"/>
      <c r="X1075" s="3"/>
      <c r="Z1075" s="28"/>
    </row>
    <row r="1076" spans="2:26">
      <c r="B1076" s="2"/>
      <c r="N1076" s="27"/>
      <c r="R1076" s="15"/>
      <c r="X1076" s="3"/>
      <c r="Z1076" s="28"/>
    </row>
    <row r="1077" spans="2:26">
      <c r="B1077" s="2"/>
      <c r="N1077" s="27"/>
      <c r="R1077" s="15"/>
      <c r="X1077" s="3"/>
      <c r="Z1077" s="28"/>
    </row>
    <row r="1078" spans="2:26">
      <c r="B1078" s="2"/>
      <c r="N1078" s="27"/>
      <c r="R1078" s="15"/>
      <c r="X1078" s="3"/>
      <c r="Z1078" s="28"/>
    </row>
    <row r="1079" spans="2:26">
      <c r="B1079" s="2"/>
      <c r="N1079" s="27"/>
      <c r="R1079" s="15"/>
      <c r="X1079" s="3"/>
      <c r="Z1079" s="28"/>
    </row>
    <row r="1080" spans="2:26">
      <c r="B1080" s="2"/>
      <c r="N1080" s="27"/>
      <c r="R1080" s="15"/>
      <c r="X1080" s="3"/>
      <c r="Z1080" s="28"/>
    </row>
    <row r="1081" spans="2:26">
      <c r="B1081" s="2"/>
      <c r="N1081" s="27"/>
      <c r="R1081" s="15"/>
      <c r="X1081" s="3"/>
      <c r="Z1081" s="28"/>
    </row>
    <row r="1082" spans="2:26">
      <c r="B1082" s="2"/>
      <c r="N1082" s="27"/>
      <c r="R1082" s="15"/>
      <c r="X1082" s="3"/>
      <c r="Z1082" s="28"/>
    </row>
    <row r="1083" spans="2:26">
      <c r="B1083" s="2"/>
      <c r="N1083" s="27"/>
      <c r="R1083" s="15"/>
      <c r="X1083" s="3"/>
      <c r="Z1083" s="28"/>
    </row>
    <row r="1084" spans="2:26">
      <c r="B1084" s="2"/>
      <c r="N1084" s="27"/>
      <c r="R1084" s="15"/>
      <c r="X1084" s="3"/>
      <c r="Z1084" s="28"/>
    </row>
    <row r="1085" spans="2:26">
      <c r="B1085" s="2"/>
      <c r="N1085" s="27"/>
      <c r="R1085" s="15"/>
      <c r="X1085" s="3"/>
      <c r="Z1085" s="28"/>
    </row>
    <row r="1086" spans="2:26">
      <c r="B1086" s="2"/>
      <c r="N1086" s="27"/>
      <c r="R1086" s="15"/>
      <c r="X1086" s="3"/>
      <c r="Z1086" s="28"/>
    </row>
    <row r="1087" spans="2:26">
      <c r="B1087" s="2"/>
      <c r="N1087" s="27"/>
      <c r="R1087" s="15"/>
      <c r="X1087" s="3"/>
      <c r="Z1087" s="28"/>
    </row>
    <row r="1088" spans="2:26">
      <c r="B1088" s="2"/>
      <c r="N1088" s="27"/>
      <c r="R1088" s="15"/>
      <c r="X1088" s="3"/>
      <c r="Z1088" s="28"/>
    </row>
    <row r="1089" spans="2:26">
      <c r="B1089" s="2"/>
      <c r="N1089" s="27"/>
      <c r="R1089" s="15"/>
      <c r="X1089" s="3"/>
      <c r="Z1089" s="28"/>
    </row>
    <row r="1090" spans="2:26">
      <c r="B1090" s="2"/>
      <c r="N1090" s="27"/>
      <c r="R1090" s="15"/>
      <c r="X1090" s="3"/>
      <c r="Z1090" s="28"/>
    </row>
    <row r="1091" spans="2:26">
      <c r="B1091" s="2"/>
      <c r="N1091" s="27"/>
      <c r="R1091" s="15"/>
      <c r="X1091" s="3"/>
      <c r="Z1091" s="28"/>
    </row>
    <row r="1092" spans="2:26">
      <c r="B1092" s="2"/>
      <c r="N1092" s="27"/>
      <c r="R1092" s="15"/>
      <c r="X1092" s="3"/>
      <c r="Z1092" s="28"/>
    </row>
    <row r="1093" spans="2:26">
      <c r="B1093" s="2"/>
      <c r="N1093" s="27"/>
      <c r="R1093" s="15"/>
      <c r="X1093" s="3"/>
      <c r="Z1093" s="28"/>
    </row>
    <row r="1094" spans="2:26">
      <c r="B1094" s="2"/>
      <c r="N1094" s="27"/>
      <c r="R1094" s="15"/>
      <c r="X1094" s="3"/>
      <c r="Z1094" s="28"/>
    </row>
    <row r="1095" spans="2:26">
      <c r="B1095" s="2"/>
      <c r="N1095" s="27"/>
      <c r="R1095" s="15"/>
      <c r="X1095" s="3"/>
      <c r="Z1095" s="28"/>
    </row>
    <row r="1096" spans="2:26">
      <c r="B1096" s="2"/>
      <c r="N1096" s="27"/>
      <c r="R1096" s="15"/>
      <c r="X1096" s="3"/>
      <c r="Z1096" s="28"/>
    </row>
    <row r="1097" spans="2:26">
      <c r="B1097" s="2"/>
      <c r="N1097" s="27"/>
      <c r="R1097" s="15"/>
      <c r="X1097" s="3"/>
      <c r="Z1097" s="28"/>
    </row>
    <row r="1098" spans="2:26">
      <c r="B1098" s="2"/>
      <c r="N1098" s="27"/>
      <c r="R1098" s="15"/>
      <c r="X1098" s="3"/>
      <c r="Z1098" s="28"/>
    </row>
    <row r="1099" spans="2:26">
      <c r="B1099" s="2"/>
      <c r="N1099" s="27"/>
      <c r="R1099" s="15"/>
      <c r="X1099" s="3"/>
      <c r="Z1099" s="28"/>
    </row>
    <row r="1100" spans="2:26">
      <c r="B1100" s="2"/>
      <c r="N1100" s="27"/>
      <c r="R1100" s="15"/>
      <c r="X1100" s="3"/>
      <c r="Z1100" s="28"/>
    </row>
    <row r="1101" spans="2:26">
      <c r="B1101" s="2"/>
      <c r="N1101" s="27"/>
      <c r="R1101" s="15"/>
      <c r="X1101" s="3"/>
      <c r="Z1101" s="28"/>
    </row>
    <row r="1102" spans="2:26">
      <c r="B1102" s="2"/>
      <c r="N1102" s="27"/>
      <c r="R1102" s="15"/>
      <c r="X1102" s="3"/>
      <c r="Z1102" s="28"/>
    </row>
    <row r="1103" spans="2:26">
      <c r="B1103" s="2"/>
      <c r="N1103" s="27"/>
      <c r="R1103" s="15"/>
      <c r="X1103" s="3"/>
      <c r="Z1103" s="28"/>
    </row>
    <row r="1104" spans="2:26">
      <c r="B1104" s="2"/>
      <c r="N1104" s="27"/>
      <c r="R1104" s="15"/>
      <c r="X1104" s="3"/>
      <c r="Z1104" s="28"/>
    </row>
    <row r="1105" spans="2:26">
      <c r="B1105" s="2"/>
      <c r="N1105" s="27"/>
      <c r="R1105" s="15"/>
      <c r="X1105" s="3"/>
      <c r="Z1105" s="28"/>
    </row>
    <row r="1106" spans="2:26">
      <c r="B1106" s="2"/>
      <c r="N1106" s="27"/>
      <c r="R1106" s="15"/>
      <c r="X1106" s="3"/>
      <c r="Z1106" s="28"/>
    </row>
    <row r="1107" spans="2:26">
      <c r="B1107" s="2"/>
      <c r="N1107" s="27"/>
      <c r="R1107" s="15"/>
      <c r="X1107" s="3"/>
      <c r="Z1107" s="28"/>
    </row>
    <row r="1108" spans="2:26">
      <c r="B1108" s="2"/>
      <c r="N1108" s="27"/>
      <c r="R1108" s="15"/>
      <c r="X1108" s="3"/>
      <c r="Z1108" s="28"/>
    </row>
    <row r="1109" spans="2:26">
      <c r="B1109" s="2"/>
      <c r="N1109" s="27"/>
      <c r="R1109" s="15"/>
      <c r="X1109" s="3"/>
      <c r="Z1109" s="28"/>
    </row>
    <row r="1110" spans="2:26">
      <c r="B1110" s="2"/>
      <c r="N1110" s="27"/>
      <c r="R1110" s="15"/>
      <c r="X1110" s="3"/>
      <c r="Z1110" s="28"/>
    </row>
    <row r="1111" spans="2:26">
      <c r="B1111" s="2"/>
      <c r="N1111" s="27"/>
      <c r="R1111" s="15"/>
      <c r="X1111" s="3"/>
      <c r="Z1111" s="28"/>
    </row>
    <row r="1112" spans="2:26">
      <c r="B1112" s="2"/>
      <c r="N1112" s="27"/>
      <c r="R1112" s="15"/>
      <c r="X1112" s="3"/>
      <c r="Z1112" s="28"/>
    </row>
    <row r="1113" spans="2:26">
      <c r="B1113" s="2"/>
      <c r="N1113" s="27"/>
      <c r="R1113" s="15"/>
      <c r="X1113" s="3"/>
      <c r="Z1113" s="28"/>
    </row>
    <row r="1114" spans="2:26">
      <c r="B1114" s="2"/>
      <c r="N1114" s="27"/>
      <c r="R1114" s="15"/>
      <c r="X1114" s="3"/>
      <c r="Z1114" s="28"/>
    </row>
    <row r="1115" spans="2:26">
      <c r="B1115" s="2"/>
      <c r="N1115" s="27"/>
      <c r="R1115" s="15"/>
      <c r="X1115" s="3"/>
      <c r="Z1115" s="28"/>
    </row>
    <row r="1116" spans="2:26">
      <c r="B1116" s="2"/>
      <c r="N1116" s="27"/>
      <c r="R1116" s="15"/>
      <c r="X1116" s="3"/>
      <c r="Z1116" s="28"/>
    </row>
    <row r="1117" spans="2:26">
      <c r="B1117" s="2"/>
      <c r="N1117" s="27"/>
      <c r="R1117" s="15"/>
      <c r="X1117" s="3"/>
      <c r="Z1117" s="28"/>
    </row>
    <row r="1118" spans="2:26">
      <c r="B1118" s="2"/>
      <c r="N1118" s="27"/>
      <c r="R1118" s="15"/>
      <c r="X1118" s="3"/>
      <c r="Z1118" s="28"/>
    </row>
    <row r="1119" spans="2:26">
      <c r="B1119" s="2"/>
      <c r="N1119" s="27"/>
      <c r="R1119" s="15"/>
      <c r="X1119" s="3"/>
      <c r="Z1119" s="28"/>
    </row>
    <row r="1120" spans="2:26">
      <c r="B1120" s="2"/>
      <c r="N1120" s="27"/>
      <c r="R1120" s="15"/>
      <c r="X1120" s="3"/>
      <c r="Z1120" s="28"/>
    </row>
    <row r="1121" spans="2:26">
      <c r="B1121" s="2"/>
      <c r="N1121" s="27"/>
      <c r="R1121" s="15"/>
      <c r="X1121" s="3"/>
      <c r="Z1121" s="28"/>
    </row>
    <row r="1122" spans="2:26">
      <c r="B1122" s="2"/>
      <c r="N1122" s="27"/>
      <c r="R1122" s="15"/>
      <c r="X1122" s="3"/>
      <c r="Z1122" s="28"/>
    </row>
    <row r="1123" spans="2:26">
      <c r="B1123" s="2"/>
      <c r="N1123" s="27"/>
      <c r="R1123" s="15"/>
      <c r="X1123" s="3"/>
      <c r="Z1123" s="28"/>
    </row>
    <row r="1124" spans="2:26">
      <c r="B1124" s="2"/>
      <c r="N1124" s="27"/>
      <c r="R1124" s="15"/>
      <c r="X1124" s="3"/>
      <c r="Z1124" s="28"/>
    </row>
    <row r="1125" spans="2:26">
      <c r="B1125" s="2"/>
      <c r="N1125" s="27"/>
      <c r="R1125" s="15"/>
      <c r="X1125" s="3"/>
      <c r="Z1125" s="28"/>
    </row>
    <row r="1126" spans="2:26">
      <c r="B1126" s="2"/>
      <c r="N1126" s="27"/>
      <c r="R1126" s="15"/>
      <c r="X1126" s="3"/>
      <c r="Z1126" s="28"/>
    </row>
    <row r="1127" spans="2:26">
      <c r="B1127" s="2"/>
      <c r="N1127" s="27"/>
      <c r="R1127" s="15"/>
      <c r="X1127" s="3"/>
      <c r="Z1127" s="28"/>
    </row>
    <row r="1128" spans="2:26">
      <c r="B1128" s="2"/>
      <c r="N1128" s="27"/>
      <c r="R1128" s="15"/>
      <c r="X1128" s="3"/>
      <c r="Z1128" s="28"/>
    </row>
    <row r="1129" spans="2:26">
      <c r="B1129" s="2"/>
      <c r="N1129" s="27"/>
      <c r="R1129" s="15"/>
      <c r="X1129" s="3"/>
      <c r="Z1129" s="28"/>
    </row>
    <row r="1130" spans="2:26">
      <c r="B1130" s="2"/>
      <c r="N1130" s="27"/>
      <c r="R1130" s="15"/>
      <c r="X1130" s="3"/>
      <c r="Z1130" s="28"/>
    </row>
    <row r="1131" spans="2:26">
      <c r="B1131" s="2"/>
      <c r="N1131" s="27"/>
      <c r="R1131" s="15"/>
      <c r="X1131" s="3"/>
      <c r="Z1131" s="28"/>
    </row>
    <row r="1132" spans="2:26">
      <c r="B1132" s="2"/>
      <c r="N1132" s="27"/>
      <c r="R1132" s="15"/>
      <c r="X1132" s="3"/>
      <c r="Z1132" s="28"/>
    </row>
    <row r="1133" spans="2:26">
      <c r="B1133" s="2"/>
      <c r="N1133" s="27"/>
      <c r="R1133" s="15"/>
      <c r="X1133" s="3"/>
      <c r="Z1133" s="28"/>
    </row>
    <row r="1134" spans="2:26">
      <c r="B1134" s="2"/>
      <c r="N1134" s="27"/>
      <c r="R1134" s="15"/>
      <c r="X1134" s="3"/>
      <c r="Z1134" s="28"/>
    </row>
    <row r="1135" spans="2:26">
      <c r="B1135" s="2"/>
      <c r="N1135" s="27"/>
      <c r="R1135" s="15"/>
      <c r="X1135" s="3"/>
      <c r="Z1135" s="28"/>
    </row>
    <row r="1136" spans="2:26">
      <c r="B1136" s="2"/>
      <c r="N1136" s="27"/>
      <c r="R1136" s="15"/>
      <c r="X1136" s="3"/>
      <c r="Z1136" s="28"/>
    </row>
    <row r="1137" spans="2:26">
      <c r="B1137" s="2"/>
      <c r="N1137" s="27"/>
      <c r="R1137" s="15"/>
      <c r="X1137" s="3"/>
      <c r="Z1137" s="28"/>
    </row>
    <row r="1138" spans="2:26">
      <c r="B1138" s="2"/>
      <c r="N1138" s="27"/>
      <c r="R1138" s="15"/>
      <c r="X1138" s="3"/>
      <c r="Z1138" s="28"/>
    </row>
    <row r="1139" spans="2:26">
      <c r="B1139" s="2"/>
      <c r="N1139" s="27"/>
      <c r="R1139" s="15"/>
      <c r="X1139" s="3"/>
      <c r="Z1139" s="28"/>
    </row>
    <row r="1140" spans="2:26">
      <c r="B1140" s="2"/>
      <c r="N1140" s="27"/>
      <c r="R1140" s="15"/>
      <c r="X1140" s="3"/>
      <c r="Z1140" s="28"/>
    </row>
    <row r="1141" spans="2:26">
      <c r="B1141" s="2"/>
      <c r="N1141" s="27"/>
      <c r="R1141" s="15"/>
      <c r="X1141" s="3"/>
      <c r="Z1141" s="28"/>
    </row>
    <row r="1142" spans="2:26">
      <c r="B1142" s="2"/>
      <c r="N1142" s="27"/>
      <c r="R1142" s="15"/>
      <c r="X1142" s="3"/>
      <c r="Z1142" s="28"/>
    </row>
    <row r="1143" spans="2:26">
      <c r="B1143" s="2"/>
      <c r="N1143" s="27"/>
      <c r="R1143" s="15"/>
      <c r="X1143" s="3"/>
      <c r="Z1143" s="28"/>
    </row>
    <row r="1144" spans="2:26">
      <c r="B1144" s="2"/>
      <c r="N1144" s="27"/>
      <c r="R1144" s="15"/>
      <c r="X1144" s="3"/>
      <c r="Z1144" s="28"/>
    </row>
    <row r="1145" spans="2:26">
      <c r="B1145" s="2"/>
      <c r="N1145" s="27"/>
      <c r="R1145" s="15"/>
      <c r="X1145" s="3"/>
      <c r="Z1145" s="28"/>
    </row>
    <row r="1146" spans="2:26">
      <c r="B1146" s="2"/>
      <c r="N1146" s="27"/>
      <c r="R1146" s="15"/>
      <c r="X1146" s="3"/>
      <c r="Z1146" s="28"/>
    </row>
    <row r="1147" spans="2:26">
      <c r="B1147" s="2"/>
      <c r="N1147" s="27"/>
      <c r="R1147" s="15"/>
      <c r="X1147" s="3"/>
      <c r="Z1147" s="28"/>
    </row>
    <row r="1148" spans="2:26">
      <c r="B1148" s="2"/>
      <c r="N1148" s="27"/>
      <c r="R1148" s="15"/>
      <c r="X1148" s="3"/>
      <c r="Z1148" s="28"/>
    </row>
    <row r="1149" spans="2:26">
      <c r="B1149" s="2"/>
      <c r="N1149" s="27"/>
      <c r="R1149" s="15"/>
      <c r="X1149" s="3"/>
      <c r="Z1149" s="28"/>
    </row>
    <row r="1150" spans="2:26">
      <c r="B1150" s="2"/>
      <c r="N1150" s="27"/>
      <c r="R1150" s="15"/>
      <c r="X1150" s="3"/>
      <c r="Z1150" s="28"/>
    </row>
    <row r="1151" spans="2:26">
      <c r="B1151" s="2"/>
      <c r="N1151" s="27"/>
      <c r="R1151" s="15"/>
      <c r="X1151" s="3"/>
      <c r="Z1151" s="28"/>
    </row>
    <row r="1152" spans="2:26">
      <c r="B1152" s="2"/>
      <c r="N1152" s="27"/>
      <c r="R1152" s="15"/>
      <c r="X1152" s="3"/>
      <c r="Z1152" s="28"/>
    </row>
    <row r="1153" spans="2:26">
      <c r="B1153" s="2"/>
      <c r="N1153" s="27"/>
      <c r="R1153" s="15"/>
      <c r="X1153" s="3"/>
      <c r="Z1153" s="28"/>
    </row>
    <row r="1154" spans="2:26">
      <c r="B1154" s="2"/>
      <c r="N1154" s="27"/>
      <c r="R1154" s="15"/>
      <c r="X1154" s="3"/>
      <c r="Z1154" s="28"/>
    </row>
    <row r="1155" spans="2:26">
      <c r="B1155" s="2"/>
      <c r="N1155" s="27"/>
      <c r="R1155" s="15"/>
      <c r="X1155" s="3"/>
      <c r="Z1155" s="28"/>
    </row>
    <row r="1156" spans="2:26">
      <c r="B1156" s="2"/>
      <c r="N1156" s="27"/>
      <c r="R1156" s="15"/>
      <c r="X1156" s="3"/>
      <c r="Z1156" s="28"/>
    </row>
    <row r="1157" spans="2:26">
      <c r="B1157" s="2"/>
      <c r="N1157" s="27"/>
      <c r="R1157" s="15"/>
      <c r="X1157" s="3"/>
      <c r="Z1157" s="28"/>
    </row>
    <row r="1158" spans="2:26">
      <c r="B1158" s="2"/>
      <c r="N1158" s="27"/>
      <c r="R1158" s="15"/>
      <c r="X1158" s="3"/>
      <c r="Z1158" s="28"/>
    </row>
    <row r="1159" spans="2:26">
      <c r="B1159" s="2"/>
      <c r="N1159" s="27"/>
      <c r="R1159" s="15"/>
      <c r="X1159" s="3"/>
      <c r="Z1159" s="28"/>
    </row>
    <row r="1160" spans="2:26">
      <c r="B1160" s="2"/>
      <c r="N1160" s="27"/>
      <c r="R1160" s="15"/>
      <c r="X1160" s="3"/>
      <c r="Z1160" s="28"/>
    </row>
    <row r="1161" spans="2:26">
      <c r="B1161" s="2"/>
      <c r="N1161" s="27"/>
      <c r="R1161" s="15"/>
      <c r="X1161" s="3"/>
      <c r="Z1161" s="28"/>
    </row>
    <row r="1162" spans="2:26">
      <c r="B1162" s="2"/>
      <c r="N1162" s="27"/>
      <c r="R1162" s="15"/>
      <c r="X1162" s="3"/>
      <c r="Z1162" s="28"/>
    </row>
    <row r="1163" spans="2:26">
      <c r="B1163" s="2"/>
      <c r="N1163" s="27"/>
      <c r="R1163" s="15"/>
      <c r="X1163" s="3"/>
      <c r="Z1163" s="28"/>
    </row>
    <row r="1164" spans="2:26">
      <c r="B1164" s="2"/>
      <c r="N1164" s="27"/>
      <c r="R1164" s="15"/>
      <c r="X1164" s="3"/>
      <c r="Z1164" s="28"/>
    </row>
    <row r="1165" spans="2:26">
      <c r="B1165" s="2"/>
      <c r="N1165" s="27"/>
      <c r="R1165" s="15"/>
      <c r="X1165" s="3"/>
      <c r="Z1165" s="28"/>
    </row>
    <row r="1166" spans="2:26">
      <c r="B1166" s="2"/>
      <c r="N1166" s="27"/>
      <c r="R1166" s="15"/>
      <c r="X1166" s="3"/>
      <c r="Z1166" s="28"/>
    </row>
    <row r="1167" spans="2:26">
      <c r="B1167" s="2"/>
      <c r="N1167" s="27"/>
      <c r="R1167" s="15"/>
      <c r="X1167" s="3"/>
      <c r="Z1167" s="28"/>
    </row>
    <row r="1168" spans="2:26">
      <c r="B1168" s="2"/>
      <c r="N1168" s="27"/>
      <c r="R1168" s="15"/>
      <c r="X1168" s="3"/>
      <c r="Z1168" s="28"/>
    </row>
    <row r="1169" spans="2:26">
      <c r="B1169" s="2"/>
      <c r="N1169" s="27"/>
      <c r="R1169" s="15"/>
      <c r="X1169" s="3"/>
      <c r="Z1169" s="28"/>
    </row>
    <row r="1170" spans="2:26">
      <c r="B1170" s="2"/>
      <c r="N1170" s="27"/>
      <c r="R1170" s="15"/>
      <c r="X1170" s="3"/>
      <c r="Z1170" s="28"/>
    </row>
    <row r="1171" spans="2:26">
      <c r="B1171" s="2"/>
      <c r="N1171" s="27"/>
      <c r="R1171" s="15"/>
      <c r="X1171" s="3"/>
      <c r="Z1171" s="28"/>
    </row>
    <row r="1172" spans="2:26">
      <c r="B1172" s="2"/>
      <c r="N1172" s="27"/>
      <c r="R1172" s="15"/>
      <c r="X1172" s="3"/>
      <c r="Z1172" s="28"/>
    </row>
    <row r="1173" spans="2:26">
      <c r="B1173" s="2"/>
      <c r="N1173" s="27"/>
      <c r="R1173" s="15"/>
      <c r="X1173" s="3"/>
      <c r="Z1173" s="28"/>
    </row>
    <row r="1174" spans="2:26">
      <c r="B1174" s="2"/>
      <c r="N1174" s="27"/>
      <c r="R1174" s="15"/>
      <c r="X1174" s="3"/>
      <c r="Z1174" s="28"/>
    </row>
    <row r="1175" spans="2:26">
      <c r="B1175" s="2"/>
      <c r="N1175" s="27"/>
      <c r="R1175" s="15"/>
      <c r="X1175" s="3"/>
      <c r="Z1175" s="28"/>
    </row>
    <row r="1176" spans="2:26">
      <c r="B1176" s="2"/>
      <c r="N1176" s="27"/>
      <c r="R1176" s="15"/>
      <c r="X1176" s="3"/>
      <c r="Z1176" s="28"/>
    </row>
    <row r="1177" spans="2:26">
      <c r="B1177" s="2"/>
      <c r="N1177" s="27"/>
      <c r="R1177" s="15"/>
      <c r="X1177" s="3"/>
      <c r="Z1177" s="28"/>
    </row>
    <row r="1178" spans="2:26">
      <c r="B1178" s="2"/>
      <c r="N1178" s="27"/>
      <c r="R1178" s="15"/>
      <c r="X1178" s="3"/>
      <c r="Z1178" s="28"/>
    </row>
    <row r="1179" spans="2:26">
      <c r="B1179" s="2"/>
      <c r="N1179" s="27"/>
      <c r="R1179" s="15"/>
      <c r="X1179" s="3"/>
      <c r="Z1179" s="28"/>
    </row>
    <row r="1180" spans="2:26">
      <c r="B1180" s="2"/>
      <c r="N1180" s="27"/>
      <c r="R1180" s="15"/>
      <c r="X1180" s="3"/>
      <c r="Z1180" s="28"/>
    </row>
    <row r="1181" spans="2:26">
      <c r="B1181" s="2"/>
      <c r="N1181" s="27"/>
      <c r="R1181" s="15"/>
      <c r="X1181" s="3"/>
      <c r="Z1181" s="28"/>
    </row>
    <row r="1182" spans="2:26">
      <c r="B1182" s="2"/>
      <c r="N1182" s="27"/>
      <c r="R1182" s="15"/>
      <c r="X1182" s="3"/>
      <c r="Z1182" s="28"/>
    </row>
    <row r="1183" spans="2:26">
      <c r="B1183" s="2"/>
      <c r="N1183" s="27"/>
      <c r="R1183" s="15"/>
      <c r="X1183" s="3"/>
      <c r="Z1183" s="28"/>
    </row>
    <row r="1184" spans="2:26">
      <c r="B1184" s="2"/>
      <c r="N1184" s="27"/>
      <c r="R1184" s="15"/>
      <c r="X1184" s="3"/>
      <c r="Z1184" s="28"/>
    </row>
    <row r="1185" spans="2:26">
      <c r="B1185" s="2"/>
      <c r="N1185" s="27"/>
      <c r="R1185" s="15"/>
      <c r="X1185" s="3"/>
      <c r="Z1185" s="28"/>
    </row>
    <row r="1186" spans="2:26">
      <c r="B1186" s="2"/>
      <c r="N1186" s="27"/>
      <c r="R1186" s="15"/>
      <c r="X1186" s="3"/>
      <c r="Z1186" s="28"/>
    </row>
    <row r="1187" spans="2:26">
      <c r="B1187" s="2"/>
      <c r="N1187" s="27"/>
      <c r="R1187" s="15"/>
      <c r="X1187" s="3"/>
      <c r="Z1187" s="28"/>
    </row>
    <row r="1188" spans="2:26">
      <c r="B1188" s="2"/>
      <c r="N1188" s="27"/>
      <c r="R1188" s="15"/>
      <c r="X1188" s="3"/>
      <c r="Z1188" s="28"/>
    </row>
    <row r="1189" spans="2:26">
      <c r="B1189" s="2"/>
      <c r="N1189" s="27"/>
      <c r="R1189" s="15"/>
      <c r="X1189" s="3"/>
      <c r="Z1189" s="28"/>
    </row>
    <row r="1190" spans="2:26">
      <c r="B1190" s="2"/>
      <c r="N1190" s="27"/>
      <c r="R1190" s="15"/>
      <c r="X1190" s="3"/>
      <c r="Z1190" s="28"/>
    </row>
    <row r="1191" spans="2:26">
      <c r="B1191" s="2"/>
      <c r="N1191" s="27"/>
      <c r="R1191" s="15"/>
      <c r="X1191" s="3"/>
      <c r="Z1191" s="28"/>
    </row>
    <row r="1192" spans="2:26">
      <c r="B1192" s="2"/>
      <c r="N1192" s="27"/>
      <c r="R1192" s="15"/>
      <c r="X1192" s="3"/>
      <c r="Z1192" s="28"/>
    </row>
    <row r="1193" spans="2:26">
      <c r="B1193" s="2"/>
      <c r="N1193" s="27"/>
      <c r="R1193" s="15"/>
      <c r="X1193" s="3"/>
      <c r="Z1193" s="28"/>
    </row>
    <row r="1194" spans="2:26">
      <c r="B1194" s="2"/>
      <c r="N1194" s="27"/>
      <c r="R1194" s="15"/>
      <c r="X1194" s="3"/>
      <c r="Z1194" s="28"/>
    </row>
    <row r="1195" spans="2:26">
      <c r="B1195" s="2"/>
      <c r="N1195" s="27"/>
      <c r="R1195" s="15"/>
      <c r="X1195" s="3"/>
      <c r="Z1195" s="28"/>
    </row>
    <row r="1196" spans="2:26">
      <c r="B1196" s="2"/>
      <c r="N1196" s="27"/>
      <c r="R1196" s="15"/>
      <c r="X1196" s="3"/>
      <c r="Z1196" s="28"/>
    </row>
    <row r="1197" spans="2:26">
      <c r="B1197" s="2"/>
      <c r="N1197" s="27"/>
      <c r="R1197" s="15"/>
      <c r="X1197" s="3"/>
      <c r="Z1197" s="28"/>
    </row>
    <row r="1198" spans="2:26">
      <c r="B1198" s="2"/>
      <c r="N1198" s="27"/>
      <c r="R1198" s="15"/>
      <c r="X1198" s="3"/>
      <c r="Z1198" s="28"/>
    </row>
    <row r="1199" spans="2:26">
      <c r="B1199" s="2"/>
      <c r="N1199" s="27"/>
      <c r="R1199" s="15"/>
      <c r="X1199" s="3"/>
      <c r="Z1199" s="28"/>
    </row>
    <row r="1200" spans="2:26">
      <c r="B1200" s="2"/>
      <c r="N1200" s="27"/>
      <c r="R1200" s="15"/>
      <c r="X1200" s="3"/>
      <c r="Z1200" s="28"/>
    </row>
    <row r="1201" spans="2:26">
      <c r="B1201" s="2"/>
      <c r="N1201" s="27"/>
      <c r="R1201" s="15"/>
      <c r="X1201" s="3"/>
      <c r="Z1201" s="28"/>
    </row>
    <row r="1202" spans="2:26">
      <c r="B1202" s="2"/>
      <c r="N1202" s="27"/>
      <c r="R1202" s="15"/>
      <c r="X1202" s="3"/>
      <c r="Z1202" s="28"/>
    </row>
    <row r="1203" spans="2:26">
      <c r="B1203" s="2"/>
      <c r="N1203" s="27"/>
      <c r="R1203" s="15"/>
      <c r="X1203" s="3"/>
      <c r="Z1203" s="28"/>
    </row>
    <row r="1204" spans="2:26">
      <c r="B1204" s="2"/>
      <c r="N1204" s="27"/>
      <c r="R1204" s="15"/>
      <c r="X1204" s="3"/>
      <c r="Z1204" s="28"/>
    </row>
    <row r="1205" spans="2:26">
      <c r="B1205" s="2"/>
      <c r="N1205" s="27"/>
      <c r="R1205" s="15"/>
      <c r="X1205" s="3"/>
      <c r="Z1205" s="28"/>
    </row>
    <row r="1206" spans="2:26">
      <c r="B1206" s="2"/>
      <c r="N1206" s="27"/>
      <c r="R1206" s="15"/>
      <c r="X1206" s="3"/>
      <c r="Z1206" s="28"/>
    </row>
    <row r="1207" spans="2:26">
      <c r="B1207" s="2"/>
      <c r="N1207" s="27"/>
      <c r="R1207" s="15"/>
      <c r="X1207" s="3"/>
      <c r="Z1207" s="28"/>
    </row>
    <row r="1208" spans="2:26">
      <c r="B1208" s="2"/>
      <c r="N1208" s="27"/>
      <c r="R1208" s="15"/>
      <c r="X1208" s="3"/>
      <c r="Z1208" s="28"/>
    </row>
    <row r="1209" spans="2:26">
      <c r="B1209" s="2"/>
      <c r="N1209" s="27"/>
      <c r="R1209" s="15"/>
      <c r="X1209" s="3"/>
      <c r="Z1209" s="28"/>
    </row>
    <row r="1210" spans="2:26">
      <c r="B1210" s="2"/>
      <c r="N1210" s="27"/>
      <c r="R1210" s="15"/>
      <c r="X1210" s="3"/>
      <c r="Z1210" s="28"/>
    </row>
    <row r="1211" spans="2:26">
      <c r="B1211" s="2"/>
      <c r="N1211" s="27"/>
      <c r="R1211" s="15"/>
      <c r="X1211" s="3"/>
      <c r="Z1211" s="28"/>
    </row>
    <row r="1212" spans="2:26">
      <c r="B1212" s="2"/>
      <c r="N1212" s="27"/>
      <c r="R1212" s="15"/>
      <c r="X1212" s="3"/>
      <c r="Z1212" s="28"/>
    </row>
    <row r="1213" spans="2:26">
      <c r="B1213" s="2"/>
      <c r="N1213" s="27"/>
      <c r="R1213" s="15"/>
      <c r="X1213" s="3"/>
      <c r="Z1213" s="28"/>
    </row>
    <row r="1214" spans="2:26">
      <c r="B1214" s="2"/>
      <c r="N1214" s="27"/>
      <c r="R1214" s="15"/>
      <c r="X1214" s="3"/>
      <c r="Z1214" s="28"/>
    </row>
    <row r="1215" spans="2:26">
      <c r="B1215" s="2"/>
      <c r="N1215" s="27"/>
      <c r="R1215" s="15"/>
      <c r="X1215" s="3"/>
      <c r="Z1215" s="28"/>
    </row>
    <row r="1216" spans="2:26">
      <c r="B1216" s="2"/>
      <c r="N1216" s="27"/>
      <c r="R1216" s="15"/>
      <c r="X1216" s="3"/>
      <c r="Z1216" s="28"/>
    </row>
    <row r="1217" spans="2:26">
      <c r="B1217" s="2"/>
      <c r="N1217" s="27"/>
      <c r="R1217" s="15"/>
      <c r="X1217" s="3"/>
      <c r="Z1217" s="28"/>
    </row>
    <row r="1218" spans="2:26">
      <c r="B1218" s="2"/>
      <c r="N1218" s="27"/>
      <c r="R1218" s="15"/>
      <c r="X1218" s="3"/>
      <c r="Z1218" s="28"/>
    </row>
    <row r="1219" spans="2:26">
      <c r="B1219" s="2"/>
      <c r="N1219" s="27"/>
      <c r="R1219" s="15"/>
      <c r="X1219" s="3"/>
      <c r="Z1219" s="28"/>
    </row>
    <row r="1220" spans="2:26">
      <c r="B1220" s="2"/>
      <c r="N1220" s="27"/>
      <c r="R1220" s="15"/>
      <c r="X1220" s="3"/>
      <c r="Z1220" s="28"/>
    </row>
    <row r="1221" spans="2:26">
      <c r="B1221" s="2"/>
      <c r="N1221" s="27"/>
      <c r="R1221" s="15"/>
      <c r="X1221" s="3"/>
      <c r="Z1221" s="28"/>
    </row>
    <row r="1222" spans="2:26">
      <c r="B1222" s="2"/>
      <c r="N1222" s="27"/>
      <c r="R1222" s="15"/>
      <c r="X1222" s="3"/>
      <c r="Z1222" s="28"/>
    </row>
    <row r="1223" spans="2:26">
      <c r="B1223" s="2"/>
      <c r="N1223" s="27"/>
      <c r="R1223" s="15"/>
      <c r="X1223" s="3"/>
      <c r="Z1223" s="28"/>
    </row>
    <row r="1224" spans="2:26">
      <c r="B1224" s="2"/>
      <c r="N1224" s="27"/>
      <c r="R1224" s="15"/>
      <c r="X1224" s="3"/>
      <c r="Z1224" s="28"/>
    </row>
    <row r="1225" spans="2:26">
      <c r="B1225" s="2"/>
      <c r="N1225" s="27"/>
      <c r="R1225" s="15"/>
      <c r="X1225" s="3"/>
      <c r="Z1225" s="28"/>
    </row>
    <row r="1226" spans="2:26">
      <c r="B1226" s="2"/>
      <c r="N1226" s="27"/>
      <c r="R1226" s="15"/>
      <c r="X1226" s="3"/>
      <c r="Z1226" s="28"/>
    </row>
    <row r="1227" spans="2:26">
      <c r="B1227" s="2"/>
      <c r="N1227" s="27"/>
      <c r="R1227" s="15"/>
      <c r="X1227" s="3"/>
      <c r="Z1227" s="28"/>
    </row>
    <row r="1228" spans="2:26">
      <c r="B1228" s="2"/>
      <c r="N1228" s="27"/>
      <c r="R1228" s="15"/>
      <c r="X1228" s="3"/>
      <c r="Z1228" s="28"/>
    </row>
    <row r="1229" spans="2:26">
      <c r="B1229" s="2"/>
      <c r="N1229" s="27"/>
      <c r="R1229" s="15"/>
      <c r="X1229" s="3"/>
      <c r="Z1229" s="28"/>
    </row>
    <row r="1230" spans="2:26">
      <c r="B1230" s="2"/>
      <c r="N1230" s="27"/>
      <c r="R1230" s="15"/>
      <c r="X1230" s="3"/>
      <c r="Z1230" s="28"/>
    </row>
    <row r="1231" spans="2:26">
      <c r="B1231" s="2"/>
      <c r="N1231" s="27"/>
      <c r="R1231" s="15"/>
      <c r="X1231" s="3"/>
      <c r="Z1231" s="28"/>
    </row>
    <row r="1232" spans="2:26">
      <c r="B1232" s="2"/>
      <c r="N1232" s="27"/>
      <c r="R1232" s="15"/>
      <c r="X1232" s="3"/>
      <c r="Z1232" s="28"/>
    </row>
    <row r="1233" spans="2:26">
      <c r="B1233" s="2"/>
      <c r="N1233" s="27"/>
      <c r="R1233" s="15"/>
      <c r="X1233" s="3"/>
      <c r="Z1233" s="28"/>
    </row>
    <row r="1234" spans="2:26">
      <c r="B1234" s="2"/>
      <c r="N1234" s="27"/>
      <c r="R1234" s="15"/>
      <c r="X1234" s="3"/>
      <c r="Z1234" s="28"/>
    </row>
    <row r="1235" spans="2:26">
      <c r="B1235" s="2"/>
      <c r="N1235" s="27"/>
      <c r="R1235" s="15"/>
      <c r="X1235" s="3"/>
      <c r="Z1235" s="28"/>
    </row>
    <row r="1236" spans="2:26">
      <c r="B1236" s="2"/>
      <c r="N1236" s="27"/>
      <c r="R1236" s="15"/>
      <c r="X1236" s="3"/>
      <c r="Z1236" s="28"/>
    </row>
    <row r="1237" spans="2:26">
      <c r="B1237" s="2"/>
      <c r="N1237" s="27"/>
      <c r="R1237" s="15"/>
      <c r="X1237" s="3"/>
      <c r="Z1237" s="28"/>
    </row>
    <row r="1238" spans="2:26">
      <c r="B1238" s="2"/>
      <c r="N1238" s="27"/>
      <c r="R1238" s="15"/>
      <c r="X1238" s="3"/>
      <c r="Z1238" s="28"/>
    </row>
    <row r="1239" spans="2:26">
      <c r="B1239" s="2"/>
      <c r="N1239" s="27"/>
      <c r="R1239" s="15"/>
      <c r="X1239" s="3"/>
      <c r="Z1239" s="28"/>
    </row>
    <row r="1240" spans="2:26">
      <c r="B1240" s="2"/>
      <c r="N1240" s="27"/>
      <c r="R1240" s="15"/>
      <c r="X1240" s="3"/>
      <c r="Z1240" s="28"/>
    </row>
    <row r="1241" spans="2:26">
      <c r="B1241" s="2"/>
      <c r="N1241" s="27"/>
      <c r="R1241" s="15"/>
      <c r="X1241" s="3"/>
      <c r="Z1241" s="28"/>
    </row>
    <row r="1242" spans="2:26">
      <c r="B1242" s="2"/>
      <c r="N1242" s="27"/>
      <c r="R1242" s="15"/>
      <c r="X1242" s="3"/>
      <c r="Z1242" s="28"/>
    </row>
    <row r="1243" spans="2:26">
      <c r="B1243" s="2"/>
      <c r="N1243" s="27"/>
      <c r="R1243" s="15"/>
      <c r="X1243" s="3"/>
      <c r="Z1243" s="28"/>
    </row>
    <row r="1244" spans="2:26">
      <c r="B1244" s="2"/>
      <c r="N1244" s="27"/>
      <c r="R1244" s="15"/>
      <c r="X1244" s="3"/>
      <c r="Z1244" s="28"/>
    </row>
    <row r="1245" spans="2:26">
      <c r="B1245" s="2"/>
      <c r="N1245" s="27"/>
      <c r="R1245" s="15"/>
      <c r="X1245" s="3"/>
      <c r="Z1245" s="28"/>
    </row>
    <row r="1246" spans="2:26">
      <c r="B1246" s="2"/>
      <c r="N1246" s="27"/>
      <c r="R1246" s="15"/>
      <c r="X1246" s="3"/>
      <c r="Z1246" s="28"/>
    </row>
    <row r="1247" spans="2:26">
      <c r="B1247" s="2"/>
      <c r="N1247" s="27"/>
      <c r="R1247" s="15"/>
      <c r="X1247" s="3"/>
      <c r="Z1247" s="28"/>
    </row>
    <row r="1248" spans="2:26">
      <c r="B1248" s="2"/>
      <c r="N1248" s="27"/>
      <c r="R1248" s="15"/>
      <c r="X1248" s="3"/>
      <c r="Z1248" s="28"/>
    </row>
    <row r="1249" spans="2:26">
      <c r="B1249" s="2"/>
      <c r="N1249" s="27"/>
      <c r="R1249" s="15"/>
      <c r="X1249" s="3"/>
      <c r="Z1249" s="28"/>
    </row>
    <row r="1250" spans="2:26">
      <c r="B1250" s="2"/>
      <c r="N1250" s="27"/>
      <c r="R1250" s="15"/>
      <c r="X1250" s="3"/>
      <c r="Z1250" s="28"/>
    </row>
    <row r="1251" spans="2:26">
      <c r="B1251" s="2"/>
      <c r="N1251" s="27"/>
      <c r="R1251" s="15"/>
      <c r="X1251" s="3"/>
      <c r="Z1251" s="28"/>
    </row>
    <row r="1252" spans="2:26">
      <c r="B1252" s="2"/>
      <c r="N1252" s="27"/>
      <c r="R1252" s="15"/>
      <c r="X1252" s="3"/>
      <c r="Z1252" s="28"/>
    </row>
    <row r="1253" spans="2:26">
      <c r="B1253" s="2"/>
      <c r="N1253" s="27"/>
      <c r="R1253" s="15"/>
      <c r="X1253" s="3"/>
      <c r="Z1253" s="28"/>
    </row>
    <row r="1254" spans="2:26">
      <c r="B1254" s="2"/>
      <c r="N1254" s="27"/>
      <c r="R1254" s="15"/>
      <c r="X1254" s="3"/>
      <c r="Z1254" s="28"/>
    </row>
    <row r="1255" spans="2:26">
      <c r="B1255" s="2"/>
      <c r="N1255" s="27"/>
      <c r="R1255" s="15"/>
      <c r="X1255" s="3"/>
      <c r="Z1255" s="28"/>
    </row>
    <row r="1256" spans="2:26">
      <c r="B1256" s="2"/>
      <c r="N1256" s="27"/>
      <c r="R1256" s="15"/>
      <c r="X1256" s="3"/>
      <c r="Z1256" s="28"/>
    </row>
    <row r="1257" spans="2:26">
      <c r="B1257" s="2"/>
      <c r="N1257" s="27"/>
      <c r="R1257" s="15"/>
      <c r="X1257" s="3"/>
      <c r="Z1257" s="28"/>
    </row>
    <row r="1258" spans="2:26">
      <c r="B1258" s="2"/>
      <c r="N1258" s="27"/>
      <c r="R1258" s="15"/>
      <c r="X1258" s="3"/>
      <c r="Z1258" s="28"/>
    </row>
    <row r="1259" spans="2:26">
      <c r="B1259" s="2"/>
      <c r="N1259" s="27"/>
      <c r="R1259" s="15"/>
      <c r="X1259" s="3"/>
      <c r="Z1259" s="28"/>
    </row>
    <row r="1260" spans="2:26">
      <c r="B1260" s="2"/>
      <c r="N1260" s="27"/>
      <c r="R1260" s="15"/>
      <c r="X1260" s="3"/>
      <c r="Z1260" s="28"/>
    </row>
    <row r="1261" spans="2:26">
      <c r="B1261" s="2"/>
      <c r="N1261" s="27"/>
      <c r="R1261" s="15"/>
      <c r="X1261" s="3"/>
      <c r="Z1261" s="28"/>
    </row>
    <row r="1262" spans="2:26">
      <c r="B1262" s="2"/>
      <c r="N1262" s="27"/>
      <c r="R1262" s="15"/>
      <c r="X1262" s="3"/>
      <c r="Z1262" s="28"/>
    </row>
    <row r="1263" spans="2:26">
      <c r="B1263" s="2"/>
      <c r="N1263" s="27"/>
      <c r="R1263" s="15"/>
      <c r="X1263" s="3"/>
      <c r="Z1263" s="28"/>
    </row>
    <row r="1264" spans="2:26">
      <c r="B1264" s="2"/>
      <c r="N1264" s="27"/>
      <c r="R1264" s="15"/>
      <c r="X1264" s="3"/>
      <c r="Z1264" s="28"/>
    </row>
    <row r="1265" spans="2:26">
      <c r="B1265" s="2"/>
      <c r="N1265" s="27"/>
      <c r="R1265" s="15"/>
      <c r="X1265" s="3"/>
      <c r="Z1265" s="28"/>
    </row>
    <row r="1266" spans="2:26">
      <c r="B1266" s="2"/>
      <c r="N1266" s="27"/>
      <c r="R1266" s="15"/>
      <c r="X1266" s="3"/>
      <c r="Z1266" s="28"/>
    </row>
    <row r="1267" spans="2:26">
      <c r="B1267" s="2"/>
      <c r="N1267" s="27"/>
      <c r="R1267" s="15"/>
      <c r="X1267" s="3"/>
      <c r="Z1267" s="28"/>
    </row>
    <row r="1268" spans="2:26">
      <c r="B1268" s="2"/>
      <c r="N1268" s="27"/>
      <c r="R1268" s="15"/>
      <c r="X1268" s="3"/>
      <c r="Z1268" s="28"/>
    </row>
    <row r="1269" spans="2:26">
      <c r="B1269" s="2"/>
      <c r="N1269" s="27"/>
      <c r="R1269" s="15"/>
      <c r="X1269" s="3"/>
      <c r="Z1269" s="28"/>
    </row>
    <row r="1270" spans="2:26">
      <c r="B1270" s="2"/>
      <c r="N1270" s="27"/>
      <c r="R1270" s="15"/>
      <c r="X1270" s="3"/>
      <c r="Z1270" s="28"/>
    </row>
    <row r="1271" spans="2:26">
      <c r="B1271" s="2"/>
      <c r="N1271" s="27"/>
      <c r="R1271" s="15"/>
      <c r="X1271" s="3"/>
      <c r="Z1271" s="28"/>
    </row>
    <row r="1272" spans="2:26">
      <c r="B1272" s="2"/>
      <c r="N1272" s="27"/>
      <c r="R1272" s="15"/>
      <c r="X1272" s="3"/>
      <c r="Z1272" s="28"/>
    </row>
    <row r="1273" spans="2:26">
      <c r="B1273" s="2"/>
      <c r="N1273" s="27"/>
      <c r="R1273" s="15"/>
      <c r="X1273" s="3"/>
      <c r="Z1273" s="28"/>
    </row>
    <row r="1274" spans="2:26">
      <c r="B1274" s="2"/>
      <c r="N1274" s="27"/>
      <c r="R1274" s="15"/>
      <c r="X1274" s="3"/>
      <c r="Z1274" s="28"/>
    </row>
    <row r="1275" spans="2:26">
      <c r="B1275" s="2"/>
      <c r="N1275" s="27"/>
      <c r="R1275" s="15"/>
      <c r="X1275" s="3"/>
      <c r="Z1275" s="28"/>
    </row>
    <row r="1276" spans="2:26">
      <c r="B1276" s="2"/>
      <c r="N1276" s="27"/>
      <c r="R1276" s="15"/>
      <c r="X1276" s="3"/>
      <c r="Z1276" s="28"/>
    </row>
    <row r="1277" spans="2:26">
      <c r="B1277" s="2"/>
      <c r="N1277" s="27"/>
      <c r="R1277" s="15"/>
      <c r="X1277" s="3"/>
      <c r="Z1277" s="28"/>
    </row>
    <row r="1278" spans="2:26">
      <c r="B1278" s="2"/>
      <c r="N1278" s="27"/>
      <c r="R1278" s="15"/>
      <c r="X1278" s="3"/>
      <c r="Z1278" s="28"/>
    </row>
    <row r="1279" spans="2:26">
      <c r="B1279" s="2"/>
      <c r="N1279" s="27"/>
      <c r="R1279" s="15"/>
      <c r="X1279" s="3"/>
      <c r="Z1279" s="28"/>
    </row>
    <row r="1280" spans="2:26">
      <c r="B1280" s="2"/>
      <c r="N1280" s="27"/>
      <c r="R1280" s="15"/>
      <c r="X1280" s="3"/>
      <c r="Z1280" s="28"/>
    </row>
    <row r="1281" spans="2:26">
      <c r="B1281" s="2"/>
      <c r="N1281" s="27"/>
      <c r="R1281" s="15"/>
      <c r="X1281" s="3"/>
      <c r="Z1281" s="28"/>
    </row>
    <row r="1282" spans="2:26">
      <c r="B1282" s="2"/>
      <c r="N1282" s="27"/>
      <c r="R1282" s="15"/>
      <c r="X1282" s="3"/>
      <c r="Z1282" s="28"/>
    </row>
    <row r="1283" spans="2:26">
      <c r="B1283" s="2"/>
      <c r="N1283" s="27"/>
      <c r="R1283" s="15"/>
      <c r="X1283" s="3"/>
      <c r="Z1283" s="28"/>
    </row>
    <row r="1284" spans="2:26">
      <c r="B1284" s="2"/>
      <c r="N1284" s="27"/>
      <c r="R1284" s="15"/>
      <c r="X1284" s="3"/>
      <c r="Z1284" s="28"/>
    </row>
    <row r="1285" spans="2:26">
      <c r="B1285" s="2"/>
      <c r="N1285" s="27"/>
      <c r="R1285" s="15"/>
      <c r="X1285" s="3"/>
      <c r="Z1285" s="28"/>
    </row>
    <row r="1286" spans="2:26">
      <c r="B1286" s="2"/>
      <c r="N1286" s="27"/>
      <c r="R1286" s="15"/>
      <c r="X1286" s="3"/>
      <c r="Z1286" s="28"/>
    </row>
    <row r="1287" spans="2:26">
      <c r="B1287" s="2"/>
      <c r="N1287" s="27"/>
      <c r="R1287" s="15"/>
      <c r="X1287" s="3"/>
      <c r="Z1287" s="28"/>
    </row>
    <row r="1288" spans="2:26">
      <c r="B1288" s="2"/>
      <c r="N1288" s="27"/>
      <c r="R1288" s="15"/>
      <c r="X1288" s="3"/>
      <c r="Z1288" s="28"/>
    </row>
    <row r="1289" spans="2:26">
      <c r="B1289" s="2"/>
      <c r="N1289" s="27"/>
      <c r="R1289" s="15"/>
      <c r="X1289" s="3"/>
      <c r="Z1289" s="28"/>
    </row>
    <row r="1290" spans="2:26">
      <c r="B1290" s="2"/>
      <c r="N1290" s="27"/>
      <c r="R1290" s="15"/>
      <c r="X1290" s="3"/>
      <c r="Z1290" s="28"/>
    </row>
    <row r="1291" spans="2:26">
      <c r="B1291" s="2"/>
      <c r="N1291" s="27"/>
      <c r="R1291" s="15"/>
      <c r="X1291" s="3"/>
      <c r="Z1291" s="28"/>
    </row>
    <row r="1292" spans="2:26">
      <c r="B1292" s="2"/>
      <c r="N1292" s="27"/>
      <c r="R1292" s="15"/>
      <c r="X1292" s="3"/>
      <c r="Z1292" s="28"/>
    </row>
    <row r="1293" spans="2:26">
      <c r="B1293" s="2"/>
      <c r="N1293" s="27"/>
      <c r="R1293" s="15"/>
      <c r="X1293" s="3"/>
      <c r="Z1293" s="28"/>
    </row>
    <row r="1294" spans="2:26">
      <c r="B1294" s="2"/>
      <c r="N1294" s="27"/>
      <c r="R1294" s="15"/>
      <c r="X1294" s="3"/>
      <c r="Z1294" s="28"/>
    </row>
    <row r="1295" spans="2:26">
      <c r="B1295" s="2"/>
      <c r="N1295" s="27"/>
      <c r="R1295" s="15"/>
      <c r="X1295" s="3"/>
      <c r="Z1295" s="28"/>
    </row>
    <row r="1296" spans="2:26">
      <c r="B1296" s="2"/>
      <c r="N1296" s="27"/>
      <c r="R1296" s="15"/>
      <c r="X1296" s="3"/>
      <c r="Z1296" s="28"/>
    </row>
    <row r="1297" spans="2:26">
      <c r="B1297" s="2"/>
      <c r="N1297" s="27"/>
      <c r="R1297" s="15"/>
      <c r="X1297" s="3"/>
      <c r="Z1297" s="28"/>
    </row>
    <row r="1298" spans="2:26">
      <c r="B1298" s="2"/>
      <c r="N1298" s="27"/>
      <c r="R1298" s="15"/>
      <c r="X1298" s="3"/>
      <c r="Z1298" s="28"/>
    </row>
    <row r="1299" spans="2:26">
      <c r="B1299" s="2"/>
      <c r="N1299" s="27"/>
      <c r="R1299" s="15"/>
      <c r="X1299" s="3"/>
      <c r="Z1299" s="28"/>
    </row>
    <row r="1300" spans="2:26">
      <c r="B1300" s="2"/>
      <c r="N1300" s="27"/>
      <c r="R1300" s="15"/>
      <c r="X1300" s="3"/>
      <c r="Z1300" s="28"/>
    </row>
    <row r="1301" spans="2:26">
      <c r="B1301" s="2"/>
      <c r="N1301" s="27"/>
      <c r="R1301" s="15"/>
      <c r="X1301" s="3"/>
      <c r="Z1301" s="28"/>
    </row>
    <row r="1302" spans="2:26">
      <c r="B1302" s="2"/>
      <c r="N1302" s="27"/>
      <c r="R1302" s="15"/>
      <c r="X1302" s="3"/>
      <c r="Z1302" s="28"/>
    </row>
    <row r="1303" spans="2:26">
      <c r="B1303" s="2"/>
      <c r="N1303" s="27"/>
      <c r="R1303" s="15"/>
      <c r="X1303" s="3"/>
      <c r="Z1303" s="28"/>
    </row>
    <row r="1304" spans="2:26">
      <c r="B1304" s="2"/>
      <c r="N1304" s="27"/>
      <c r="R1304" s="15"/>
      <c r="X1304" s="3"/>
      <c r="Z1304" s="28"/>
    </row>
    <row r="1305" spans="2:26">
      <c r="B1305" s="2"/>
      <c r="N1305" s="27"/>
      <c r="R1305" s="15"/>
      <c r="X1305" s="3"/>
      <c r="Z1305" s="28"/>
    </row>
    <row r="1306" spans="2:26">
      <c r="B1306" s="2"/>
      <c r="N1306" s="27"/>
      <c r="R1306" s="15"/>
      <c r="X1306" s="3"/>
      <c r="Z1306" s="28"/>
    </row>
    <row r="1307" spans="2:26">
      <c r="B1307" s="2"/>
      <c r="N1307" s="27"/>
      <c r="R1307" s="15"/>
      <c r="X1307" s="3"/>
      <c r="Z1307" s="28"/>
    </row>
    <row r="1308" spans="2:26">
      <c r="B1308" s="2"/>
      <c r="N1308" s="27"/>
      <c r="R1308" s="15"/>
      <c r="X1308" s="3"/>
      <c r="Z1308" s="28"/>
    </row>
    <row r="1309" spans="2:26">
      <c r="B1309" s="2"/>
      <c r="N1309" s="27"/>
      <c r="R1309" s="15"/>
      <c r="X1309" s="3"/>
      <c r="Z1309" s="28"/>
    </row>
    <row r="1310" spans="2:26">
      <c r="B1310" s="2"/>
      <c r="N1310" s="27"/>
      <c r="R1310" s="15"/>
      <c r="X1310" s="3"/>
      <c r="Z1310" s="28"/>
    </row>
    <row r="1311" spans="2:26">
      <c r="B1311" s="2"/>
      <c r="N1311" s="27"/>
      <c r="R1311" s="15"/>
      <c r="X1311" s="3"/>
      <c r="Z1311" s="28"/>
    </row>
    <row r="1312" spans="2:26">
      <c r="B1312" s="2"/>
      <c r="N1312" s="27"/>
      <c r="R1312" s="15"/>
      <c r="X1312" s="3"/>
      <c r="Z1312" s="28"/>
    </row>
    <row r="1313" spans="2:26">
      <c r="B1313" s="2"/>
      <c r="N1313" s="27"/>
      <c r="R1313" s="15"/>
      <c r="X1313" s="3"/>
      <c r="Z1313" s="28"/>
    </row>
    <row r="1314" spans="2:26">
      <c r="B1314" s="2"/>
      <c r="N1314" s="27"/>
      <c r="R1314" s="15"/>
      <c r="X1314" s="3"/>
      <c r="Z1314" s="28"/>
    </row>
    <row r="1315" spans="2:26">
      <c r="B1315" s="2"/>
      <c r="N1315" s="27"/>
      <c r="R1315" s="15"/>
      <c r="X1315" s="3"/>
      <c r="Z1315" s="28"/>
    </row>
    <row r="1316" spans="2:26">
      <c r="B1316" s="2"/>
      <c r="N1316" s="27"/>
      <c r="R1316" s="15"/>
      <c r="X1316" s="3"/>
      <c r="Z1316" s="28"/>
    </row>
    <row r="1317" spans="2:26">
      <c r="B1317" s="2"/>
      <c r="N1317" s="27"/>
      <c r="R1317" s="15"/>
      <c r="X1317" s="3"/>
      <c r="Z1317" s="28"/>
    </row>
    <row r="1318" spans="2:26">
      <c r="B1318" s="2"/>
      <c r="N1318" s="27"/>
      <c r="R1318" s="15"/>
      <c r="X1318" s="3"/>
      <c r="Z1318" s="28"/>
    </row>
    <row r="1319" spans="2:26">
      <c r="B1319" s="2"/>
      <c r="N1319" s="27"/>
      <c r="R1319" s="15"/>
      <c r="X1319" s="3"/>
      <c r="Z1319" s="28"/>
    </row>
    <row r="1320" spans="2:26">
      <c r="B1320" s="2"/>
      <c r="N1320" s="27"/>
      <c r="R1320" s="15"/>
      <c r="X1320" s="3"/>
      <c r="Z1320" s="28"/>
    </row>
    <row r="1321" spans="2:26">
      <c r="B1321" s="2"/>
      <c r="N1321" s="27"/>
      <c r="R1321" s="15"/>
      <c r="X1321" s="3"/>
      <c r="Z1321" s="28"/>
    </row>
    <row r="1322" spans="2:26">
      <c r="B1322" s="2"/>
      <c r="N1322" s="27"/>
      <c r="R1322" s="15"/>
      <c r="X1322" s="3"/>
      <c r="Z1322" s="28"/>
    </row>
    <row r="1323" spans="2:26">
      <c r="B1323" s="2"/>
      <c r="N1323" s="27"/>
      <c r="R1323" s="15"/>
      <c r="X1323" s="3"/>
      <c r="Z1323" s="28"/>
    </row>
    <row r="1324" spans="2:26">
      <c r="B1324" s="2"/>
      <c r="N1324" s="27"/>
      <c r="R1324" s="15"/>
      <c r="X1324" s="3"/>
      <c r="Z1324" s="28"/>
    </row>
    <row r="1325" spans="2:26">
      <c r="B1325" s="2"/>
      <c r="N1325" s="27"/>
      <c r="R1325" s="15"/>
      <c r="X1325" s="3"/>
      <c r="Z1325" s="28"/>
    </row>
    <row r="1326" spans="2:26">
      <c r="B1326" s="2"/>
      <c r="N1326" s="27"/>
      <c r="R1326" s="15"/>
      <c r="X1326" s="3"/>
      <c r="Z1326" s="28"/>
    </row>
    <row r="1327" spans="2:26">
      <c r="B1327" s="2"/>
      <c r="N1327" s="27"/>
      <c r="R1327" s="15"/>
      <c r="X1327" s="3"/>
      <c r="Z1327" s="28"/>
    </row>
    <row r="1328" spans="2:26">
      <c r="B1328" s="2"/>
      <c r="N1328" s="27"/>
      <c r="R1328" s="15"/>
      <c r="X1328" s="3"/>
      <c r="Z1328" s="28"/>
    </row>
    <row r="1329" spans="2:26">
      <c r="B1329" s="2"/>
      <c r="N1329" s="27"/>
      <c r="R1329" s="15"/>
      <c r="X1329" s="3"/>
      <c r="Z1329" s="28"/>
    </row>
    <row r="1330" spans="2:26">
      <c r="B1330" s="2"/>
      <c r="N1330" s="27"/>
      <c r="R1330" s="15"/>
      <c r="X1330" s="3"/>
      <c r="Z1330" s="28"/>
    </row>
    <row r="1331" spans="2:26">
      <c r="B1331" s="2"/>
      <c r="N1331" s="27"/>
      <c r="R1331" s="15"/>
      <c r="X1331" s="3"/>
      <c r="Z1331" s="28"/>
    </row>
    <row r="1332" spans="2:26">
      <c r="B1332" s="2"/>
      <c r="N1332" s="27"/>
      <c r="R1332" s="15"/>
      <c r="X1332" s="3"/>
      <c r="Z1332" s="28"/>
    </row>
    <row r="1333" spans="2:26">
      <c r="B1333" s="2"/>
      <c r="N1333" s="27"/>
      <c r="R1333" s="15"/>
      <c r="X1333" s="3"/>
      <c r="Z1333" s="28"/>
    </row>
    <row r="1334" spans="2:26">
      <c r="B1334" s="2"/>
      <c r="N1334" s="27"/>
      <c r="R1334" s="15"/>
      <c r="X1334" s="3"/>
      <c r="Z1334" s="28"/>
    </row>
    <row r="1335" spans="2:26">
      <c r="B1335" s="2"/>
      <c r="N1335" s="27"/>
      <c r="R1335" s="15"/>
      <c r="X1335" s="3"/>
      <c r="Z1335" s="28"/>
    </row>
    <row r="1336" spans="2:26">
      <c r="B1336" s="2"/>
      <c r="N1336" s="27"/>
      <c r="R1336" s="15"/>
      <c r="X1336" s="3"/>
      <c r="Z1336" s="28"/>
    </row>
    <row r="1337" spans="2:26">
      <c r="B1337" s="2"/>
      <c r="N1337" s="27"/>
      <c r="R1337" s="15"/>
      <c r="X1337" s="3"/>
      <c r="Z1337" s="28"/>
    </row>
    <row r="1338" spans="2:26">
      <c r="B1338" s="2"/>
      <c r="N1338" s="27"/>
      <c r="R1338" s="15"/>
      <c r="X1338" s="3"/>
      <c r="Z1338" s="28"/>
    </row>
    <row r="1339" spans="2:26">
      <c r="B1339" s="2"/>
      <c r="N1339" s="27"/>
      <c r="R1339" s="15"/>
      <c r="X1339" s="3"/>
      <c r="Z1339" s="28"/>
    </row>
    <row r="1340" spans="2:26">
      <c r="B1340" s="2"/>
      <c r="N1340" s="27"/>
      <c r="R1340" s="15"/>
      <c r="X1340" s="3"/>
      <c r="Z1340" s="28"/>
    </row>
    <row r="1341" spans="2:26">
      <c r="B1341" s="2"/>
      <c r="N1341" s="27"/>
      <c r="R1341" s="15"/>
      <c r="X1341" s="3"/>
      <c r="Z1341" s="28"/>
    </row>
    <row r="1342" spans="2:26">
      <c r="B1342" s="2"/>
      <c r="N1342" s="27"/>
      <c r="R1342" s="15"/>
      <c r="X1342" s="3"/>
      <c r="Z1342" s="28"/>
    </row>
    <row r="1343" spans="2:26">
      <c r="B1343" s="2"/>
      <c r="N1343" s="27"/>
      <c r="R1343" s="15"/>
      <c r="X1343" s="3"/>
      <c r="Z1343" s="28"/>
    </row>
    <row r="1344" spans="2:26">
      <c r="B1344" s="2"/>
      <c r="N1344" s="27"/>
      <c r="R1344" s="15"/>
      <c r="X1344" s="3"/>
      <c r="Z1344" s="28"/>
    </row>
    <row r="1345" spans="2:26">
      <c r="B1345" s="2"/>
      <c r="N1345" s="27"/>
      <c r="R1345" s="15"/>
      <c r="X1345" s="3"/>
      <c r="Z1345" s="28"/>
    </row>
    <row r="1346" spans="2:26">
      <c r="B1346" s="2"/>
      <c r="N1346" s="27"/>
      <c r="R1346" s="15"/>
      <c r="X1346" s="3"/>
      <c r="Z1346" s="28"/>
    </row>
    <row r="1347" spans="2:26">
      <c r="B1347" s="2"/>
      <c r="N1347" s="27"/>
      <c r="R1347" s="15"/>
      <c r="X1347" s="3"/>
      <c r="Z1347" s="28"/>
    </row>
    <row r="1348" spans="2:26">
      <c r="B1348" s="2"/>
      <c r="N1348" s="27"/>
      <c r="R1348" s="15"/>
      <c r="X1348" s="3"/>
      <c r="Z1348" s="28"/>
    </row>
    <row r="1349" spans="2:26">
      <c r="B1349" s="2"/>
      <c r="N1349" s="27"/>
      <c r="R1349" s="15"/>
      <c r="X1349" s="3"/>
      <c r="Z1349" s="28"/>
    </row>
    <row r="1350" spans="2:26">
      <c r="B1350" s="2"/>
      <c r="N1350" s="27"/>
      <c r="R1350" s="15"/>
      <c r="X1350" s="3"/>
      <c r="Z1350" s="28"/>
    </row>
    <row r="1351" spans="2:26">
      <c r="B1351" s="2"/>
      <c r="N1351" s="27"/>
      <c r="R1351" s="15"/>
      <c r="X1351" s="3"/>
      <c r="Z1351" s="28"/>
    </row>
    <row r="1352" spans="2:26">
      <c r="B1352" s="2"/>
      <c r="N1352" s="27"/>
      <c r="R1352" s="15"/>
      <c r="X1352" s="3"/>
      <c r="Z1352" s="28"/>
    </row>
    <row r="1353" spans="2:26">
      <c r="B1353" s="2"/>
      <c r="N1353" s="27"/>
      <c r="R1353" s="15"/>
      <c r="X1353" s="3"/>
      <c r="Z1353" s="28"/>
    </row>
    <row r="1354" spans="2:26">
      <c r="B1354" s="2"/>
      <c r="N1354" s="27"/>
      <c r="R1354" s="15"/>
      <c r="X1354" s="3"/>
      <c r="Z1354" s="28"/>
    </row>
    <row r="1355" spans="2:26">
      <c r="B1355" s="2"/>
      <c r="N1355" s="27"/>
      <c r="R1355" s="15"/>
      <c r="X1355" s="3"/>
      <c r="Z1355" s="28"/>
    </row>
    <row r="1356" spans="2:26">
      <c r="B1356" s="2"/>
      <c r="N1356" s="27"/>
      <c r="R1356" s="15"/>
      <c r="X1356" s="3"/>
      <c r="Z1356" s="28"/>
    </row>
    <row r="1357" spans="2:26">
      <c r="B1357" s="2"/>
      <c r="N1357" s="27"/>
      <c r="R1357" s="15"/>
      <c r="X1357" s="3"/>
      <c r="Z1357" s="28"/>
    </row>
    <row r="1358" spans="2:26">
      <c r="B1358" s="2"/>
      <c r="N1358" s="27"/>
      <c r="R1358" s="15"/>
      <c r="X1358" s="3"/>
      <c r="Z1358" s="28"/>
    </row>
    <row r="1359" spans="2:26">
      <c r="B1359" s="2"/>
      <c r="N1359" s="27"/>
      <c r="R1359" s="15"/>
      <c r="X1359" s="3"/>
      <c r="Z1359" s="28"/>
    </row>
    <row r="1360" spans="2:26">
      <c r="B1360" s="2"/>
      <c r="N1360" s="27"/>
      <c r="R1360" s="15"/>
      <c r="X1360" s="3"/>
      <c r="Z1360" s="28"/>
    </row>
    <row r="1361" spans="2:26">
      <c r="B1361" s="2"/>
      <c r="N1361" s="27"/>
      <c r="R1361" s="15"/>
      <c r="X1361" s="3"/>
      <c r="Z1361" s="28"/>
    </row>
    <row r="1362" spans="2:26">
      <c r="B1362" s="2"/>
      <c r="N1362" s="27"/>
      <c r="R1362" s="15"/>
      <c r="X1362" s="3"/>
      <c r="Z1362" s="28"/>
    </row>
    <row r="1363" spans="2:26">
      <c r="B1363" s="2"/>
      <c r="N1363" s="27"/>
      <c r="R1363" s="15"/>
      <c r="X1363" s="3"/>
      <c r="Z1363" s="28"/>
    </row>
    <row r="1364" spans="2:26">
      <c r="B1364" s="2"/>
      <c r="N1364" s="27"/>
      <c r="R1364" s="15"/>
      <c r="X1364" s="3"/>
      <c r="Z1364" s="28"/>
    </row>
    <row r="1365" spans="2:26">
      <c r="B1365" s="2"/>
      <c r="N1365" s="27"/>
      <c r="R1365" s="15"/>
      <c r="X1365" s="3"/>
      <c r="Z1365" s="28"/>
    </row>
    <row r="1366" spans="2:26">
      <c r="B1366" s="2"/>
      <c r="N1366" s="27"/>
      <c r="R1366" s="15"/>
      <c r="X1366" s="3"/>
      <c r="Z1366" s="28"/>
    </row>
    <row r="1367" spans="2:26">
      <c r="B1367" s="2"/>
      <c r="N1367" s="27"/>
      <c r="R1367" s="15"/>
      <c r="X1367" s="3"/>
      <c r="Z1367" s="28"/>
    </row>
    <row r="1368" spans="2:26">
      <c r="B1368" s="2"/>
      <c r="N1368" s="27"/>
      <c r="R1368" s="15"/>
      <c r="X1368" s="3"/>
      <c r="Z1368" s="28"/>
    </row>
    <row r="1369" spans="2:26">
      <c r="B1369" s="2"/>
      <c r="N1369" s="27"/>
      <c r="R1369" s="15"/>
      <c r="X1369" s="3"/>
      <c r="Z1369" s="28"/>
    </row>
    <row r="1370" spans="2:26">
      <c r="B1370" s="2"/>
      <c r="N1370" s="27"/>
      <c r="R1370" s="15"/>
      <c r="X1370" s="3"/>
      <c r="Z1370" s="28"/>
    </row>
    <row r="1371" spans="2:26">
      <c r="B1371" s="2"/>
      <c r="N1371" s="27"/>
      <c r="R1371" s="15"/>
      <c r="X1371" s="3"/>
      <c r="Z1371" s="28"/>
    </row>
    <row r="1372" spans="2:26">
      <c r="B1372" s="2"/>
      <c r="N1372" s="27"/>
      <c r="R1372" s="15"/>
      <c r="X1372" s="3"/>
      <c r="Z1372" s="28"/>
    </row>
    <row r="1373" spans="2:26">
      <c r="B1373" s="2"/>
      <c r="N1373" s="27"/>
      <c r="R1373" s="15"/>
      <c r="X1373" s="3"/>
      <c r="Z1373" s="28"/>
    </row>
    <row r="1374" spans="2:26">
      <c r="B1374" s="2"/>
      <c r="N1374" s="27"/>
      <c r="R1374" s="15"/>
      <c r="X1374" s="3"/>
      <c r="Z1374" s="28"/>
    </row>
    <row r="1375" spans="2:26">
      <c r="B1375" s="2"/>
      <c r="N1375" s="27"/>
      <c r="R1375" s="15"/>
      <c r="X1375" s="3"/>
      <c r="Z1375" s="28"/>
    </row>
    <row r="1376" spans="2:26">
      <c r="B1376" s="2"/>
      <c r="N1376" s="27"/>
      <c r="R1376" s="15"/>
      <c r="X1376" s="3"/>
      <c r="Z1376" s="28"/>
    </row>
    <row r="1377" spans="2:26">
      <c r="B1377" s="2"/>
      <c r="N1377" s="27"/>
      <c r="R1377" s="15"/>
      <c r="X1377" s="3"/>
      <c r="Z1377" s="28"/>
    </row>
    <row r="1378" spans="2:26">
      <c r="B1378" s="2"/>
      <c r="N1378" s="27"/>
      <c r="R1378" s="15"/>
      <c r="X1378" s="3"/>
      <c r="Z1378" s="28"/>
    </row>
    <row r="1379" spans="2:26">
      <c r="B1379" s="2"/>
      <c r="N1379" s="27"/>
      <c r="R1379" s="15"/>
      <c r="X1379" s="3"/>
      <c r="Z1379" s="28"/>
    </row>
    <row r="1380" spans="2:26">
      <c r="B1380" s="2"/>
      <c r="N1380" s="27"/>
      <c r="R1380" s="15"/>
      <c r="X1380" s="3"/>
      <c r="Z1380" s="28"/>
    </row>
    <row r="1381" spans="2:26">
      <c r="B1381" s="2"/>
      <c r="N1381" s="27"/>
      <c r="R1381" s="15"/>
      <c r="X1381" s="3"/>
      <c r="Z1381" s="28"/>
    </row>
    <row r="1382" spans="2:26">
      <c r="B1382" s="2"/>
      <c r="N1382" s="27"/>
      <c r="R1382" s="15"/>
      <c r="X1382" s="3"/>
      <c r="Z1382" s="28"/>
    </row>
    <row r="1383" spans="2:26">
      <c r="B1383" s="2"/>
      <c r="N1383" s="27"/>
      <c r="R1383" s="15"/>
      <c r="X1383" s="3"/>
      <c r="Z1383" s="28"/>
    </row>
    <row r="1384" spans="2:26">
      <c r="B1384" s="2"/>
      <c r="N1384" s="27"/>
      <c r="R1384" s="15"/>
      <c r="X1384" s="3"/>
      <c r="Z1384" s="28"/>
    </row>
    <row r="1385" spans="2:26">
      <c r="B1385" s="2"/>
      <c r="N1385" s="27"/>
      <c r="R1385" s="15"/>
      <c r="X1385" s="3"/>
      <c r="Z1385" s="28"/>
    </row>
    <row r="1386" spans="2:26">
      <c r="B1386" s="2"/>
      <c r="N1386" s="27"/>
      <c r="R1386" s="15"/>
      <c r="X1386" s="3"/>
      <c r="Z1386" s="28"/>
    </row>
    <row r="1387" spans="2:26">
      <c r="B1387" s="2"/>
      <c r="N1387" s="27"/>
      <c r="R1387" s="15"/>
      <c r="X1387" s="3"/>
      <c r="Z1387" s="28"/>
    </row>
    <row r="1388" spans="2:26">
      <c r="B1388" s="2"/>
      <c r="N1388" s="27"/>
      <c r="R1388" s="15"/>
      <c r="X1388" s="3"/>
      <c r="Z1388" s="28"/>
    </row>
    <row r="1389" spans="2:26">
      <c r="B1389" s="2"/>
      <c r="N1389" s="27"/>
      <c r="R1389" s="15"/>
      <c r="X1389" s="3"/>
      <c r="Z1389" s="28"/>
    </row>
    <row r="1390" spans="2:26">
      <c r="B1390" s="2"/>
      <c r="N1390" s="27"/>
      <c r="R1390" s="15"/>
      <c r="X1390" s="3"/>
      <c r="Z1390" s="28"/>
    </row>
    <row r="1391" spans="2:26">
      <c r="B1391" s="2"/>
      <c r="N1391" s="27"/>
      <c r="R1391" s="15"/>
      <c r="X1391" s="3"/>
      <c r="Z1391" s="28"/>
    </row>
    <row r="1392" spans="2:26">
      <c r="B1392" s="2"/>
      <c r="N1392" s="27"/>
      <c r="R1392" s="15"/>
      <c r="X1392" s="3"/>
      <c r="Z1392" s="28"/>
    </row>
    <row r="1393" spans="2:26">
      <c r="B1393" s="2"/>
      <c r="N1393" s="27"/>
      <c r="R1393" s="15"/>
      <c r="X1393" s="3"/>
      <c r="Z1393" s="28"/>
    </row>
    <row r="1394" spans="2:26">
      <c r="B1394" s="2"/>
      <c r="N1394" s="27"/>
      <c r="R1394" s="15"/>
      <c r="X1394" s="3"/>
      <c r="Z1394" s="28"/>
    </row>
    <row r="1395" spans="2:26">
      <c r="B1395" s="2"/>
      <c r="N1395" s="27"/>
      <c r="R1395" s="15"/>
      <c r="X1395" s="3"/>
      <c r="Z1395" s="28"/>
    </row>
    <row r="1396" spans="2:26">
      <c r="B1396" s="2"/>
      <c r="N1396" s="27"/>
      <c r="R1396" s="15"/>
      <c r="X1396" s="3"/>
      <c r="Z1396" s="28"/>
    </row>
    <row r="1397" spans="2:26">
      <c r="B1397" s="2"/>
      <c r="N1397" s="27"/>
      <c r="R1397" s="15"/>
      <c r="X1397" s="3"/>
      <c r="Z1397" s="28"/>
    </row>
    <row r="1398" spans="2:26">
      <c r="B1398" s="2"/>
      <c r="N1398" s="27"/>
      <c r="R1398" s="15"/>
      <c r="X1398" s="3"/>
      <c r="Z1398" s="28"/>
    </row>
    <row r="1399" spans="2:26">
      <c r="B1399" s="2"/>
      <c r="N1399" s="27"/>
      <c r="R1399" s="15"/>
      <c r="X1399" s="3"/>
      <c r="Z1399" s="28"/>
    </row>
    <row r="1400" spans="2:26">
      <c r="B1400" s="2"/>
      <c r="N1400" s="27"/>
      <c r="R1400" s="15"/>
      <c r="X1400" s="3"/>
      <c r="Z1400" s="28"/>
    </row>
    <row r="1401" spans="2:26">
      <c r="B1401" s="2"/>
      <c r="N1401" s="27"/>
      <c r="R1401" s="15"/>
      <c r="X1401" s="3"/>
      <c r="Z1401" s="28"/>
    </row>
    <row r="1402" spans="2:26">
      <c r="B1402" s="2"/>
      <c r="N1402" s="27"/>
      <c r="R1402" s="15"/>
      <c r="X1402" s="3"/>
      <c r="Z1402" s="28"/>
    </row>
    <row r="1403" spans="2:26">
      <c r="B1403" s="2"/>
      <c r="N1403" s="27"/>
      <c r="R1403" s="15"/>
      <c r="X1403" s="3"/>
      <c r="Z1403" s="28"/>
    </row>
    <row r="1404" spans="2:26">
      <c r="B1404" s="2"/>
      <c r="N1404" s="27"/>
      <c r="R1404" s="15"/>
      <c r="X1404" s="3"/>
      <c r="Z1404" s="28"/>
    </row>
    <row r="1405" spans="2:26">
      <c r="B1405" s="2"/>
      <c r="N1405" s="27"/>
      <c r="R1405" s="15"/>
      <c r="X1405" s="3"/>
      <c r="Z1405" s="28"/>
    </row>
    <row r="1406" spans="2:26">
      <c r="B1406" s="2"/>
      <c r="N1406" s="27"/>
      <c r="R1406" s="15"/>
      <c r="X1406" s="3"/>
      <c r="Z1406" s="28"/>
    </row>
    <row r="1407" spans="2:26">
      <c r="B1407" s="2"/>
      <c r="N1407" s="27"/>
      <c r="R1407" s="15"/>
      <c r="X1407" s="3"/>
      <c r="Z1407" s="28"/>
    </row>
    <row r="1408" spans="2:26">
      <c r="B1408" s="2"/>
      <c r="N1408" s="27"/>
      <c r="R1408" s="15"/>
      <c r="X1408" s="3"/>
      <c r="Z1408" s="28"/>
    </row>
    <row r="1409" spans="2:26">
      <c r="B1409" s="2"/>
      <c r="N1409" s="27"/>
      <c r="R1409" s="15"/>
      <c r="X1409" s="3"/>
      <c r="Z1409" s="28"/>
    </row>
    <row r="1410" spans="2:26">
      <c r="B1410" s="2"/>
      <c r="N1410" s="27"/>
      <c r="R1410" s="15"/>
      <c r="X1410" s="3"/>
      <c r="Z1410" s="28"/>
    </row>
    <row r="1411" spans="2:26">
      <c r="B1411" s="2"/>
      <c r="N1411" s="27"/>
      <c r="R1411" s="15"/>
      <c r="X1411" s="3"/>
      <c r="Z1411" s="28"/>
    </row>
    <row r="1412" spans="2:26">
      <c r="B1412" s="2"/>
      <c r="N1412" s="27"/>
      <c r="R1412" s="15"/>
      <c r="X1412" s="3"/>
      <c r="Z1412" s="28"/>
    </row>
    <row r="1413" spans="2:26">
      <c r="B1413" s="2"/>
      <c r="N1413" s="27"/>
      <c r="R1413" s="15"/>
      <c r="X1413" s="3"/>
      <c r="Z1413" s="28"/>
    </row>
    <row r="1414" spans="2:26">
      <c r="B1414" s="2"/>
      <c r="N1414" s="27"/>
      <c r="R1414" s="15"/>
      <c r="X1414" s="3"/>
      <c r="Z1414" s="28"/>
    </row>
    <row r="1415" spans="2:26">
      <c r="B1415" s="2"/>
      <c r="N1415" s="27"/>
      <c r="R1415" s="15"/>
      <c r="X1415" s="3"/>
      <c r="Z1415" s="28"/>
    </row>
    <row r="1416" spans="2:26">
      <c r="B1416" s="2"/>
      <c r="N1416" s="27"/>
      <c r="R1416" s="15"/>
      <c r="X1416" s="3"/>
      <c r="Z1416" s="28"/>
    </row>
    <row r="1417" spans="2:26">
      <c r="B1417" s="2"/>
      <c r="N1417" s="27"/>
      <c r="R1417" s="15"/>
      <c r="X1417" s="3"/>
      <c r="Z1417" s="28"/>
    </row>
    <row r="1418" spans="2:26">
      <c r="B1418" s="2"/>
      <c r="N1418" s="27"/>
      <c r="R1418" s="15"/>
      <c r="X1418" s="3"/>
      <c r="Z1418" s="28"/>
    </row>
    <row r="1419" spans="2:26">
      <c r="B1419" s="2"/>
      <c r="N1419" s="27"/>
      <c r="R1419" s="15"/>
      <c r="X1419" s="3"/>
      <c r="Z1419" s="28"/>
    </row>
    <row r="1420" spans="2:26">
      <c r="B1420" s="2"/>
      <c r="N1420" s="27"/>
      <c r="R1420" s="15"/>
      <c r="X1420" s="3"/>
      <c r="Z1420" s="28"/>
    </row>
    <row r="1421" spans="2:26">
      <c r="B1421" s="2"/>
      <c r="N1421" s="27"/>
      <c r="R1421" s="15"/>
      <c r="X1421" s="3"/>
      <c r="Z1421" s="28"/>
    </row>
    <row r="1422" spans="2:26">
      <c r="B1422" s="2"/>
      <c r="N1422" s="27"/>
      <c r="R1422" s="15"/>
      <c r="X1422" s="3"/>
      <c r="Z1422" s="28"/>
    </row>
    <row r="1423" spans="2:26">
      <c r="B1423" s="2"/>
      <c r="N1423" s="27"/>
      <c r="R1423" s="15"/>
      <c r="X1423" s="3"/>
      <c r="Z1423" s="28"/>
    </row>
    <row r="1424" spans="2:26">
      <c r="B1424" s="2"/>
      <c r="N1424" s="27"/>
      <c r="R1424" s="15"/>
      <c r="X1424" s="3"/>
      <c r="Z1424" s="28"/>
    </row>
    <row r="1425" spans="2:26">
      <c r="B1425" s="2"/>
      <c r="N1425" s="27"/>
      <c r="R1425" s="15"/>
      <c r="X1425" s="3"/>
      <c r="Z1425" s="28"/>
    </row>
    <row r="1426" spans="2:26">
      <c r="B1426" s="2"/>
      <c r="N1426" s="27"/>
      <c r="R1426" s="15"/>
      <c r="X1426" s="3"/>
      <c r="Z1426" s="28"/>
    </row>
    <row r="1427" spans="2:26">
      <c r="B1427" s="2"/>
      <c r="N1427" s="27"/>
      <c r="R1427" s="15"/>
      <c r="X1427" s="3"/>
      <c r="Z1427" s="28"/>
    </row>
    <row r="1428" spans="2:26">
      <c r="B1428" s="2"/>
      <c r="N1428" s="27"/>
      <c r="R1428" s="15"/>
      <c r="X1428" s="3"/>
      <c r="Z1428" s="28"/>
    </row>
    <row r="1429" spans="2:26">
      <c r="B1429" s="2"/>
      <c r="N1429" s="27"/>
      <c r="R1429" s="15"/>
      <c r="X1429" s="3"/>
      <c r="Z1429" s="28"/>
    </row>
    <row r="1430" spans="2:26">
      <c r="B1430" s="2"/>
      <c r="N1430" s="27"/>
      <c r="R1430" s="15"/>
      <c r="X1430" s="3"/>
      <c r="Z1430" s="28"/>
    </row>
    <row r="1431" spans="2:26">
      <c r="B1431" s="2"/>
      <c r="N1431" s="27"/>
      <c r="R1431" s="15"/>
      <c r="X1431" s="3"/>
      <c r="Z1431" s="28"/>
    </row>
    <row r="1432" spans="2:26">
      <c r="B1432" s="2"/>
      <c r="N1432" s="27"/>
      <c r="R1432" s="15"/>
      <c r="X1432" s="3"/>
      <c r="Z1432" s="28"/>
    </row>
    <row r="1433" spans="2:26">
      <c r="B1433" s="2"/>
      <c r="N1433" s="27"/>
      <c r="R1433" s="15"/>
      <c r="X1433" s="3"/>
      <c r="Z1433" s="28"/>
    </row>
    <row r="1434" spans="2:26">
      <c r="B1434" s="2"/>
      <c r="N1434" s="27"/>
      <c r="R1434" s="15"/>
      <c r="X1434" s="3"/>
      <c r="Z1434" s="28"/>
    </row>
    <row r="1435" spans="2:26">
      <c r="B1435" s="2"/>
      <c r="N1435" s="27"/>
      <c r="R1435" s="15"/>
      <c r="X1435" s="3"/>
      <c r="Z1435" s="28"/>
    </row>
    <row r="1436" spans="2:26">
      <c r="B1436" s="2"/>
      <c r="N1436" s="27"/>
      <c r="R1436" s="15"/>
      <c r="X1436" s="3"/>
      <c r="Z1436" s="28"/>
    </row>
    <row r="1437" spans="2:26">
      <c r="B1437" s="2"/>
      <c r="N1437" s="27"/>
      <c r="R1437" s="15"/>
      <c r="X1437" s="3"/>
      <c r="Z1437" s="28"/>
    </row>
    <row r="1438" spans="2:26">
      <c r="B1438" s="2"/>
      <c r="N1438" s="27"/>
      <c r="R1438" s="15"/>
      <c r="X1438" s="3"/>
      <c r="Z1438" s="28"/>
    </row>
    <row r="1439" spans="2:26">
      <c r="B1439" s="2"/>
      <c r="N1439" s="27"/>
      <c r="R1439" s="15"/>
      <c r="X1439" s="3"/>
      <c r="Z1439" s="28"/>
    </row>
    <row r="1440" spans="2:26">
      <c r="B1440" s="2"/>
      <c r="N1440" s="27"/>
      <c r="R1440" s="15"/>
      <c r="X1440" s="3"/>
      <c r="Z1440" s="28"/>
    </row>
    <row r="1441" spans="2:26">
      <c r="B1441" s="2"/>
      <c r="N1441" s="27"/>
      <c r="R1441" s="15"/>
      <c r="X1441" s="3"/>
      <c r="Z1441" s="28"/>
    </row>
    <row r="1442" spans="2:26">
      <c r="B1442" s="2"/>
      <c r="N1442" s="27"/>
      <c r="R1442" s="15"/>
      <c r="X1442" s="3"/>
      <c r="Z1442" s="28"/>
    </row>
    <row r="1443" spans="2:26">
      <c r="B1443" s="2"/>
      <c r="N1443" s="27"/>
      <c r="R1443" s="15"/>
      <c r="X1443" s="3"/>
      <c r="Z1443" s="28"/>
    </row>
    <row r="1444" spans="2:26">
      <c r="B1444" s="2"/>
      <c r="N1444" s="27"/>
      <c r="R1444" s="15"/>
      <c r="X1444" s="3"/>
      <c r="Z1444" s="28"/>
    </row>
    <row r="1445" spans="2:26">
      <c r="B1445" s="2"/>
      <c r="N1445" s="27"/>
      <c r="R1445" s="15"/>
      <c r="X1445" s="3"/>
      <c r="Z1445" s="28"/>
    </row>
    <row r="1446" spans="2:26">
      <c r="B1446" s="2"/>
      <c r="N1446" s="27"/>
      <c r="R1446" s="15"/>
      <c r="X1446" s="3"/>
      <c r="Z1446" s="28"/>
    </row>
    <row r="1447" spans="2:26">
      <c r="B1447" s="2"/>
      <c r="N1447" s="27"/>
      <c r="R1447" s="15"/>
      <c r="X1447" s="3"/>
      <c r="Z1447" s="28"/>
    </row>
    <row r="1448" spans="2:26">
      <c r="B1448" s="2"/>
      <c r="N1448" s="27"/>
      <c r="R1448" s="15"/>
      <c r="X1448" s="3"/>
      <c r="Z1448" s="28"/>
    </row>
    <row r="1449" spans="2:26">
      <c r="B1449" s="2"/>
      <c r="N1449" s="27"/>
      <c r="R1449" s="15"/>
      <c r="X1449" s="3"/>
      <c r="Z1449" s="28"/>
    </row>
    <row r="1450" spans="2:26">
      <c r="B1450" s="2"/>
      <c r="N1450" s="27"/>
      <c r="R1450" s="15"/>
      <c r="X1450" s="3"/>
      <c r="Z1450" s="28"/>
    </row>
    <row r="1451" spans="2:26">
      <c r="B1451" s="2"/>
      <c r="N1451" s="27"/>
      <c r="R1451" s="15"/>
      <c r="X1451" s="3"/>
      <c r="Z1451" s="28"/>
    </row>
    <row r="1452" spans="2:26">
      <c r="B1452" s="2"/>
      <c r="N1452" s="27"/>
      <c r="R1452" s="15"/>
      <c r="X1452" s="3"/>
      <c r="Z1452" s="28"/>
    </row>
    <row r="1453" spans="2:26">
      <c r="B1453" s="2"/>
      <c r="N1453" s="27"/>
      <c r="R1453" s="15"/>
      <c r="X1453" s="3"/>
      <c r="Z1453" s="28"/>
    </row>
    <row r="1454" spans="2:26">
      <c r="B1454" s="2"/>
      <c r="N1454" s="27"/>
      <c r="R1454" s="15"/>
      <c r="X1454" s="3"/>
      <c r="Z1454" s="28"/>
    </row>
    <row r="1455" spans="2:26">
      <c r="B1455" s="2"/>
      <c r="N1455" s="27"/>
      <c r="R1455" s="15"/>
      <c r="X1455" s="3"/>
      <c r="Z1455" s="28"/>
    </row>
    <row r="1456" spans="2:26">
      <c r="B1456" s="2"/>
      <c r="N1456" s="27"/>
      <c r="R1456" s="15"/>
      <c r="X1456" s="3"/>
      <c r="Z1456" s="28"/>
    </row>
    <row r="1457" spans="2:26">
      <c r="B1457" s="2"/>
      <c r="N1457" s="27"/>
      <c r="R1457" s="15"/>
      <c r="X1457" s="3"/>
      <c r="Z1457" s="28"/>
    </row>
    <row r="1458" spans="2:26">
      <c r="B1458" s="2"/>
      <c r="N1458" s="27"/>
      <c r="R1458" s="15"/>
      <c r="X1458" s="3"/>
      <c r="Z1458" s="28"/>
    </row>
    <row r="1459" spans="2:26">
      <c r="B1459" s="2"/>
      <c r="N1459" s="27"/>
      <c r="R1459" s="15"/>
      <c r="X1459" s="3"/>
      <c r="Z1459" s="28"/>
    </row>
    <row r="1460" spans="2:26">
      <c r="B1460" s="2"/>
      <c r="N1460" s="27"/>
      <c r="R1460" s="15"/>
      <c r="X1460" s="3"/>
      <c r="Z1460" s="28"/>
    </row>
    <row r="1461" spans="2:26">
      <c r="B1461" s="2"/>
      <c r="N1461" s="27"/>
      <c r="R1461" s="15"/>
      <c r="X1461" s="3"/>
      <c r="Z1461" s="28"/>
    </row>
    <row r="1462" spans="2:26">
      <c r="B1462" s="2"/>
      <c r="N1462" s="27"/>
      <c r="R1462" s="15"/>
      <c r="X1462" s="3"/>
      <c r="Z1462" s="28"/>
    </row>
    <row r="1463" spans="2:26">
      <c r="B1463" s="2"/>
      <c r="N1463" s="27"/>
      <c r="R1463" s="15"/>
      <c r="X1463" s="3"/>
      <c r="Z1463" s="28"/>
    </row>
    <row r="1464" spans="2:26">
      <c r="B1464" s="2"/>
      <c r="N1464" s="27"/>
      <c r="R1464" s="15"/>
      <c r="X1464" s="3"/>
      <c r="Z1464" s="28"/>
    </row>
    <row r="1465" spans="2:26">
      <c r="B1465" s="2"/>
      <c r="N1465" s="27"/>
      <c r="R1465" s="15"/>
      <c r="X1465" s="3"/>
      <c r="Z1465" s="28"/>
    </row>
    <row r="1466" spans="2:26">
      <c r="B1466" s="2"/>
      <c r="N1466" s="27"/>
      <c r="R1466" s="15"/>
      <c r="X1466" s="3"/>
      <c r="Z1466" s="28"/>
    </row>
    <row r="1467" spans="2:26">
      <c r="B1467" s="2"/>
      <c r="N1467" s="27"/>
      <c r="R1467" s="15"/>
      <c r="X1467" s="3"/>
      <c r="Z1467" s="28"/>
    </row>
    <row r="1468" spans="2:26">
      <c r="B1468" s="2"/>
      <c r="N1468" s="27"/>
      <c r="R1468" s="15"/>
      <c r="X1468" s="3"/>
      <c r="Z1468" s="28"/>
    </row>
    <row r="1469" spans="2:26">
      <c r="B1469" s="2"/>
      <c r="N1469" s="27"/>
      <c r="R1469" s="15"/>
      <c r="X1469" s="3"/>
      <c r="Z1469" s="28"/>
    </row>
    <row r="1470" spans="2:26">
      <c r="B1470" s="2"/>
      <c r="N1470" s="27"/>
      <c r="R1470" s="15"/>
      <c r="X1470" s="3"/>
      <c r="Z1470" s="28"/>
    </row>
    <row r="1471" spans="2:26">
      <c r="B1471" s="2"/>
      <c r="N1471" s="27"/>
      <c r="R1471" s="15"/>
      <c r="X1471" s="3"/>
      <c r="Z1471" s="28"/>
    </row>
    <row r="1472" spans="2:26">
      <c r="B1472" s="2"/>
      <c r="N1472" s="27"/>
      <c r="R1472" s="15"/>
      <c r="X1472" s="3"/>
      <c r="Z1472" s="28"/>
    </row>
    <row r="1473" spans="2:26">
      <c r="B1473" s="2"/>
      <c r="N1473" s="27"/>
      <c r="R1473" s="15"/>
      <c r="X1473" s="3"/>
      <c r="Z1473" s="28"/>
    </row>
    <row r="1474" spans="2:26">
      <c r="B1474" s="2"/>
      <c r="N1474" s="27"/>
      <c r="R1474" s="15"/>
      <c r="X1474" s="3"/>
      <c r="Z1474" s="28"/>
    </row>
    <row r="1475" spans="2:26">
      <c r="B1475" s="2"/>
      <c r="N1475" s="27"/>
      <c r="R1475" s="15"/>
      <c r="X1475" s="3"/>
      <c r="Z1475" s="28"/>
    </row>
    <row r="1476" spans="2:26">
      <c r="B1476" s="2"/>
      <c r="N1476" s="27"/>
      <c r="R1476" s="15"/>
      <c r="X1476" s="3"/>
      <c r="Z1476" s="28"/>
    </row>
    <row r="1477" spans="2:26">
      <c r="B1477" s="2"/>
      <c r="N1477" s="27"/>
      <c r="R1477" s="15"/>
      <c r="X1477" s="3"/>
      <c r="Z1477" s="28"/>
    </row>
    <row r="1478" spans="2:26">
      <c r="B1478" s="2"/>
      <c r="N1478" s="27"/>
      <c r="R1478" s="15"/>
      <c r="X1478" s="3"/>
      <c r="Z1478" s="28"/>
    </row>
    <row r="1479" spans="2:26">
      <c r="B1479" s="2"/>
      <c r="N1479" s="27"/>
      <c r="R1479" s="15"/>
      <c r="X1479" s="3"/>
      <c r="Z1479" s="28"/>
    </row>
    <row r="1480" spans="2:26">
      <c r="B1480" s="2"/>
      <c r="N1480" s="27"/>
      <c r="R1480" s="15"/>
      <c r="X1480" s="3"/>
      <c r="Z1480" s="28"/>
    </row>
    <row r="1481" spans="2:26">
      <c r="B1481" s="2"/>
      <c r="N1481" s="27"/>
      <c r="R1481" s="15"/>
      <c r="X1481" s="3"/>
      <c r="Z1481" s="28"/>
    </row>
    <row r="1482" spans="2:26">
      <c r="B1482" s="2"/>
      <c r="N1482" s="27"/>
      <c r="R1482" s="15"/>
      <c r="X1482" s="3"/>
      <c r="Z1482" s="28"/>
    </row>
    <row r="1483" spans="2:26">
      <c r="B1483" s="2"/>
      <c r="N1483" s="27"/>
      <c r="R1483" s="15"/>
      <c r="X1483" s="3"/>
      <c r="Z1483" s="28"/>
    </row>
    <row r="1484" spans="2:26">
      <c r="B1484" s="2"/>
      <c r="N1484" s="27"/>
      <c r="R1484" s="15"/>
      <c r="X1484" s="3"/>
      <c r="Z1484" s="28"/>
    </row>
    <row r="1485" spans="2:26">
      <c r="B1485" s="2"/>
      <c r="N1485" s="27"/>
      <c r="R1485" s="15"/>
      <c r="X1485" s="3"/>
      <c r="Z1485" s="28"/>
    </row>
    <row r="1486" spans="2:26">
      <c r="B1486" s="2"/>
      <c r="N1486" s="27"/>
      <c r="R1486" s="15"/>
      <c r="X1486" s="3"/>
      <c r="Z1486" s="28"/>
    </row>
    <row r="1487" spans="2:26">
      <c r="B1487" s="2"/>
      <c r="N1487" s="27"/>
      <c r="R1487" s="15"/>
      <c r="X1487" s="3"/>
      <c r="Z1487" s="28"/>
    </row>
    <row r="1488" spans="2:26">
      <c r="B1488" s="2"/>
      <c r="N1488" s="27"/>
      <c r="R1488" s="15"/>
      <c r="X1488" s="3"/>
      <c r="Z1488" s="28"/>
    </row>
    <row r="1489" spans="2:26">
      <c r="B1489" s="2"/>
      <c r="N1489" s="27"/>
      <c r="R1489" s="15"/>
      <c r="X1489" s="3"/>
      <c r="Z1489" s="28"/>
    </row>
    <row r="1490" spans="2:26">
      <c r="B1490" s="2"/>
      <c r="N1490" s="27"/>
      <c r="R1490" s="15"/>
      <c r="X1490" s="3"/>
      <c r="Z1490" s="28"/>
    </row>
    <row r="1491" spans="2:26">
      <c r="B1491" s="2"/>
      <c r="N1491" s="27"/>
      <c r="R1491" s="15"/>
      <c r="X1491" s="3"/>
      <c r="Z1491" s="28"/>
    </row>
    <row r="1492" spans="2:26">
      <c r="B1492" s="2"/>
      <c r="N1492" s="27"/>
      <c r="R1492" s="15"/>
      <c r="X1492" s="3"/>
      <c r="Z1492" s="28"/>
    </row>
    <row r="1493" spans="2:26">
      <c r="B1493" s="2"/>
      <c r="N1493" s="27"/>
      <c r="R1493" s="15"/>
      <c r="X1493" s="3"/>
      <c r="Z1493" s="28"/>
    </row>
    <row r="1494" spans="2:26">
      <c r="B1494" s="2"/>
      <c r="N1494" s="27"/>
      <c r="R1494" s="15"/>
      <c r="X1494" s="3"/>
      <c r="Z1494" s="28"/>
    </row>
    <row r="1495" spans="2:26">
      <c r="B1495" s="2"/>
      <c r="N1495" s="27"/>
      <c r="R1495" s="15"/>
      <c r="X1495" s="3"/>
      <c r="Z1495" s="28"/>
    </row>
    <row r="1496" spans="2:26">
      <c r="B1496" s="2"/>
      <c r="N1496" s="27"/>
      <c r="R1496" s="15"/>
      <c r="X1496" s="3"/>
      <c r="Z1496" s="28"/>
    </row>
    <row r="1497" spans="2:26">
      <c r="B1497" s="2"/>
      <c r="N1497" s="27"/>
      <c r="R1497" s="15"/>
      <c r="X1497" s="3"/>
      <c r="Z1497" s="28"/>
    </row>
    <row r="1498" spans="2:26">
      <c r="B1498" s="2"/>
      <c r="N1498" s="27"/>
      <c r="R1498" s="15"/>
      <c r="X1498" s="3"/>
      <c r="Z1498" s="28"/>
    </row>
    <row r="1499" spans="2:26">
      <c r="B1499" s="2"/>
      <c r="N1499" s="27"/>
      <c r="R1499" s="15"/>
      <c r="X1499" s="3"/>
      <c r="Z1499" s="28"/>
    </row>
    <row r="1500" spans="2:26">
      <c r="B1500" s="2"/>
      <c r="N1500" s="27"/>
      <c r="R1500" s="15"/>
      <c r="X1500" s="3"/>
      <c r="Z1500" s="28"/>
    </row>
    <row r="1501" spans="2:26">
      <c r="B1501" s="2"/>
      <c r="N1501" s="27"/>
      <c r="R1501" s="15"/>
      <c r="X1501" s="3"/>
      <c r="Z1501" s="28"/>
    </row>
    <row r="1502" spans="2:26">
      <c r="B1502" s="2"/>
      <c r="N1502" s="27"/>
      <c r="R1502" s="15"/>
      <c r="X1502" s="3"/>
      <c r="Z1502" s="28"/>
    </row>
    <row r="1503" spans="2:26">
      <c r="B1503" s="2"/>
      <c r="N1503" s="27"/>
      <c r="R1503" s="15"/>
      <c r="X1503" s="3"/>
      <c r="Z1503" s="28"/>
    </row>
    <row r="1504" spans="2:26">
      <c r="B1504" s="2"/>
      <c r="N1504" s="27"/>
      <c r="R1504" s="15"/>
      <c r="X1504" s="3"/>
      <c r="Z1504" s="28"/>
    </row>
    <row r="1505" spans="2:26">
      <c r="B1505" s="2"/>
      <c r="N1505" s="27"/>
      <c r="R1505" s="15"/>
      <c r="X1505" s="3"/>
      <c r="Z1505" s="28"/>
    </row>
    <row r="1506" spans="2:26">
      <c r="B1506" s="2"/>
      <c r="N1506" s="27"/>
      <c r="R1506" s="15"/>
      <c r="X1506" s="3"/>
      <c r="Z1506" s="28"/>
    </row>
    <row r="1507" spans="2:26">
      <c r="B1507" s="2"/>
      <c r="N1507" s="27"/>
      <c r="R1507" s="15"/>
      <c r="X1507" s="3"/>
      <c r="Z1507" s="28"/>
    </row>
    <row r="1508" spans="2:26">
      <c r="B1508" s="2"/>
      <c r="N1508" s="27"/>
      <c r="R1508" s="15"/>
      <c r="X1508" s="3"/>
      <c r="Z1508" s="28"/>
    </row>
    <row r="1509" spans="2:26">
      <c r="B1509" s="2"/>
      <c r="N1509" s="27"/>
      <c r="R1509" s="15"/>
      <c r="X1509" s="3"/>
      <c r="Z1509" s="28"/>
    </row>
    <row r="1510" spans="2:26">
      <c r="B1510" s="2"/>
      <c r="N1510" s="27"/>
      <c r="R1510" s="15"/>
      <c r="X1510" s="3"/>
      <c r="Z1510" s="28"/>
    </row>
    <row r="1511" spans="2:26">
      <c r="B1511" s="2"/>
      <c r="N1511" s="27"/>
      <c r="R1511" s="15"/>
      <c r="X1511" s="3"/>
      <c r="Z1511" s="28"/>
    </row>
    <row r="1512" spans="2:26">
      <c r="B1512" s="2"/>
      <c r="N1512" s="27"/>
      <c r="R1512" s="15"/>
      <c r="X1512" s="3"/>
      <c r="Z1512" s="28"/>
    </row>
    <row r="1513" spans="2:26">
      <c r="B1513" s="2"/>
      <c r="N1513" s="27"/>
      <c r="R1513" s="15"/>
      <c r="X1513" s="3"/>
      <c r="Z1513" s="28"/>
    </row>
    <row r="1514" spans="2:26">
      <c r="B1514" s="2"/>
      <c r="N1514" s="27"/>
      <c r="R1514" s="15"/>
      <c r="X1514" s="3"/>
      <c r="Z1514" s="28"/>
    </row>
    <row r="1515" spans="2:26">
      <c r="B1515" s="2"/>
      <c r="N1515" s="27"/>
      <c r="R1515" s="15"/>
      <c r="X1515" s="3"/>
      <c r="Z1515" s="28"/>
    </row>
    <row r="1516" spans="2:26">
      <c r="B1516" s="2"/>
      <c r="N1516" s="27"/>
      <c r="R1516" s="15"/>
      <c r="X1516" s="3"/>
      <c r="Z1516" s="28"/>
    </row>
    <row r="1517" spans="2:26">
      <c r="B1517" s="2"/>
      <c r="N1517" s="27"/>
      <c r="R1517" s="15"/>
      <c r="X1517" s="3"/>
      <c r="Z1517" s="28"/>
    </row>
    <row r="1518" spans="2:26">
      <c r="B1518" s="2"/>
      <c r="N1518" s="27"/>
      <c r="R1518" s="15"/>
      <c r="X1518" s="3"/>
      <c r="Z1518" s="28"/>
    </row>
    <row r="1519" spans="2:26">
      <c r="B1519" s="2"/>
      <c r="N1519" s="27"/>
      <c r="R1519" s="15"/>
      <c r="X1519" s="3"/>
      <c r="Z1519" s="28"/>
    </row>
    <row r="1520" spans="2:26">
      <c r="B1520" s="2"/>
      <c r="N1520" s="27"/>
      <c r="R1520" s="15"/>
      <c r="X1520" s="3"/>
      <c r="Z1520" s="28"/>
    </row>
    <row r="1521" spans="2:26">
      <c r="B1521" s="2"/>
      <c r="N1521" s="27"/>
      <c r="R1521" s="15"/>
      <c r="X1521" s="3"/>
      <c r="Z1521" s="28"/>
    </row>
    <row r="1522" spans="2:26">
      <c r="B1522" s="2"/>
      <c r="N1522" s="27"/>
      <c r="R1522" s="15"/>
      <c r="X1522" s="3"/>
      <c r="Z1522" s="28"/>
    </row>
    <row r="1523" spans="2:26">
      <c r="B1523" s="2"/>
      <c r="N1523" s="27"/>
      <c r="R1523" s="15"/>
      <c r="X1523" s="3"/>
      <c r="Z1523" s="28"/>
    </row>
    <row r="1524" spans="2:26">
      <c r="B1524" s="2"/>
      <c r="N1524" s="27"/>
      <c r="R1524" s="15"/>
      <c r="X1524" s="3"/>
      <c r="Z1524" s="28"/>
    </row>
    <row r="1525" spans="2:26">
      <c r="B1525" s="2"/>
      <c r="N1525" s="27"/>
      <c r="R1525" s="15"/>
      <c r="X1525" s="3"/>
      <c r="Z1525" s="28"/>
    </row>
    <row r="1526" spans="2:26">
      <c r="B1526" s="2"/>
      <c r="N1526" s="27"/>
      <c r="R1526" s="15"/>
      <c r="X1526" s="3"/>
      <c r="Z1526" s="28"/>
    </row>
    <row r="1527" spans="2:26">
      <c r="B1527" s="2"/>
      <c r="N1527" s="27"/>
      <c r="R1527" s="15"/>
      <c r="X1527" s="3"/>
      <c r="Z1527" s="28"/>
    </row>
    <row r="1528" spans="2:26">
      <c r="B1528" s="2"/>
      <c r="N1528" s="27"/>
      <c r="R1528" s="15"/>
      <c r="X1528" s="3"/>
      <c r="Z1528" s="28"/>
    </row>
    <row r="1529" spans="2:26">
      <c r="B1529" s="2"/>
      <c r="N1529" s="27"/>
      <c r="R1529" s="15"/>
      <c r="X1529" s="3"/>
      <c r="Z1529" s="28"/>
    </row>
    <row r="1530" spans="2:26">
      <c r="B1530" s="2"/>
      <c r="N1530" s="27"/>
      <c r="R1530" s="15"/>
      <c r="X1530" s="3"/>
      <c r="Z1530" s="28"/>
    </row>
    <row r="1531" spans="2:26">
      <c r="B1531" s="2"/>
      <c r="N1531" s="27"/>
      <c r="R1531" s="15"/>
      <c r="X1531" s="3"/>
      <c r="Z1531" s="28"/>
    </row>
    <row r="1532" spans="2:26">
      <c r="B1532" s="2"/>
      <c r="N1532" s="27"/>
      <c r="R1532" s="15"/>
      <c r="X1532" s="3"/>
      <c r="Z1532" s="28"/>
    </row>
    <row r="1533" spans="2:26">
      <c r="B1533" s="2"/>
      <c r="N1533" s="27"/>
      <c r="R1533" s="15"/>
      <c r="X1533" s="3"/>
      <c r="Z1533" s="28"/>
    </row>
    <row r="1534" spans="2:26">
      <c r="B1534" s="2"/>
      <c r="N1534" s="27"/>
      <c r="R1534" s="15"/>
      <c r="X1534" s="3"/>
      <c r="Z1534" s="28"/>
    </row>
    <row r="1535" spans="2:26">
      <c r="B1535" s="2"/>
      <c r="N1535" s="27"/>
      <c r="R1535" s="15"/>
      <c r="X1535" s="3"/>
      <c r="Z1535" s="28"/>
    </row>
    <row r="1536" spans="2:26">
      <c r="B1536" s="2"/>
      <c r="N1536" s="27"/>
      <c r="R1536" s="15"/>
      <c r="X1536" s="3"/>
      <c r="Z1536" s="28"/>
    </row>
    <row r="1537" spans="2:26">
      <c r="B1537" s="2"/>
      <c r="N1537" s="27"/>
      <c r="R1537" s="15"/>
      <c r="X1537" s="3"/>
      <c r="Z1537" s="28"/>
    </row>
    <row r="1538" spans="2:26">
      <c r="B1538" s="2"/>
      <c r="N1538" s="27"/>
      <c r="R1538" s="15"/>
      <c r="X1538" s="3"/>
      <c r="Z1538" s="28"/>
    </row>
    <row r="1539" spans="2:26">
      <c r="B1539" s="2"/>
      <c r="N1539" s="27"/>
      <c r="R1539" s="15"/>
      <c r="X1539" s="3"/>
      <c r="Z1539" s="28"/>
    </row>
    <row r="1540" spans="2:26">
      <c r="B1540" s="2"/>
      <c r="N1540" s="27"/>
      <c r="R1540" s="15"/>
      <c r="X1540" s="3"/>
      <c r="Z1540" s="28"/>
    </row>
    <row r="1541" spans="2:26">
      <c r="B1541" s="2"/>
      <c r="N1541" s="27"/>
      <c r="R1541" s="15"/>
      <c r="X1541" s="3"/>
      <c r="Z1541" s="28"/>
    </row>
    <row r="1542" spans="2:26">
      <c r="B1542" s="2"/>
      <c r="N1542" s="27"/>
      <c r="R1542" s="15"/>
      <c r="X1542" s="3"/>
      <c r="Z1542" s="28"/>
    </row>
    <row r="1543" spans="2:26">
      <c r="B1543" s="2"/>
      <c r="N1543" s="27"/>
      <c r="R1543" s="15"/>
      <c r="X1543" s="3"/>
      <c r="Z1543" s="28"/>
    </row>
    <row r="1544" spans="2:26">
      <c r="B1544" s="2"/>
      <c r="N1544" s="27"/>
      <c r="R1544" s="15"/>
      <c r="X1544" s="3"/>
      <c r="Z1544" s="28"/>
    </row>
    <row r="1545" spans="2:26">
      <c r="B1545" s="2"/>
      <c r="N1545" s="27"/>
      <c r="R1545" s="15"/>
      <c r="X1545" s="3"/>
      <c r="Z1545" s="28"/>
    </row>
    <row r="1546" spans="2:26">
      <c r="B1546" s="2"/>
      <c r="N1546" s="27"/>
      <c r="R1546" s="15"/>
      <c r="X1546" s="3"/>
      <c r="Z1546" s="28"/>
    </row>
    <row r="1547" spans="2:26">
      <c r="B1547" s="2"/>
      <c r="N1547" s="27"/>
      <c r="R1547" s="15"/>
      <c r="X1547" s="3"/>
      <c r="Z1547" s="28"/>
    </row>
    <row r="1548" spans="2:26">
      <c r="B1548" s="2"/>
      <c r="N1548" s="27"/>
      <c r="R1548" s="15"/>
      <c r="X1548" s="3"/>
      <c r="Z1548" s="28"/>
    </row>
    <row r="1549" spans="2:26">
      <c r="B1549" s="2"/>
      <c r="N1549" s="27"/>
      <c r="R1549" s="15"/>
      <c r="X1549" s="3"/>
      <c r="Z1549" s="28"/>
    </row>
    <row r="1550" spans="2:26">
      <c r="B1550" s="2"/>
      <c r="N1550" s="27"/>
      <c r="R1550" s="15"/>
      <c r="X1550" s="3"/>
      <c r="Z1550" s="28"/>
    </row>
    <row r="1551" spans="2:26">
      <c r="B1551" s="2"/>
      <c r="N1551" s="27"/>
      <c r="R1551" s="15"/>
      <c r="X1551" s="3"/>
      <c r="Z1551" s="28"/>
    </row>
    <row r="1552" spans="2:26">
      <c r="B1552" s="2"/>
      <c r="N1552" s="27"/>
      <c r="R1552" s="15"/>
      <c r="X1552" s="3"/>
      <c r="Z1552" s="28"/>
    </row>
    <row r="1553" spans="2:26">
      <c r="B1553" s="2"/>
      <c r="N1553" s="27"/>
      <c r="R1553" s="15"/>
      <c r="X1553" s="3"/>
      <c r="Z1553" s="28"/>
    </row>
    <row r="1554" spans="2:26">
      <c r="B1554" s="2"/>
      <c r="N1554" s="27"/>
      <c r="R1554" s="15"/>
      <c r="X1554" s="3"/>
      <c r="Z1554" s="28"/>
    </row>
    <row r="1555" spans="2:26">
      <c r="B1555" s="2"/>
      <c r="N1555" s="27"/>
      <c r="R1555" s="15"/>
      <c r="X1555" s="3"/>
      <c r="Z1555" s="28"/>
    </row>
    <row r="1556" spans="2:26">
      <c r="B1556" s="2"/>
      <c r="N1556" s="27"/>
      <c r="R1556" s="15"/>
      <c r="X1556" s="3"/>
      <c r="Z1556" s="28"/>
    </row>
    <row r="1557" spans="2:26">
      <c r="B1557" s="2"/>
      <c r="N1557" s="27"/>
      <c r="R1557" s="15"/>
      <c r="X1557" s="3"/>
      <c r="Z1557" s="28"/>
    </row>
    <row r="1558" spans="2:26">
      <c r="B1558" s="2"/>
      <c r="N1558" s="27"/>
      <c r="R1558" s="15"/>
      <c r="X1558" s="3"/>
      <c r="Z1558" s="28"/>
    </row>
    <row r="1559" spans="2:26">
      <c r="B1559" s="2"/>
      <c r="N1559" s="27"/>
      <c r="R1559" s="15"/>
      <c r="X1559" s="3"/>
      <c r="Z1559" s="28"/>
    </row>
    <row r="1560" spans="2:26">
      <c r="B1560" s="2"/>
      <c r="N1560" s="27"/>
      <c r="R1560" s="15"/>
      <c r="X1560" s="3"/>
      <c r="Z1560" s="28"/>
    </row>
    <row r="1561" spans="2:26">
      <c r="B1561" s="2"/>
      <c r="N1561" s="27"/>
      <c r="R1561" s="15"/>
      <c r="X1561" s="3"/>
      <c r="Z1561" s="28"/>
    </row>
    <row r="1562" spans="2:26">
      <c r="B1562" s="2"/>
      <c r="N1562" s="27"/>
      <c r="R1562" s="15"/>
      <c r="X1562" s="3"/>
      <c r="Z1562" s="28"/>
    </row>
    <row r="1563" spans="2:26">
      <c r="B1563" s="2"/>
      <c r="N1563" s="27"/>
      <c r="R1563" s="15"/>
      <c r="X1563" s="3"/>
      <c r="Z1563" s="28"/>
    </row>
    <row r="1564" spans="2:26">
      <c r="B1564" s="2"/>
      <c r="N1564" s="27"/>
      <c r="R1564" s="15"/>
      <c r="X1564" s="3"/>
      <c r="Z1564" s="28"/>
    </row>
    <row r="1565" spans="2:26">
      <c r="B1565" s="2"/>
      <c r="N1565" s="27"/>
      <c r="R1565" s="15"/>
      <c r="X1565" s="3"/>
      <c r="Z1565" s="28"/>
    </row>
    <row r="1566" spans="2:26">
      <c r="B1566" s="2"/>
      <c r="N1566" s="27"/>
      <c r="R1566" s="15"/>
      <c r="X1566" s="3"/>
      <c r="Z1566" s="28"/>
    </row>
    <row r="1567" spans="2:26">
      <c r="B1567" s="2"/>
      <c r="N1567" s="27"/>
      <c r="R1567" s="15"/>
      <c r="X1567" s="3"/>
      <c r="Z1567" s="28"/>
    </row>
    <row r="1568" spans="2:26">
      <c r="B1568" s="2"/>
      <c r="N1568" s="27"/>
      <c r="R1568" s="15"/>
      <c r="X1568" s="3"/>
      <c r="Z1568" s="28"/>
    </row>
    <row r="1569" spans="2:26">
      <c r="B1569" s="2"/>
      <c r="N1569" s="27"/>
      <c r="R1569" s="15"/>
      <c r="X1569" s="3"/>
      <c r="Z1569" s="28"/>
    </row>
    <row r="1570" spans="2:26">
      <c r="B1570" s="2"/>
      <c r="N1570" s="27"/>
      <c r="R1570" s="15"/>
      <c r="X1570" s="3"/>
      <c r="Z1570" s="28"/>
    </row>
    <row r="1571" spans="2:26">
      <c r="B1571" s="2"/>
      <c r="N1571" s="27"/>
      <c r="R1571" s="15"/>
      <c r="X1571" s="3"/>
      <c r="Z1571" s="28"/>
    </row>
    <row r="1572" spans="2:26">
      <c r="B1572" s="2"/>
      <c r="N1572" s="27"/>
      <c r="R1572" s="15"/>
      <c r="X1572" s="3"/>
      <c r="Z1572" s="28"/>
    </row>
    <row r="1573" spans="2:26">
      <c r="B1573" s="2"/>
      <c r="N1573" s="27"/>
      <c r="R1573" s="15"/>
      <c r="X1573" s="3"/>
      <c r="Z1573" s="28"/>
    </row>
    <row r="1574" spans="2:26">
      <c r="B1574" s="2"/>
      <c r="N1574" s="27"/>
      <c r="R1574" s="15"/>
      <c r="X1574" s="3"/>
      <c r="Z1574" s="28"/>
    </row>
    <row r="1575" spans="2:26">
      <c r="B1575" s="2"/>
      <c r="N1575" s="27"/>
      <c r="R1575" s="15"/>
      <c r="X1575" s="3"/>
      <c r="Z1575" s="28"/>
    </row>
    <row r="1576" spans="2:26">
      <c r="B1576" s="2"/>
      <c r="N1576" s="27"/>
      <c r="R1576" s="15"/>
      <c r="X1576" s="3"/>
      <c r="Z1576" s="28"/>
    </row>
    <row r="1577" spans="2:26">
      <c r="B1577" s="2"/>
      <c r="N1577" s="27"/>
      <c r="R1577" s="15"/>
      <c r="X1577" s="3"/>
      <c r="Z1577" s="28"/>
    </row>
    <row r="1578" spans="2:26">
      <c r="B1578" s="2"/>
      <c r="N1578" s="27"/>
      <c r="R1578" s="15"/>
      <c r="X1578" s="3"/>
      <c r="Z1578" s="28"/>
    </row>
    <row r="1579" spans="2:26">
      <c r="B1579" s="2"/>
      <c r="N1579" s="27"/>
      <c r="R1579" s="15"/>
      <c r="X1579" s="3"/>
      <c r="Z1579" s="28"/>
    </row>
    <row r="1580" spans="2:26">
      <c r="B1580" s="2"/>
      <c r="N1580" s="27"/>
      <c r="R1580" s="15"/>
      <c r="X1580" s="3"/>
      <c r="Z1580" s="28"/>
    </row>
    <row r="1581" spans="2:26">
      <c r="B1581" s="2"/>
      <c r="N1581" s="27"/>
      <c r="R1581" s="15"/>
      <c r="X1581" s="3"/>
      <c r="Z1581" s="28"/>
    </row>
    <row r="1582" spans="2:26">
      <c r="B1582" s="2"/>
      <c r="N1582" s="27"/>
      <c r="R1582" s="15"/>
      <c r="X1582" s="3"/>
      <c r="Z1582" s="28"/>
    </row>
    <row r="1583" spans="2:26">
      <c r="B1583" s="2"/>
      <c r="N1583" s="27"/>
      <c r="R1583" s="15"/>
      <c r="X1583" s="3"/>
      <c r="Z1583" s="28"/>
    </row>
    <row r="1584" spans="2:26">
      <c r="B1584" s="2"/>
      <c r="N1584" s="27"/>
      <c r="R1584" s="15"/>
      <c r="X1584" s="3"/>
      <c r="Z1584" s="28"/>
    </row>
    <row r="1585" spans="2:26">
      <c r="B1585" s="2"/>
      <c r="N1585" s="27"/>
      <c r="R1585" s="15"/>
      <c r="X1585" s="3"/>
      <c r="Z1585" s="28"/>
    </row>
    <row r="1586" spans="2:26">
      <c r="B1586" s="2"/>
      <c r="N1586" s="27"/>
      <c r="R1586" s="15"/>
      <c r="X1586" s="3"/>
      <c r="Z1586" s="28"/>
    </row>
    <row r="1587" spans="2:26">
      <c r="B1587" s="2"/>
      <c r="N1587" s="27"/>
      <c r="R1587" s="15"/>
      <c r="X1587" s="3"/>
      <c r="Z1587" s="28"/>
    </row>
    <row r="1588" spans="2:26">
      <c r="B1588" s="2"/>
      <c r="N1588" s="27"/>
      <c r="R1588" s="15"/>
      <c r="X1588" s="3"/>
      <c r="Z1588" s="28"/>
    </row>
    <row r="1589" spans="2:26">
      <c r="B1589" s="2"/>
      <c r="N1589" s="27"/>
      <c r="R1589" s="15"/>
      <c r="X1589" s="3"/>
      <c r="Z1589" s="28"/>
    </row>
    <row r="1590" spans="2:26">
      <c r="B1590" s="2"/>
      <c r="N1590" s="27"/>
      <c r="R1590" s="15"/>
      <c r="X1590" s="3"/>
      <c r="Z1590" s="28"/>
    </row>
    <row r="1591" spans="2:26">
      <c r="B1591" s="2"/>
      <c r="N1591" s="27"/>
      <c r="R1591" s="15"/>
      <c r="X1591" s="3"/>
      <c r="Z1591" s="28"/>
    </row>
    <row r="1592" spans="2:26">
      <c r="B1592" s="2"/>
      <c r="N1592" s="27"/>
      <c r="R1592" s="15"/>
      <c r="X1592" s="3"/>
      <c r="Z1592" s="28"/>
    </row>
    <row r="1593" spans="2:26">
      <c r="B1593" s="2"/>
      <c r="N1593" s="27"/>
      <c r="R1593" s="15"/>
      <c r="X1593" s="3"/>
      <c r="Z1593" s="28"/>
    </row>
    <row r="1594" spans="2:26">
      <c r="B1594" s="2"/>
      <c r="N1594" s="27"/>
      <c r="R1594" s="15"/>
      <c r="X1594" s="3"/>
      <c r="Z1594" s="28"/>
    </row>
    <row r="1595" spans="2:26">
      <c r="B1595" s="2"/>
      <c r="N1595" s="27"/>
      <c r="R1595" s="15"/>
      <c r="X1595" s="3"/>
      <c r="Z1595" s="28"/>
    </row>
    <row r="1596" spans="2:26">
      <c r="B1596" s="2"/>
      <c r="N1596" s="27"/>
      <c r="R1596" s="15"/>
      <c r="X1596" s="3"/>
      <c r="Z1596" s="28"/>
    </row>
    <row r="1597" spans="2:26">
      <c r="B1597" s="2"/>
      <c r="N1597" s="27"/>
      <c r="R1597" s="15"/>
      <c r="X1597" s="3"/>
      <c r="Z1597" s="28"/>
    </row>
    <row r="1598" spans="2:26">
      <c r="B1598" s="2"/>
      <c r="N1598" s="27"/>
      <c r="R1598" s="15"/>
      <c r="X1598" s="3"/>
      <c r="Z1598" s="28"/>
    </row>
    <row r="1599" spans="2:26">
      <c r="B1599" s="2"/>
      <c r="N1599" s="27"/>
      <c r="R1599" s="15"/>
      <c r="X1599" s="3"/>
      <c r="Z1599" s="28"/>
    </row>
    <row r="1600" spans="2:26">
      <c r="B1600" s="2"/>
      <c r="N1600" s="27"/>
      <c r="R1600" s="15"/>
      <c r="X1600" s="3"/>
      <c r="Z1600" s="28"/>
    </row>
    <row r="1601" spans="2:26">
      <c r="B1601" s="2"/>
      <c r="N1601" s="27"/>
      <c r="R1601" s="15"/>
      <c r="X1601" s="3"/>
      <c r="Z1601" s="28"/>
    </row>
    <row r="1602" spans="2:26">
      <c r="B1602" s="2"/>
      <c r="N1602" s="27"/>
      <c r="R1602" s="15"/>
      <c r="X1602" s="3"/>
      <c r="Z1602" s="28"/>
    </row>
    <row r="1603" spans="2:26">
      <c r="B1603" s="2"/>
      <c r="N1603" s="27"/>
      <c r="R1603" s="15"/>
      <c r="X1603" s="3"/>
      <c r="Z1603" s="28"/>
    </row>
    <row r="1604" spans="2:26">
      <c r="B1604" s="2"/>
      <c r="N1604" s="27"/>
      <c r="R1604" s="15"/>
      <c r="X1604" s="3"/>
      <c r="Z1604" s="28"/>
    </row>
    <row r="1605" spans="2:26">
      <c r="B1605" s="2"/>
      <c r="N1605" s="27"/>
      <c r="R1605" s="15"/>
      <c r="X1605" s="3"/>
      <c r="Z1605" s="28"/>
    </row>
    <row r="1606" spans="2:26">
      <c r="B1606" s="2"/>
      <c r="N1606" s="27"/>
      <c r="R1606" s="15"/>
      <c r="X1606" s="3"/>
      <c r="Z1606" s="28"/>
    </row>
    <row r="1607" spans="2:26">
      <c r="B1607" s="2"/>
      <c r="N1607" s="27"/>
      <c r="R1607" s="15"/>
      <c r="X1607" s="3"/>
      <c r="Z1607" s="28"/>
    </row>
    <row r="1608" spans="2:26">
      <c r="B1608" s="2"/>
      <c r="N1608" s="27"/>
      <c r="R1608" s="15"/>
      <c r="X1608" s="3"/>
      <c r="Z1608" s="28"/>
    </row>
    <row r="1609" spans="2:26">
      <c r="B1609" s="2"/>
      <c r="N1609" s="27"/>
      <c r="R1609" s="15"/>
      <c r="X1609" s="3"/>
      <c r="Z1609" s="28"/>
    </row>
    <row r="1610" spans="2:26">
      <c r="B1610" s="2"/>
      <c r="N1610" s="27"/>
      <c r="R1610" s="15"/>
      <c r="X1610" s="3"/>
      <c r="Z1610" s="28"/>
    </row>
    <row r="1611" spans="2:26">
      <c r="B1611" s="2"/>
      <c r="N1611" s="27"/>
      <c r="R1611" s="15"/>
      <c r="X1611" s="3"/>
      <c r="Z1611" s="28"/>
    </row>
    <row r="1612" spans="2:26">
      <c r="B1612" s="2"/>
      <c r="N1612" s="27"/>
      <c r="R1612" s="15"/>
      <c r="X1612" s="3"/>
      <c r="Z1612" s="28"/>
    </row>
    <row r="1613" spans="2:26">
      <c r="B1613" s="2"/>
      <c r="N1613" s="27"/>
      <c r="R1613" s="15"/>
      <c r="X1613" s="3"/>
      <c r="Z1613" s="28"/>
    </row>
    <row r="1614" spans="2:26">
      <c r="B1614" s="2"/>
      <c r="N1614" s="27"/>
      <c r="R1614" s="15"/>
      <c r="X1614" s="3"/>
      <c r="Z1614" s="28"/>
    </row>
    <row r="1615" spans="2:26">
      <c r="B1615" s="2"/>
      <c r="N1615" s="27"/>
      <c r="R1615" s="15"/>
      <c r="X1615" s="3"/>
      <c r="Z1615" s="28"/>
    </row>
    <row r="1616" spans="2:26">
      <c r="B1616" s="2"/>
      <c r="N1616" s="27"/>
      <c r="R1616" s="15"/>
      <c r="X1616" s="3"/>
      <c r="Z1616" s="28"/>
    </row>
    <row r="1617" spans="2:26">
      <c r="B1617" s="2"/>
      <c r="N1617" s="27"/>
      <c r="R1617" s="15"/>
      <c r="X1617" s="3"/>
      <c r="Z1617" s="28"/>
    </row>
    <row r="1618" spans="2:26">
      <c r="B1618" s="2"/>
      <c r="N1618" s="27"/>
      <c r="R1618" s="15"/>
      <c r="X1618" s="3"/>
      <c r="Z1618" s="28"/>
    </row>
    <row r="1619" spans="2:26">
      <c r="B1619" s="2"/>
      <c r="N1619" s="27"/>
      <c r="R1619" s="15"/>
      <c r="X1619" s="3"/>
      <c r="Z1619" s="28"/>
    </row>
    <row r="1620" spans="2:26">
      <c r="B1620" s="2"/>
      <c r="N1620" s="27"/>
      <c r="R1620" s="15"/>
      <c r="X1620" s="3"/>
      <c r="Z1620" s="28"/>
    </row>
    <row r="1621" spans="2:26">
      <c r="B1621" s="2"/>
      <c r="N1621" s="27"/>
      <c r="R1621" s="15"/>
      <c r="X1621" s="3"/>
      <c r="Z1621" s="28"/>
    </row>
    <row r="1622" spans="2:26">
      <c r="B1622" s="2"/>
      <c r="N1622" s="27"/>
      <c r="R1622" s="15"/>
      <c r="X1622" s="3"/>
      <c r="Z1622" s="28"/>
    </row>
    <row r="1623" spans="2:26">
      <c r="B1623" s="2"/>
      <c r="N1623" s="27"/>
      <c r="R1623" s="15"/>
      <c r="X1623" s="3"/>
      <c r="Z1623" s="28"/>
    </row>
    <row r="1624" spans="2:26">
      <c r="B1624" s="2"/>
      <c r="N1624" s="27"/>
      <c r="R1624" s="15"/>
      <c r="X1624" s="3"/>
      <c r="Z1624" s="28"/>
    </row>
    <row r="1625" spans="2:26">
      <c r="B1625" s="2"/>
      <c r="N1625" s="27"/>
      <c r="R1625" s="15"/>
      <c r="X1625" s="3"/>
      <c r="Z1625" s="28"/>
    </row>
    <row r="1626" spans="2:26">
      <c r="B1626" s="2"/>
      <c r="N1626" s="27"/>
      <c r="R1626" s="15"/>
      <c r="X1626" s="3"/>
      <c r="Z1626" s="28"/>
    </row>
    <row r="1627" spans="2:26">
      <c r="B1627" s="2"/>
      <c r="N1627" s="27"/>
      <c r="R1627" s="15"/>
      <c r="X1627" s="3"/>
      <c r="Z1627" s="28"/>
    </row>
    <row r="1628" spans="2:26">
      <c r="B1628" s="2"/>
      <c r="N1628" s="27"/>
      <c r="R1628" s="15"/>
      <c r="X1628" s="3"/>
      <c r="Z1628" s="28"/>
    </row>
    <row r="1629" spans="2:26">
      <c r="B1629" s="2"/>
      <c r="N1629" s="27"/>
      <c r="R1629" s="15"/>
      <c r="X1629" s="3"/>
      <c r="Z1629" s="28"/>
    </row>
    <row r="1630" spans="2:26">
      <c r="B1630" s="2"/>
      <c r="N1630" s="27"/>
      <c r="R1630" s="15"/>
      <c r="X1630" s="3"/>
      <c r="Z1630" s="28"/>
    </row>
    <row r="1631" spans="2:26">
      <c r="B1631" s="2"/>
      <c r="N1631" s="27"/>
      <c r="R1631" s="15"/>
      <c r="X1631" s="3"/>
      <c r="Z1631" s="28"/>
    </row>
    <row r="1632" spans="2:26">
      <c r="B1632" s="2"/>
      <c r="N1632" s="27"/>
      <c r="R1632" s="15"/>
      <c r="X1632" s="3"/>
      <c r="Z1632" s="28"/>
    </row>
    <row r="1633" spans="2:26">
      <c r="B1633" s="2"/>
      <c r="N1633" s="27"/>
      <c r="R1633" s="15"/>
      <c r="X1633" s="3"/>
      <c r="Z1633" s="28"/>
    </row>
    <row r="1634" spans="2:26">
      <c r="B1634" s="2"/>
      <c r="N1634" s="27"/>
      <c r="R1634" s="15"/>
      <c r="X1634" s="3"/>
      <c r="Z1634" s="28"/>
    </row>
    <row r="1635" spans="2:26">
      <c r="B1635" s="2"/>
      <c r="N1635" s="27"/>
      <c r="R1635" s="15"/>
      <c r="X1635" s="3"/>
      <c r="Z1635" s="28"/>
    </row>
    <row r="1636" spans="2:26">
      <c r="B1636" s="2"/>
      <c r="N1636" s="27"/>
      <c r="R1636" s="15"/>
      <c r="X1636" s="3"/>
      <c r="Z1636" s="28"/>
    </row>
    <row r="1637" spans="2:26">
      <c r="B1637" s="2"/>
      <c r="N1637" s="27"/>
      <c r="R1637" s="15"/>
      <c r="X1637" s="3"/>
      <c r="Z1637" s="28"/>
    </row>
    <row r="1638" spans="2:26">
      <c r="B1638" s="2"/>
      <c r="N1638" s="27"/>
      <c r="R1638" s="15"/>
      <c r="X1638" s="3"/>
      <c r="Z1638" s="28"/>
    </row>
    <row r="1639" spans="2:26">
      <c r="B1639" s="2"/>
      <c r="N1639" s="27"/>
      <c r="R1639" s="15"/>
      <c r="X1639" s="3"/>
      <c r="Z1639" s="28"/>
    </row>
    <row r="1640" spans="2:26">
      <c r="B1640" s="2"/>
      <c r="N1640" s="27"/>
      <c r="R1640" s="15"/>
      <c r="X1640" s="3"/>
      <c r="Z1640" s="28"/>
    </row>
    <row r="1641" spans="2:26">
      <c r="B1641" s="2"/>
      <c r="N1641" s="27"/>
      <c r="R1641" s="15"/>
      <c r="X1641" s="3"/>
      <c r="Z1641" s="28"/>
    </row>
    <row r="1642" spans="2:26">
      <c r="B1642" s="2"/>
      <c r="N1642" s="27"/>
      <c r="R1642" s="15"/>
      <c r="X1642" s="3"/>
      <c r="Z1642" s="28"/>
    </row>
    <row r="1643" spans="2:26">
      <c r="B1643" s="2"/>
      <c r="N1643" s="27"/>
      <c r="R1643" s="15"/>
      <c r="X1643" s="3"/>
      <c r="Z1643" s="28"/>
    </row>
    <row r="1644" spans="2:26">
      <c r="B1644" s="2"/>
      <c r="N1644" s="27"/>
      <c r="R1644" s="15"/>
      <c r="X1644" s="3"/>
      <c r="Z1644" s="28"/>
    </row>
    <row r="1645" spans="2:26">
      <c r="B1645" s="2"/>
      <c r="N1645" s="27"/>
      <c r="R1645" s="15"/>
      <c r="X1645" s="3"/>
      <c r="Z1645" s="28"/>
    </row>
    <row r="1646" spans="2:26">
      <c r="B1646" s="2"/>
      <c r="N1646" s="27"/>
      <c r="R1646" s="15"/>
      <c r="X1646" s="3"/>
      <c r="Z1646" s="28"/>
    </row>
    <row r="1647" spans="2:26">
      <c r="B1647" s="2"/>
      <c r="N1647" s="27"/>
      <c r="R1647" s="15"/>
      <c r="X1647" s="3"/>
      <c r="Z1647" s="28"/>
    </row>
    <row r="1648" spans="2:26">
      <c r="B1648" s="2"/>
      <c r="N1648" s="27"/>
      <c r="R1648" s="15"/>
      <c r="X1648" s="3"/>
      <c r="Z1648" s="28"/>
    </row>
    <row r="1649" spans="2:26">
      <c r="B1649" s="2"/>
      <c r="N1649" s="27"/>
      <c r="R1649" s="15"/>
      <c r="X1649" s="3"/>
      <c r="Z1649" s="28"/>
    </row>
    <row r="1650" spans="2:26">
      <c r="B1650" s="2"/>
      <c r="N1650" s="27"/>
      <c r="R1650" s="15"/>
      <c r="X1650" s="3"/>
      <c r="Z1650" s="28"/>
    </row>
    <row r="1651" spans="2:26">
      <c r="B1651" s="2"/>
      <c r="N1651" s="27"/>
      <c r="R1651" s="15"/>
      <c r="X1651" s="3"/>
      <c r="Z1651" s="28"/>
    </row>
    <row r="1652" spans="2:26">
      <c r="B1652" s="2"/>
      <c r="N1652" s="27"/>
      <c r="R1652" s="15"/>
      <c r="X1652" s="3"/>
      <c r="Z1652" s="28"/>
    </row>
    <row r="1653" spans="2:26">
      <c r="B1653" s="2"/>
      <c r="N1653" s="27"/>
      <c r="R1653" s="15"/>
      <c r="X1653" s="3"/>
      <c r="Z1653" s="28"/>
    </row>
    <row r="1654" spans="2:26">
      <c r="B1654" s="2"/>
      <c r="N1654" s="27"/>
      <c r="R1654" s="15"/>
      <c r="X1654" s="3"/>
      <c r="Z1654" s="28"/>
    </row>
    <row r="1655" spans="2:26">
      <c r="B1655" s="2"/>
      <c r="N1655" s="27"/>
      <c r="R1655" s="15"/>
      <c r="X1655" s="3"/>
      <c r="Z1655" s="28"/>
    </row>
    <row r="1656" spans="2:26">
      <c r="B1656" s="2"/>
      <c r="N1656" s="27"/>
      <c r="R1656" s="15"/>
      <c r="X1656" s="3"/>
      <c r="Z1656" s="28"/>
    </row>
    <row r="1657" spans="2:26">
      <c r="B1657" s="2"/>
      <c r="N1657" s="27"/>
      <c r="R1657" s="15"/>
      <c r="X1657" s="3"/>
      <c r="Z1657" s="28"/>
    </row>
    <row r="1658" spans="2:26">
      <c r="B1658" s="2"/>
      <c r="N1658" s="27"/>
      <c r="R1658" s="15"/>
      <c r="X1658" s="3"/>
      <c r="Z1658" s="28"/>
    </row>
    <row r="1659" spans="2:26">
      <c r="B1659" s="2"/>
      <c r="N1659" s="27"/>
      <c r="R1659" s="15"/>
      <c r="X1659" s="3"/>
      <c r="Z1659" s="28"/>
    </row>
    <row r="1660" spans="2:26">
      <c r="B1660" s="2"/>
      <c r="N1660" s="27"/>
      <c r="R1660" s="15"/>
      <c r="X1660" s="3"/>
      <c r="Z1660" s="28"/>
    </row>
    <row r="1661" spans="2:26">
      <c r="B1661" s="2"/>
      <c r="N1661" s="27"/>
      <c r="R1661" s="15"/>
      <c r="X1661" s="3"/>
      <c r="Z1661" s="28"/>
    </row>
    <row r="1662" spans="2:26">
      <c r="B1662" s="2"/>
      <c r="N1662" s="27"/>
      <c r="R1662" s="15"/>
      <c r="X1662" s="3"/>
      <c r="Z1662" s="28"/>
    </row>
    <row r="1663" spans="2:26">
      <c r="B1663" s="2"/>
      <c r="N1663" s="27"/>
      <c r="R1663" s="15"/>
      <c r="X1663" s="3"/>
      <c r="Z1663" s="28"/>
    </row>
    <row r="1664" spans="2:26">
      <c r="B1664" s="2"/>
      <c r="N1664" s="27"/>
      <c r="R1664" s="15"/>
      <c r="X1664" s="3"/>
      <c r="Z1664" s="28"/>
    </row>
    <row r="1665" spans="2:26">
      <c r="B1665" s="2"/>
      <c r="N1665" s="27"/>
      <c r="R1665" s="15"/>
      <c r="X1665" s="3"/>
      <c r="Z1665" s="28"/>
    </row>
    <row r="1666" spans="2:26">
      <c r="B1666" s="2"/>
      <c r="N1666" s="27"/>
      <c r="R1666" s="15"/>
      <c r="X1666" s="3"/>
      <c r="Z1666" s="28"/>
    </row>
    <row r="1667" spans="2:26">
      <c r="B1667" s="2"/>
      <c r="N1667" s="27"/>
      <c r="R1667" s="15"/>
      <c r="X1667" s="3"/>
      <c r="Z1667" s="28"/>
    </row>
    <row r="1668" spans="2:26">
      <c r="B1668" s="2"/>
      <c r="N1668" s="27"/>
      <c r="R1668" s="15"/>
      <c r="X1668" s="3"/>
      <c r="Z1668" s="28"/>
    </row>
    <row r="1669" spans="2:26">
      <c r="B1669" s="2"/>
      <c r="N1669" s="27"/>
      <c r="R1669" s="15"/>
      <c r="X1669" s="3"/>
      <c r="Z1669" s="28"/>
    </row>
    <row r="1670" spans="2:26">
      <c r="B1670" s="2"/>
      <c r="N1670" s="27"/>
      <c r="R1670" s="15"/>
      <c r="X1670" s="3"/>
      <c r="Z1670" s="28"/>
    </row>
    <row r="1671" spans="2:26">
      <c r="B1671" s="2"/>
      <c r="N1671" s="27"/>
      <c r="R1671" s="15"/>
      <c r="X1671" s="3"/>
      <c r="Z1671" s="28"/>
    </row>
    <row r="1672" spans="2:26">
      <c r="B1672" s="2"/>
      <c r="N1672" s="27"/>
      <c r="R1672" s="15"/>
      <c r="X1672" s="3"/>
      <c r="Z1672" s="28"/>
    </row>
    <row r="1673" spans="2:26">
      <c r="B1673" s="2"/>
      <c r="N1673" s="27"/>
      <c r="R1673" s="15"/>
      <c r="X1673" s="3"/>
      <c r="Z1673" s="28"/>
    </row>
    <row r="1674" spans="2:26">
      <c r="B1674" s="2"/>
      <c r="N1674" s="27"/>
      <c r="R1674" s="15"/>
      <c r="X1674" s="3"/>
      <c r="Z1674" s="28"/>
    </row>
    <row r="1675" spans="2:26">
      <c r="B1675" s="2"/>
      <c r="N1675" s="27"/>
      <c r="R1675" s="15"/>
      <c r="X1675" s="3"/>
      <c r="Z1675" s="28"/>
    </row>
    <row r="1676" spans="2:26">
      <c r="B1676" s="2"/>
      <c r="N1676" s="27"/>
      <c r="R1676" s="15"/>
      <c r="X1676" s="3"/>
      <c r="Z1676" s="28"/>
    </row>
    <row r="1677" spans="2:26">
      <c r="B1677" s="2"/>
      <c r="N1677" s="27"/>
      <c r="R1677" s="15"/>
      <c r="X1677" s="3"/>
      <c r="Z1677" s="28"/>
    </row>
    <row r="1678" spans="2:26">
      <c r="B1678" s="2"/>
      <c r="N1678" s="27"/>
      <c r="R1678" s="15"/>
      <c r="X1678" s="3"/>
      <c r="Z1678" s="28"/>
    </row>
    <row r="1679" spans="2:26">
      <c r="B1679" s="2"/>
      <c r="N1679" s="27"/>
      <c r="R1679" s="15"/>
      <c r="X1679" s="3"/>
      <c r="Z1679" s="28"/>
    </row>
    <row r="1680" spans="2:26">
      <c r="B1680" s="2"/>
      <c r="N1680" s="27"/>
      <c r="R1680" s="15"/>
      <c r="X1680" s="3"/>
      <c r="Z1680" s="28"/>
    </row>
    <row r="1681" spans="2:26">
      <c r="B1681" s="2"/>
      <c r="N1681" s="27"/>
      <c r="R1681" s="15"/>
      <c r="X1681" s="3"/>
      <c r="Z1681" s="28"/>
    </row>
    <row r="1682" spans="2:26">
      <c r="B1682" s="2"/>
      <c r="N1682" s="27"/>
      <c r="R1682" s="15"/>
      <c r="X1682" s="3"/>
      <c r="Z1682" s="28"/>
    </row>
    <row r="1683" spans="2:26">
      <c r="B1683" s="2"/>
      <c r="N1683" s="27"/>
      <c r="R1683" s="15"/>
      <c r="X1683" s="3"/>
      <c r="Z1683" s="28"/>
    </row>
    <row r="1684" spans="2:26">
      <c r="B1684" s="2"/>
      <c r="N1684" s="27"/>
      <c r="R1684" s="15"/>
      <c r="X1684" s="3"/>
      <c r="Z1684" s="28"/>
    </row>
    <row r="1685" spans="2:26">
      <c r="B1685" s="2"/>
      <c r="N1685" s="27"/>
      <c r="R1685" s="15"/>
      <c r="X1685" s="3"/>
      <c r="Z1685" s="28"/>
    </row>
    <row r="1686" spans="2:26">
      <c r="B1686" s="2"/>
      <c r="N1686" s="27"/>
      <c r="R1686" s="15"/>
      <c r="X1686" s="3"/>
      <c r="Z1686" s="28"/>
    </row>
    <row r="1687" spans="2:26">
      <c r="B1687" s="2"/>
      <c r="N1687" s="27"/>
      <c r="R1687" s="15"/>
      <c r="X1687" s="3"/>
      <c r="Z1687" s="28"/>
    </row>
    <row r="1688" spans="2:26">
      <c r="B1688" s="2"/>
      <c r="N1688" s="27"/>
      <c r="R1688" s="15"/>
      <c r="X1688" s="3"/>
      <c r="Z1688" s="28"/>
    </row>
    <row r="1689" spans="2:26">
      <c r="B1689" s="2"/>
      <c r="N1689" s="27"/>
      <c r="R1689" s="15"/>
      <c r="X1689" s="3"/>
      <c r="Z1689" s="28"/>
    </row>
    <row r="1690" spans="2:26">
      <c r="B1690" s="2"/>
      <c r="N1690" s="27"/>
      <c r="R1690" s="15"/>
      <c r="X1690" s="3"/>
      <c r="Z1690" s="28"/>
    </row>
    <row r="1691" spans="2:26">
      <c r="B1691" s="2"/>
      <c r="N1691" s="27"/>
      <c r="R1691" s="15"/>
      <c r="X1691" s="3"/>
      <c r="Z1691" s="28"/>
    </row>
    <row r="1692" spans="2:26">
      <c r="B1692" s="2"/>
      <c r="N1692" s="27"/>
      <c r="R1692" s="15"/>
      <c r="X1692" s="3"/>
      <c r="Z1692" s="28"/>
    </row>
    <row r="1693" spans="2:26">
      <c r="B1693" s="2"/>
      <c r="N1693" s="27"/>
      <c r="R1693" s="15"/>
      <c r="X1693" s="3"/>
      <c r="Z1693" s="28"/>
    </row>
    <row r="1694" spans="2:26">
      <c r="B1694" s="2"/>
      <c r="N1694" s="27"/>
      <c r="R1694" s="15"/>
      <c r="X1694" s="3"/>
      <c r="Z1694" s="28"/>
    </row>
    <row r="1695" spans="2:26">
      <c r="B1695" s="2"/>
      <c r="N1695" s="27"/>
      <c r="R1695" s="15"/>
      <c r="X1695" s="3"/>
      <c r="Z1695" s="28"/>
    </row>
    <row r="1696" spans="2:26">
      <c r="B1696" s="2"/>
      <c r="N1696" s="27"/>
      <c r="R1696" s="15"/>
      <c r="X1696" s="3"/>
      <c r="Z1696" s="28"/>
    </row>
    <row r="1697" spans="2:26">
      <c r="B1697" s="2"/>
      <c r="N1697" s="27"/>
      <c r="R1697" s="15"/>
      <c r="X1697" s="3"/>
      <c r="Z1697" s="28"/>
    </row>
    <row r="1698" spans="2:26">
      <c r="B1698" s="2"/>
      <c r="N1698" s="27"/>
      <c r="R1698" s="15"/>
      <c r="X1698" s="3"/>
      <c r="Z1698" s="28"/>
    </row>
    <row r="1699" spans="2:26">
      <c r="B1699" s="2"/>
      <c r="N1699" s="27"/>
      <c r="R1699" s="15"/>
      <c r="X1699" s="3"/>
      <c r="Z1699" s="28"/>
    </row>
    <row r="1700" spans="2:26">
      <c r="B1700" s="2"/>
      <c r="N1700" s="27"/>
      <c r="R1700" s="15"/>
      <c r="X1700" s="3"/>
      <c r="Z1700" s="28"/>
    </row>
    <row r="1701" spans="2:26">
      <c r="B1701" s="2"/>
      <c r="N1701" s="27"/>
      <c r="R1701" s="15"/>
      <c r="X1701" s="3"/>
      <c r="Z1701" s="28"/>
    </row>
    <row r="1702" spans="2:26">
      <c r="B1702" s="2"/>
      <c r="N1702" s="27"/>
      <c r="R1702" s="15"/>
      <c r="X1702" s="3"/>
      <c r="Z1702" s="28"/>
    </row>
    <row r="1703" spans="2:26">
      <c r="B1703" s="2"/>
      <c r="N1703" s="27"/>
      <c r="R1703" s="15"/>
      <c r="X1703" s="3"/>
      <c r="Z1703" s="28"/>
    </row>
    <row r="1704" spans="2:26">
      <c r="B1704" s="2"/>
      <c r="N1704" s="27"/>
      <c r="R1704" s="15"/>
      <c r="X1704" s="3"/>
      <c r="Z1704" s="28"/>
    </row>
    <row r="1705" spans="2:26">
      <c r="B1705" s="2"/>
      <c r="N1705" s="27"/>
      <c r="R1705" s="15"/>
      <c r="X1705" s="3"/>
      <c r="Z1705" s="28"/>
    </row>
    <row r="1706" spans="2:26">
      <c r="B1706" s="2"/>
      <c r="N1706" s="27"/>
      <c r="R1706" s="15"/>
      <c r="X1706" s="3"/>
      <c r="Z1706" s="28"/>
    </row>
    <row r="1707" spans="2:26">
      <c r="B1707" s="2"/>
      <c r="N1707" s="27"/>
      <c r="R1707" s="15"/>
      <c r="X1707" s="3"/>
      <c r="Z1707" s="28"/>
    </row>
    <row r="1708" spans="2:26">
      <c r="B1708" s="2"/>
      <c r="N1708" s="27"/>
      <c r="R1708" s="15"/>
      <c r="X1708" s="3"/>
      <c r="Z1708" s="28"/>
    </row>
    <row r="1709" spans="2:26">
      <c r="B1709" s="2"/>
      <c r="N1709" s="27"/>
      <c r="R1709" s="15"/>
      <c r="X1709" s="3"/>
      <c r="Z1709" s="28"/>
    </row>
    <row r="1710" spans="2:26">
      <c r="B1710" s="2"/>
      <c r="N1710" s="27"/>
      <c r="R1710" s="15"/>
      <c r="X1710" s="3"/>
      <c r="Z1710" s="28"/>
    </row>
    <row r="1711" spans="2:26">
      <c r="B1711" s="2"/>
      <c r="N1711" s="27"/>
      <c r="R1711" s="15"/>
      <c r="X1711" s="3"/>
      <c r="Z1711" s="28"/>
    </row>
    <row r="1712" spans="2:26">
      <c r="B1712" s="2"/>
      <c r="N1712" s="27"/>
      <c r="R1712" s="15"/>
      <c r="X1712" s="3"/>
      <c r="Z1712" s="28"/>
    </row>
    <row r="1713" spans="2:26">
      <c r="B1713" s="2"/>
      <c r="N1713" s="27"/>
      <c r="R1713" s="15"/>
      <c r="X1713" s="3"/>
      <c r="Z1713" s="28"/>
    </row>
    <row r="1714" spans="2:26">
      <c r="B1714" s="2"/>
      <c r="N1714" s="27"/>
      <c r="R1714" s="15"/>
      <c r="X1714" s="3"/>
      <c r="Z1714" s="28"/>
    </row>
    <row r="1715" spans="2:26">
      <c r="B1715" s="2"/>
      <c r="N1715" s="27"/>
      <c r="R1715" s="15"/>
      <c r="X1715" s="3"/>
      <c r="Z1715" s="28"/>
    </row>
    <row r="1716" spans="2:26">
      <c r="B1716" s="2"/>
      <c r="N1716" s="27"/>
      <c r="R1716" s="15"/>
      <c r="X1716" s="3"/>
      <c r="Z1716" s="28"/>
    </row>
    <row r="1717" spans="2:26">
      <c r="B1717" s="2"/>
      <c r="N1717" s="27"/>
      <c r="R1717" s="15"/>
      <c r="X1717" s="3"/>
      <c r="Z1717" s="28"/>
    </row>
    <row r="1718" spans="2:26">
      <c r="B1718" s="2"/>
      <c r="N1718" s="27"/>
      <c r="R1718" s="15"/>
      <c r="X1718" s="3"/>
      <c r="Z1718" s="28"/>
    </row>
    <row r="1719" spans="2:26">
      <c r="B1719" s="2"/>
      <c r="N1719" s="27"/>
      <c r="R1719" s="15"/>
      <c r="X1719" s="3"/>
      <c r="Z1719" s="28"/>
    </row>
    <row r="1720" spans="2:26">
      <c r="B1720" s="2"/>
      <c r="N1720" s="27"/>
      <c r="R1720" s="15"/>
      <c r="X1720" s="3"/>
      <c r="Z1720" s="28"/>
    </row>
    <row r="1721" spans="2:26">
      <c r="B1721" s="2"/>
      <c r="N1721" s="27"/>
      <c r="R1721" s="15"/>
      <c r="X1721" s="3"/>
      <c r="Z1721" s="28"/>
    </row>
    <row r="1722" spans="2:26">
      <c r="B1722" s="2"/>
      <c r="N1722" s="27"/>
      <c r="R1722" s="15"/>
      <c r="X1722" s="3"/>
      <c r="Z1722" s="28"/>
    </row>
    <row r="1723" spans="2:26">
      <c r="B1723" s="2"/>
      <c r="N1723" s="27"/>
      <c r="R1723" s="15"/>
      <c r="X1723" s="3"/>
      <c r="Z1723" s="28"/>
    </row>
    <row r="1724" spans="2:26">
      <c r="B1724" s="2"/>
      <c r="N1724" s="27"/>
      <c r="R1724" s="15"/>
      <c r="X1724" s="3"/>
      <c r="Z1724" s="28"/>
    </row>
    <row r="1725" spans="2:26">
      <c r="B1725" s="2"/>
      <c r="N1725" s="27"/>
      <c r="R1725" s="15"/>
      <c r="X1725" s="3"/>
      <c r="Z1725" s="28"/>
    </row>
    <row r="1726" spans="2:26">
      <c r="B1726" s="2"/>
      <c r="N1726" s="27"/>
      <c r="R1726" s="15"/>
      <c r="X1726" s="3"/>
      <c r="Z1726" s="28"/>
    </row>
    <row r="1727" spans="2:26">
      <c r="B1727" s="2"/>
      <c r="N1727" s="27"/>
      <c r="R1727" s="15"/>
      <c r="X1727" s="3"/>
      <c r="Z1727" s="28"/>
    </row>
    <row r="1728" spans="2:26">
      <c r="B1728" s="2"/>
      <c r="N1728" s="27"/>
      <c r="R1728" s="15"/>
      <c r="X1728" s="3"/>
      <c r="Z1728" s="28"/>
    </row>
    <row r="1729" spans="2:26">
      <c r="B1729" s="2"/>
      <c r="N1729" s="27"/>
      <c r="R1729" s="15"/>
      <c r="X1729" s="3"/>
      <c r="Z1729" s="28"/>
    </row>
    <row r="1730" spans="2:26">
      <c r="B1730" s="2"/>
      <c r="N1730" s="27"/>
      <c r="R1730" s="15"/>
      <c r="X1730" s="3"/>
      <c r="Z1730" s="28"/>
    </row>
    <row r="1731" spans="2:26">
      <c r="B1731" s="2"/>
      <c r="N1731" s="27"/>
      <c r="R1731" s="15"/>
      <c r="X1731" s="3"/>
      <c r="Z1731" s="28"/>
    </row>
    <row r="1732" spans="2:26">
      <c r="B1732" s="2"/>
      <c r="N1732" s="27"/>
      <c r="R1732" s="15"/>
      <c r="X1732" s="3"/>
      <c r="Z1732" s="28"/>
    </row>
    <row r="1733" spans="2:26">
      <c r="B1733" s="2"/>
      <c r="N1733" s="27"/>
      <c r="R1733" s="15"/>
      <c r="X1733" s="3"/>
      <c r="Z1733" s="28"/>
    </row>
    <row r="1734" spans="2:26">
      <c r="B1734" s="2"/>
      <c r="N1734" s="27"/>
      <c r="R1734" s="15"/>
      <c r="X1734" s="3"/>
      <c r="Z1734" s="28"/>
    </row>
    <row r="1735" spans="2:26">
      <c r="B1735" s="2"/>
      <c r="N1735" s="27"/>
      <c r="R1735" s="15"/>
      <c r="X1735" s="3"/>
      <c r="Z1735" s="28"/>
    </row>
    <row r="1736" spans="2:26">
      <c r="B1736" s="2"/>
      <c r="N1736" s="27"/>
      <c r="R1736" s="15"/>
      <c r="X1736" s="3"/>
      <c r="Z1736" s="28"/>
    </row>
    <row r="1737" spans="2:26">
      <c r="B1737" s="2"/>
      <c r="N1737" s="27"/>
      <c r="R1737" s="15"/>
      <c r="X1737" s="3"/>
      <c r="Z1737" s="28"/>
    </row>
    <row r="1738" spans="2:26">
      <c r="B1738" s="2"/>
      <c r="N1738" s="27"/>
      <c r="R1738" s="15"/>
      <c r="X1738" s="3"/>
      <c r="Z1738" s="28"/>
    </row>
    <row r="1739" spans="2:26">
      <c r="B1739" s="2"/>
      <c r="N1739" s="27"/>
      <c r="R1739" s="15"/>
      <c r="X1739" s="3"/>
      <c r="Z1739" s="28"/>
    </row>
    <row r="1740" spans="2:26">
      <c r="B1740" s="2"/>
      <c r="N1740" s="27"/>
      <c r="R1740" s="15"/>
      <c r="X1740" s="3"/>
      <c r="Z1740" s="28"/>
    </row>
    <row r="1741" spans="2:26">
      <c r="B1741" s="2"/>
      <c r="N1741" s="27"/>
      <c r="R1741" s="15"/>
      <c r="X1741" s="3"/>
      <c r="Z1741" s="28"/>
    </row>
    <row r="1742" spans="2:26">
      <c r="B1742" s="2"/>
      <c r="N1742" s="27"/>
      <c r="R1742" s="15"/>
      <c r="X1742" s="3"/>
      <c r="Z1742" s="28"/>
    </row>
    <row r="1743" spans="2:26">
      <c r="B1743" s="2"/>
      <c r="N1743" s="27"/>
      <c r="R1743" s="15"/>
      <c r="X1743" s="3"/>
      <c r="Z1743" s="28"/>
    </row>
    <row r="1744" spans="2:26">
      <c r="B1744" s="2"/>
      <c r="N1744" s="27"/>
      <c r="R1744" s="15"/>
      <c r="X1744" s="3"/>
      <c r="Z1744" s="28"/>
    </row>
    <row r="1745" spans="2:26">
      <c r="B1745" s="2"/>
      <c r="N1745" s="27"/>
      <c r="R1745" s="15"/>
      <c r="X1745" s="3"/>
      <c r="Z1745" s="28"/>
    </row>
    <row r="1746" spans="2:26">
      <c r="B1746" s="2"/>
      <c r="N1746" s="27"/>
      <c r="R1746" s="15"/>
      <c r="X1746" s="3"/>
      <c r="Z1746" s="28"/>
    </row>
    <row r="1747" spans="2:26">
      <c r="B1747" s="2"/>
      <c r="N1747" s="27"/>
      <c r="R1747" s="15"/>
      <c r="X1747" s="3"/>
      <c r="Z1747" s="28"/>
    </row>
    <row r="1748" spans="2:26">
      <c r="B1748" s="2"/>
      <c r="N1748" s="27"/>
      <c r="R1748" s="15"/>
      <c r="X1748" s="3"/>
      <c r="Z1748" s="28"/>
    </row>
    <row r="1749" spans="2:26">
      <c r="B1749" s="2"/>
      <c r="N1749" s="27"/>
      <c r="R1749" s="15"/>
      <c r="X1749" s="3"/>
      <c r="Z1749" s="28"/>
    </row>
    <row r="1750" spans="2:26">
      <c r="B1750" s="2"/>
      <c r="N1750" s="27"/>
      <c r="R1750" s="15"/>
      <c r="X1750" s="3"/>
      <c r="Z1750" s="28"/>
    </row>
    <row r="1751" spans="2:26">
      <c r="B1751" s="2"/>
      <c r="N1751" s="27"/>
      <c r="R1751" s="15"/>
      <c r="X1751" s="3"/>
      <c r="Z1751" s="28"/>
    </row>
    <row r="1752" spans="2:26">
      <c r="B1752" s="2"/>
      <c r="N1752" s="27"/>
      <c r="R1752" s="15"/>
      <c r="X1752" s="3"/>
      <c r="Z1752" s="28"/>
    </row>
    <row r="1753" spans="2:26">
      <c r="B1753" s="2"/>
      <c r="N1753" s="27"/>
      <c r="R1753" s="15"/>
      <c r="X1753" s="3"/>
      <c r="Z1753" s="28"/>
    </row>
    <row r="1754" spans="2:26">
      <c r="B1754" s="2"/>
      <c r="N1754" s="27"/>
      <c r="R1754" s="15"/>
      <c r="X1754" s="3"/>
      <c r="Z1754" s="28"/>
    </row>
    <row r="1755" spans="2:26">
      <c r="B1755" s="2"/>
      <c r="N1755" s="27"/>
      <c r="R1755" s="15"/>
      <c r="X1755" s="3"/>
      <c r="Z1755" s="28"/>
    </row>
    <row r="1756" spans="2:26">
      <c r="B1756" s="2"/>
      <c r="N1756" s="27"/>
      <c r="R1756" s="15"/>
      <c r="X1756" s="3"/>
      <c r="Z1756" s="28"/>
    </row>
    <row r="1757" spans="2:26">
      <c r="B1757" s="2"/>
      <c r="N1757" s="27"/>
      <c r="R1757" s="15"/>
      <c r="X1757" s="3"/>
      <c r="Z1757" s="28"/>
    </row>
    <row r="1758" spans="2:26">
      <c r="B1758" s="2"/>
      <c r="N1758" s="27"/>
      <c r="R1758" s="15"/>
      <c r="X1758" s="3"/>
      <c r="Z1758" s="28"/>
    </row>
    <row r="1759" spans="2:26">
      <c r="B1759" s="2"/>
      <c r="N1759" s="27"/>
      <c r="R1759" s="15"/>
      <c r="X1759" s="3"/>
      <c r="Z1759" s="28"/>
    </row>
    <row r="1760" spans="2:26">
      <c r="B1760" s="2"/>
      <c r="N1760" s="27"/>
      <c r="R1760" s="15"/>
      <c r="X1760" s="3"/>
      <c r="Z1760" s="28"/>
    </row>
    <row r="1761" spans="2:26">
      <c r="B1761" s="2"/>
      <c r="N1761" s="27"/>
      <c r="R1761" s="15"/>
      <c r="X1761" s="3"/>
      <c r="Z1761" s="28"/>
    </row>
    <row r="1762" spans="2:26">
      <c r="B1762" s="2"/>
      <c r="N1762" s="27"/>
      <c r="R1762" s="15"/>
      <c r="X1762" s="3"/>
      <c r="Z1762" s="28"/>
    </row>
    <row r="1763" spans="2:26">
      <c r="B1763" s="2"/>
      <c r="N1763" s="27"/>
      <c r="R1763" s="15"/>
      <c r="X1763" s="3"/>
      <c r="Z1763" s="28"/>
    </row>
    <row r="1764" spans="2:26">
      <c r="B1764" s="2"/>
      <c r="N1764" s="27"/>
      <c r="R1764" s="15"/>
      <c r="X1764" s="3"/>
      <c r="Z1764" s="28"/>
    </row>
    <row r="1765" spans="2:26">
      <c r="B1765" s="2"/>
      <c r="N1765" s="27"/>
      <c r="R1765" s="15"/>
      <c r="X1765" s="3"/>
      <c r="Z1765" s="28"/>
    </row>
    <row r="1766" spans="2:26">
      <c r="B1766" s="2"/>
      <c r="N1766" s="27"/>
      <c r="R1766" s="15"/>
      <c r="X1766" s="3"/>
      <c r="Z1766" s="28"/>
    </row>
    <row r="1767" spans="2:26">
      <c r="B1767" s="2"/>
      <c r="N1767" s="27"/>
      <c r="R1767" s="15"/>
      <c r="X1767" s="3"/>
      <c r="Z1767" s="28"/>
    </row>
    <row r="1768" spans="2:26">
      <c r="B1768" s="2"/>
      <c r="N1768" s="27"/>
      <c r="R1768" s="15"/>
      <c r="X1768" s="3"/>
      <c r="Z1768" s="28"/>
    </row>
    <row r="1769" spans="2:26">
      <c r="B1769" s="2"/>
      <c r="N1769" s="27"/>
      <c r="R1769" s="15"/>
      <c r="X1769" s="3"/>
      <c r="Z1769" s="28"/>
    </row>
    <row r="1770" spans="2:26">
      <c r="B1770" s="2"/>
      <c r="N1770" s="27"/>
      <c r="R1770" s="15"/>
      <c r="X1770" s="3"/>
      <c r="Z1770" s="28"/>
    </row>
    <row r="1771" spans="2:26">
      <c r="B1771" s="2"/>
      <c r="N1771" s="27"/>
      <c r="R1771" s="15"/>
      <c r="X1771" s="3"/>
      <c r="Z1771" s="28"/>
    </row>
    <row r="1772" spans="2:26">
      <c r="B1772" s="2"/>
      <c r="N1772" s="27"/>
      <c r="R1772" s="15"/>
      <c r="X1772" s="3"/>
      <c r="Z1772" s="28"/>
    </row>
    <row r="1773" spans="2:26">
      <c r="B1773" s="2"/>
      <c r="N1773" s="27"/>
      <c r="R1773" s="15"/>
      <c r="X1773" s="3"/>
      <c r="Z1773" s="28"/>
    </row>
    <row r="1774" spans="2:26">
      <c r="B1774" s="2"/>
      <c r="N1774" s="27"/>
      <c r="R1774" s="15"/>
      <c r="X1774" s="3"/>
      <c r="Z1774" s="28"/>
    </row>
    <row r="1775" spans="2:26">
      <c r="B1775" s="2"/>
      <c r="N1775" s="27"/>
      <c r="R1775" s="15"/>
      <c r="X1775" s="3"/>
      <c r="Z1775" s="28"/>
    </row>
    <row r="1776" spans="2:26">
      <c r="B1776" s="2"/>
      <c r="N1776" s="27"/>
      <c r="R1776" s="15"/>
      <c r="X1776" s="3"/>
      <c r="Z1776" s="28"/>
    </row>
    <row r="1777" spans="2:26">
      <c r="B1777" s="2"/>
      <c r="N1777" s="27"/>
      <c r="R1777" s="15"/>
      <c r="X1777" s="3"/>
      <c r="Z1777" s="28"/>
    </row>
    <row r="1778" spans="2:26">
      <c r="B1778" s="2"/>
      <c r="N1778" s="27"/>
      <c r="R1778" s="15"/>
      <c r="X1778" s="3"/>
      <c r="Z1778" s="28"/>
    </row>
    <row r="1779" spans="2:26">
      <c r="B1779" s="2"/>
      <c r="N1779" s="27"/>
      <c r="R1779" s="15"/>
      <c r="X1779" s="3"/>
      <c r="Z1779" s="28"/>
    </row>
    <row r="1780" spans="2:26">
      <c r="B1780" s="2"/>
      <c r="N1780" s="27"/>
      <c r="R1780" s="15"/>
      <c r="X1780" s="3"/>
      <c r="Z1780" s="28"/>
    </row>
    <row r="1781" spans="2:26">
      <c r="B1781" s="2"/>
      <c r="N1781" s="27"/>
      <c r="R1781" s="15"/>
      <c r="X1781" s="3"/>
      <c r="Z1781" s="28"/>
    </row>
    <row r="1782" spans="2:26">
      <c r="B1782" s="2"/>
      <c r="N1782" s="27"/>
      <c r="R1782" s="15"/>
      <c r="X1782" s="3"/>
      <c r="Z1782" s="28"/>
    </row>
    <row r="1783" spans="2:26">
      <c r="B1783" s="2"/>
      <c r="N1783" s="27"/>
      <c r="R1783" s="15"/>
      <c r="X1783" s="3"/>
      <c r="Z1783" s="28"/>
    </row>
    <row r="1784" spans="2:26">
      <c r="B1784" s="2"/>
      <c r="N1784" s="27"/>
      <c r="R1784" s="15"/>
      <c r="X1784" s="3"/>
      <c r="Z1784" s="28"/>
    </row>
    <row r="1785" spans="2:26">
      <c r="B1785" s="2"/>
      <c r="N1785" s="27"/>
      <c r="R1785" s="15"/>
      <c r="X1785" s="3"/>
      <c r="Z1785" s="28"/>
    </row>
    <row r="1786" spans="2:26">
      <c r="B1786" s="2"/>
      <c r="N1786" s="27"/>
      <c r="R1786" s="15"/>
      <c r="X1786" s="3"/>
      <c r="Z1786" s="28"/>
    </row>
    <row r="1787" spans="2:26">
      <c r="B1787" s="2"/>
      <c r="N1787" s="27"/>
      <c r="R1787" s="15"/>
      <c r="X1787" s="3"/>
      <c r="Z1787" s="28"/>
    </row>
    <row r="1788" spans="2:26">
      <c r="B1788" s="2"/>
      <c r="N1788" s="27"/>
      <c r="R1788" s="15"/>
      <c r="X1788" s="3"/>
      <c r="Z1788" s="28"/>
    </row>
    <row r="1789" spans="2:26">
      <c r="B1789" s="2"/>
      <c r="N1789" s="27"/>
      <c r="R1789" s="15"/>
      <c r="X1789" s="3"/>
      <c r="Z1789" s="28"/>
    </row>
    <row r="1790" spans="2:26">
      <c r="B1790" s="2"/>
      <c r="N1790" s="27"/>
      <c r="R1790" s="15"/>
      <c r="X1790" s="3"/>
      <c r="Z1790" s="28"/>
    </row>
    <row r="1791" spans="2:26">
      <c r="B1791" s="2"/>
      <c r="N1791" s="27"/>
      <c r="R1791" s="15"/>
      <c r="X1791" s="3"/>
      <c r="Z1791" s="28"/>
    </row>
    <row r="1792" spans="2:26">
      <c r="B1792" s="2"/>
      <c r="N1792" s="27"/>
      <c r="R1792" s="15"/>
      <c r="X1792" s="3"/>
      <c r="Z1792" s="28"/>
    </row>
    <row r="1793" spans="2:26">
      <c r="B1793" s="2"/>
      <c r="N1793" s="27"/>
      <c r="R1793" s="15"/>
      <c r="X1793" s="3"/>
      <c r="Z1793" s="28"/>
    </row>
    <row r="1794" spans="2:26">
      <c r="B1794" s="2"/>
      <c r="N1794" s="27"/>
      <c r="R1794" s="15"/>
      <c r="X1794" s="3"/>
      <c r="Z1794" s="28"/>
    </row>
    <row r="1795" spans="2:26">
      <c r="B1795" s="2"/>
      <c r="N1795" s="27"/>
      <c r="R1795" s="15"/>
      <c r="X1795" s="3"/>
      <c r="Z1795" s="28"/>
    </row>
    <row r="1796" spans="2:26">
      <c r="B1796" s="2"/>
      <c r="N1796" s="27"/>
      <c r="R1796" s="15"/>
      <c r="X1796" s="3"/>
      <c r="Z1796" s="28"/>
    </row>
    <row r="1797" spans="2:26">
      <c r="B1797" s="2"/>
      <c r="N1797" s="27"/>
      <c r="R1797" s="15"/>
      <c r="X1797" s="3"/>
      <c r="Z1797" s="28"/>
    </row>
    <row r="1798" spans="2:26">
      <c r="B1798" s="2"/>
      <c r="N1798" s="27"/>
      <c r="R1798" s="15"/>
      <c r="X1798" s="3"/>
      <c r="Z1798" s="28"/>
    </row>
    <row r="1799" spans="2:26">
      <c r="B1799" s="2"/>
      <c r="N1799" s="27"/>
      <c r="R1799" s="15"/>
      <c r="X1799" s="3"/>
      <c r="Z1799" s="28"/>
    </row>
    <row r="1800" spans="2:26">
      <c r="B1800" s="2"/>
      <c r="N1800" s="27"/>
      <c r="R1800" s="15"/>
      <c r="X1800" s="3"/>
      <c r="Z1800" s="28"/>
    </row>
    <row r="1801" spans="2:26">
      <c r="B1801" s="2"/>
      <c r="N1801" s="27"/>
      <c r="R1801" s="15"/>
      <c r="X1801" s="3"/>
      <c r="Z1801" s="28"/>
    </row>
    <row r="1802" spans="2:26">
      <c r="B1802" s="2"/>
      <c r="N1802" s="27"/>
      <c r="R1802" s="15"/>
      <c r="X1802" s="3"/>
      <c r="Z1802" s="28"/>
    </row>
    <row r="1803" spans="2:26">
      <c r="B1803" s="2"/>
      <c r="N1803" s="27"/>
      <c r="R1803" s="15"/>
      <c r="X1803" s="3"/>
      <c r="Z1803" s="28"/>
    </row>
    <row r="1804" spans="2:26">
      <c r="B1804" s="2"/>
      <c r="N1804" s="27"/>
      <c r="R1804" s="15"/>
      <c r="X1804" s="3"/>
      <c r="Z1804" s="28"/>
    </row>
    <row r="1805" spans="2:26">
      <c r="B1805" s="2"/>
      <c r="N1805" s="27"/>
      <c r="R1805" s="15"/>
      <c r="X1805" s="3"/>
      <c r="Z1805" s="28"/>
    </row>
    <row r="1806" spans="2:26">
      <c r="B1806" s="2"/>
      <c r="N1806" s="27"/>
      <c r="R1806" s="15"/>
      <c r="X1806" s="3"/>
      <c r="Z1806" s="28"/>
    </row>
    <row r="1807" spans="2:26">
      <c r="B1807" s="2"/>
      <c r="N1807" s="27"/>
      <c r="R1807" s="15"/>
      <c r="X1807" s="3"/>
      <c r="Z1807" s="28"/>
    </row>
    <row r="1808" spans="2:26">
      <c r="B1808" s="2"/>
      <c r="N1808" s="27"/>
      <c r="R1808" s="15"/>
      <c r="X1808" s="3"/>
      <c r="Z1808" s="28"/>
    </row>
    <row r="1809" spans="2:26">
      <c r="B1809" s="2"/>
      <c r="N1809" s="27"/>
      <c r="R1809" s="15"/>
      <c r="X1809" s="3"/>
      <c r="Z1809" s="28"/>
    </row>
    <row r="1810" spans="2:26">
      <c r="B1810" s="2"/>
      <c r="N1810" s="27"/>
      <c r="R1810" s="15"/>
      <c r="X1810" s="3"/>
      <c r="Z1810" s="28"/>
    </row>
    <row r="1811" spans="2:26">
      <c r="B1811" s="2"/>
      <c r="N1811" s="27"/>
      <c r="R1811" s="15"/>
      <c r="X1811" s="3"/>
      <c r="Z1811" s="28"/>
    </row>
    <row r="1812" spans="2:26">
      <c r="B1812" s="2"/>
      <c r="N1812" s="27"/>
      <c r="R1812" s="15"/>
      <c r="X1812" s="3"/>
      <c r="Z1812" s="28"/>
    </row>
    <row r="1813" spans="2:26">
      <c r="B1813" s="2"/>
      <c r="N1813" s="27"/>
      <c r="R1813" s="15"/>
      <c r="X1813" s="3"/>
      <c r="Z1813" s="28"/>
    </row>
    <row r="1814" spans="2:26">
      <c r="B1814" s="2"/>
      <c r="N1814" s="27"/>
      <c r="R1814" s="15"/>
      <c r="X1814" s="3"/>
      <c r="Z1814" s="28"/>
    </row>
    <row r="1815" spans="2:26">
      <c r="B1815" s="2"/>
      <c r="N1815" s="27"/>
      <c r="R1815" s="15"/>
      <c r="X1815" s="3"/>
      <c r="Z1815" s="28"/>
    </row>
    <row r="1816" spans="2:26">
      <c r="B1816" s="2"/>
      <c r="N1816" s="27"/>
      <c r="R1816" s="15"/>
      <c r="X1816" s="3"/>
      <c r="Z1816" s="28"/>
    </row>
    <row r="1817" spans="2:26">
      <c r="B1817" s="2"/>
      <c r="N1817" s="27"/>
      <c r="R1817" s="15"/>
      <c r="X1817" s="3"/>
      <c r="Z1817" s="28"/>
    </row>
    <row r="1818" spans="2:26">
      <c r="B1818" s="2"/>
      <c r="N1818" s="27"/>
      <c r="R1818" s="15"/>
      <c r="X1818" s="3"/>
      <c r="Z1818" s="28"/>
    </row>
    <row r="1819" spans="2:26">
      <c r="B1819" s="2"/>
      <c r="N1819" s="27"/>
      <c r="R1819" s="15"/>
      <c r="X1819" s="3"/>
      <c r="Z1819" s="28"/>
    </row>
    <row r="1820" spans="2:26">
      <c r="B1820" s="2"/>
      <c r="N1820" s="27"/>
      <c r="R1820" s="15"/>
      <c r="X1820" s="3"/>
      <c r="Z1820" s="28"/>
    </row>
    <row r="1821" spans="2:26">
      <c r="B1821" s="2"/>
      <c r="N1821" s="27"/>
      <c r="R1821" s="15"/>
      <c r="X1821" s="3"/>
      <c r="Z1821" s="28"/>
    </row>
    <row r="1822" spans="2:26">
      <c r="B1822" s="2"/>
      <c r="N1822" s="27"/>
      <c r="R1822" s="15"/>
      <c r="X1822" s="3"/>
      <c r="Z1822" s="28"/>
    </row>
    <row r="1823" spans="2:26">
      <c r="B1823" s="2"/>
      <c r="N1823" s="27"/>
      <c r="R1823" s="15"/>
      <c r="X1823" s="3"/>
      <c r="Z1823" s="28"/>
    </row>
    <row r="1824" spans="2:26">
      <c r="B1824" s="2"/>
      <c r="N1824" s="27"/>
      <c r="R1824" s="15"/>
      <c r="X1824" s="3"/>
      <c r="Z1824" s="28"/>
    </row>
    <row r="1825" spans="2:26">
      <c r="B1825" s="2"/>
      <c r="N1825" s="27"/>
      <c r="R1825" s="15"/>
      <c r="X1825" s="3"/>
      <c r="Z1825" s="28"/>
    </row>
    <row r="1826" spans="2:26">
      <c r="B1826" s="2"/>
      <c r="N1826" s="27"/>
      <c r="R1826" s="15"/>
      <c r="X1826" s="3"/>
      <c r="Z1826" s="28"/>
    </row>
    <row r="1827" spans="2:26">
      <c r="B1827" s="2"/>
      <c r="N1827" s="27"/>
      <c r="R1827" s="15"/>
      <c r="X1827" s="3"/>
      <c r="Z1827" s="28"/>
    </row>
    <row r="1828" spans="2:26">
      <c r="B1828" s="2"/>
      <c r="N1828" s="27"/>
      <c r="R1828" s="15"/>
      <c r="X1828" s="3"/>
      <c r="Z1828" s="28"/>
    </row>
    <row r="1829" spans="2:26">
      <c r="B1829" s="2"/>
      <c r="N1829" s="27"/>
      <c r="R1829" s="15"/>
      <c r="X1829" s="3"/>
      <c r="Z1829" s="28"/>
    </row>
    <row r="1830" spans="2:26">
      <c r="B1830" s="2"/>
      <c r="N1830" s="27"/>
      <c r="R1830" s="15"/>
      <c r="X1830" s="3"/>
      <c r="Z1830" s="28"/>
    </row>
    <row r="1831" spans="2:26">
      <c r="B1831" s="2"/>
      <c r="N1831" s="27"/>
      <c r="R1831" s="15"/>
      <c r="X1831" s="3"/>
      <c r="Z1831" s="28"/>
    </row>
    <row r="1832" spans="2:26">
      <c r="B1832" s="2"/>
      <c r="N1832" s="27"/>
      <c r="R1832" s="15"/>
      <c r="X1832" s="3"/>
      <c r="Z1832" s="28"/>
    </row>
    <row r="1833" spans="2:26">
      <c r="B1833" s="2"/>
      <c r="N1833" s="27"/>
      <c r="R1833" s="15"/>
      <c r="X1833" s="3"/>
      <c r="Z1833" s="28"/>
    </row>
    <row r="1834" spans="2:26">
      <c r="B1834" s="2"/>
      <c r="N1834" s="27"/>
      <c r="R1834" s="15"/>
      <c r="X1834" s="3"/>
      <c r="Z1834" s="28"/>
    </row>
    <row r="1835" spans="2:26">
      <c r="B1835" s="2"/>
      <c r="N1835" s="27"/>
      <c r="R1835" s="15"/>
      <c r="X1835" s="3"/>
      <c r="Z1835" s="28"/>
    </row>
    <row r="1836" spans="2:26">
      <c r="B1836" s="2"/>
      <c r="N1836" s="27"/>
      <c r="R1836" s="15"/>
      <c r="X1836" s="3"/>
      <c r="Z1836" s="28"/>
    </row>
    <row r="1837" spans="2:26">
      <c r="B1837" s="2"/>
      <c r="N1837" s="27"/>
      <c r="R1837" s="15"/>
      <c r="X1837" s="3"/>
      <c r="Z1837" s="28"/>
    </row>
    <row r="1838" spans="2:26">
      <c r="B1838" s="2"/>
      <c r="N1838" s="27"/>
      <c r="R1838" s="15"/>
      <c r="X1838" s="3"/>
      <c r="Z1838" s="28"/>
    </row>
    <row r="1839" spans="2:26">
      <c r="B1839" s="2"/>
      <c r="N1839" s="27"/>
      <c r="R1839" s="15"/>
      <c r="X1839" s="3"/>
      <c r="Z1839" s="28"/>
    </row>
    <row r="1840" spans="2:26">
      <c r="B1840" s="2"/>
      <c r="N1840" s="27"/>
      <c r="R1840" s="15"/>
      <c r="X1840" s="3"/>
      <c r="Z1840" s="28"/>
    </row>
    <row r="1841" spans="2:26">
      <c r="B1841" s="2"/>
      <c r="N1841" s="27"/>
      <c r="R1841" s="15"/>
      <c r="X1841" s="3"/>
      <c r="Z1841" s="28"/>
    </row>
    <row r="1842" spans="2:26">
      <c r="B1842" s="2"/>
      <c r="N1842" s="27"/>
      <c r="R1842" s="15"/>
      <c r="X1842" s="3"/>
      <c r="Z1842" s="28"/>
    </row>
    <row r="1843" spans="2:26">
      <c r="B1843" s="2"/>
      <c r="N1843" s="27"/>
      <c r="R1843" s="15"/>
      <c r="X1843" s="3"/>
      <c r="Z1843" s="28"/>
    </row>
    <row r="1844" spans="2:26">
      <c r="B1844" s="2"/>
      <c r="N1844" s="27"/>
      <c r="R1844" s="15"/>
      <c r="X1844" s="3"/>
      <c r="Z1844" s="28"/>
    </row>
    <row r="1845" spans="2:26">
      <c r="B1845" s="2"/>
      <c r="N1845" s="27"/>
      <c r="R1845" s="15"/>
      <c r="X1845" s="3"/>
      <c r="Z1845" s="28"/>
    </row>
    <row r="1846" spans="2:26">
      <c r="B1846" s="2"/>
      <c r="N1846" s="27"/>
      <c r="R1846" s="15"/>
      <c r="X1846" s="3"/>
      <c r="Z1846" s="28"/>
    </row>
    <row r="1847" spans="2:26">
      <c r="B1847" s="2"/>
      <c r="N1847" s="27"/>
      <c r="R1847" s="15"/>
      <c r="X1847" s="3"/>
      <c r="Z1847" s="28"/>
    </row>
    <row r="1848" spans="2:26">
      <c r="B1848" s="2"/>
      <c r="N1848" s="27"/>
      <c r="R1848" s="15"/>
      <c r="X1848" s="3"/>
      <c r="Z1848" s="28"/>
    </row>
    <row r="1849" spans="2:26">
      <c r="B1849" s="2"/>
      <c r="N1849" s="27"/>
      <c r="R1849" s="15"/>
      <c r="X1849" s="3"/>
      <c r="Z1849" s="28"/>
    </row>
    <row r="1850" spans="2:26">
      <c r="B1850" s="2"/>
      <c r="N1850" s="27"/>
      <c r="R1850" s="15"/>
      <c r="X1850" s="3"/>
      <c r="Z1850" s="28"/>
    </row>
    <row r="1851" spans="2:26">
      <c r="B1851" s="2"/>
      <c r="N1851" s="27"/>
      <c r="R1851" s="15"/>
      <c r="X1851" s="3"/>
      <c r="Z1851" s="28"/>
    </row>
    <row r="1852" spans="2:26">
      <c r="B1852" s="2"/>
      <c r="N1852" s="27"/>
      <c r="R1852" s="15"/>
      <c r="X1852" s="3"/>
      <c r="Z1852" s="28"/>
    </row>
    <row r="1853" spans="2:26">
      <c r="B1853" s="2"/>
      <c r="N1853" s="27"/>
      <c r="R1853" s="15"/>
      <c r="X1853" s="3"/>
      <c r="Z1853" s="28"/>
    </row>
    <row r="1854" spans="2:26">
      <c r="B1854" s="2"/>
      <c r="N1854" s="27"/>
      <c r="R1854" s="15"/>
      <c r="X1854" s="3"/>
      <c r="Z1854" s="28"/>
    </row>
    <row r="1855" spans="2:26">
      <c r="B1855" s="2"/>
      <c r="N1855" s="27"/>
      <c r="R1855" s="15"/>
      <c r="X1855" s="3"/>
      <c r="Z1855" s="28"/>
    </row>
    <row r="1856" spans="2:26">
      <c r="B1856" s="2"/>
      <c r="N1856" s="27"/>
      <c r="R1856" s="15"/>
      <c r="X1856" s="3"/>
      <c r="Z1856" s="28"/>
    </row>
    <row r="1857" spans="2:26">
      <c r="B1857" s="2"/>
      <c r="N1857" s="27"/>
      <c r="R1857" s="15"/>
      <c r="X1857" s="3"/>
      <c r="Z1857" s="28"/>
    </row>
    <row r="1858" spans="2:26">
      <c r="B1858" s="2"/>
      <c r="N1858" s="27"/>
      <c r="R1858" s="15"/>
      <c r="X1858" s="3"/>
      <c r="Z1858" s="28"/>
    </row>
    <row r="1859" spans="2:26">
      <c r="B1859" s="2"/>
      <c r="N1859" s="27"/>
      <c r="R1859" s="15"/>
      <c r="X1859" s="3"/>
      <c r="Z1859" s="28"/>
    </row>
    <row r="1860" spans="2:26">
      <c r="B1860" s="2"/>
      <c r="N1860" s="27"/>
      <c r="R1860" s="15"/>
      <c r="X1860" s="3"/>
      <c r="Z1860" s="28"/>
    </row>
    <row r="1861" spans="2:26">
      <c r="B1861" s="2"/>
      <c r="N1861" s="27"/>
      <c r="R1861" s="15"/>
      <c r="X1861" s="3"/>
      <c r="Z1861" s="28"/>
    </row>
    <row r="1862" spans="2:26">
      <c r="B1862" s="2"/>
      <c r="N1862" s="27"/>
      <c r="R1862" s="15"/>
      <c r="X1862" s="3"/>
      <c r="Z1862" s="28"/>
    </row>
    <row r="1863" spans="2:26">
      <c r="B1863" s="2"/>
      <c r="N1863" s="27"/>
      <c r="R1863" s="15"/>
      <c r="X1863" s="3"/>
      <c r="Z1863" s="28"/>
    </row>
    <row r="1864" spans="2:26">
      <c r="B1864" s="2"/>
      <c r="N1864" s="27"/>
      <c r="R1864" s="15"/>
      <c r="X1864" s="3"/>
      <c r="Z1864" s="28"/>
    </row>
    <row r="1865" spans="2:26">
      <c r="B1865" s="2"/>
      <c r="N1865" s="27"/>
      <c r="R1865" s="15"/>
      <c r="X1865" s="3"/>
      <c r="Z1865" s="28"/>
    </row>
    <row r="1866" spans="2:26">
      <c r="B1866" s="2"/>
      <c r="N1866" s="27"/>
      <c r="R1866" s="15"/>
      <c r="X1866" s="3"/>
      <c r="Z1866" s="28"/>
    </row>
    <row r="1867" spans="2:26">
      <c r="B1867" s="2"/>
      <c r="N1867" s="27"/>
      <c r="R1867" s="15"/>
      <c r="X1867" s="3"/>
      <c r="Z1867" s="28"/>
    </row>
    <row r="1868" spans="2:26">
      <c r="B1868" s="2"/>
      <c r="N1868" s="27"/>
      <c r="R1868" s="15"/>
      <c r="X1868" s="3"/>
      <c r="Z1868" s="28"/>
    </row>
    <row r="1869" spans="2:26">
      <c r="B1869" s="2"/>
      <c r="N1869" s="27"/>
      <c r="R1869" s="15"/>
      <c r="X1869" s="3"/>
      <c r="Z1869" s="28"/>
    </row>
    <row r="1870" spans="2:26">
      <c r="B1870" s="2"/>
      <c r="N1870" s="27"/>
      <c r="R1870" s="15"/>
      <c r="X1870" s="3"/>
      <c r="Z1870" s="28"/>
    </row>
    <row r="1871" spans="2:26">
      <c r="B1871" s="2"/>
      <c r="N1871" s="27"/>
      <c r="R1871" s="15"/>
      <c r="X1871" s="3"/>
      <c r="Z1871" s="28"/>
    </row>
    <row r="1872" spans="2:26">
      <c r="B1872" s="2"/>
      <c r="N1872" s="27"/>
      <c r="R1872" s="15"/>
      <c r="X1872" s="3"/>
      <c r="Z1872" s="28"/>
    </row>
    <row r="1873" spans="2:26">
      <c r="B1873" s="2"/>
      <c r="N1873" s="27"/>
      <c r="R1873" s="15"/>
      <c r="X1873" s="3"/>
      <c r="Z1873" s="28"/>
    </row>
    <row r="1874" spans="2:26">
      <c r="B1874" s="2"/>
      <c r="N1874" s="27"/>
      <c r="R1874" s="15"/>
      <c r="X1874" s="3"/>
      <c r="Z1874" s="28"/>
    </row>
    <row r="1875" spans="2:26">
      <c r="B1875" s="2"/>
      <c r="N1875" s="27"/>
      <c r="R1875" s="15"/>
      <c r="X1875" s="3"/>
      <c r="Z1875" s="28"/>
    </row>
    <row r="1876" spans="2:26">
      <c r="B1876" s="2"/>
      <c r="N1876" s="27"/>
      <c r="R1876" s="15"/>
      <c r="X1876" s="3"/>
      <c r="Z1876" s="28"/>
    </row>
    <row r="1877" spans="2:26">
      <c r="B1877" s="2"/>
      <c r="N1877" s="27"/>
      <c r="R1877" s="15"/>
      <c r="X1877" s="3"/>
      <c r="Z1877" s="28"/>
    </row>
    <row r="1878" spans="2:26">
      <c r="B1878" s="2"/>
      <c r="N1878" s="27"/>
      <c r="R1878" s="15"/>
      <c r="X1878" s="3"/>
      <c r="Z1878" s="28"/>
    </row>
    <row r="1879" spans="2:26">
      <c r="B1879" s="2"/>
      <c r="N1879" s="27"/>
      <c r="R1879" s="15"/>
      <c r="X1879" s="3"/>
      <c r="Z1879" s="28"/>
    </row>
    <row r="1880" spans="2:26">
      <c r="B1880" s="2"/>
      <c r="N1880" s="27"/>
      <c r="R1880" s="15"/>
      <c r="X1880" s="3"/>
      <c r="Z1880" s="28"/>
    </row>
    <row r="1881" spans="2:26">
      <c r="B1881" s="2"/>
      <c r="N1881" s="27"/>
      <c r="R1881" s="15"/>
      <c r="X1881" s="3"/>
      <c r="Z1881" s="28"/>
    </row>
    <row r="1882" spans="2:26">
      <c r="B1882" s="2"/>
      <c r="N1882" s="27"/>
      <c r="R1882" s="15"/>
      <c r="X1882" s="3"/>
      <c r="Z1882" s="28"/>
    </row>
    <row r="1883" spans="2:26">
      <c r="B1883" s="2"/>
      <c r="N1883" s="27"/>
      <c r="R1883" s="15"/>
      <c r="X1883" s="3"/>
      <c r="Z1883" s="28"/>
    </row>
    <row r="1884" spans="2:26">
      <c r="B1884" s="2"/>
      <c r="N1884" s="27"/>
      <c r="R1884" s="15"/>
      <c r="X1884" s="3"/>
      <c r="Z1884" s="28"/>
    </row>
    <row r="1885" spans="2:26">
      <c r="B1885" s="2"/>
      <c r="N1885" s="27"/>
      <c r="R1885" s="15"/>
      <c r="X1885" s="3"/>
      <c r="Z1885" s="28"/>
    </row>
    <row r="1886" spans="2:26">
      <c r="B1886" s="2"/>
      <c r="N1886" s="27"/>
      <c r="R1886" s="15"/>
      <c r="X1886" s="3"/>
      <c r="Z1886" s="28"/>
    </row>
    <row r="1887" spans="2:26">
      <c r="B1887" s="2"/>
      <c r="N1887" s="27"/>
      <c r="R1887" s="15"/>
      <c r="X1887" s="3"/>
      <c r="Z1887" s="28"/>
    </row>
    <row r="1888" spans="2:26">
      <c r="B1888" s="2"/>
      <c r="N1888" s="27"/>
      <c r="R1888" s="15"/>
      <c r="X1888" s="3"/>
      <c r="Z1888" s="28"/>
    </row>
    <row r="1889" spans="2:26">
      <c r="B1889" s="2"/>
      <c r="N1889" s="27"/>
      <c r="R1889" s="15"/>
      <c r="X1889" s="3"/>
      <c r="Z1889" s="28"/>
    </row>
    <row r="1890" spans="2:26">
      <c r="B1890" s="2"/>
      <c r="N1890" s="27"/>
      <c r="R1890" s="15"/>
      <c r="X1890" s="3"/>
      <c r="Z1890" s="28"/>
    </row>
    <row r="1891" spans="2:26">
      <c r="B1891" s="2"/>
      <c r="N1891" s="27"/>
      <c r="R1891" s="15"/>
      <c r="X1891" s="3"/>
      <c r="Z1891" s="28"/>
    </row>
    <row r="1892" spans="2:26">
      <c r="B1892" s="2"/>
      <c r="N1892" s="27"/>
      <c r="R1892" s="15"/>
      <c r="X1892" s="3"/>
      <c r="Z1892" s="28"/>
    </row>
    <row r="1893" spans="2:26">
      <c r="B1893" s="2"/>
      <c r="N1893" s="27"/>
      <c r="R1893" s="15"/>
      <c r="X1893" s="3"/>
      <c r="Z1893" s="28"/>
    </row>
    <row r="1894" spans="2:26">
      <c r="B1894" s="2"/>
      <c r="N1894" s="27"/>
      <c r="R1894" s="15"/>
      <c r="X1894" s="3"/>
      <c r="Z1894" s="28"/>
    </row>
    <row r="1895" spans="2:26">
      <c r="B1895" s="2"/>
      <c r="N1895" s="27"/>
      <c r="R1895" s="15"/>
      <c r="X1895" s="3"/>
      <c r="Z1895" s="28"/>
    </row>
    <row r="1896" spans="2:26">
      <c r="B1896" s="2"/>
      <c r="N1896" s="27"/>
      <c r="R1896" s="15"/>
      <c r="X1896" s="3"/>
      <c r="Z1896" s="28"/>
    </row>
    <row r="1897" spans="2:26">
      <c r="B1897" s="2"/>
      <c r="N1897" s="27"/>
      <c r="R1897" s="15"/>
      <c r="X1897" s="3"/>
      <c r="Z1897" s="28"/>
    </row>
    <row r="1898" spans="2:26">
      <c r="B1898" s="2"/>
      <c r="N1898" s="27"/>
      <c r="R1898" s="15"/>
      <c r="X1898" s="3"/>
      <c r="Z1898" s="28"/>
    </row>
    <row r="1899" spans="2:26">
      <c r="B1899" s="2"/>
      <c r="N1899" s="27"/>
      <c r="R1899" s="15"/>
      <c r="X1899" s="3"/>
      <c r="Z1899" s="28"/>
    </row>
    <row r="1900" spans="2:26">
      <c r="B1900" s="2"/>
      <c r="N1900" s="27"/>
      <c r="R1900" s="15"/>
      <c r="X1900" s="3"/>
      <c r="Z1900" s="28"/>
    </row>
    <row r="1901" spans="2:26">
      <c r="B1901" s="2"/>
      <c r="N1901" s="27"/>
      <c r="R1901" s="15"/>
      <c r="X1901" s="3"/>
      <c r="Z1901" s="28"/>
    </row>
    <row r="1902" spans="2:26">
      <c r="B1902" s="2"/>
      <c r="N1902" s="27"/>
      <c r="R1902" s="15"/>
      <c r="X1902" s="3"/>
      <c r="Z1902" s="28"/>
    </row>
    <row r="1903" spans="2:26">
      <c r="B1903" s="2"/>
      <c r="N1903" s="27"/>
      <c r="R1903" s="15"/>
      <c r="X1903" s="3"/>
      <c r="Z1903" s="28"/>
    </row>
    <row r="1904" spans="2:26">
      <c r="B1904" s="2"/>
      <c r="N1904" s="27"/>
      <c r="R1904" s="15"/>
      <c r="X1904" s="3"/>
      <c r="Z1904" s="28"/>
    </row>
    <row r="1905" spans="2:26">
      <c r="B1905" s="2"/>
      <c r="N1905" s="27"/>
      <c r="R1905" s="15"/>
      <c r="X1905" s="3"/>
      <c r="Z1905" s="28"/>
    </row>
    <row r="1906" spans="2:26">
      <c r="B1906" s="2"/>
      <c r="N1906" s="27"/>
      <c r="R1906" s="15"/>
      <c r="X1906" s="3"/>
      <c r="Z1906" s="28"/>
    </row>
    <row r="1907" spans="2:26">
      <c r="B1907" s="2"/>
      <c r="N1907" s="27"/>
      <c r="R1907" s="15"/>
      <c r="X1907" s="3"/>
      <c r="Z1907" s="28"/>
    </row>
    <row r="1908" spans="2:26">
      <c r="B1908" s="2"/>
      <c r="N1908" s="27"/>
      <c r="R1908" s="15"/>
      <c r="X1908" s="3"/>
      <c r="Z1908" s="28"/>
    </row>
    <row r="1909" spans="2:26">
      <c r="B1909" s="2"/>
      <c r="N1909" s="27"/>
      <c r="R1909" s="15"/>
      <c r="X1909" s="3"/>
      <c r="Z1909" s="28"/>
    </row>
    <row r="1910" spans="2:26">
      <c r="B1910" s="2"/>
      <c r="N1910" s="27"/>
      <c r="R1910" s="15"/>
      <c r="X1910" s="3"/>
      <c r="Z1910" s="28"/>
    </row>
    <row r="1911" spans="2:26">
      <c r="B1911" s="2"/>
      <c r="N1911" s="27"/>
      <c r="R1911" s="15"/>
      <c r="X1911" s="3"/>
      <c r="Z1911" s="28"/>
    </row>
    <row r="1912" spans="2:26">
      <c r="B1912" s="2"/>
      <c r="N1912" s="27"/>
      <c r="R1912" s="15"/>
      <c r="X1912" s="3"/>
      <c r="Z1912" s="28"/>
    </row>
    <row r="1913" spans="2:26">
      <c r="B1913" s="2"/>
      <c r="N1913" s="27"/>
      <c r="R1913" s="15"/>
      <c r="X1913" s="3"/>
      <c r="Z1913" s="28"/>
    </row>
    <row r="1914" spans="2:26">
      <c r="B1914" s="2"/>
      <c r="N1914" s="27"/>
      <c r="R1914" s="15"/>
      <c r="X1914" s="3"/>
      <c r="Z1914" s="28"/>
    </row>
    <row r="1915" spans="2:26">
      <c r="B1915" s="2"/>
      <c r="N1915" s="27"/>
      <c r="R1915" s="15"/>
      <c r="X1915" s="3"/>
      <c r="Z1915" s="28"/>
    </row>
    <row r="1916" spans="2:26">
      <c r="B1916" s="2"/>
      <c r="N1916" s="27"/>
      <c r="R1916" s="15"/>
      <c r="X1916" s="3"/>
      <c r="Z1916" s="28"/>
    </row>
    <row r="1917" spans="2:26">
      <c r="B1917" s="2"/>
      <c r="N1917" s="27"/>
      <c r="R1917" s="15"/>
      <c r="X1917" s="3"/>
      <c r="Z1917" s="28"/>
    </row>
    <row r="1918" spans="2:26">
      <c r="B1918" s="2"/>
      <c r="N1918" s="27"/>
      <c r="R1918" s="15"/>
      <c r="X1918" s="3"/>
      <c r="Z1918" s="28"/>
    </row>
    <row r="1919" spans="2:26">
      <c r="B1919" s="2"/>
      <c r="N1919" s="27"/>
      <c r="R1919" s="15"/>
      <c r="X1919" s="3"/>
      <c r="Z1919" s="28"/>
    </row>
    <row r="1920" spans="2:26">
      <c r="B1920" s="2"/>
      <c r="N1920" s="27"/>
      <c r="R1920" s="15"/>
      <c r="X1920" s="3"/>
      <c r="Z1920" s="28"/>
    </row>
    <row r="1921" spans="2:26">
      <c r="B1921" s="2"/>
      <c r="N1921" s="27"/>
      <c r="R1921" s="15"/>
      <c r="X1921" s="3"/>
      <c r="Z1921" s="28"/>
    </row>
    <row r="1922" spans="2:26">
      <c r="B1922" s="2"/>
      <c r="N1922" s="27"/>
      <c r="R1922" s="15"/>
      <c r="X1922" s="3"/>
      <c r="Z1922" s="28"/>
    </row>
    <row r="1923" spans="2:26">
      <c r="B1923" s="2"/>
      <c r="N1923" s="27"/>
      <c r="R1923" s="15"/>
      <c r="X1923" s="3"/>
      <c r="Z1923" s="28"/>
    </row>
    <row r="1924" spans="2:26">
      <c r="B1924" s="2"/>
      <c r="N1924" s="27"/>
      <c r="R1924" s="15"/>
      <c r="X1924" s="3"/>
      <c r="Z1924" s="28"/>
    </row>
    <row r="1925" spans="2:26">
      <c r="B1925" s="2"/>
      <c r="N1925" s="27"/>
      <c r="R1925" s="15"/>
      <c r="X1925" s="3"/>
      <c r="Z1925" s="28"/>
    </row>
    <row r="1926" spans="2:26">
      <c r="B1926" s="2"/>
      <c r="N1926" s="27"/>
      <c r="R1926" s="15"/>
      <c r="X1926" s="3"/>
      <c r="Z1926" s="28"/>
    </row>
    <row r="1927" spans="2:26">
      <c r="B1927" s="2"/>
      <c r="N1927" s="27"/>
      <c r="R1927" s="15"/>
      <c r="X1927" s="3"/>
      <c r="Z1927" s="28"/>
    </row>
    <row r="1928" spans="2:26">
      <c r="B1928" s="2"/>
      <c r="N1928" s="27"/>
      <c r="R1928" s="15"/>
      <c r="X1928" s="3"/>
      <c r="Z1928" s="28"/>
    </row>
    <row r="1929" spans="2:26">
      <c r="B1929" s="2"/>
      <c r="N1929" s="27"/>
      <c r="R1929" s="15"/>
      <c r="X1929" s="3"/>
      <c r="Z1929" s="28"/>
    </row>
    <row r="1930" spans="2:26">
      <c r="B1930" s="2"/>
      <c r="N1930" s="27"/>
      <c r="R1930" s="15"/>
      <c r="X1930" s="3"/>
      <c r="Z1930" s="28"/>
    </row>
    <row r="1931" spans="2:26">
      <c r="B1931" s="2"/>
      <c r="N1931" s="27"/>
      <c r="R1931" s="15"/>
      <c r="X1931" s="3"/>
      <c r="Z1931" s="28"/>
    </row>
    <row r="1932" spans="2:26">
      <c r="B1932" s="2"/>
      <c r="N1932" s="27"/>
      <c r="R1932" s="15"/>
      <c r="X1932" s="3"/>
      <c r="Z1932" s="28"/>
    </row>
    <row r="1933" spans="2:26">
      <c r="B1933" s="2"/>
      <c r="N1933" s="27"/>
      <c r="R1933" s="15"/>
      <c r="X1933" s="3"/>
      <c r="Z1933" s="28"/>
    </row>
    <row r="1934" spans="2:26">
      <c r="B1934" s="2"/>
      <c r="N1934" s="27"/>
      <c r="R1934" s="15"/>
      <c r="X1934" s="3"/>
      <c r="Z1934" s="28"/>
    </row>
    <row r="1935" spans="2:26">
      <c r="B1935" s="2"/>
      <c r="N1935" s="27"/>
      <c r="R1935" s="15"/>
      <c r="X1935" s="3"/>
      <c r="Z1935" s="28"/>
    </row>
    <row r="1936" spans="2:26">
      <c r="B1936" s="2"/>
      <c r="N1936" s="27"/>
      <c r="R1936" s="15"/>
      <c r="X1936" s="3"/>
      <c r="Z1936" s="28"/>
    </row>
    <row r="1937" spans="2:26">
      <c r="B1937" s="2"/>
      <c r="N1937" s="27"/>
      <c r="R1937" s="15"/>
      <c r="X1937" s="3"/>
      <c r="Z1937" s="28"/>
    </row>
    <row r="1938" spans="2:26">
      <c r="B1938" s="2"/>
      <c r="N1938" s="27"/>
      <c r="R1938" s="15"/>
      <c r="X1938" s="3"/>
      <c r="Z1938" s="28"/>
    </row>
    <row r="1939" spans="2:26">
      <c r="B1939" s="2"/>
      <c r="N1939" s="27"/>
      <c r="R1939" s="15"/>
      <c r="X1939" s="3"/>
      <c r="Z1939" s="28"/>
    </row>
    <row r="1940" spans="2:26">
      <c r="B1940" s="2"/>
      <c r="N1940" s="27"/>
      <c r="R1940" s="15"/>
      <c r="X1940" s="3"/>
      <c r="Z1940" s="28"/>
    </row>
    <row r="1941" spans="2:26">
      <c r="B1941" s="2"/>
      <c r="N1941" s="27"/>
      <c r="R1941" s="15"/>
      <c r="X1941" s="3"/>
      <c r="Z1941" s="28"/>
    </row>
    <row r="1942" spans="2:26">
      <c r="B1942" s="2"/>
      <c r="N1942" s="27"/>
      <c r="R1942" s="15"/>
      <c r="X1942" s="3"/>
      <c r="Z1942" s="28"/>
    </row>
    <row r="1943" spans="2:26">
      <c r="B1943" s="2"/>
      <c r="N1943" s="27"/>
      <c r="R1943" s="15"/>
      <c r="X1943" s="3"/>
      <c r="Z1943" s="28"/>
    </row>
    <row r="1944" spans="2:26">
      <c r="B1944" s="2"/>
      <c r="N1944" s="27"/>
      <c r="R1944" s="15"/>
      <c r="X1944" s="3"/>
      <c r="Z1944" s="28"/>
    </row>
    <row r="1945" spans="2:26">
      <c r="B1945" s="2"/>
      <c r="N1945" s="27"/>
      <c r="R1945" s="15"/>
      <c r="X1945" s="3"/>
      <c r="Z1945" s="28"/>
    </row>
    <row r="1946" spans="2:26">
      <c r="B1946" s="2"/>
      <c r="N1946" s="27"/>
      <c r="R1946" s="15"/>
      <c r="X1946" s="3"/>
      <c r="Z1946" s="28"/>
    </row>
    <row r="1947" spans="2:26">
      <c r="B1947" s="2"/>
      <c r="N1947" s="27"/>
      <c r="R1947" s="15"/>
      <c r="X1947" s="3"/>
      <c r="Z1947" s="28"/>
    </row>
    <row r="1948" spans="2:26">
      <c r="B1948" s="2"/>
      <c r="N1948" s="27"/>
      <c r="R1948" s="15"/>
      <c r="X1948" s="3"/>
      <c r="Z1948" s="28"/>
    </row>
    <row r="1949" spans="2:26">
      <c r="B1949" s="2"/>
      <c r="N1949" s="27"/>
      <c r="R1949" s="15"/>
      <c r="X1949" s="3"/>
      <c r="Z1949" s="28"/>
    </row>
    <row r="1950" spans="2:26">
      <c r="B1950" s="2"/>
      <c r="N1950" s="27"/>
      <c r="R1950" s="15"/>
      <c r="X1950" s="3"/>
      <c r="Z1950" s="28"/>
    </row>
    <row r="1951" spans="2:26">
      <c r="B1951" s="2"/>
      <c r="N1951" s="27"/>
      <c r="R1951" s="15"/>
      <c r="X1951" s="3"/>
      <c r="Z1951" s="28"/>
    </row>
    <row r="1952" spans="2:26">
      <c r="B1952" s="2"/>
      <c r="N1952" s="27"/>
      <c r="R1952" s="15"/>
      <c r="X1952" s="3"/>
      <c r="Z1952" s="28"/>
    </row>
    <row r="1953" spans="2:26">
      <c r="B1953" s="2"/>
      <c r="N1953" s="27"/>
      <c r="R1953" s="15"/>
      <c r="X1953" s="3"/>
      <c r="Z1953" s="28"/>
    </row>
    <row r="1954" spans="2:26">
      <c r="B1954" s="2"/>
      <c r="N1954" s="27"/>
      <c r="R1954" s="15"/>
      <c r="X1954" s="3"/>
      <c r="Z1954" s="28"/>
    </row>
    <row r="1955" spans="2:26">
      <c r="B1955" s="2"/>
      <c r="N1955" s="27"/>
      <c r="R1955" s="15"/>
      <c r="X1955" s="3"/>
      <c r="Z1955" s="28"/>
    </row>
    <row r="1956" spans="2:26">
      <c r="B1956" s="2"/>
      <c r="N1956" s="27"/>
      <c r="R1956" s="15"/>
      <c r="X1956" s="3"/>
      <c r="Z1956" s="28"/>
    </row>
    <row r="1957" spans="2:26">
      <c r="B1957" s="2"/>
      <c r="N1957" s="27"/>
      <c r="R1957" s="15"/>
      <c r="X1957" s="3"/>
      <c r="Z1957" s="28"/>
    </row>
    <row r="1958" spans="2:26">
      <c r="B1958" s="2"/>
      <c r="N1958" s="27"/>
      <c r="R1958" s="15"/>
      <c r="X1958" s="3"/>
      <c r="Z1958" s="28"/>
    </row>
    <row r="1959" spans="2:26">
      <c r="B1959" s="2"/>
      <c r="N1959" s="27"/>
      <c r="R1959" s="15"/>
      <c r="X1959" s="3"/>
      <c r="Z1959" s="28"/>
    </row>
    <row r="1960" spans="2:26">
      <c r="B1960" s="2"/>
      <c r="N1960" s="27"/>
      <c r="R1960" s="15"/>
      <c r="X1960" s="3"/>
      <c r="Z1960" s="28"/>
    </row>
    <row r="1961" spans="2:26">
      <c r="B1961" s="2"/>
      <c r="N1961" s="27"/>
      <c r="R1961" s="15"/>
      <c r="X1961" s="3"/>
      <c r="Z1961" s="28"/>
    </row>
    <row r="1962" spans="2:26">
      <c r="B1962" s="2"/>
      <c r="N1962" s="27"/>
      <c r="R1962" s="15"/>
      <c r="X1962" s="3"/>
      <c r="Z1962" s="28"/>
    </row>
    <row r="1963" spans="2:26">
      <c r="B1963" s="2"/>
      <c r="N1963" s="27"/>
      <c r="R1963" s="15"/>
      <c r="X1963" s="3"/>
      <c r="Z1963" s="28"/>
    </row>
    <row r="1964" spans="2:26">
      <c r="B1964" s="2"/>
      <c r="N1964" s="27"/>
      <c r="R1964" s="15"/>
      <c r="X1964" s="3"/>
      <c r="Z1964" s="28"/>
    </row>
    <row r="1965" spans="2:26">
      <c r="B1965" s="2"/>
      <c r="N1965" s="27"/>
      <c r="R1965" s="15"/>
      <c r="X1965" s="3"/>
      <c r="Z1965" s="28"/>
    </row>
    <row r="1966" spans="2:26">
      <c r="B1966" s="2"/>
      <c r="N1966" s="27"/>
      <c r="R1966" s="15"/>
      <c r="X1966" s="3"/>
      <c r="Z1966" s="28"/>
    </row>
    <row r="1967" spans="2:26">
      <c r="B1967" s="2"/>
      <c r="N1967" s="27"/>
      <c r="R1967" s="15"/>
      <c r="X1967" s="3"/>
      <c r="Z1967" s="28"/>
    </row>
    <row r="1968" spans="2:26">
      <c r="B1968" s="2"/>
      <c r="N1968" s="27"/>
      <c r="R1968" s="15"/>
      <c r="X1968" s="3"/>
      <c r="Z1968" s="28"/>
    </row>
    <row r="1969" spans="2:26">
      <c r="B1969" s="2"/>
      <c r="N1969" s="27"/>
      <c r="R1969" s="15"/>
      <c r="X1969" s="3"/>
      <c r="Z1969" s="28"/>
    </row>
    <row r="1970" spans="2:26">
      <c r="B1970" s="2"/>
      <c r="N1970" s="27"/>
      <c r="R1970" s="15"/>
      <c r="X1970" s="3"/>
      <c r="Z1970" s="28"/>
    </row>
    <row r="1971" spans="2:26">
      <c r="B1971" s="2"/>
      <c r="N1971" s="27"/>
      <c r="R1971" s="15"/>
      <c r="X1971" s="3"/>
      <c r="Z1971" s="28"/>
    </row>
    <row r="1972" spans="2:26">
      <c r="B1972" s="2"/>
      <c r="N1972" s="27"/>
      <c r="R1972" s="15"/>
      <c r="X1972" s="3"/>
      <c r="Z1972" s="28"/>
    </row>
    <row r="1973" spans="2:26">
      <c r="B1973" s="2"/>
      <c r="N1973" s="27"/>
      <c r="R1973" s="15"/>
      <c r="X1973" s="3"/>
      <c r="Z1973" s="28"/>
    </row>
    <row r="1974" spans="2:26">
      <c r="B1974" s="2"/>
      <c r="N1974" s="27"/>
      <c r="R1974" s="15"/>
      <c r="X1974" s="3"/>
      <c r="Z1974" s="28"/>
    </row>
    <row r="1975" spans="2:26">
      <c r="B1975" s="2"/>
      <c r="N1975" s="27"/>
      <c r="R1975" s="15"/>
      <c r="X1975" s="3"/>
      <c r="Z1975" s="28"/>
    </row>
    <row r="1976" spans="2:26">
      <c r="B1976" s="2"/>
      <c r="N1976" s="27"/>
      <c r="R1976" s="15"/>
      <c r="X1976" s="3"/>
      <c r="Z1976" s="28"/>
    </row>
    <row r="1977" spans="2:26">
      <c r="B1977" s="2"/>
      <c r="N1977" s="27"/>
      <c r="R1977" s="15"/>
      <c r="X1977" s="3"/>
      <c r="Z1977" s="28"/>
    </row>
    <row r="1978" spans="2:26">
      <c r="B1978" s="2"/>
      <c r="N1978" s="27"/>
      <c r="R1978" s="15"/>
      <c r="X1978" s="3"/>
      <c r="Z1978" s="28"/>
    </row>
    <row r="1979" spans="2:26">
      <c r="B1979" s="2"/>
      <c r="N1979" s="27"/>
      <c r="R1979" s="15"/>
      <c r="X1979" s="3"/>
      <c r="Z1979" s="28"/>
    </row>
    <row r="1980" spans="2:26">
      <c r="B1980" s="2"/>
      <c r="N1980" s="27"/>
      <c r="R1980" s="15"/>
      <c r="X1980" s="3"/>
      <c r="Z1980" s="28"/>
    </row>
    <row r="1981" spans="2:26">
      <c r="B1981" s="2"/>
      <c r="N1981" s="27"/>
      <c r="R1981" s="15"/>
      <c r="X1981" s="3"/>
      <c r="Z1981" s="28"/>
    </row>
    <row r="1982" spans="2:26">
      <c r="B1982" s="2"/>
      <c r="N1982" s="27"/>
      <c r="R1982" s="15"/>
      <c r="X1982" s="3"/>
      <c r="Z1982" s="28"/>
    </row>
    <row r="1983" spans="2:26">
      <c r="B1983" s="2"/>
      <c r="N1983" s="27"/>
      <c r="R1983" s="15"/>
      <c r="X1983" s="3"/>
      <c r="Z1983" s="28"/>
    </row>
    <row r="1984" spans="2:26">
      <c r="B1984" s="2"/>
      <c r="N1984" s="27"/>
      <c r="R1984" s="15"/>
      <c r="X1984" s="3"/>
      <c r="Z1984" s="28"/>
    </row>
    <row r="1985" spans="2:26">
      <c r="B1985" s="2"/>
      <c r="N1985" s="27"/>
      <c r="R1985" s="15"/>
      <c r="X1985" s="3"/>
      <c r="Z1985" s="28"/>
    </row>
    <row r="1986" spans="2:26">
      <c r="B1986" s="2"/>
      <c r="N1986" s="27"/>
      <c r="R1986" s="15"/>
      <c r="X1986" s="3"/>
      <c r="Z1986" s="28"/>
    </row>
    <row r="1987" spans="2:26">
      <c r="B1987" s="2"/>
      <c r="N1987" s="27"/>
      <c r="R1987" s="15"/>
      <c r="X1987" s="3"/>
      <c r="Z1987" s="28"/>
    </row>
    <row r="1988" spans="2:26">
      <c r="B1988" s="2"/>
      <c r="N1988" s="27"/>
      <c r="R1988" s="15"/>
      <c r="X1988" s="3"/>
      <c r="Z1988" s="28"/>
    </row>
    <row r="1989" spans="2:26">
      <c r="B1989" s="2"/>
      <c r="N1989" s="27"/>
      <c r="R1989" s="15"/>
      <c r="X1989" s="3"/>
      <c r="Z1989" s="28"/>
    </row>
    <row r="1990" spans="2:26">
      <c r="B1990" s="2"/>
      <c r="N1990" s="27"/>
      <c r="R1990" s="15"/>
      <c r="X1990" s="3"/>
      <c r="Z1990" s="28"/>
    </row>
    <row r="1991" spans="2:26">
      <c r="B1991" s="2"/>
      <c r="N1991" s="27"/>
      <c r="R1991" s="15"/>
      <c r="X1991" s="3"/>
      <c r="Z1991" s="28"/>
    </row>
    <row r="1992" spans="2:26">
      <c r="B1992" s="2"/>
      <c r="N1992" s="27"/>
      <c r="R1992" s="15"/>
      <c r="X1992" s="3"/>
      <c r="Z1992" s="28"/>
    </row>
    <row r="1993" spans="2:26">
      <c r="B1993" s="2"/>
      <c r="N1993" s="27"/>
      <c r="R1993" s="15"/>
      <c r="X1993" s="3"/>
      <c r="Z1993" s="28"/>
    </row>
    <row r="1994" spans="2:26">
      <c r="B1994" s="2"/>
      <c r="N1994" s="27"/>
      <c r="R1994" s="15"/>
      <c r="X1994" s="3"/>
      <c r="Z1994" s="28"/>
    </row>
    <row r="1995" spans="2:26">
      <c r="B1995" s="2"/>
      <c r="N1995" s="27"/>
      <c r="R1995" s="15"/>
      <c r="X1995" s="3"/>
      <c r="Z1995" s="28"/>
    </row>
    <row r="1996" spans="2:26">
      <c r="B1996" s="2"/>
      <c r="N1996" s="27"/>
      <c r="R1996" s="15"/>
      <c r="X1996" s="3"/>
      <c r="Z1996" s="28"/>
    </row>
    <row r="1997" spans="2:26">
      <c r="B1997" s="2"/>
      <c r="N1997" s="27"/>
      <c r="R1997" s="15"/>
      <c r="X1997" s="3"/>
      <c r="Z1997" s="28"/>
    </row>
    <row r="1998" spans="2:26">
      <c r="B1998" s="2"/>
      <c r="N1998" s="27"/>
      <c r="R1998" s="15"/>
      <c r="X1998" s="3"/>
      <c r="Z1998" s="28"/>
    </row>
    <row r="1999" spans="2:26">
      <c r="B1999" s="2"/>
      <c r="N1999" s="27"/>
      <c r="R1999" s="15"/>
      <c r="X1999" s="3"/>
      <c r="Z1999" s="28"/>
    </row>
    <row r="2000" spans="2:26">
      <c r="B2000" s="2"/>
      <c r="N2000" s="27"/>
      <c r="R2000" s="15"/>
      <c r="X2000" s="3"/>
      <c r="Z2000" s="28"/>
    </row>
    <row r="2001" spans="2:26">
      <c r="B2001" s="2"/>
      <c r="N2001" s="27"/>
      <c r="R2001" s="15"/>
      <c r="X2001" s="3"/>
      <c r="Z2001" s="28"/>
    </row>
    <row r="2002" spans="2:26">
      <c r="B2002" s="2"/>
      <c r="N2002" s="27"/>
      <c r="R2002" s="15"/>
      <c r="X2002" s="3"/>
      <c r="Z2002" s="28"/>
    </row>
    <row r="2003" spans="2:26">
      <c r="B2003" s="2"/>
      <c r="N2003" s="27"/>
      <c r="R2003" s="15"/>
      <c r="X2003" s="3"/>
      <c r="Z2003" s="28"/>
    </row>
    <row r="2004" spans="2:26">
      <c r="B2004" s="2"/>
      <c r="N2004" s="27"/>
      <c r="R2004" s="15"/>
      <c r="X2004" s="3"/>
      <c r="Z2004" s="28"/>
    </row>
    <row r="2005" spans="2:26">
      <c r="B2005" s="2"/>
      <c r="N2005" s="27"/>
      <c r="R2005" s="15"/>
      <c r="X2005" s="3"/>
      <c r="Z2005" s="28"/>
    </row>
    <row r="2006" spans="2:26">
      <c r="B2006" s="2"/>
      <c r="N2006" s="27"/>
      <c r="R2006" s="15"/>
      <c r="X2006" s="3"/>
      <c r="Z2006" s="28"/>
    </row>
    <row r="2007" spans="2:26">
      <c r="B2007" s="2"/>
      <c r="N2007" s="27"/>
      <c r="R2007" s="15"/>
      <c r="X2007" s="3"/>
      <c r="Z2007" s="28"/>
    </row>
    <row r="2008" spans="2:26">
      <c r="B2008" s="2"/>
      <c r="N2008" s="27"/>
      <c r="R2008" s="15"/>
      <c r="X2008" s="3"/>
      <c r="Z2008" s="28"/>
    </row>
    <row r="2009" spans="2:26">
      <c r="B2009" s="2"/>
      <c r="N2009" s="27"/>
      <c r="R2009" s="15"/>
      <c r="X2009" s="3"/>
      <c r="Z2009" s="28"/>
    </row>
    <row r="2010" spans="2:26">
      <c r="B2010" s="2"/>
      <c r="N2010" s="27"/>
      <c r="R2010" s="15"/>
      <c r="X2010" s="3"/>
      <c r="Z2010" s="28"/>
    </row>
    <row r="2011" spans="2:26">
      <c r="B2011" s="2"/>
      <c r="N2011" s="27"/>
      <c r="R2011" s="15"/>
      <c r="X2011" s="3"/>
      <c r="Z2011" s="28"/>
    </row>
    <row r="2012" spans="2:26">
      <c r="B2012" s="2"/>
      <c r="N2012" s="27"/>
      <c r="R2012" s="15"/>
      <c r="X2012" s="3"/>
      <c r="Z2012" s="28"/>
    </row>
    <row r="2013" spans="2:26">
      <c r="B2013" s="2"/>
      <c r="N2013" s="27"/>
      <c r="R2013" s="15"/>
      <c r="X2013" s="3"/>
      <c r="Z2013" s="28"/>
    </row>
    <row r="2014" spans="2:26">
      <c r="B2014" s="2"/>
      <c r="N2014" s="27"/>
      <c r="R2014" s="15"/>
      <c r="X2014" s="3"/>
      <c r="Z2014" s="28"/>
    </row>
    <row r="2015" spans="2:26">
      <c r="B2015" s="2"/>
      <c r="N2015" s="27"/>
      <c r="R2015" s="15"/>
      <c r="X2015" s="3"/>
      <c r="Z2015" s="28"/>
    </row>
    <row r="2016" spans="2:26">
      <c r="B2016" s="2"/>
      <c r="N2016" s="27"/>
      <c r="R2016" s="15"/>
      <c r="X2016" s="3"/>
      <c r="Z2016" s="28"/>
    </row>
    <row r="2017" spans="2:26">
      <c r="B2017" s="2"/>
      <c r="N2017" s="27"/>
      <c r="R2017" s="15"/>
      <c r="X2017" s="3"/>
      <c r="Z2017" s="28"/>
    </row>
    <row r="2018" spans="2:26">
      <c r="B2018" s="2"/>
      <c r="N2018" s="27"/>
      <c r="R2018" s="15"/>
      <c r="X2018" s="3"/>
      <c r="Z2018" s="28"/>
    </row>
    <row r="2019" spans="2:26">
      <c r="B2019" s="2"/>
      <c r="N2019" s="27"/>
      <c r="R2019" s="15"/>
      <c r="X2019" s="3"/>
      <c r="Z2019" s="28"/>
    </row>
    <row r="2020" spans="2:26">
      <c r="B2020" s="2"/>
      <c r="N2020" s="27"/>
      <c r="R2020" s="15"/>
      <c r="X2020" s="3"/>
      <c r="Z2020" s="28"/>
    </row>
    <row r="2021" spans="2:26">
      <c r="B2021" s="2"/>
      <c r="N2021" s="27"/>
      <c r="R2021" s="15"/>
      <c r="X2021" s="3"/>
      <c r="Z2021" s="28"/>
    </row>
    <row r="2022" spans="2:26">
      <c r="B2022" s="2"/>
      <c r="N2022" s="27"/>
      <c r="R2022" s="15"/>
      <c r="X2022" s="3"/>
      <c r="Z2022" s="28"/>
    </row>
    <row r="2023" spans="2:26">
      <c r="B2023" s="2"/>
      <c r="N2023" s="27"/>
      <c r="R2023" s="15"/>
      <c r="X2023" s="3"/>
      <c r="Z2023" s="28"/>
    </row>
    <row r="2024" spans="2:26">
      <c r="B2024" s="2"/>
      <c r="N2024" s="27"/>
      <c r="R2024" s="15"/>
      <c r="X2024" s="3"/>
      <c r="Z2024" s="28"/>
    </row>
    <row r="2025" spans="2:26">
      <c r="B2025" s="2"/>
      <c r="N2025" s="27"/>
      <c r="R2025" s="15"/>
      <c r="X2025" s="3"/>
      <c r="Z2025" s="28"/>
    </row>
    <row r="2026" spans="2:26">
      <c r="B2026" s="2"/>
      <c r="N2026" s="27"/>
      <c r="R2026" s="15"/>
      <c r="X2026" s="3"/>
      <c r="Z2026" s="28"/>
    </row>
    <row r="2027" spans="2:26">
      <c r="B2027" s="2"/>
      <c r="N2027" s="27"/>
      <c r="R2027" s="15"/>
      <c r="X2027" s="3"/>
      <c r="Z2027" s="28"/>
    </row>
    <row r="2028" spans="2:26">
      <c r="B2028" s="2"/>
      <c r="N2028" s="27"/>
      <c r="R2028" s="15"/>
      <c r="X2028" s="3"/>
      <c r="Z2028" s="28"/>
    </row>
    <row r="2029" spans="2:26">
      <c r="B2029" s="2"/>
      <c r="N2029" s="27"/>
      <c r="R2029" s="15"/>
      <c r="X2029" s="3"/>
      <c r="Z2029" s="28"/>
    </row>
    <row r="2030" spans="2:26">
      <c r="B2030" s="2"/>
      <c r="N2030" s="27"/>
      <c r="R2030" s="15"/>
      <c r="X2030" s="3"/>
      <c r="Z2030" s="28"/>
    </row>
    <row r="2031" spans="2:26">
      <c r="B2031" s="2"/>
      <c r="N2031" s="27"/>
      <c r="R2031" s="15"/>
      <c r="X2031" s="3"/>
      <c r="Z2031" s="28"/>
    </row>
    <row r="2032" spans="2:26">
      <c r="B2032" s="2"/>
      <c r="N2032" s="27"/>
      <c r="R2032" s="15"/>
      <c r="X2032" s="3"/>
      <c r="Z2032" s="28"/>
    </row>
    <row r="2033" spans="2:26">
      <c r="B2033" s="2"/>
      <c r="N2033" s="27"/>
      <c r="R2033" s="15"/>
      <c r="X2033" s="3"/>
      <c r="Z2033" s="28"/>
    </row>
    <row r="2034" spans="2:26">
      <c r="B2034" s="2"/>
      <c r="N2034" s="27"/>
      <c r="R2034" s="15"/>
      <c r="X2034" s="3"/>
      <c r="Z2034" s="28"/>
    </row>
    <row r="2035" spans="2:26">
      <c r="B2035" s="2"/>
      <c r="N2035" s="27"/>
      <c r="R2035" s="15"/>
      <c r="X2035" s="3"/>
      <c r="Z2035" s="28"/>
    </row>
    <row r="2036" spans="2:26">
      <c r="B2036" s="2"/>
      <c r="N2036" s="27"/>
      <c r="R2036" s="15"/>
      <c r="X2036" s="3"/>
      <c r="Z2036" s="28"/>
    </row>
    <row r="2037" spans="2:26">
      <c r="B2037" s="2"/>
      <c r="N2037" s="27"/>
      <c r="R2037" s="15"/>
      <c r="X2037" s="3"/>
      <c r="Z2037" s="28"/>
    </row>
    <row r="2038" spans="2:26">
      <c r="B2038" s="2"/>
      <c r="N2038" s="27"/>
      <c r="R2038" s="15"/>
      <c r="X2038" s="3"/>
      <c r="Z2038" s="28"/>
    </row>
    <row r="2039" spans="2:26">
      <c r="B2039" s="2"/>
      <c r="N2039" s="27"/>
      <c r="R2039" s="15"/>
      <c r="X2039" s="3"/>
      <c r="Z2039" s="28"/>
    </row>
    <row r="2040" spans="2:26">
      <c r="B2040" s="2"/>
      <c r="N2040" s="27"/>
      <c r="R2040" s="15"/>
      <c r="X2040" s="3"/>
      <c r="Z2040" s="28"/>
    </row>
    <row r="2041" spans="2:26">
      <c r="B2041" s="2"/>
      <c r="N2041" s="27"/>
      <c r="R2041" s="15"/>
      <c r="X2041" s="3"/>
      <c r="Z2041" s="28"/>
    </row>
    <row r="2042" spans="2:26">
      <c r="B2042" s="2"/>
      <c r="N2042" s="27"/>
      <c r="R2042" s="15"/>
      <c r="X2042" s="3"/>
      <c r="Z2042" s="28"/>
    </row>
    <row r="2043" spans="2:26">
      <c r="B2043" s="2"/>
      <c r="N2043" s="27"/>
      <c r="R2043" s="15"/>
      <c r="X2043" s="3"/>
      <c r="Z2043" s="28"/>
    </row>
    <row r="2044" spans="2:26">
      <c r="B2044" s="2"/>
      <c r="N2044" s="27"/>
      <c r="R2044" s="15"/>
      <c r="X2044" s="3"/>
      <c r="Z2044" s="28"/>
    </row>
    <row r="2045" spans="2:26">
      <c r="B2045" s="2"/>
      <c r="N2045" s="27"/>
      <c r="R2045" s="15"/>
      <c r="X2045" s="3"/>
      <c r="Z2045" s="28"/>
    </row>
    <row r="2046" spans="2:26">
      <c r="B2046" s="2"/>
      <c r="N2046" s="27"/>
      <c r="R2046" s="15"/>
      <c r="X2046" s="3"/>
      <c r="Z2046" s="28"/>
    </row>
    <row r="2047" spans="2:26">
      <c r="B2047" s="2"/>
      <c r="N2047" s="27"/>
      <c r="R2047" s="15"/>
      <c r="X2047" s="3"/>
      <c r="Z2047" s="28"/>
    </row>
    <row r="2048" spans="2:26">
      <c r="B2048" s="2"/>
      <c r="N2048" s="27"/>
      <c r="R2048" s="15"/>
      <c r="X2048" s="3"/>
      <c r="Z2048" s="28"/>
    </row>
    <row r="2049" spans="2:26">
      <c r="B2049" s="2"/>
      <c r="N2049" s="27"/>
      <c r="R2049" s="15"/>
      <c r="X2049" s="3"/>
      <c r="Z2049" s="28"/>
    </row>
    <row r="2050" spans="2:26">
      <c r="B2050" s="2"/>
      <c r="N2050" s="27"/>
      <c r="R2050" s="15"/>
      <c r="X2050" s="3"/>
      <c r="Z2050" s="28"/>
    </row>
    <row r="2051" spans="2:26">
      <c r="B2051" s="2"/>
      <c r="N2051" s="27"/>
      <c r="R2051" s="15"/>
      <c r="X2051" s="3"/>
      <c r="Z2051" s="28"/>
    </row>
    <row r="2052" spans="2:26">
      <c r="B2052" s="2"/>
      <c r="N2052" s="27"/>
      <c r="R2052" s="15"/>
      <c r="X2052" s="3"/>
      <c r="Z2052" s="28"/>
    </row>
    <row r="2053" spans="2:26">
      <c r="B2053" s="2"/>
      <c r="N2053" s="27"/>
      <c r="R2053" s="15"/>
      <c r="X2053" s="3"/>
      <c r="Z2053" s="28"/>
    </row>
    <row r="2054" spans="2:26">
      <c r="B2054" s="2"/>
      <c r="N2054" s="27"/>
      <c r="R2054" s="15"/>
      <c r="X2054" s="3"/>
      <c r="Z2054" s="28"/>
    </row>
    <row r="2055" spans="2:26">
      <c r="B2055" s="2"/>
      <c r="N2055" s="27"/>
      <c r="R2055" s="15"/>
      <c r="X2055" s="3"/>
      <c r="Z2055" s="28"/>
    </row>
    <row r="2056" spans="2:26">
      <c r="B2056" s="2"/>
      <c r="N2056" s="27"/>
      <c r="R2056" s="15"/>
      <c r="X2056" s="3"/>
      <c r="Z2056" s="28"/>
    </row>
    <row r="2057" spans="2:26">
      <c r="B2057" s="2"/>
      <c r="N2057" s="27"/>
      <c r="R2057" s="15"/>
      <c r="X2057" s="3"/>
      <c r="Z2057" s="28"/>
    </row>
    <row r="2058" spans="2:26">
      <c r="B2058" s="2"/>
      <c r="N2058" s="27"/>
      <c r="R2058" s="15"/>
      <c r="X2058" s="3"/>
      <c r="Z2058" s="28"/>
    </row>
    <row r="2059" spans="2:26">
      <c r="B2059" s="2"/>
      <c r="N2059" s="27"/>
      <c r="R2059" s="15"/>
      <c r="X2059" s="3"/>
      <c r="Z2059" s="28"/>
    </row>
    <row r="2060" spans="2:26">
      <c r="B2060" s="2"/>
      <c r="N2060" s="27"/>
      <c r="R2060" s="15"/>
      <c r="X2060" s="3"/>
      <c r="Z2060" s="28"/>
    </row>
    <row r="2061" spans="2:26">
      <c r="B2061" s="2"/>
      <c r="N2061" s="27"/>
      <c r="R2061" s="15"/>
      <c r="X2061" s="3"/>
      <c r="Z2061" s="28"/>
    </row>
    <row r="2062" spans="2:26">
      <c r="B2062" s="2"/>
      <c r="N2062" s="27"/>
      <c r="R2062" s="15"/>
      <c r="X2062" s="3"/>
      <c r="Z2062" s="28"/>
    </row>
    <row r="2063" spans="2:26">
      <c r="B2063" s="2"/>
      <c r="N2063" s="27"/>
      <c r="R2063" s="15"/>
      <c r="X2063" s="3"/>
      <c r="Z2063" s="28"/>
    </row>
    <row r="2064" spans="2:26">
      <c r="B2064" s="2"/>
      <c r="N2064" s="27"/>
      <c r="R2064" s="15"/>
      <c r="X2064" s="3"/>
      <c r="Z2064" s="28"/>
    </row>
    <row r="2065" spans="2:26">
      <c r="B2065" s="2"/>
      <c r="N2065" s="27"/>
      <c r="R2065" s="15"/>
      <c r="X2065" s="3"/>
      <c r="Z2065" s="28"/>
    </row>
    <row r="2066" spans="2:26">
      <c r="B2066" s="2"/>
      <c r="N2066" s="27"/>
      <c r="R2066" s="15"/>
      <c r="X2066" s="3"/>
      <c r="Z2066" s="28"/>
    </row>
    <row r="2067" spans="2:26">
      <c r="B2067" s="2"/>
      <c r="N2067" s="27"/>
      <c r="R2067" s="15"/>
      <c r="X2067" s="3"/>
      <c r="Z2067" s="28"/>
    </row>
    <row r="2068" spans="2:26">
      <c r="B2068" s="2"/>
      <c r="N2068" s="27"/>
      <c r="R2068" s="15"/>
      <c r="X2068" s="3"/>
      <c r="Z2068" s="28"/>
    </row>
    <row r="2069" spans="2:26">
      <c r="B2069" s="2"/>
      <c r="N2069" s="27"/>
      <c r="R2069" s="15"/>
      <c r="X2069" s="3"/>
      <c r="Z2069" s="28"/>
    </row>
    <row r="2070" spans="2:26">
      <c r="B2070" s="2"/>
      <c r="N2070" s="27"/>
      <c r="R2070" s="15"/>
      <c r="X2070" s="3"/>
      <c r="Z2070" s="28"/>
    </row>
    <row r="2071" spans="2:26">
      <c r="B2071" s="2"/>
      <c r="N2071" s="27"/>
      <c r="R2071" s="15"/>
      <c r="X2071" s="3"/>
      <c r="Z2071" s="28"/>
    </row>
    <row r="2072" spans="2:26">
      <c r="B2072" s="2"/>
      <c r="N2072" s="27"/>
      <c r="R2072" s="15"/>
      <c r="X2072" s="3"/>
      <c r="Z2072" s="28"/>
    </row>
    <row r="2073" spans="2:26">
      <c r="B2073" s="2"/>
      <c r="N2073" s="27"/>
      <c r="R2073" s="15"/>
      <c r="X2073" s="3"/>
      <c r="Z2073" s="28"/>
    </row>
    <row r="2074" spans="2:26">
      <c r="B2074" s="2"/>
      <c r="N2074" s="27"/>
      <c r="R2074" s="15"/>
      <c r="X2074" s="3"/>
      <c r="Z2074" s="28"/>
    </row>
    <row r="2075" spans="2:26">
      <c r="B2075" s="2"/>
      <c r="N2075" s="27"/>
      <c r="R2075" s="15"/>
      <c r="X2075" s="3"/>
      <c r="Z2075" s="28"/>
    </row>
    <row r="2076" spans="2:26">
      <c r="B2076" s="2"/>
      <c r="N2076" s="27"/>
      <c r="R2076" s="15"/>
      <c r="X2076" s="3"/>
      <c r="Z2076" s="28"/>
    </row>
    <row r="2077" spans="2:26">
      <c r="B2077" s="2"/>
      <c r="N2077" s="27"/>
      <c r="R2077" s="15"/>
      <c r="X2077" s="3"/>
      <c r="Z2077" s="28"/>
    </row>
    <row r="2078" spans="2:26">
      <c r="B2078" s="2"/>
      <c r="N2078" s="27"/>
      <c r="R2078" s="15"/>
      <c r="X2078" s="3"/>
      <c r="Z2078" s="28"/>
    </row>
    <row r="2079" spans="2:26">
      <c r="B2079" s="2"/>
      <c r="N2079" s="27"/>
      <c r="R2079" s="15"/>
      <c r="X2079" s="3"/>
      <c r="Z2079" s="28"/>
    </row>
    <row r="2080" spans="2:26">
      <c r="B2080" s="2"/>
      <c r="N2080" s="27"/>
      <c r="R2080" s="15"/>
      <c r="X2080" s="3"/>
      <c r="Z2080" s="28"/>
    </row>
    <row r="2081" spans="2:26">
      <c r="B2081" s="2"/>
      <c r="N2081" s="27"/>
      <c r="R2081" s="15"/>
      <c r="X2081" s="3"/>
      <c r="Z2081" s="28"/>
    </row>
    <row r="2082" spans="2:26">
      <c r="B2082" s="2"/>
      <c r="N2082" s="27"/>
      <c r="R2082" s="15"/>
      <c r="X2082" s="3"/>
      <c r="Z2082" s="28"/>
    </row>
    <row r="2083" spans="2:26">
      <c r="B2083" s="2"/>
      <c r="N2083" s="27"/>
      <c r="R2083" s="15"/>
      <c r="X2083" s="3"/>
      <c r="Z2083" s="28"/>
    </row>
    <row r="2084" spans="2:26">
      <c r="B2084" s="2"/>
      <c r="N2084" s="27"/>
      <c r="R2084" s="15"/>
      <c r="X2084" s="3"/>
      <c r="Z2084" s="28"/>
    </row>
    <row r="2085" spans="2:26">
      <c r="B2085" s="2"/>
      <c r="N2085" s="27"/>
      <c r="R2085" s="15"/>
      <c r="X2085" s="3"/>
      <c r="Z2085" s="28"/>
    </row>
    <row r="2086" spans="2:26">
      <c r="B2086" s="2"/>
      <c r="N2086" s="27"/>
      <c r="R2086" s="15"/>
      <c r="X2086" s="3"/>
      <c r="Z2086" s="28"/>
    </row>
    <row r="2087" spans="2:26">
      <c r="B2087" s="2"/>
      <c r="N2087" s="27"/>
      <c r="R2087" s="15"/>
      <c r="X2087" s="3"/>
      <c r="Z2087" s="28"/>
    </row>
    <row r="2088" spans="2:26">
      <c r="B2088" s="2"/>
      <c r="N2088" s="27"/>
      <c r="R2088" s="15"/>
      <c r="X2088" s="3"/>
      <c r="Z2088" s="28"/>
    </row>
    <row r="2089" spans="2:26">
      <c r="B2089" s="2"/>
      <c r="N2089" s="27"/>
      <c r="R2089" s="15"/>
      <c r="X2089" s="3"/>
      <c r="Z2089" s="28"/>
    </row>
    <row r="2090" spans="2:26">
      <c r="B2090" s="2"/>
      <c r="N2090" s="27"/>
      <c r="R2090" s="15"/>
      <c r="X2090" s="3"/>
      <c r="Z2090" s="28"/>
    </row>
    <row r="2091" spans="2:26">
      <c r="B2091" s="2"/>
      <c r="N2091" s="27"/>
      <c r="R2091" s="15"/>
      <c r="X2091" s="3"/>
      <c r="Z2091" s="28"/>
    </row>
    <row r="2092" spans="2:26">
      <c r="B2092" s="2"/>
      <c r="N2092" s="27"/>
      <c r="R2092" s="15"/>
      <c r="X2092" s="3"/>
      <c r="Z2092" s="28"/>
    </row>
    <row r="2093" spans="2:26">
      <c r="B2093" s="2"/>
      <c r="N2093" s="27"/>
      <c r="R2093" s="15"/>
      <c r="X2093" s="3"/>
      <c r="Z2093" s="28"/>
    </row>
    <row r="2094" spans="2:26">
      <c r="B2094" s="2"/>
      <c r="N2094" s="27"/>
      <c r="R2094" s="15"/>
      <c r="X2094" s="3"/>
      <c r="Z2094" s="28"/>
    </row>
    <row r="2095" spans="2:26">
      <c r="B2095" s="2"/>
      <c r="N2095" s="27"/>
      <c r="R2095" s="15"/>
      <c r="X2095" s="3"/>
      <c r="Z2095" s="28"/>
    </row>
    <row r="2096" spans="2:26">
      <c r="B2096" s="2"/>
      <c r="N2096" s="27"/>
      <c r="R2096" s="15"/>
      <c r="X2096" s="3"/>
      <c r="Z2096" s="28"/>
    </row>
    <row r="2097" spans="2:26">
      <c r="B2097" s="2"/>
      <c r="N2097" s="27"/>
      <c r="R2097" s="15"/>
      <c r="X2097" s="3"/>
      <c r="Z2097" s="28"/>
    </row>
    <row r="2098" spans="2:26">
      <c r="B2098" s="2"/>
      <c r="N2098" s="27"/>
      <c r="R2098" s="15"/>
      <c r="X2098" s="3"/>
      <c r="Z2098" s="28"/>
    </row>
    <row r="2099" spans="2:26">
      <c r="B2099" s="2"/>
      <c r="N2099" s="27"/>
      <c r="R2099" s="15"/>
      <c r="X2099" s="3"/>
      <c r="Z2099" s="28"/>
    </row>
    <row r="2100" spans="2:26">
      <c r="B2100" s="2"/>
      <c r="N2100" s="27"/>
      <c r="R2100" s="15"/>
      <c r="X2100" s="3"/>
      <c r="Z2100" s="28"/>
    </row>
    <row r="2101" spans="2:26">
      <c r="B2101" s="2"/>
      <c r="N2101" s="27"/>
      <c r="R2101" s="15"/>
      <c r="X2101" s="3"/>
      <c r="Z2101" s="28"/>
    </row>
    <row r="2102" spans="2:26">
      <c r="B2102" s="2"/>
      <c r="N2102" s="27"/>
      <c r="R2102" s="15"/>
      <c r="X2102" s="3"/>
      <c r="Z2102" s="28"/>
    </row>
    <row r="2103" spans="2:26">
      <c r="B2103" s="2"/>
      <c r="N2103" s="27"/>
      <c r="R2103" s="15"/>
      <c r="X2103" s="3"/>
      <c r="Z2103" s="28"/>
    </row>
    <row r="2104" spans="2:26">
      <c r="B2104" s="2"/>
      <c r="N2104" s="27"/>
      <c r="R2104" s="15"/>
      <c r="X2104" s="3"/>
      <c r="Z2104" s="28"/>
    </row>
    <row r="2105" spans="2:26">
      <c r="B2105" s="2"/>
      <c r="N2105" s="27"/>
      <c r="R2105" s="15"/>
      <c r="X2105" s="3"/>
      <c r="Z2105" s="28"/>
    </row>
    <row r="2106" spans="2:26">
      <c r="B2106" s="2"/>
      <c r="N2106" s="27"/>
      <c r="R2106" s="15"/>
      <c r="X2106" s="3"/>
      <c r="Z2106" s="28"/>
    </row>
    <row r="2107" spans="2:26">
      <c r="B2107" s="2"/>
      <c r="N2107" s="27"/>
      <c r="R2107" s="15"/>
      <c r="X2107" s="3"/>
      <c r="Z2107" s="28"/>
    </row>
    <row r="2108" spans="2:26">
      <c r="B2108" s="2"/>
      <c r="N2108" s="27"/>
      <c r="R2108" s="15"/>
      <c r="X2108" s="3"/>
      <c r="Z2108" s="28"/>
    </row>
    <row r="2109" spans="2:26">
      <c r="B2109" s="2"/>
      <c r="N2109" s="27"/>
      <c r="R2109" s="15"/>
      <c r="X2109" s="3"/>
      <c r="Z2109" s="28"/>
    </row>
    <row r="2110" spans="2:26">
      <c r="B2110" s="2"/>
      <c r="N2110" s="27"/>
      <c r="R2110" s="15"/>
      <c r="X2110" s="3"/>
      <c r="Z2110" s="28"/>
    </row>
    <row r="2111" spans="2:26">
      <c r="B2111" s="2"/>
      <c r="N2111" s="27"/>
      <c r="R2111" s="15"/>
      <c r="X2111" s="3"/>
      <c r="Z2111" s="28"/>
    </row>
    <row r="2112" spans="2:26">
      <c r="B2112" s="2"/>
      <c r="N2112" s="27"/>
      <c r="R2112" s="15"/>
      <c r="X2112" s="3"/>
      <c r="Z2112" s="28"/>
    </row>
    <row r="2113" spans="2:26">
      <c r="B2113" s="2"/>
      <c r="N2113" s="27"/>
      <c r="R2113" s="15"/>
      <c r="X2113" s="3"/>
      <c r="Z2113" s="28"/>
    </row>
    <row r="2114" spans="2:26">
      <c r="B2114" s="2"/>
      <c r="N2114" s="27"/>
      <c r="R2114" s="15"/>
      <c r="X2114" s="3"/>
      <c r="Z2114" s="28"/>
    </row>
    <row r="2115" spans="2:26">
      <c r="B2115" s="2"/>
      <c r="N2115" s="27"/>
      <c r="R2115" s="15"/>
      <c r="X2115" s="3"/>
      <c r="Z2115" s="28"/>
    </row>
    <row r="2116" spans="2:26">
      <c r="B2116" s="2"/>
      <c r="N2116" s="27"/>
      <c r="R2116" s="15"/>
      <c r="X2116" s="3"/>
      <c r="Z2116" s="28"/>
    </row>
    <row r="2117" spans="2:26">
      <c r="B2117" s="2"/>
      <c r="N2117" s="27"/>
      <c r="R2117" s="15"/>
      <c r="X2117" s="3"/>
      <c r="Z2117" s="28"/>
    </row>
    <row r="2118" spans="2:26">
      <c r="B2118" s="2"/>
      <c r="N2118" s="27"/>
      <c r="R2118" s="15"/>
      <c r="X2118" s="3"/>
      <c r="Z2118" s="28"/>
    </row>
    <row r="2119" spans="2:26">
      <c r="B2119" s="2"/>
      <c r="N2119" s="27"/>
      <c r="R2119" s="15"/>
      <c r="X2119" s="3"/>
      <c r="Z2119" s="28"/>
    </row>
    <row r="2120" spans="2:26">
      <c r="B2120" s="2"/>
      <c r="N2120" s="27"/>
      <c r="R2120" s="15"/>
      <c r="X2120" s="3"/>
      <c r="Z2120" s="28"/>
    </row>
    <row r="2121" spans="2:26">
      <c r="B2121" s="2"/>
      <c r="N2121" s="27"/>
      <c r="R2121" s="15"/>
      <c r="X2121" s="3"/>
      <c r="Z2121" s="28"/>
    </row>
    <row r="2122" spans="2:26">
      <c r="B2122" s="2"/>
      <c r="N2122" s="27"/>
      <c r="R2122" s="15"/>
      <c r="X2122" s="3"/>
      <c r="Z2122" s="28"/>
    </row>
    <row r="2123" spans="2:26">
      <c r="B2123" s="2"/>
      <c r="N2123" s="27"/>
      <c r="R2123" s="15"/>
      <c r="X2123" s="3"/>
      <c r="Z2123" s="28"/>
    </row>
    <row r="2124" spans="2:26">
      <c r="B2124" s="2"/>
      <c r="N2124" s="27"/>
      <c r="R2124" s="15"/>
      <c r="X2124" s="3"/>
      <c r="Z2124" s="28"/>
    </row>
    <row r="2125" spans="2:26">
      <c r="B2125" s="2"/>
      <c r="N2125" s="27"/>
      <c r="R2125" s="15"/>
      <c r="X2125" s="3"/>
      <c r="Z2125" s="28"/>
    </row>
    <row r="2126" spans="2:26">
      <c r="B2126" s="2"/>
      <c r="N2126" s="27"/>
      <c r="R2126" s="15"/>
      <c r="X2126" s="3"/>
      <c r="Z2126" s="28"/>
    </row>
    <row r="2127" spans="2:26">
      <c r="B2127" s="2"/>
      <c r="N2127" s="27"/>
      <c r="R2127" s="15"/>
      <c r="X2127" s="3"/>
      <c r="Z2127" s="28"/>
    </row>
    <row r="2128" spans="2:26">
      <c r="B2128" s="2"/>
      <c r="N2128" s="27"/>
      <c r="R2128" s="15"/>
      <c r="X2128" s="3"/>
      <c r="Z2128" s="28"/>
    </row>
    <row r="2129" spans="2:26">
      <c r="B2129" s="2"/>
      <c r="N2129" s="27"/>
      <c r="R2129" s="15"/>
      <c r="X2129" s="3"/>
      <c r="Z2129" s="28"/>
    </row>
    <row r="2130" spans="2:26">
      <c r="B2130" s="2"/>
      <c r="N2130" s="27"/>
      <c r="R2130" s="15"/>
      <c r="X2130" s="3"/>
      <c r="Z2130" s="28"/>
    </row>
    <row r="2131" spans="2:26">
      <c r="B2131" s="2"/>
      <c r="N2131" s="27"/>
      <c r="R2131" s="15"/>
      <c r="X2131" s="3"/>
      <c r="Z2131" s="28"/>
    </row>
    <row r="2132" spans="2:26">
      <c r="B2132" s="2"/>
      <c r="N2132" s="27"/>
      <c r="R2132" s="15"/>
      <c r="X2132" s="3"/>
      <c r="Z2132" s="28"/>
    </row>
    <row r="2133" spans="2:26">
      <c r="B2133" s="2"/>
      <c r="N2133" s="27"/>
      <c r="R2133" s="15"/>
      <c r="X2133" s="3"/>
      <c r="Z2133" s="28"/>
    </row>
    <row r="2134" spans="2:26">
      <c r="B2134" s="2"/>
      <c r="N2134" s="27"/>
      <c r="R2134" s="15"/>
      <c r="X2134" s="3"/>
      <c r="Z2134" s="28"/>
    </row>
    <row r="2135" spans="2:26">
      <c r="B2135" s="2"/>
      <c r="N2135" s="27"/>
      <c r="R2135" s="15"/>
      <c r="X2135" s="3"/>
      <c r="Z2135" s="28"/>
    </row>
    <row r="2136" spans="2:26">
      <c r="B2136" s="2"/>
      <c r="N2136" s="27"/>
      <c r="R2136" s="15"/>
      <c r="X2136" s="3"/>
      <c r="Z2136" s="28"/>
    </row>
    <row r="2137" spans="2:26">
      <c r="B2137" s="2"/>
      <c r="N2137" s="27"/>
      <c r="R2137" s="15"/>
      <c r="X2137" s="3"/>
      <c r="Z2137" s="28"/>
    </row>
    <row r="2138" spans="2:26">
      <c r="B2138" s="2"/>
      <c r="N2138" s="27"/>
      <c r="R2138" s="15"/>
      <c r="X2138" s="3"/>
      <c r="Z2138" s="28"/>
    </row>
    <row r="2139" spans="2:26">
      <c r="B2139" s="2"/>
      <c r="N2139" s="27"/>
      <c r="R2139" s="15"/>
      <c r="X2139" s="3"/>
      <c r="Z2139" s="28"/>
    </row>
    <row r="2140" spans="2:26">
      <c r="B2140" s="2"/>
      <c r="N2140" s="27"/>
      <c r="R2140" s="15"/>
      <c r="X2140" s="3"/>
      <c r="Z2140" s="28"/>
    </row>
    <row r="2141" spans="2:26">
      <c r="B2141" s="2"/>
      <c r="N2141" s="27"/>
      <c r="R2141" s="15"/>
      <c r="X2141" s="3"/>
      <c r="Z2141" s="28"/>
    </row>
    <row r="2142" spans="2:26">
      <c r="B2142" s="2"/>
      <c r="N2142" s="27"/>
      <c r="R2142" s="15"/>
      <c r="X2142" s="3"/>
      <c r="Z2142" s="28"/>
    </row>
    <row r="2143" spans="2:26">
      <c r="B2143" s="2"/>
      <c r="N2143" s="27"/>
      <c r="R2143" s="15"/>
      <c r="X2143" s="3"/>
      <c r="Z2143" s="28"/>
    </row>
    <row r="2144" spans="2:26">
      <c r="B2144" s="2"/>
      <c r="N2144" s="27"/>
      <c r="R2144" s="15"/>
      <c r="X2144" s="3"/>
      <c r="Z2144" s="28"/>
    </row>
    <row r="2145" spans="2:26">
      <c r="B2145" s="2"/>
      <c r="N2145" s="27"/>
      <c r="R2145" s="15"/>
      <c r="X2145" s="3"/>
      <c r="Z2145" s="28"/>
    </row>
    <row r="2146" spans="2:26">
      <c r="B2146" s="2"/>
      <c r="N2146" s="27"/>
      <c r="R2146" s="15"/>
      <c r="X2146" s="3"/>
      <c r="Z2146" s="28"/>
    </row>
    <row r="2147" spans="2:26">
      <c r="B2147" s="2"/>
      <c r="N2147" s="27"/>
      <c r="R2147" s="15"/>
      <c r="X2147" s="3"/>
      <c r="Z2147" s="28"/>
    </row>
    <row r="2148" spans="2:26">
      <c r="B2148" s="2"/>
      <c r="N2148" s="27"/>
      <c r="R2148" s="15"/>
      <c r="X2148" s="3"/>
      <c r="Z2148" s="28"/>
    </row>
    <row r="2149" spans="2:26">
      <c r="B2149" s="2"/>
      <c r="N2149" s="27"/>
      <c r="R2149" s="15"/>
      <c r="X2149" s="3"/>
      <c r="Z2149" s="28"/>
    </row>
    <row r="2150" spans="2:26">
      <c r="B2150" s="2"/>
      <c r="N2150" s="27"/>
      <c r="R2150" s="15"/>
      <c r="X2150" s="3"/>
      <c r="Z2150" s="28"/>
    </row>
    <row r="2151" spans="2:26">
      <c r="B2151" s="2"/>
      <c r="N2151" s="27"/>
      <c r="R2151" s="15"/>
      <c r="X2151" s="3"/>
      <c r="Z2151" s="28"/>
    </row>
    <row r="2152" spans="2:26">
      <c r="B2152" s="2"/>
      <c r="N2152" s="27"/>
      <c r="R2152" s="15"/>
      <c r="X2152" s="3"/>
      <c r="Z2152" s="28"/>
    </row>
    <row r="2153" spans="2:26">
      <c r="B2153" s="2"/>
      <c r="N2153" s="27"/>
      <c r="R2153" s="15"/>
      <c r="X2153" s="3"/>
      <c r="Z2153" s="28"/>
    </row>
    <row r="2154" spans="2:26">
      <c r="B2154" s="2"/>
      <c r="N2154" s="27"/>
      <c r="R2154" s="15"/>
      <c r="X2154" s="3"/>
      <c r="Z2154" s="28"/>
    </row>
    <row r="2155" spans="2:26">
      <c r="B2155" s="2"/>
      <c r="N2155" s="27"/>
      <c r="R2155" s="15"/>
      <c r="X2155" s="3"/>
      <c r="Z2155" s="28"/>
    </row>
    <row r="2156" spans="2:26">
      <c r="B2156" s="2"/>
      <c r="N2156" s="27"/>
      <c r="R2156" s="15"/>
      <c r="X2156" s="3"/>
      <c r="Z2156" s="28"/>
    </row>
    <row r="2157" spans="2:26">
      <c r="B2157" s="2"/>
      <c r="N2157" s="27"/>
      <c r="R2157" s="15"/>
      <c r="X2157" s="3"/>
      <c r="Z2157" s="28"/>
    </row>
    <row r="2158" spans="2:26">
      <c r="B2158" s="2"/>
      <c r="N2158" s="27"/>
      <c r="R2158" s="15"/>
      <c r="X2158" s="3"/>
      <c r="Z2158" s="28"/>
    </row>
    <row r="2159" spans="2:26">
      <c r="B2159" s="2"/>
      <c r="N2159" s="27"/>
      <c r="R2159" s="15"/>
      <c r="X2159" s="3"/>
      <c r="Z2159" s="28"/>
    </row>
    <row r="2160" spans="2:26">
      <c r="B2160" s="2"/>
      <c r="N2160" s="27"/>
      <c r="R2160" s="15"/>
      <c r="X2160" s="3"/>
      <c r="Z2160" s="28"/>
    </row>
    <row r="2161" spans="2:26">
      <c r="B2161" s="2"/>
      <c r="N2161" s="27"/>
      <c r="R2161" s="15"/>
      <c r="X2161" s="3"/>
      <c r="Z2161" s="28"/>
    </row>
    <row r="2162" spans="2:26">
      <c r="B2162" s="2"/>
      <c r="N2162" s="27"/>
      <c r="R2162" s="15"/>
      <c r="X2162" s="3"/>
      <c r="Z2162" s="28"/>
    </row>
    <row r="2163" spans="2:26">
      <c r="B2163" s="2"/>
      <c r="N2163" s="27"/>
      <c r="R2163" s="15"/>
      <c r="X2163" s="3"/>
      <c r="Z2163" s="28"/>
    </row>
    <row r="2164" spans="2:26">
      <c r="B2164" s="2"/>
      <c r="N2164" s="27"/>
      <c r="R2164" s="15"/>
      <c r="X2164" s="3"/>
      <c r="Z2164" s="28"/>
    </row>
    <row r="2165" spans="2:26">
      <c r="B2165" s="2"/>
      <c r="N2165" s="27"/>
      <c r="R2165" s="15"/>
      <c r="X2165" s="3"/>
      <c r="Z2165" s="28"/>
    </row>
    <row r="2166" spans="2:26">
      <c r="B2166" s="2"/>
      <c r="N2166" s="27"/>
      <c r="R2166" s="15"/>
      <c r="X2166" s="3"/>
      <c r="Z2166" s="28"/>
    </row>
    <row r="2167" spans="2:26">
      <c r="B2167" s="2"/>
      <c r="N2167" s="27"/>
      <c r="R2167" s="15"/>
      <c r="X2167" s="3"/>
      <c r="Z2167" s="28"/>
    </row>
    <row r="2168" spans="2:26">
      <c r="B2168" s="2"/>
      <c r="N2168" s="27"/>
      <c r="R2168" s="15"/>
      <c r="X2168" s="3"/>
      <c r="Z2168" s="28"/>
    </row>
    <row r="2169" spans="2:26">
      <c r="B2169" s="2"/>
      <c r="N2169" s="27"/>
      <c r="R2169" s="15"/>
      <c r="X2169" s="3"/>
      <c r="Z2169" s="28"/>
    </row>
    <row r="2170" spans="2:26">
      <c r="B2170" s="2"/>
      <c r="N2170" s="27"/>
      <c r="R2170" s="15"/>
      <c r="X2170" s="3"/>
      <c r="Z2170" s="28"/>
    </row>
    <row r="2171" spans="2:26">
      <c r="B2171" s="2"/>
      <c r="N2171" s="27"/>
      <c r="R2171" s="15"/>
      <c r="X2171" s="3"/>
      <c r="Z2171" s="28"/>
    </row>
    <row r="2172" spans="2:26">
      <c r="B2172" s="2"/>
      <c r="N2172" s="27"/>
      <c r="R2172" s="15"/>
      <c r="X2172" s="3"/>
      <c r="Z2172" s="28"/>
    </row>
    <row r="2173" spans="2:26">
      <c r="B2173" s="2"/>
      <c r="N2173" s="27"/>
      <c r="R2173" s="15"/>
      <c r="X2173" s="3"/>
      <c r="Z2173" s="28"/>
    </row>
    <row r="2174" spans="2:26">
      <c r="B2174" s="2"/>
      <c r="N2174" s="27"/>
      <c r="R2174" s="15"/>
      <c r="X2174" s="3"/>
      <c r="Z2174" s="28"/>
    </row>
    <row r="2175" spans="2:26">
      <c r="B2175" s="2"/>
      <c r="N2175" s="27"/>
      <c r="R2175" s="15"/>
      <c r="X2175" s="3"/>
      <c r="Z2175" s="28"/>
    </row>
    <row r="2176" spans="2:26">
      <c r="B2176" s="2"/>
      <c r="N2176" s="27"/>
      <c r="R2176" s="15"/>
      <c r="X2176" s="3"/>
      <c r="Z2176" s="28"/>
    </row>
    <row r="2177" spans="2:26">
      <c r="B2177" s="2"/>
      <c r="N2177" s="27"/>
      <c r="R2177" s="15"/>
      <c r="X2177" s="3"/>
      <c r="Z2177" s="28"/>
    </row>
    <row r="2178" spans="2:26">
      <c r="B2178" s="2"/>
      <c r="N2178" s="27"/>
      <c r="R2178" s="15"/>
      <c r="X2178" s="3"/>
      <c r="Z2178" s="28"/>
    </row>
    <row r="2179" spans="2:26">
      <c r="B2179" s="2"/>
      <c r="N2179" s="27"/>
      <c r="R2179" s="15"/>
      <c r="X2179" s="3"/>
      <c r="Z2179" s="28"/>
    </row>
    <row r="2180" spans="2:26">
      <c r="B2180" s="2"/>
      <c r="N2180" s="27"/>
      <c r="R2180" s="15"/>
      <c r="X2180" s="3"/>
      <c r="Z2180" s="28"/>
    </row>
    <row r="2181" spans="2:26">
      <c r="B2181" s="2"/>
      <c r="N2181" s="27"/>
      <c r="R2181" s="15"/>
      <c r="X2181" s="3"/>
      <c r="Z2181" s="28"/>
    </row>
    <row r="2182" spans="2:26">
      <c r="B2182" s="2"/>
      <c r="N2182" s="27"/>
      <c r="R2182" s="15"/>
      <c r="X2182" s="3"/>
      <c r="Z2182" s="28"/>
    </row>
    <row r="2183" spans="2:26">
      <c r="B2183" s="2"/>
      <c r="N2183" s="27"/>
      <c r="R2183" s="15"/>
      <c r="X2183" s="3"/>
      <c r="Z2183" s="28"/>
    </row>
    <row r="2184" spans="2:26">
      <c r="B2184" s="2"/>
      <c r="N2184" s="27"/>
      <c r="R2184" s="15"/>
      <c r="X2184" s="3"/>
      <c r="Z2184" s="28"/>
    </row>
    <row r="2185" spans="2:26">
      <c r="B2185" s="2"/>
      <c r="N2185" s="27"/>
      <c r="R2185" s="15"/>
      <c r="X2185" s="3"/>
      <c r="Z2185" s="28"/>
    </row>
    <row r="2186" spans="2:26">
      <c r="B2186" s="2"/>
      <c r="N2186" s="27"/>
      <c r="R2186" s="15"/>
      <c r="X2186" s="3"/>
      <c r="Z2186" s="28"/>
    </row>
    <row r="2187" spans="2:26">
      <c r="B2187" s="2"/>
      <c r="N2187" s="27"/>
      <c r="R2187" s="15"/>
      <c r="X2187" s="3"/>
      <c r="Z2187" s="28"/>
    </row>
    <row r="2188" spans="2:26">
      <c r="B2188" s="2"/>
      <c r="N2188" s="27"/>
      <c r="R2188" s="15"/>
      <c r="X2188" s="3"/>
      <c r="Z2188" s="28"/>
    </row>
    <row r="2189" spans="2:26">
      <c r="B2189" s="2"/>
      <c r="N2189" s="27"/>
      <c r="R2189" s="15"/>
      <c r="X2189" s="3"/>
      <c r="Z2189" s="28"/>
    </row>
    <row r="2190" spans="2:26">
      <c r="B2190" s="2"/>
      <c r="N2190" s="27"/>
      <c r="R2190" s="15"/>
      <c r="X2190" s="3"/>
      <c r="Z2190" s="28"/>
    </row>
    <row r="2191" spans="2:26">
      <c r="B2191" s="2"/>
      <c r="N2191" s="27"/>
      <c r="R2191" s="15"/>
      <c r="X2191" s="3"/>
      <c r="Z2191" s="28"/>
    </row>
    <row r="2192" spans="2:26">
      <c r="B2192" s="2"/>
      <c r="N2192" s="27"/>
      <c r="R2192" s="15"/>
      <c r="X2192" s="3"/>
      <c r="Z2192" s="28"/>
    </row>
    <row r="2193" spans="2:26">
      <c r="B2193" s="2"/>
      <c r="N2193" s="27"/>
      <c r="R2193" s="15"/>
      <c r="X2193" s="3"/>
      <c r="Z2193" s="28"/>
    </row>
    <row r="2194" spans="2:26">
      <c r="B2194" s="2"/>
      <c r="N2194" s="27"/>
      <c r="R2194" s="15"/>
      <c r="X2194" s="3"/>
      <c r="Z2194" s="28"/>
    </row>
    <row r="2195" spans="2:26">
      <c r="B2195" s="2"/>
      <c r="N2195" s="27"/>
      <c r="R2195" s="15"/>
      <c r="X2195" s="3"/>
      <c r="Z2195" s="28"/>
    </row>
    <row r="2196" spans="2:26">
      <c r="B2196" s="2"/>
      <c r="N2196" s="27"/>
      <c r="R2196" s="15"/>
      <c r="X2196" s="3"/>
      <c r="Z2196" s="28"/>
    </row>
    <row r="2197" spans="2:26">
      <c r="B2197" s="2"/>
      <c r="N2197" s="27"/>
      <c r="R2197" s="15"/>
      <c r="X2197" s="3"/>
      <c r="Z2197" s="28"/>
    </row>
    <row r="2198" spans="2:26">
      <c r="B2198" s="2"/>
      <c r="N2198" s="27"/>
      <c r="R2198" s="15"/>
      <c r="X2198" s="3"/>
      <c r="Z2198" s="28"/>
    </row>
    <row r="2199" spans="2:26">
      <c r="B2199" s="2"/>
      <c r="N2199" s="27"/>
      <c r="R2199" s="15"/>
      <c r="X2199" s="3"/>
      <c r="Z2199" s="28"/>
    </row>
    <row r="2200" spans="2:26">
      <c r="B2200" s="2"/>
      <c r="N2200" s="27"/>
      <c r="R2200" s="15"/>
      <c r="X2200" s="3"/>
      <c r="Z2200" s="28"/>
    </row>
    <row r="2201" spans="2:26">
      <c r="B2201" s="2"/>
      <c r="N2201" s="27"/>
      <c r="R2201" s="15"/>
      <c r="X2201" s="3"/>
      <c r="Z2201" s="28"/>
    </row>
    <row r="2202" spans="2:26">
      <c r="B2202" s="2"/>
      <c r="N2202" s="27"/>
      <c r="R2202" s="15"/>
      <c r="X2202" s="3"/>
      <c r="Z2202" s="28"/>
    </row>
    <row r="2203" spans="2:26">
      <c r="B2203" s="2"/>
      <c r="N2203" s="27"/>
      <c r="R2203" s="15"/>
      <c r="X2203" s="3"/>
      <c r="Z2203" s="28"/>
    </row>
    <row r="2204" spans="2:26">
      <c r="B2204" s="2"/>
      <c r="N2204" s="27"/>
      <c r="R2204" s="15"/>
      <c r="X2204" s="3"/>
      <c r="Z2204" s="28"/>
    </row>
    <row r="2205" spans="2:26">
      <c r="B2205" s="2"/>
      <c r="N2205" s="27"/>
      <c r="R2205" s="15"/>
      <c r="X2205" s="3"/>
      <c r="Z2205" s="28"/>
    </row>
    <row r="2206" spans="2:26">
      <c r="B2206" s="2"/>
      <c r="N2206" s="27"/>
      <c r="R2206" s="15"/>
      <c r="X2206" s="3"/>
      <c r="Z2206" s="28"/>
    </row>
    <row r="2207" spans="2:26">
      <c r="B2207" s="2"/>
      <c r="N2207" s="27"/>
      <c r="R2207" s="15"/>
      <c r="X2207" s="3"/>
      <c r="Z2207" s="28"/>
    </row>
    <row r="2208" spans="2:26">
      <c r="B2208" s="2"/>
      <c r="N2208" s="27"/>
      <c r="R2208" s="15"/>
      <c r="X2208" s="3"/>
      <c r="Z2208" s="28"/>
    </row>
    <row r="2209" spans="2:26">
      <c r="B2209" s="2"/>
      <c r="N2209" s="27"/>
      <c r="R2209" s="15"/>
      <c r="X2209" s="3"/>
      <c r="Z2209" s="28"/>
    </row>
    <row r="2210" spans="2:26">
      <c r="B2210" s="2"/>
      <c r="N2210" s="27"/>
      <c r="R2210" s="15"/>
      <c r="X2210" s="3"/>
      <c r="Z2210" s="28"/>
    </row>
    <row r="2211" spans="2:26">
      <c r="B2211" s="2"/>
      <c r="N2211" s="27"/>
      <c r="R2211" s="15"/>
      <c r="X2211" s="3"/>
      <c r="Z2211" s="28"/>
    </row>
    <row r="2212" spans="2:26">
      <c r="B2212" s="2"/>
      <c r="N2212" s="27"/>
      <c r="R2212" s="15"/>
      <c r="X2212" s="3"/>
      <c r="Z2212" s="28"/>
    </row>
    <row r="2213" spans="2:26">
      <c r="B2213" s="2"/>
      <c r="N2213" s="27"/>
      <c r="R2213" s="15"/>
      <c r="X2213" s="3"/>
      <c r="Z2213" s="28"/>
    </row>
    <row r="2214" spans="2:26">
      <c r="B2214" s="2"/>
      <c r="N2214" s="27"/>
      <c r="R2214" s="15"/>
      <c r="X2214" s="3"/>
      <c r="Z2214" s="28"/>
    </row>
    <row r="2215" spans="2:26">
      <c r="B2215" s="2"/>
      <c r="N2215" s="27"/>
      <c r="R2215" s="15"/>
      <c r="X2215" s="3"/>
      <c r="Z2215" s="28"/>
    </row>
    <row r="2216" spans="2:26">
      <c r="B2216" s="2"/>
      <c r="N2216" s="27"/>
      <c r="R2216" s="15"/>
      <c r="X2216" s="3"/>
      <c r="Z2216" s="28"/>
    </row>
    <row r="2217" spans="2:26">
      <c r="B2217" s="2"/>
      <c r="N2217" s="27"/>
      <c r="R2217" s="15"/>
      <c r="X2217" s="3"/>
      <c r="Z2217" s="28"/>
    </row>
    <row r="2218" spans="2:26">
      <c r="B2218" s="2"/>
      <c r="N2218" s="27"/>
      <c r="R2218" s="15"/>
      <c r="X2218" s="3"/>
      <c r="Z2218" s="28"/>
    </row>
    <row r="2219" spans="2:26">
      <c r="B2219" s="2"/>
      <c r="N2219" s="27"/>
      <c r="R2219" s="15"/>
      <c r="X2219" s="3"/>
      <c r="Z2219" s="28"/>
    </row>
    <row r="2220" spans="2:26">
      <c r="B2220" s="2"/>
      <c r="N2220" s="27"/>
      <c r="R2220" s="15"/>
      <c r="X2220" s="3"/>
      <c r="Z2220" s="28"/>
    </row>
    <row r="2221" spans="2:26">
      <c r="B2221" s="2"/>
      <c r="N2221" s="27"/>
      <c r="R2221" s="15"/>
      <c r="X2221" s="3"/>
      <c r="Z2221" s="28"/>
    </row>
    <row r="2222" spans="2:26">
      <c r="B2222" s="2"/>
      <c r="N2222" s="27"/>
      <c r="R2222" s="15"/>
      <c r="X2222" s="3"/>
      <c r="Z2222" s="28"/>
    </row>
    <row r="2223" spans="2:26">
      <c r="B2223" s="2"/>
      <c r="N2223" s="27"/>
      <c r="R2223" s="15"/>
      <c r="X2223" s="3"/>
      <c r="Z2223" s="28"/>
    </row>
    <row r="2224" spans="2:26">
      <c r="B2224" s="2"/>
      <c r="N2224" s="27"/>
      <c r="R2224" s="15"/>
      <c r="X2224" s="3"/>
      <c r="Z2224" s="28"/>
    </row>
    <row r="2225" spans="2:26">
      <c r="B2225" s="2"/>
      <c r="N2225" s="27"/>
      <c r="R2225" s="15"/>
      <c r="X2225" s="3"/>
      <c r="Z2225" s="28"/>
    </row>
    <row r="2226" spans="2:26">
      <c r="B2226" s="2"/>
      <c r="N2226" s="27"/>
      <c r="R2226" s="15"/>
      <c r="X2226" s="3"/>
      <c r="Z2226" s="28"/>
    </row>
    <row r="2227" spans="2:26">
      <c r="B2227" s="2"/>
      <c r="N2227" s="27"/>
      <c r="R2227" s="15"/>
      <c r="X2227" s="3"/>
      <c r="Z2227" s="28"/>
    </row>
    <row r="2228" spans="2:26">
      <c r="B2228" s="2"/>
      <c r="N2228" s="27"/>
      <c r="R2228" s="15"/>
      <c r="X2228" s="3"/>
      <c r="Z2228" s="28"/>
    </row>
    <row r="2229" spans="2:26">
      <c r="B2229" s="2"/>
      <c r="N2229" s="27"/>
      <c r="R2229" s="15"/>
      <c r="X2229" s="3"/>
      <c r="Z2229" s="28"/>
    </row>
    <row r="2230" spans="2:26">
      <c r="B2230" s="2"/>
      <c r="N2230" s="27"/>
      <c r="R2230" s="15"/>
      <c r="X2230" s="3"/>
      <c r="Z2230" s="28"/>
    </row>
    <row r="2231" spans="2:26">
      <c r="B2231" s="2"/>
      <c r="N2231" s="27"/>
      <c r="R2231" s="15"/>
      <c r="X2231" s="3"/>
      <c r="Z2231" s="28"/>
    </row>
    <row r="2232" spans="2:26">
      <c r="B2232" s="2"/>
      <c r="N2232" s="27"/>
      <c r="R2232" s="15"/>
      <c r="X2232" s="3"/>
      <c r="Z2232" s="28"/>
    </row>
    <row r="2233" spans="2:26">
      <c r="B2233" s="2"/>
      <c r="N2233" s="27"/>
      <c r="R2233" s="15"/>
      <c r="X2233" s="3"/>
      <c r="Z2233" s="28"/>
    </row>
    <row r="2234" spans="2:26">
      <c r="B2234" s="2"/>
      <c r="N2234" s="27"/>
      <c r="R2234" s="15"/>
      <c r="X2234" s="3"/>
      <c r="Z2234" s="28"/>
    </row>
    <row r="2235" spans="2:26">
      <c r="B2235" s="2"/>
      <c r="N2235" s="27"/>
      <c r="R2235" s="15"/>
      <c r="X2235" s="3"/>
      <c r="Z2235" s="28"/>
    </row>
    <row r="2236" spans="2:26">
      <c r="B2236" s="2"/>
      <c r="N2236" s="27"/>
      <c r="R2236" s="15"/>
      <c r="X2236" s="3"/>
      <c r="Z2236" s="28"/>
    </row>
    <row r="2237" spans="2:26">
      <c r="B2237" s="2"/>
      <c r="N2237" s="27"/>
      <c r="R2237" s="15"/>
      <c r="X2237" s="3"/>
      <c r="Z2237" s="28"/>
    </row>
    <row r="2238" spans="2:26">
      <c r="B2238" s="2"/>
      <c r="N2238" s="27"/>
      <c r="R2238" s="15"/>
      <c r="X2238" s="3"/>
      <c r="Z2238" s="28"/>
    </row>
    <row r="2239" spans="2:26">
      <c r="B2239" s="2"/>
      <c r="N2239" s="27"/>
      <c r="R2239" s="15"/>
      <c r="X2239" s="3"/>
      <c r="Z2239" s="28"/>
    </row>
    <row r="2240" spans="2:26">
      <c r="B2240" s="2"/>
      <c r="N2240" s="27"/>
      <c r="R2240" s="15"/>
      <c r="X2240" s="3"/>
      <c r="Z2240" s="28"/>
    </row>
    <row r="2241" spans="2:26">
      <c r="B2241" s="2"/>
      <c r="N2241" s="27"/>
      <c r="R2241" s="15"/>
      <c r="X2241" s="3"/>
      <c r="Z2241" s="28"/>
    </row>
    <row r="2242" spans="2:26">
      <c r="B2242" s="2"/>
      <c r="N2242" s="27"/>
      <c r="R2242" s="15"/>
      <c r="X2242" s="3"/>
      <c r="Z2242" s="28"/>
    </row>
    <row r="2243" spans="2:26">
      <c r="B2243" s="2"/>
      <c r="N2243" s="27"/>
      <c r="R2243" s="15"/>
      <c r="X2243" s="3"/>
      <c r="Z2243" s="28"/>
    </row>
    <row r="2244" spans="2:26">
      <c r="B2244" s="2"/>
      <c r="N2244" s="27"/>
      <c r="R2244" s="15"/>
      <c r="X2244" s="3"/>
      <c r="Z2244" s="28"/>
    </row>
    <row r="2245" spans="2:26">
      <c r="B2245" s="2"/>
      <c r="N2245" s="27"/>
      <c r="R2245" s="15"/>
      <c r="X2245" s="3"/>
      <c r="Z2245" s="28"/>
    </row>
    <row r="2246" spans="2:26">
      <c r="B2246" s="2"/>
      <c r="N2246" s="27"/>
      <c r="R2246" s="15"/>
      <c r="X2246" s="3"/>
      <c r="Z2246" s="28"/>
    </row>
    <row r="2247" spans="2:26">
      <c r="B2247" s="2"/>
      <c r="N2247" s="27"/>
      <c r="R2247" s="15"/>
      <c r="X2247" s="3"/>
      <c r="Z2247" s="28"/>
    </row>
    <row r="2248" spans="2:26">
      <c r="B2248" s="2"/>
      <c r="N2248" s="27"/>
      <c r="R2248" s="15"/>
      <c r="X2248" s="3"/>
      <c r="Z2248" s="28"/>
    </row>
    <row r="2249" spans="2:26">
      <c r="B2249" s="2"/>
      <c r="N2249" s="27"/>
      <c r="R2249" s="15"/>
      <c r="X2249" s="3"/>
      <c r="Z2249" s="28"/>
    </row>
    <row r="2250" spans="2:26">
      <c r="B2250" s="2"/>
      <c r="N2250" s="27"/>
      <c r="R2250" s="15"/>
      <c r="X2250" s="3"/>
      <c r="Z2250" s="28"/>
    </row>
    <row r="2251" spans="2:26">
      <c r="B2251" s="2"/>
      <c r="N2251" s="27"/>
      <c r="R2251" s="15"/>
      <c r="X2251" s="3"/>
      <c r="Z2251" s="28"/>
    </row>
    <row r="2252" spans="2:26">
      <c r="B2252" s="2"/>
      <c r="N2252" s="27"/>
      <c r="R2252" s="15"/>
      <c r="X2252" s="3"/>
      <c r="Z2252" s="28"/>
    </row>
    <row r="2253" spans="2:26">
      <c r="B2253" s="2"/>
      <c r="N2253" s="27"/>
      <c r="R2253" s="15"/>
      <c r="X2253" s="3"/>
      <c r="Z2253" s="28"/>
    </row>
    <row r="2254" spans="2:26">
      <c r="B2254" s="2"/>
      <c r="N2254" s="27"/>
      <c r="R2254" s="15"/>
      <c r="X2254" s="3"/>
      <c r="Z2254" s="28"/>
    </row>
    <row r="2255" spans="2:26">
      <c r="B2255" s="2"/>
      <c r="N2255" s="27"/>
      <c r="R2255" s="15"/>
      <c r="X2255" s="3"/>
      <c r="Z2255" s="28"/>
    </row>
    <row r="2256" spans="2:26">
      <c r="B2256" s="2"/>
      <c r="N2256" s="27"/>
      <c r="R2256" s="15"/>
      <c r="X2256" s="3"/>
      <c r="Z2256" s="28"/>
    </row>
    <row r="2257" spans="2:26">
      <c r="B2257" s="2"/>
      <c r="N2257" s="27"/>
      <c r="R2257" s="15"/>
      <c r="X2257" s="3"/>
      <c r="Z2257" s="28"/>
    </row>
    <row r="2258" spans="2:26">
      <c r="B2258" s="2"/>
      <c r="N2258" s="27"/>
      <c r="R2258" s="15"/>
      <c r="X2258" s="3"/>
      <c r="Z2258" s="28"/>
    </row>
    <row r="2259" spans="2:26">
      <c r="B2259" s="2"/>
      <c r="N2259" s="27"/>
      <c r="R2259" s="15"/>
      <c r="X2259" s="3"/>
      <c r="Z2259" s="28"/>
    </row>
    <row r="2260" spans="2:26">
      <c r="B2260" s="2"/>
      <c r="N2260" s="27"/>
      <c r="R2260" s="15"/>
      <c r="X2260" s="3"/>
      <c r="Z2260" s="28"/>
    </row>
    <row r="2261" spans="2:26">
      <c r="B2261" s="2"/>
      <c r="N2261" s="27"/>
      <c r="R2261" s="15"/>
      <c r="X2261" s="3"/>
      <c r="Z2261" s="28"/>
    </row>
    <row r="2262" spans="2:26">
      <c r="B2262" s="2"/>
      <c r="N2262" s="27"/>
      <c r="R2262" s="15"/>
      <c r="X2262" s="3"/>
      <c r="Z2262" s="28"/>
    </row>
    <row r="2263" spans="2:26">
      <c r="B2263" s="2"/>
      <c r="N2263" s="27"/>
      <c r="R2263" s="15"/>
      <c r="X2263" s="3"/>
      <c r="Z2263" s="28"/>
    </row>
    <row r="2264" spans="2:26">
      <c r="B2264" s="2"/>
      <c r="N2264" s="27"/>
      <c r="R2264" s="15"/>
      <c r="X2264" s="3"/>
      <c r="Z2264" s="28"/>
    </row>
    <row r="2265" spans="2:26">
      <c r="B2265" s="2"/>
      <c r="N2265" s="27"/>
      <c r="R2265" s="15"/>
      <c r="X2265" s="3"/>
      <c r="Z2265" s="28"/>
    </row>
    <row r="2266" spans="2:26">
      <c r="B2266" s="2"/>
      <c r="N2266" s="27"/>
      <c r="R2266" s="15"/>
      <c r="X2266" s="3"/>
      <c r="Z2266" s="28"/>
    </row>
    <row r="2267" spans="2:26">
      <c r="B2267" s="2"/>
      <c r="N2267" s="27"/>
      <c r="R2267" s="15"/>
      <c r="X2267" s="3"/>
      <c r="Z2267" s="28"/>
    </row>
    <row r="2268" spans="2:26">
      <c r="B2268" s="2"/>
      <c r="N2268" s="27"/>
      <c r="R2268" s="15"/>
      <c r="X2268" s="3"/>
      <c r="Z2268" s="28"/>
    </row>
    <row r="2269" spans="2:26">
      <c r="B2269" s="2"/>
      <c r="N2269" s="27"/>
      <c r="R2269" s="15"/>
      <c r="X2269" s="3"/>
      <c r="Z2269" s="28"/>
    </row>
    <row r="2270" spans="2:26">
      <c r="B2270" s="2"/>
      <c r="N2270" s="27"/>
      <c r="R2270" s="15"/>
      <c r="X2270" s="3"/>
      <c r="Z2270" s="28"/>
    </row>
    <row r="2271" spans="2:26">
      <c r="B2271" s="2"/>
      <c r="N2271" s="27"/>
      <c r="R2271" s="15"/>
      <c r="X2271" s="3"/>
      <c r="Z2271" s="28"/>
    </row>
    <row r="2272" spans="2:26">
      <c r="B2272" s="2"/>
      <c r="N2272" s="27"/>
      <c r="R2272" s="15"/>
      <c r="X2272" s="3"/>
      <c r="Z2272" s="28"/>
    </row>
    <row r="2273" spans="2:26">
      <c r="B2273" s="2"/>
      <c r="N2273" s="27"/>
      <c r="R2273" s="15"/>
      <c r="X2273" s="3"/>
      <c r="Z2273" s="28"/>
    </row>
    <row r="2274" spans="2:26">
      <c r="B2274" s="2"/>
      <c r="N2274" s="27"/>
      <c r="R2274" s="15"/>
      <c r="X2274" s="3"/>
      <c r="Z2274" s="28"/>
    </row>
    <row r="2275" spans="2:26">
      <c r="B2275" s="2"/>
      <c r="N2275" s="27"/>
      <c r="R2275" s="15"/>
      <c r="X2275" s="3"/>
      <c r="Z2275" s="28"/>
    </row>
    <row r="2276" spans="2:26">
      <c r="B2276" s="2"/>
      <c r="N2276" s="27"/>
      <c r="R2276" s="15"/>
      <c r="X2276" s="3"/>
      <c r="Z2276" s="28"/>
    </row>
    <row r="2277" spans="2:26">
      <c r="B2277" s="2"/>
      <c r="N2277" s="27"/>
      <c r="R2277" s="15"/>
      <c r="X2277" s="3"/>
      <c r="Z2277" s="28"/>
    </row>
    <row r="2278" spans="2:26">
      <c r="B2278" s="2"/>
      <c r="N2278" s="27"/>
      <c r="R2278" s="15"/>
      <c r="X2278" s="3"/>
      <c r="Z2278" s="28"/>
    </row>
    <row r="2279" spans="2:26">
      <c r="B2279" s="2"/>
      <c r="N2279" s="27"/>
      <c r="R2279" s="15"/>
      <c r="X2279" s="3"/>
      <c r="Z2279" s="28"/>
    </row>
    <row r="2280" spans="2:26">
      <c r="B2280" s="2"/>
      <c r="N2280" s="27"/>
      <c r="R2280" s="15"/>
      <c r="X2280" s="3"/>
      <c r="Z2280" s="28"/>
    </row>
    <row r="2281" spans="2:26">
      <c r="B2281" s="2"/>
      <c r="N2281" s="27"/>
      <c r="R2281" s="15"/>
      <c r="X2281" s="3"/>
      <c r="Z2281" s="28"/>
    </row>
    <row r="2282" spans="2:26">
      <c r="B2282" s="2"/>
      <c r="N2282" s="27"/>
      <c r="R2282" s="15"/>
      <c r="X2282" s="3"/>
      <c r="Z2282" s="28"/>
    </row>
    <row r="2283" spans="2:26">
      <c r="B2283" s="2"/>
      <c r="N2283" s="27"/>
      <c r="R2283" s="15"/>
      <c r="X2283" s="3"/>
      <c r="Z2283" s="28"/>
    </row>
    <row r="2284" spans="2:26">
      <c r="B2284" s="2"/>
      <c r="N2284" s="27"/>
      <c r="R2284" s="15"/>
      <c r="X2284" s="3"/>
      <c r="Z2284" s="28"/>
    </row>
    <row r="2285" spans="2:26">
      <c r="B2285" s="2"/>
      <c r="N2285" s="27"/>
      <c r="R2285" s="15"/>
      <c r="X2285" s="3"/>
      <c r="Z2285" s="28"/>
    </row>
    <row r="2286" spans="2:26">
      <c r="B2286" s="2"/>
      <c r="N2286" s="27"/>
      <c r="R2286" s="15"/>
      <c r="X2286" s="3"/>
      <c r="Z2286" s="28"/>
    </row>
    <row r="2287" spans="2:26">
      <c r="B2287" s="2"/>
      <c r="N2287" s="27"/>
      <c r="R2287" s="15"/>
      <c r="X2287" s="3"/>
      <c r="Z2287" s="28"/>
    </row>
    <row r="2288" spans="2:26">
      <c r="B2288" s="2"/>
      <c r="N2288" s="27"/>
      <c r="R2288" s="15"/>
      <c r="X2288" s="3"/>
      <c r="Z2288" s="28"/>
    </row>
    <row r="2289" spans="2:26">
      <c r="B2289" s="2"/>
      <c r="N2289" s="27"/>
      <c r="R2289" s="15"/>
      <c r="X2289" s="3"/>
      <c r="Z2289" s="28"/>
    </row>
    <row r="2290" spans="2:26">
      <c r="B2290" s="2"/>
      <c r="N2290" s="27"/>
      <c r="R2290" s="15"/>
      <c r="X2290" s="3"/>
      <c r="Z2290" s="28"/>
    </row>
    <row r="2291" spans="2:26">
      <c r="B2291" s="2"/>
      <c r="N2291" s="27"/>
      <c r="R2291" s="15"/>
      <c r="X2291" s="3"/>
      <c r="Z2291" s="28"/>
    </row>
    <row r="2292" spans="2:26">
      <c r="B2292" s="2"/>
      <c r="N2292" s="27"/>
      <c r="R2292" s="15"/>
      <c r="X2292" s="3"/>
      <c r="Z2292" s="28"/>
    </row>
    <row r="2293" spans="2:26">
      <c r="B2293" s="2"/>
      <c r="N2293" s="27"/>
      <c r="R2293" s="15"/>
      <c r="X2293" s="3"/>
      <c r="Z2293" s="28"/>
    </row>
    <row r="2294" spans="2:26">
      <c r="B2294" s="2"/>
      <c r="N2294" s="27"/>
      <c r="R2294" s="15"/>
      <c r="X2294" s="3"/>
      <c r="Z2294" s="28"/>
    </row>
    <row r="2295" spans="2:26">
      <c r="B2295" s="2"/>
      <c r="N2295" s="27"/>
      <c r="R2295" s="15"/>
      <c r="X2295" s="3"/>
      <c r="Z2295" s="28"/>
    </row>
    <row r="2296" spans="2:26">
      <c r="B2296" s="2"/>
      <c r="N2296" s="27"/>
      <c r="R2296" s="15"/>
      <c r="X2296" s="3"/>
      <c r="Z2296" s="28"/>
    </row>
    <row r="2297" spans="2:26">
      <c r="B2297" s="2"/>
      <c r="N2297" s="27"/>
      <c r="R2297" s="15"/>
      <c r="X2297" s="3"/>
      <c r="Z2297" s="28"/>
    </row>
    <row r="2298" spans="2:26">
      <c r="B2298" s="2"/>
      <c r="N2298" s="27"/>
      <c r="R2298" s="15"/>
      <c r="X2298" s="3"/>
      <c r="Z2298" s="28"/>
    </row>
    <row r="2299" spans="2:26">
      <c r="B2299" s="2"/>
      <c r="N2299" s="27"/>
      <c r="R2299" s="15"/>
      <c r="X2299" s="3"/>
      <c r="Z2299" s="28"/>
    </row>
    <row r="2300" spans="2:26">
      <c r="B2300" s="2"/>
      <c r="N2300" s="27"/>
      <c r="R2300" s="15"/>
      <c r="X2300" s="3"/>
      <c r="Z2300" s="28"/>
    </row>
    <row r="2301" spans="2:26">
      <c r="B2301" s="2"/>
      <c r="N2301" s="27"/>
      <c r="R2301" s="15"/>
      <c r="X2301" s="3"/>
      <c r="Z2301" s="28"/>
    </row>
    <row r="2302" spans="2:26">
      <c r="B2302" s="2"/>
      <c r="N2302" s="27"/>
      <c r="R2302" s="15"/>
      <c r="X2302" s="3"/>
      <c r="Z2302" s="28"/>
    </row>
    <row r="2303" spans="2:26">
      <c r="B2303" s="2"/>
      <c r="N2303" s="27"/>
      <c r="R2303" s="15"/>
      <c r="X2303" s="3"/>
      <c r="Z2303" s="28"/>
    </row>
    <row r="2304" spans="2:26">
      <c r="B2304" s="2"/>
      <c r="N2304" s="27"/>
      <c r="R2304" s="15"/>
      <c r="X2304" s="3"/>
      <c r="Z2304" s="28"/>
    </row>
    <row r="2305" spans="2:26">
      <c r="B2305" s="2"/>
      <c r="N2305" s="27"/>
      <c r="R2305" s="15"/>
      <c r="X2305" s="3"/>
      <c r="Z2305" s="28"/>
    </row>
    <row r="2306" spans="2:26">
      <c r="B2306" s="2"/>
      <c r="N2306" s="27"/>
      <c r="R2306" s="15"/>
      <c r="X2306" s="3"/>
      <c r="Z2306" s="28"/>
    </row>
    <row r="2307" spans="2:26">
      <c r="B2307" s="2"/>
      <c r="N2307" s="27"/>
      <c r="R2307" s="15"/>
      <c r="X2307" s="3"/>
      <c r="Z2307" s="28"/>
    </row>
    <row r="2308" spans="2:26">
      <c r="B2308" s="2"/>
      <c r="N2308" s="27"/>
      <c r="R2308" s="15"/>
      <c r="X2308" s="3"/>
      <c r="Z2308" s="28"/>
    </row>
    <row r="2309" spans="2:26">
      <c r="B2309" s="2"/>
      <c r="N2309" s="27"/>
      <c r="R2309" s="15"/>
      <c r="X2309" s="3"/>
      <c r="Z2309" s="28"/>
    </row>
    <row r="2310" spans="2:26">
      <c r="B2310" s="2"/>
      <c r="N2310" s="27"/>
      <c r="R2310" s="15"/>
      <c r="X2310" s="3"/>
      <c r="Z2310" s="28"/>
    </row>
    <row r="2311" spans="2:26">
      <c r="B2311" s="2"/>
      <c r="N2311" s="27"/>
      <c r="R2311" s="15"/>
      <c r="X2311" s="3"/>
      <c r="Z2311" s="28"/>
    </row>
    <row r="2312" spans="2:26">
      <c r="B2312" s="2"/>
      <c r="N2312" s="27"/>
      <c r="R2312" s="15"/>
      <c r="X2312" s="3"/>
      <c r="Z2312" s="28"/>
    </row>
    <row r="2313" spans="2:26">
      <c r="B2313" s="2"/>
      <c r="N2313" s="27"/>
      <c r="R2313" s="15"/>
      <c r="X2313" s="3"/>
      <c r="Z2313" s="28"/>
    </row>
    <row r="2314" spans="2:26">
      <c r="B2314" s="2"/>
      <c r="N2314" s="27"/>
      <c r="R2314" s="15"/>
      <c r="X2314" s="3"/>
      <c r="Z2314" s="28"/>
    </row>
    <row r="2315" spans="2:26">
      <c r="B2315" s="2"/>
      <c r="N2315" s="27"/>
      <c r="R2315" s="15"/>
      <c r="X2315" s="3"/>
      <c r="Z2315" s="28"/>
    </row>
    <row r="2316" spans="2:26">
      <c r="B2316" s="2"/>
      <c r="N2316" s="27"/>
      <c r="R2316" s="15"/>
      <c r="X2316" s="3"/>
      <c r="Z2316" s="28"/>
    </row>
    <row r="2317" spans="2:26">
      <c r="B2317" s="2"/>
      <c r="N2317" s="27"/>
      <c r="R2317" s="15"/>
      <c r="X2317" s="3"/>
      <c r="Z2317" s="28"/>
    </row>
    <row r="2318" spans="2:26">
      <c r="B2318" s="2"/>
      <c r="N2318" s="27"/>
      <c r="R2318" s="15"/>
      <c r="X2318" s="3"/>
      <c r="Z2318" s="28"/>
    </row>
    <row r="2319" spans="2:26">
      <c r="B2319" s="2"/>
      <c r="N2319" s="27"/>
      <c r="R2319" s="15"/>
      <c r="X2319" s="3"/>
      <c r="Z2319" s="28"/>
    </row>
    <row r="2320" spans="2:26">
      <c r="B2320" s="2"/>
      <c r="N2320" s="27"/>
      <c r="R2320" s="15"/>
      <c r="X2320" s="3"/>
      <c r="Z2320" s="28"/>
    </row>
    <row r="2321" spans="2:26">
      <c r="B2321" s="2"/>
      <c r="N2321" s="27"/>
      <c r="R2321" s="15"/>
      <c r="X2321" s="3"/>
      <c r="Z2321" s="28"/>
    </row>
    <row r="2322" spans="2:26">
      <c r="B2322" s="2"/>
      <c r="N2322" s="27"/>
      <c r="R2322" s="15"/>
      <c r="X2322" s="3"/>
      <c r="Z2322" s="28"/>
    </row>
    <row r="2323" spans="2:26">
      <c r="B2323" s="2"/>
      <c r="N2323" s="27"/>
      <c r="R2323" s="15"/>
      <c r="X2323" s="3"/>
      <c r="Z2323" s="28"/>
    </row>
    <row r="2324" spans="2:26">
      <c r="B2324" s="2"/>
      <c r="N2324" s="27"/>
      <c r="R2324" s="15"/>
      <c r="X2324" s="3"/>
      <c r="Z2324" s="28"/>
    </row>
    <row r="2325" spans="2:26">
      <c r="B2325" s="2"/>
      <c r="N2325" s="27"/>
      <c r="R2325" s="15"/>
      <c r="X2325" s="3"/>
      <c r="Z2325" s="28"/>
    </row>
    <row r="2326" spans="2:26">
      <c r="B2326" s="2"/>
      <c r="N2326" s="27"/>
      <c r="R2326" s="15"/>
      <c r="X2326" s="3"/>
      <c r="Z2326" s="28"/>
    </row>
    <row r="2327" spans="2:26">
      <c r="B2327" s="2"/>
      <c r="N2327" s="27"/>
      <c r="R2327" s="15"/>
      <c r="X2327" s="3"/>
      <c r="Z2327" s="28"/>
    </row>
    <row r="2328" spans="2:26">
      <c r="B2328" s="2"/>
      <c r="N2328" s="27"/>
      <c r="R2328" s="15"/>
      <c r="X2328" s="3"/>
      <c r="Z2328" s="28"/>
    </row>
    <row r="2329" spans="2:26">
      <c r="B2329" s="2"/>
      <c r="N2329" s="27"/>
      <c r="R2329" s="15"/>
      <c r="X2329" s="3"/>
      <c r="Z2329" s="28"/>
    </row>
    <row r="2330" spans="2:26">
      <c r="B2330" s="2"/>
      <c r="N2330" s="27"/>
      <c r="R2330" s="15"/>
      <c r="X2330" s="3"/>
      <c r="Z2330" s="28"/>
    </row>
    <row r="2331" spans="2:26">
      <c r="B2331" s="2"/>
      <c r="N2331" s="27"/>
      <c r="R2331" s="15"/>
      <c r="X2331" s="3"/>
      <c r="Z2331" s="28"/>
    </row>
    <row r="2332" spans="2:26">
      <c r="B2332" s="2"/>
      <c r="N2332" s="27"/>
      <c r="R2332" s="15"/>
      <c r="X2332" s="3"/>
      <c r="Z2332" s="28"/>
    </row>
    <row r="2333" spans="2:26">
      <c r="B2333" s="2"/>
      <c r="N2333" s="27"/>
      <c r="R2333" s="15"/>
      <c r="X2333" s="3"/>
      <c r="Z2333" s="28"/>
    </row>
    <row r="2334" spans="2:26">
      <c r="B2334" s="2"/>
      <c r="N2334" s="27"/>
      <c r="R2334" s="15"/>
      <c r="X2334" s="3"/>
      <c r="Z2334" s="28"/>
    </row>
    <row r="2335" spans="2:26">
      <c r="B2335" s="2"/>
      <c r="N2335" s="27"/>
      <c r="R2335" s="15"/>
      <c r="X2335" s="3"/>
      <c r="Z2335" s="28"/>
    </row>
    <row r="2336" spans="2:26">
      <c r="B2336" s="2"/>
      <c r="N2336" s="27"/>
      <c r="R2336" s="15"/>
      <c r="X2336" s="3"/>
      <c r="Z2336" s="28"/>
    </row>
    <row r="2337" spans="2:26">
      <c r="B2337" s="2"/>
      <c r="N2337" s="27"/>
      <c r="R2337" s="15"/>
      <c r="X2337" s="3"/>
      <c r="Z2337" s="28"/>
    </row>
    <row r="2338" spans="2:26">
      <c r="B2338" s="2"/>
      <c r="N2338" s="27"/>
      <c r="R2338" s="15"/>
      <c r="X2338" s="3"/>
      <c r="Z2338" s="28"/>
    </row>
    <row r="2339" spans="2:26">
      <c r="B2339" s="2"/>
      <c r="N2339" s="27"/>
      <c r="R2339" s="15"/>
      <c r="X2339" s="3"/>
      <c r="Z2339" s="28"/>
    </row>
    <row r="2340" spans="2:26">
      <c r="B2340" s="2"/>
      <c r="N2340" s="27"/>
      <c r="R2340" s="15"/>
      <c r="X2340" s="3"/>
      <c r="Z2340" s="28"/>
    </row>
    <row r="2341" spans="2:26">
      <c r="B2341" s="2"/>
      <c r="N2341" s="27"/>
      <c r="R2341" s="15"/>
      <c r="X2341" s="3"/>
      <c r="Z2341" s="28"/>
    </row>
    <row r="2342" spans="2:26">
      <c r="B2342" s="2"/>
      <c r="N2342" s="27"/>
      <c r="R2342" s="15"/>
      <c r="X2342" s="3"/>
      <c r="Z2342" s="28"/>
    </row>
    <row r="2343" spans="2:26">
      <c r="B2343" s="2"/>
      <c r="N2343" s="27"/>
      <c r="R2343" s="15"/>
      <c r="X2343" s="3"/>
      <c r="Z2343" s="28"/>
    </row>
    <row r="2344" spans="2:26">
      <c r="B2344" s="2"/>
      <c r="N2344" s="27"/>
      <c r="R2344" s="15"/>
      <c r="X2344" s="3"/>
      <c r="Z2344" s="28"/>
    </row>
    <row r="2345" spans="2:26">
      <c r="B2345" s="2"/>
      <c r="N2345" s="27"/>
      <c r="R2345" s="15"/>
      <c r="X2345" s="3"/>
      <c r="Z2345" s="28"/>
    </row>
    <row r="2346" spans="2:26">
      <c r="B2346" s="2"/>
      <c r="N2346" s="27"/>
      <c r="R2346" s="15"/>
      <c r="X2346" s="3"/>
      <c r="Z2346" s="28"/>
    </row>
    <row r="2347" spans="2:26">
      <c r="B2347" s="2"/>
      <c r="N2347" s="27"/>
      <c r="R2347" s="15"/>
      <c r="X2347" s="3"/>
      <c r="Z2347" s="28"/>
    </row>
    <row r="2348" spans="2:26">
      <c r="B2348" s="2"/>
      <c r="N2348" s="27"/>
      <c r="R2348" s="15"/>
      <c r="X2348" s="3"/>
      <c r="Z2348" s="28"/>
    </row>
    <row r="2349" spans="2:26">
      <c r="B2349" s="2"/>
      <c r="N2349" s="27"/>
      <c r="R2349" s="15"/>
      <c r="X2349" s="3"/>
      <c r="Z2349" s="28"/>
    </row>
    <row r="2350" spans="2:26">
      <c r="B2350" s="2"/>
      <c r="N2350" s="27"/>
      <c r="R2350" s="15"/>
      <c r="X2350" s="3"/>
      <c r="Z2350" s="28"/>
    </row>
    <row r="2351" spans="2:26">
      <c r="B2351" s="2"/>
      <c r="N2351" s="27"/>
      <c r="R2351" s="15"/>
      <c r="X2351" s="3"/>
      <c r="Z2351" s="28"/>
    </row>
    <row r="2352" spans="2:26">
      <c r="B2352" s="2"/>
      <c r="N2352" s="27"/>
      <c r="R2352" s="15"/>
      <c r="X2352" s="3"/>
      <c r="Z2352" s="28"/>
    </row>
    <row r="2353" spans="2:26">
      <c r="B2353" s="2"/>
      <c r="N2353" s="27"/>
      <c r="R2353" s="15"/>
      <c r="X2353" s="3"/>
      <c r="Z2353" s="28"/>
    </row>
    <row r="2354" spans="2:26">
      <c r="B2354" s="2"/>
      <c r="N2354" s="27"/>
      <c r="R2354" s="15"/>
      <c r="X2354" s="3"/>
      <c r="Z2354" s="28"/>
    </row>
    <row r="2355" spans="2:26">
      <c r="B2355" s="2"/>
      <c r="N2355" s="27"/>
      <c r="R2355" s="15"/>
      <c r="X2355" s="3"/>
      <c r="Z2355" s="28"/>
    </row>
    <row r="2356" spans="2:26">
      <c r="B2356" s="2"/>
      <c r="N2356" s="27"/>
      <c r="R2356" s="15"/>
      <c r="X2356" s="3"/>
      <c r="Z2356" s="28"/>
    </row>
    <row r="2357" spans="2:26">
      <c r="B2357" s="2"/>
      <c r="N2357" s="27"/>
      <c r="R2357" s="15"/>
      <c r="X2357" s="3"/>
      <c r="Z2357" s="28"/>
    </row>
    <row r="2358" spans="2:26">
      <c r="B2358" s="2"/>
      <c r="N2358" s="27"/>
      <c r="R2358" s="15"/>
      <c r="X2358" s="3"/>
      <c r="Z2358" s="28"/>
    </row>
    <row r="2359" spans="2:26">
      <c r="B2359" s="2"/>
      <c r="N2359" s="27"/>
      <c r="R2359" s="15"/>
      <c r="X2359" s="3"/>
      <c r="Z2359" s="28"/>
    </row>
    <row r="2360" spans="2:26">
      <c r="B2360" s="2"/>
      <c r="N2360" s="27"/>
      <c r="R2360" s="15"/>
      <c r="X2360" s="3"/>
      <c r="Z2360" s="28"/>
    </row>
    <row r="2361" spans="2:26">
      <c r="B2361" s="2"/>
      <c r="N2361" s="27"/>
      <c r="R2361" s="15"/>
      <c r="X2361" s="3"/>
      <c r="Z2361" s="28"/>
    </row>
    <row r="2362" spans="2:26">
      <c r="B2362" s="2"/>
      <c r="N2362" s="27"/>
      <c r="R2362" s="15"/>
      <c r="X2362" s="3"/>
      <c r="Z2362" s="28"/>
    </row>
    <row r="2363" spans="2:26">
      <c r="B2363" s="2"/>
      <c r="N2363" s="27"/>
      <c r="R2363" s="15"/>
      <c r="X2363" s="3"/>
      <c r="Z2363" s="28"/>
    </row>
    <row r="2364" spans="2:26">
      <c r="B2364" s="2"/>
      <c r="N2364" s="27"/>
      <c r="R2364" s="15"/>
      <c r="X2364" s="3"/>
      <c r="Z2364" s="28"/>
    </row>
    <row r="2365" spans="2:26">
      <c r="B2365" s="2"/>
      <c r="N2365" s="27"/>
      <c r="R2365" s="15"/>
      <c r="X2365" s="3"/>
      <c r="Z2365" s="28"/>
    </row>
    <row r="2366" spans="2:26">
      <c r="B2366" s="2"/>
      <c r="N2366" s="27"/>
      <c r="R2366" s="15"/>
      <c r="X2366" s="3"/>
      <c r="Z2366" s="28"/>
    </row>
    <row r="2367" spans="2:26">
      <c r="B2367" s="2"/>
      <c r="N2367" s="27"/>
      <c r="R2367" s="15"/>
      <c r="X2367" s="3"/>
      <c r="Z2367" s="28"/>
    </row>
    <row r="2368" spans="2:26">
      <c r="B2368" s="2"/>
      <c r="N2368" s="27"/>
      <c r="R2368" s="15"/>
      <c r="X2368" s="3"/>
      <c r="Z2368" s="28"/>
    </row>
    <row r="2369" spans="2:26">
      <c r="B2369" s="2"/>
      <c r="N2369" s="27"/>
      <c r="R2369" s="15"/>
      <c r="X2369" s="3"/>
      <c r="Z2369" s="28"/>
    </row>
    <row r="2370" spans="2:26">
      <c r="B2370" s="2"/>
      <c r="N2370" s="27"/>
      <c r="R2370" s="15"/>
      <c r="X2370" s="3"/>
      <c r="Z2370" s="28"/>
    </row>
    <row r="2371" spans="2:26">
      <c r="B2371" s="2"/>
      <c r="N2371" s="27"/>
      <c r="R2371" s="15"/>
      <c r="X2371" s="3"/>
      <c r="Z2371" s="28"/>
    </row>
    <row r="2372" spans="2:26">
      <c r="B2372" s="2"/>
      <c r="N2372" s="27"/>
      <c r="R2372" s="15"/>
      <c r="X2372" s="3"/>
      <c r="Z2372" s="28"/>
    </row>
    <row r="2373" spans="2:26">
      <c r="B2373" s="2"/>
      <c r="N2373" s="27"/>
      <c r="R2373" s="15"/>
      <c r="X2373" s="3"/>
      <c r="Z2373" s="28"/>
    </row>
    <row r="2374" spans="2:26">
      <c r="B2374" s="2"/>
      <c r="N2374" s="27"/>
      <c r="R2374" s="15"/>
      <c r="X2374" s="3"/>
      <c r="Z2374" s="28"/>
    </row>
    <row r="2375" spans="2:26">
      <c r="B2375" s="2"/>
      <c r="N2375" s="27"/>
      <c r="R2375" s="15"/>
      <c r="X2375" s="3"/>
      <c r="Z2375" s="28"/>
    </row>
    <row r="2376" spans="2:26">
      <c r="B2376" s="2"/>
      <c r="N2376" s="27"/>
      <c r="R2376" s="15"/>
      <c r="X2376" s="3"/>
      <c r="Z2376" s="28"/>
    </row>
    <row r="2377" spans="2:26">
      <c r="B2377" s="2"/>
      <c r="N2377" s="27"/>
      <c r="R2377" s="15"/>
      <c r="X2377" s="3"/>
      <c r="Z2377" s="28"/>
    </row>
    <row r="2378" spans="2:26">
      <c r="B2378" s="2"/>
      <c r="N2378" s="27"/>
      <c r="R2378" s="15"/>
      <c r="X2378" s="3"/>
      <c r="Z2378" s="28"/>
    </row>
    <row r="2379" spans="2:26">
      <c r="B2379" s="2"/>
      <c r="N2379" s="27"/>
      <c r="R2379" s="15"/>
      <c r="X2379" s="3"/>
      <c r="Z2379" s="28"/>
    </row>
    <row r="2380" spans="2:26">
      <c r="B2380" s="2"/>
      <c r="N2380" s="27"/>
      <c r="R2380" s="15"/>
      <c r="X2380" s="3"/>
      <c r="Z2380" s="28"/>
    </row>
    <row r="2381" spans="2:26">
      <c r="B2381" s="2"/>
      <c r="N2381" s="27"/>
      <c r="R2381" s="15"/>
      <c r="X2381" s="3"/>
      <c r="Z2381" s="28"/>
    </row>
    <row r="2382" spans="2:26">
      <c r="B2382" s="2"/>
      <c r="N2382" s="27"/>
      <c r="R2382" s="15"/>
      <c r="X2382" s="3"/>
      <c r="Z2382" s="28"/>
    </row>
    <row r="2383" spans="2:26">
      <c r="B2383" s="2"/>
      <c r="N2383" s="27"/>
      <c r="R2383" s="15"/>
      <c r="X2383" s="3"/>
      <c r="Z2383" s="28"/>
    </row>
    <row r="2384" spans="2:26">
      <c r="B2384" s="2"/>
      <c r="N2384" s="27"/>
      <c r="R2384" s="15"/>
      <c r="X2384" s="3"/>
      <c r="Z2384" s="28"/>
    </row>
    <row r="2385" spans="2:26">
      <c r="B2385" s="2"/>
      <c r="N2385" s="27"/>
      <c r="R2385" s="15"/>
      <c r="X2385" s="3"/>
      <c r="Z2385" s="28"/>
    </row>
    <row r="2386" spans="2:26">
      <c r="B2386" s="2"/>
      <c r="N2386" s="27"/>
      <c r="R2386" s="15"/>
      <c r="X2386" s="3"/>
      <c r="Z2386" s="28"/>
    </row>
    <row r="2387" spans="2:26">
      <c r="B2387" s="2"/>
      <c r="N2387" s="27"/>
      <c r="R2387" s="15"/>
      <c r="X2387" s="3"/>
      <c r="Z2387" s="28"/>
    </row>
    <row r="2388" spans="2:26">
      <c r="B2388" s="2"/>
      <c r="N2388" s="27"/>
      <c r="R2388" s="15"/>
      <c r="X2388" s="3"/>
      <c r="Z2388" s="28"/>
    </row>
    <row r="2389" spans="2:26">
      <c r="B2389" s="2"/>
      <c r="N2389" s="27"/>
      <c r="R2389" s="15"/>
      <c r="X2389" s="3"/>
      <c r="Z2389" s="28"/>
    </row>
    <row r="2390" spans="2:26">
      <c r="B2390" s="2"/>
      <c r="N2390" s="27"/>
      <c r="R2390" s="15"/>
      <c r="X2390" s="3"/>
      <c r="Z2390" s="28"/>
    </row>
    <row r="2391" spans="2:26">
      <c r="B2391" s="2"/>
      <c r="N2391" s="27"/>
      <c r="R2391" s="15"/>
      <c r="X2391" s="3"/>
      <c r="Z2391" s="28"/>
    </row>
    <row r="2392" spans="2:26">
      <c r="B2392" s="2"/>
      <c r="N2392" s="27"/>
      <c r="R2392" s="15"/>
      <c r="X2392" s="3"/>
      <c r="Z2392" s="28"/>
    </row>
    <row r="2393" spans="2:26">
      <c r="B2393" s="2"/>
      <c r="N2393" s="27"/>
      <c r="R2393" s="15"/>
      <c r="X2393" s="3"/>
      <c r="Z2393" s="28"/>
    </row>
    <row r="2394" spans="2:26">
      <c r="B2394" s="2"/>
      <c r="N2394" s="27"/>
      <c r="R2394" s="15"/>
      <c r="X2394" s="3"/>
      <c r="Z2394" s="28"/>
    </row>
    <row r="2395" spans="2:26">
      <c r="B2395" s="2"/>
      <c r="N2395" s="27"/>
      <c r="R2395" s="15"/>
      <c r="X2395" s="3"/>
      <c r="Z2395" s="28"/>
    </row>
    <row r="2396" spans="2:26">
      <c r="B2396" s="2"/>
      <c r="N2396" s="27"/>
      <c r="R2396" s="15"/>
      <c r="X2396" s="3"/>
      <c r="Z2396" s="28"/>
    </row>
    <row r="2397" spans="2:26">
      <c r="B2397" s="2"/>
      <c r="N2397" s="27"/>
      <c r="R2397" s="15"/>
      <c r="X2397" s="3"/>
      <c r="Z2397" s="28"/>
    </row>
    <row r="2398" spans="2:26">
      <c r="B2398" s="2"/>
      <c r="N2398" s="27"/>
      <c r="R2398" s="15"/>
      <c r="X2398" s="3"/>
      <c r="Z2398" s="28"/>
    </row>
    <row r="2399" spans="2:26">
      <c r="B2399" s="2"/>
      <c r="N2399" s="27"/>
      <c r="R2399" s="15"/>
      <c r="X2399" s="3"/>
      <c r="Z2399" s="28"/>
    </row>
    <row r="2400" spans="2:26">
      <c r="B2400" s="2"/>
      <c r="N2400" s="27"/>
      <c r="R2400" s="15"/>
      <c r="X2400" s="3"/>
      <c r="Z2400" s="28"/>
    </row>
    <row r="2401" spans="2:26">
      <c r="B2401" s="2"/>
      <c r="N2401" s="27"/>
      <c r="R2401" s="15"/>
      <c r="X2401" s="3"/>
      <c r="Z2401" s="28"/>
    </row>
    <row r="2402" spans="2:26">
      <c r="B2402" s="2"/>
      <c r="N2402" s="27"/>
      <c r="R2402" s="15"/>
      <c r="X2402" s="3"/>
      <c r="Z2402" s="28"/>
    </row>
    <row r="2403" spans="2:26">
      <c r="B2403" s="2"/>
      <c r="N2403" s="27"/>
      <c r="R2403" s="15"/>
      <c r="X2403" s="3"/>
      <c r="Z2403" s="28"/>
    </row>
    <row r="2404" spans="2:26">
      <c r="B2404" s="2"/>
      <c r="N2404" s="27"/>
      <c r="R2404" s="15"/>
      <c r="X2404" s="3"/>
      <c r="Z2404" s="28"/>
    </row>
    <row r="2405" spans="2:26">
      <c r="B2405" s="2"/>
      <c r="N2405" s="27"/>
      <c r="R2405" s="15"/>
      <c r="X2405" s="3"/>
      <c r="Z2405" s="28"/>
    </row>
    <row r="2406" spans="2:26">
      <c r="B2406" s="2"/>
      <c r="N2406" s="27"/>
      <c r="R2406" s="15"/>
      <c r="X2406" s="3"/>
      <c r="Z2406" s="28"/>
    </row>
    <row r="2407" spans="2:26">
      <c r="B2407" s="2"/>
      <c r="N2407" s="27"/>
      <c r="R2407" s="15"/>
      <c r="X2407" s="3"/>
      <c r="Z2407" s="28"/>
    </row>
    <row r="2408" spans="2:26">
      <c r="B2408" s="2"/>
      <c r="N2408" s="27"/>
      <c r="R2408" s="15"/>
      <c r="X2408" s="3"/>
      <c r="Z2408" s="28"/>
    </row>
    <row r="2409" spans="2:26">
      <c r="B2409" s="2"/>
      <c r="N2409" s="27"/>
      <c r="R2409" s="15"/>
      <c r="X2409" s="3"/>
      <c r="Z2409" s="28"/>
    </row>
    <row r="2410" spans="2:26">
      <c r="B2410" s="2"/>
      <c r="N2410" s="27"/>
      <c r="R2410" s="15"/>
      <c r="X2410" s="3"/>
      <c r="Z2410" s="28"/>
    </row>
    <row r="2411" spans="2:26">
      <c r="B2411" s="2"/>
      <c r="N2411" s="27"/>
      <c r="R2411" s="15"/>
      <c r="X2411" s="3"/>
      <c r="Z2411" s="28"/>
    </row>
    <row r="2412" spans="2:26">
      <c r="B2412" s="2"/>
      <c r="N2412" s="27"/>
      <c r="R2412" s="15"/>
      <c r="X2412" s="3"/>
      <c r="Z2412" s="28"/>
    </row>
    <row r="2413" spans="2:26">
      <c r="B2413" s="2"/>
      <c r="N2413" s="27"/>
      <c r="R2413" s="15"/>
      <c r="X2413" s="3"/>
      <c r="Z2413" s="28"/>
    </row>
    <row r="2414" spans="2:26">
      <c r="B2414" s="2"/>
      <c r="N2414" s="27"/>
      <c r="R2414" s="15"/>
      <c r="X2414" s="3"/>
      <c r="Z2414" s="28"/>
    </row>
    <row r="2415" spans="2:26">
      <c r="B2415" s="2"/>
      <c r="N2415" s="27"/>
      <c r="R2415" s="15"/>
      <c r="X2415" s="3"/>
      <c r="Z2415" s="28"/>
    </row>
    <row r="2416" spans="2:26">
      <c r="B2416" s="2"/>
      <c r="N2416" s="27"/>
      <c r="R2416" s="15"/>
      <c r="X2416" s="3"/>
      <c r="Z2416" s="28"/>
    </row>
    <row r="2417" spans="2:26">
      <c r="B2417" s="2"/>
      <c r="N2417" s="27"/>
      <c r="R2417" s="15"/>
      <c r="X2417" s="3"/>
      <c r="Z2417" s="28"/>
    </row>
    <row r="2418" spans="2:26">
      <c r="B2418" s="2"/>
      <c r="N2418" s="27"/>
      <c r="R2418" s="15"/>
      <c r="X2418" s="3"/>
      <c r="Z2418" s="28"/>
    </row>
    <row r="2419" spans="2:26">
      <c r="B2419" s="2"/>
      <c r="N2419" s="27"/>
      <c r="R2419" s="15"/>
      <c r="X2419" s="3"/>
      <c r="Z2419" s="28"/>
    </row>
    <row r="2420" spans="2:26">
      <c r="B2420" s="2"/>
      <c r="N2420" s="27"/>
      <c r="R2420" s="15"/>
      <c r="X2420" s="3"/>
      <c r="Z2420" s="28"/>
    </row>
    <row r="2421" spans="2:26">
      <c r="B2421" s="2"/>
      <c r="N2421" s="27"/>
      <c r="R2421" s="15"/>
      <c r="X2421" s="3"/>
      <c r="Z2421" s="28"/>
    </row>
    <row r="2422" spans="2:26">
      <c r="B2422" s="2"/>
      <c r="N2422" s="27"/>
      <c r="R2422" s="15"/>
      <c r="X2422" s="3"/>
      <c r="Z2422" s="28"/>
    </row>
    <row r="2423" spans="2:26">
      <c r="B2423" s="2"/>
      <c r="N2423" s="27"/>
      <c r="R2423" s="15"/>
      <c r="X2423" s="3"/>
      <c r="Z2423" s="28"/>
    </row>
    <row r="2424" spans="2:26">
      <c r="B2424" s="2"/>
      <c r="N2424" s="27"/>
      <c r="R2424" s="15"/>
      <c r="X2424" s="3"/>
      <c r="Z2424" s="28"/>
    </row>
    <row r="2425" spans="2:26">
      <c r="B2425" s="2"/>
      <c r="N2425" s="27"/>
      <c r="R2425" s="15"/>
      <c r="X2425" s="3"/>
      <c r="Z2425" s="28"/>
    </row>
    <row r="2426" spans="2:26">
      <c r="B2426" s="2"/>
      <c r="N2426" s="27"/>
      <c r="R2426" s="15"/>
      <c r="X2426" s="3"/>
      <c r="Z2426" s="28"/>
    </row>
    <row r="2427" spans="2:26">
      <c r="B2427" s="2"/>
      <c r="N2427" s="27"/>
      <c r="R2427" s="15"/>
      <c r="X2427" s="3"/>
      <c r="Z2427" s="28"/>
    </row>
    <row r="2428" spans="2:26">
      <c r="B2428" s="2"/>
      <c r="N2428" s="27"/>
      <c r="R2428" s="15"/>
      <c r="X2428" s="3"/>
      <c r="Z2428" s="28"/>
    </row>
    <row r="2429" spans="2:26">
      <c r="B2429" s="2"/>
      <c r="N2429" s="27"/>
      <c r="R2429" s="15"/>
      <c r="X2429" s="3"/>
      <c r="Z2429" s="28"/>
    </row>
    <row r="2430" spans="2:26">
      <c r="B2430" s="2"/>
      <c r="N2430" s="27"/>
      <c r="R2430" s="15"/>
      <c r="X2430" s="3"/>
      <c r="Z2430" s="28"/>
    </row>
    <row r="2431" spans="2:26">
      <c r="B2431" s="2"/>
      <c r="N2431" s="27"/>
      <c r="R2431" s="15"/>
      <c r="X2431" s="3"/>
      <c r="Z2431" s="28"/>
    </row>
    <row r="2432" spans="2:26">
      <c r="B2432" s="2"/>
      <c r="N2432" s="27"/>
      <c r="R2432" s="15"/>
      <c r="X2432" s="3"/>
      <c r="Z2432" s="28"/>
    </row>
    <row r="2433" spans="2:26">
      <c r="B2433" s="2"/>
      <c r="N2433" s="27"/>
      <c r="R2433" s="15"/>
      <c r="X2433" s="3"/>
      <c r="Z2433" s="28"/>
    </row>
    <row r="2434" spans="2:26">
      <c r="B2434" s="2"/>
      <c r="N2434" s="27"/>
      <c r="R2434" s="15"/>
      <c r="X2434" s="3"/>
      <c r="Z2434" s="28"/>
    </row>
    <row r="2435" spans="2:26">
      <c r="B2435" s="2"/>
      <c r="N2435" s="27"/>
      <c r="R2435" s="15"/>
      <c r="X2435" s="3"/>
      <c r="Z2435" s="28"/>
    </row>
    <row r="2436" spans="2:26">
      <c r="B2436" s="2"/>
      <c r="N2436" s="27"/>
      <c r="R2436" s="15"/>
      <c r="X2436" s="3"/>
      <c r="Z2436" s="28"/>
    </row>
    <row r="2437" spans="2:26">
      <c r="B2437" s="2"/>
      <c r="N2437" s="27"/>
      <c r="R2437" s="15"/>
      <c r="X2437" s="3"/>
      <c r="Z2437" s="28"/>
    </row>
    <row r="2438" spans="2:26">
      <c r="B2438" s="2"/>
      <c r="N2438" s="27"/>
      <c r="R2438" s="15"/>
      <c r="X2438" s="3"/>
      <c r="Z2438" s="28"/>
    </row>
    <row r="2439" spans="2:26">
      <c r="B2439" s="2"/>
      <c r="N2439" s="27"/>
      <c r="R2439" s="15"/>
      <c r="X2439" s="3"/>
      <c r="Z2439" s="28"/>
    </row>
    <row r="2440" spans="2:26">
      <c r="B2440" s="2"/>
      <c r="N2440" s="27"/>
      <c r="R2440" s="15"/>
      <c r="X2440" s="3"/>
      <c r="Z2440" s="28"/>
    </row>
    <row r="2441" spans="2:26">
      <c r="B2441" s="2"/>
      <c r="N2441" s="27"/>
      <c r="R2441" s="15"/>
      <c r="X2441" s="3"/>
      <c r="Z2441" s="28"/>
    </row>
    <row r="2442" spans="2:26">
      <c r="B2442" s="2"/>
      <c r="N2442" s="27"/>
      <c r="R2442" s="15"/>
      <c r="X2442" s="3"/>
      <c r="Z2442" s="28"/>
    </row>
    <row r="2443" spans="2:26">
      <c r="B2443" s="2"/>
      <c r="N2443" s="27"/>
      <c r="R2443" s="15"/>
      <c r="X2443" s="3"/>
      <c r="Z2443" s="28"/>
    </row>
    <row r="2444" spans="2:26">
      <c r="B2444" s="2"/>
      <c r="N2444" s="27"/>
      <c r="R2444" s="15"/>
      <c r="X2444" s="3"/>
      <c r="Z2444" s="28"/>
    </row>
    <row r="2445" spans="2:26">
      <c r="B2445" s="2"/>
      <c r="N2445" s="27"/>
      <c r="R2445" s="15"/>
      <c r="X2445" s="3"/>
      <c r="Z2445" s="28"/>
    </row>
    <row r="2446" spans="2:26">
      <c r="B2446" s="2"/>
      <c r="N2446" s="27"/>
      <c r="R2446" s="15"/>
      <c r="X2446" s="3"/>
      <c r="Z2446" s="28"/>
    </row>
    <row r="2447" spans="2:26">
      <c r="B2447" s="2"/>
      <c r="N2447" s="27"/>
      <c r="R2447" s="15"/>
      <c r="X2447" s="3"/>
      <c r="Z2447" s="28"/>
    </row>
    <row r="2448" spans="2:26">
      <c r="B2448" s="2"/>
      <c r="N2448" s="27"/>
      <c r="R2448" s="15"/>
      <c r="X2448" s="3"/>
      <c r="Z2448" s="28"/>
    </row>
    <row r="2449" spans="2:26">
      <c r="B2449" s="2"/>
      <c r="N2449" s="27"/>
      <c r="R2449" s="15"/>
      <c r="X2449" s="3"/>
      <c r="Z2449" s="28"/>
    </row>
    <row r="2450" spans="2:26">
      <c r="B2450" s="2"/>
      <c r="N2450" s="27"/>
      <c r="R2450" s="15"/>
      <c r="X2450" s="3"/>
      <c r="Z2450" s="28"/>
    </row>
    <row r="2451" spans="2:26">
      <c r="B2451" s="2"/>
      <c r="N2451" s="27"/>
      <c r="R2451" s="15"/>
      <c r="X2451" s="3"/>
      <c r="Z2451" s="28"/>
    </row>
    <row r="2452" spans="2:26">
      <c r="B2452" s="2"/>
      <c r="N2452" s="27"/>
      <c r="R2452" s="15"/>
      <c r="X2452" s="3"/>
      <c r="Z2452" s="28"/>
    </row>
    <row r="2453" spans="2:26">
      <c r="B2453" s="2"/>
      <c r="N2453" s="27"/>
      <c r="R2453" s="15"/>
      <c r="X2453" s="3"/>
      <c r="Z2453" s="28"/>
    </row>
    <row r="2454" spans="2:26">
      <c r="B2454" s="2"/>
      <c r="N2454" s="27"/>
      <c r="R2454" s="15"/>
      <c r="X2454" s="3"/>
      <c r="Z2454" s="28"/>
    </row>
    <row r="2455" spans="2:26">
      <c r="B2455" s="2"/>
      <c r="N2455" s="27"/>
      <c r="R2455" s="15"/>
      <c r="X2455" s="3"/>
      <c r="Z2455" s="28"/>
    </row>
    <row r="2456" spans="2:26">
      <c r="B2456" s="2"/>
      <c r="N2456" s="27"/>
      <c r="R2456" s="15"/>
      <c r="X2456" s="3"/>
      <c r="Z2456" s="28"/>
    </row>
    <row r="2457" spans="2:26">
      <c r="B2457" s="2"/>
      <c r="N2457" s="27"/>
      <c r="R2457" s="15"/>
      <c r="X2457" s="3"/>
      <c r="Z2457" s="28"/>
    </row>
    <row r="2458" spans="2:26">
      <c r="B2458" s="2"/>
      <c r="N2458" s="27"/>
      <c r="R2458" s="15"/>
      <c r="X2458" s="3"/>
      <c r="Z2458" s="28"/>
    </row>
    <row r="2459" spans="2:26">
      <c r="B2459" s="2"/>
      <c r="N2459" s="27"/>
      <c r="R2459" s="15"/>
      <c r="X2459" s="3"/>
      <c r="Z2459" s="28"/>
    </row>
    <row r="2460" spans="2:26">
      <c r="B2460" s="2"/>
      <c r="N2460" s="27"/>
      <c r="R2460" s="15"/>
      <c r="X2460" s="3"/>
      <c r="Z2460" s="28"/>
    </row>
    <row r="2461" spans="2:26">
      <c r="B2461" s="2"/>
      <c r="N2461" s="27"/>
      <c r="R2461" s="15"/>
      <c r="X2461" s="3"/>
      <c r="Z2461" s="28"/>
    </row>
    <row r="2462" spans="2:26">
      <c r="B2462" s="2"/>
      <c r="N2462" s="27"/>
      <c r="R2462" s="15"/>
      <c r="X2462" s="3"/>
      <c r="Z2462" s="28"/>
    </row>
    <row r="2463" spans="2:26">
      <c r="B2463" s="2"/>
      <c r="N2463" s="27"/>
      <c r="R2463" s="15"/>
      <c r="X2463" s="3"/>
      <c r="Z2463" s="28"/>
    </row>
    <row r="2464" spans="2:26">
      <c r="B2464" s="2"/>
      <c r="N2464" s="27"/>
      <c r="R2464" s="15"/>
      <c r="X2464" s="3"/>
      <c r="Z2464" s="28"/>
    </row>
    <row r="2465" spans="2:26">
      <c r="B2465" s="2"/>
      <c r="N2465" s="27"/>
      <c r="R2465" s="15"/>
      <c r="X2465" s="3"/>
      <c r="Z2465" s="28"/>
    </row>
    <row r="2466" spans="2:26">
      <c r="B2466" s="2"/>
      <c r="N2466" s="27"/>
      <c r="R2466" s="15"/>
      <c r="X2466" s="3"/>
      <c r="Z2466" s="28"/>
    </row>
    <row r="2467" spans="2:26">
      <c r="B2467" s="2"/>
      <c r="N2467" s="27"/>
      <c r="R2467" s="15"/>
      <c r="X2467" s="3"/>
      <c r="Z2467" s="28"/>
    </row>
    <row r="2468" spans="2:26">
      <c r="B2468" s="2"/>
      <c r="N2468" s="27"/>
      <c r="R2468" s="15"/>
      <c r="X2468" s="3"/>
      <c r="Z2468" s="28"/>
    </row>
    <row r="2469" spans="2:26">
      <c r="B2469" s="2"/>
      <c r="N2469" s="27"/>
      <c r="R2469" s="15"/>
      <c r="X2469" s="3"/>
      <c r="Z2469" s="28"/>
    </row>
    <row r="2470" spans="2:26">
      <c r="B2470" s="2"/>
      <c r="N2470" s="27"/>
      <c r="R2470" s="15"/>
      <c r="X2470" s="3"/>
      <c r="Z2470" s="28"/>
    </row>
    <row r="2471" spans="2:26">
      <c r="B2471" s="2"/>
      <c r="N2471" s="27"/>
      <c r="R2471" s="15"/>
      <c r="X2471" s="3"/>
      <c r="Z2471" s="28"/>
    </row>
    <row r="2472" spans="2:26">
      <c r="B2472" s="2"/>
      <c r="N2472" s="27"/>
      <c r="R2472" s="15"/>
      <c r="X2472" s="3"/>
      <c r="Z2472" s="28"/>
    </row>
    <row r="2473" spans="2:26">
      <c r="B2473" s="2"/>
      <c r="N2473" s="27"/>
      <c r="R2473" s="15"/>
      <c r="X2473" s="3"/>
      <c r="Z2473" s="28"/>
    </row>
    <row r="2474" spans="2:26">
      <c r="B2474" s="2"/>
      <c r="N2474" s="27"/>
      <c r="R2474" s="15"/>
      <c r="X2474" s="3"/>
      <c r="Z2474" s="28"/>
    </row>
    <row r="2475" spans="2:26">
      <c r="B2475" s="2"/>
      <c r="N2475" s="27"/>
      <c r="R2475" s="15"/>
      <c r="X2475" s="3"/>
      <c r="Z2475" s="28"/>
    </row>
    <row r="2476" spans="2:26">
      <c r="B2476" s="2"/>
      <c r="N2476" s="27"/>
      <c r="R2476" s="15"/>
      <c r="X2476" s="3"/>
      <c r="Z2476" s="28"/>
    </row>
    <row r="2477" spans="2:26">
      <c r="B2477" s="2"/>
      <c r="N2477" s="27"/>
      <c r="R2477" s="15"/>
      <c r="X2477" s="3"/>
      <c r="Z2477" s="28"/>
    </row>
    <row r="2478" spans="2:26">
      <c r="B2478" s="2"/>
      <c r="N2478" s="27"/>
      <c r="R2478" s="15"/>
      <c r="X2478" s="3"/>
      <c r="Z2478" s="28"/>
    </row>
    <row r="2479" spans="2:26">
      <c r="B2479" s="2"/>
      <c r="N2479" s="27"/>
      <c r="R2479" s="15"/>
      <c r="X2479" s="3"/>
      <c r="Z2479" s="28"/>
    </row>
    <row r="2480" spans="2:26">
      <c r="B2480" s="2"/>
      <c r="N2480" s="27"/>
      <c r="R2480" s="15"/>
      <c r="X2480" s="3"/>
      <c r="Z2480" s="28"/>
    </row>
    <row r="2481" spans="2:26">
      <c r="B2481" s="2"/>
      <c r="N2481" s="27"/>
      <c r="R2481" s="15"/>
      <c r="X2481" s="3"/>
      <c r="Z2481" s="28"/>
    </row>
    <row r="2482" spans="2:26">
      <c r="B2482" s="2"/>
      <c r="N2482" s="27"/>
      <c r="R2482" s="15"/>
      <c r="X2482" s="3"/>
      <c r="Z2482" s="28"/>
    </row>
    <row r="2483" spans="2:26">
      <c r="B2483" s="2"/>
      <c r="N2483" s="27"/>
      <c r="R2483" s="15"/>
      <c r="X2483" s="3"/>
      <c r="Z2483" s="28"/>
    </row>
    <row r="2484" spans="2:26">
      <c r="B2484" s="2"/>
      <c r="N2484" s="27"/>
      <c r="R2484" s="15"/>
      <c r="X2484" s="3"/>
      <c r="Z2484" s="28"/>
    </row>
    <row r="2485" spans="2:26">
      <c r="B2485" s="2"/>
      <c r="N2485" s="27"/>
      <c r="R2485" s="15"/>
      <c r="X2485" s="3"/>
      <c r="Z2485" s="28"/>
    </row>
    <row r="2486" spans="2:26">
      <c r="B2486" s="2"/>
      <c r="N2486" s="27"/>
      <c r="R2486" s="15"/>
      <c r="X2486" s="3"/>
      <c r="Z2486" s="28"/>
    </row>
    <row r="2487" spans="2:26">
      <c r="B2487" s="2"/>
      <c r="N2487" s="27"/>
      <c r="R2487" s="15"/>
      <c r="X2487" s="3"/>
      <c r="Z2487" s="28"/>
    </row>
    <row r="2488" spans="2:26">
      <c r="B2488" s="2"/>
      <c r="N2488" s="27"/>
      <c r="R2488" s="15"/>
      <c r="X2488" s="3"/>
      <c r="Z2488" s="28"/>
    </row>
    <row r="2489" spans="2:26">
      <c r="B2489" s="2"/>
      <c r="N2489" s="27"/>
      <c r="R2489" s="15"/>
      <c r="X2489" s="3"/>
      <c r="Z2489" s="28"/>
    </row>
    <row r="2490" spans="2:26">
      <c r="B2490" s="2"/>
      <c r="N2490" s="27"/>
      <c r="R2490" s="15"/>
      <c r="X2490" s="3"/>
      <c r="Z2490" s="28"/>
    </row>
    <row r="2491" spans="2:26">
      <c r="B2491" s="2"/>
      <c r="N2491" s="27"/>
      <c r="R2491" s="15"/>
      <c r="X2491" s="3"/>
      <c r="Z2491" s="28"/>
    </row>
    <row r="2492" spans="2:26">
      <c r="B2492" s="2"/>
      <c r="N2492" s="27"/>
      <c r="R2492" s="15"/>
      <c r="X2492" s="3"/>
      <c r="Z2492" s="28"/>
    </row>
    <row r="2493" spans="2:26">
      <c r="B2493" s="2"/>
      <c r="N2493" s="27"/>
      <c r="R2493" s="15"/>
      <c r="X2493" s="3"/>
      <c r="Z2493" s="28"/>
    </row>
    <row r="2494" spans="2:26">
      <c r="B2494" s="2"/>
      <c r="N2494" s="27"/>
      <c r="R2494" s="15"/>
      <c r="X2494" s="3"/>
      <c r="Z2494" s="28"/>
    </row>
    <row r="2495" spans="2:26">
      <c r="B2495" s="2"/>
      <c r="N2495" s="27"/>
      <c r="R2495" s="15"/>
      <c r="X2495" s="3"/>
      <c r="Z2495" s="28"/>
    </row>
    <row r="2496" spans="2:26">
      <c r="B2496" s="2"/>
      <c r="N2496" s="27"/>
      <c r="R2496" s="15"/>
      <c r="X2496" s="3"/>
      <c r="Z2496" s="28"/>
    </row>
    <row r="2497" spans="2:26">
      <c r="B2497" s="2"/>
      <c r="N2497" s="27"/>
      <c r="R2497" s="15"/>
      <c r="X2497" s="3"/>
      <c r="Z2497" s="28"/>
    </row>
    <row r="2498" spans="2:26">
      <c r="B2498" s="2"/>
      <c r="N2498" s="27"/>
      <c r="R2498" s="15"/>
      <c r="X2498" s="3"/>
      <c r="Z2498" s="28"/>
    </row>
    <row r="2499" spans="2:26">
      <c r="B2499" s="2"/>
      <c r="N2499" s="27"/>
      <c r="R2499" s="15"/>
      <c r="X2499" s="3"/>
      <c r="Z2499" s="28"/>
    </row>
    <row r="2500" spans="2:26">
      <c r="B2500" s="2"/>
      <c r="N2500" s="27"/>
      <c r="R2500" s="15"/>
      <c r="X2500" s="3"/>
      <c r="Z2500" s="28"/>
    </row>
    <row r="2501" spans="2:26">
      <c r="B2501" s="2"/>
      <c r="N2501" s="27"/>
      <c r="R2501" s="15"/>
      <c r="X2501" s="3"/>
      <c r="Z2501" s="28"/>
    </row>
    <row r="2502" spans="2:26">
      <c r="B2502" s="2"/>
      <c r="N2502" s="27"/>
      <c r="R2502" s="15"/>
      <c r="X2502" s="3"/>
      <c r="Z2502" s="28"/>
    </row>
    <row r="2503" spans="2:26">
      <c r="B2503" s="2"/>
      <c r="N2503" s="27"/>
      <c r="R2503" s="15"/>
      <c r="X2503" s="3"/>
      <c r="Z2503" s="28"/>
    </row>
    <row r="2504" spans="2:26">
      <c r="B2504" s="2"/>
      <c r="N2504" s="27"/>
      <c r="R2504" s="15"/>
      <c r="X2504" s="3"/>
      <c r="Z2504" s="28"/>
    </row>
    <row r="2505" spans="2:26">
      <c r="B2505" s="2"/>
      <c r="N2505" s="27"/>
      <c r="R2505" s="15"/>
      <c r="X2505" s="3"/>
      <c r="Z2505" s="28"/>
    </row>
    <row r="2506" spans="2:26">
      <c r="B2506" s="2"/>
      <c r="N2506" s="27"/>
      <c r="R2506" s="15"/>
      <c r="X2506" s="3"/>
      <c r="Z2506" s="28"/>
    </row>
    <row r="2507" spans="2:26">
      <c r="B2507" s="2"/>
      <c r="N2507" s="27"/>
      <c r="R2507" s="15"/>
      <c r="X2507" s="3"/>
      <c r="Z2507" s="28"/>
    </row>
    <row r="2508" spans="2:26">
      <c r="B2508" s="2"/>
      <c r="N2508" s="27"/>
      <c r="R2508" s="15"/>
      <c r="X2508" s="3"/>
      <c r="Z2508" s="28"/>
    </row>
    <row r="2509" spans="2:26">
      <c r="B2509" s="2"/>
      <c r="N2509" s="27"/>
      <c r="R2509" s="15"/>
      <c r="X2509" s="3"/>
      <c r="Z2509" s="28"/>
    </row>
    <row r="2510" spans="2:26">
      <c r="B2510" s="2"/>
      <c r="N2510" s="27"/>
      <c r="R2510" s="15"/>
      <c r="X2510" s="3"/>
      <c r="Z2510" s="28"/>
    </row>
    <row r="2511" spans="2:26">
      <c r="B2511" s="2"/>
      <c r="N2511" s="27"/>
      <c r="R2511" s="15"/>
      <c r="X2511" s="3"/>
      <c r="Z2511" s="28"/>
    </row>
    <row r="2512" spans="2:26">
      <c r="B2512" s="2"/>
      <c r="N2512" s="27"/>
      <c r="R2512" s="15"/>
      <c r="X2512" s="3"/>
      <c r="Z2512" s="28"/>
    </row>
    <row r="2513" spans="2:26">
      <c r="B2513" s="2"/>
      <c r="N2513" s="27"/>
      <c r="R2513" s="15"/>
      <c r="X2513" s="3"/>
      <c r="Z2513" s="28"/>
    </row>
    <row r="2514" spans="2:26">
      <c r="B2514" s="2"/>
      <c r="N2514" s="27"/>
      <c r="R2514" s="15"/>
      <c r="X2514" s="3"/>
      <c r="Z2514" s="28"/>
    </row>
    <row r="2515" spans="2:26">
      <c r="B2515" s="2"/>
      <c r="N2515" s="27"/>
      <c r="R2515" s="15"/>
      <c r="X2515" s="3"/>
      <c r="Z2515" s="28"/>
    </row>
    <row r="2516" spans="2:26">
      <c r="B2516" s="2"/>
      <c r="N2516" s="27"/>
      <c r="R2516" s="15"/>
      <c r="X2516" s="3"/>
      <c r="Z2516" s="28"/>
    </row>
    <row r="2517" spans="2:26">
      <c r="B2517" s="2"/>
      <c r="N2517" s="27"/>
      <c r="R2517" s="15"/>
      <c r="X2517" s="3"/>
      <c r="Z2517" s="28"/>
    </row>
    <row r="2518" spans="2:26">
      <c r="B2518" s="2"/>
      <c r="N2518" s="27"/>
      <c r="R2518" s="15"/>
      <c r="X2518" s="3"/>
      <c r="Z2518" s="28"/>
    </row>
    <row r="2519" spans="2:26">
      <c r="B2519" s="2"/>
      <c r="N2519" s="27"/>
      <c r="R2519" s="15"/>
      <c r="X2519" s="3"/>
      <c r="Z2519" s="28"/>
    </row>
    <row r="2520" spans="2:26">
      <c r="B2520" s="2"/>
      <c r="N2520" s="27"/>
      <c r="R2520" s="15"/>
      <c r="X2520" s="3"/>
      <c r="Z2520" s="28"/>
    </row>
    <row r="2521" spans="2:26">
      <c r="B2521" s="2"/>
      <c r="N2521" s="27"/>
      <c r="R2521" s="15"/>
      <c r="X2521" s="3"/>
      <c r="Z2521" s="28"/>
    </row>
    <row r="2522" spans="2:26">
      <c r="B2522" s="2"/>
      <c r="N2522" s="27"/>
      <c r="R2522" s="15"/>
      <c r="X2522" s="3"/>
      <c r="Z2522" s="28"/>
    </row>
    <row r="2523" spans="2:26">
      <c r="B2523" s="2"/>
      <c r="N2523" s="27"/>
      <c r="R2523" s="15"/>
      <c r="X2523" s="3"/>
      <c r="Z2523" s="28"/>
    </row>
    <row r="2524" spans="2:26">
      <c r="B2524" s="2"/>
      <c r="N2524" s="27"/>
      <c r="R2524" s="15"/>
      <c r="X2524" s="3"/>
      <c r="Z2524" s="28"/>
    </row>
    <row r="2525" spans="2:26">
      <c r="B2525" s="2"/>
      <c r="N2525" s="27"/>
      <c r="R2525" s="15"/>
      <c r="X2525" s="3"/>
      <c r="Z2525" s="28"/>
    </row>
    <row r="2526" spans="2:26">
      <c r="B2526" s="2"/>
      <c r="N2526" s="27"/>
      <c r="R2526" s="15"/>
      <c r="X2526" s="3"/>
      <c r="Z2526" s="28"/>
    </row>
    <row r="2527" spans="2:26">
      <c r="B2527" s="2"/>
      <c r="N2527" s="27"/>
      <c r="R2527" s="15"/>
      <c r="X2527" s="3"/>
      <c r="Z2527" s="28"/>
    </row>
    <row r="2528" spans="2:26">
      <c r="B2528" s="2"/>
      <c r="N2528" s="27"/>
      <c r="R2528" s="15"/>
      <c r="X2528" s="3"/>
      <c r="Z2528" s="28"/>
    </row>
    <row r="2529" spans="2:26">
      <c r="B2529" s="2"/>
      <c r="N2529" s="27"/>
      <c r="R2529" s="15"/>
      <c r="X2529" s="3"/>
      <c r="Z2529" s="28"/>
    </row>
    <row r="2530" spans="2:26">
      <c r="B2530" s="2"/>
      <c r="N2530" s="27"/>
      <c r="R2530" s="15"/>
      <c r="X2530" s="3"/>
      <c r="Z2530" s="28"/>
    </row>
    <row r="2531" spans="2:26">
      <c r="B2531" s="2"/>
      <c r="N2531" s="27"/>
      <c r="R2531" s="15"/>
      <c r="X2531" s="3"/>
      <c r="Z2531" s="28"/>
    </row>
    <row r="2532" spans="2:26">
      <c r="B2532" s="2"/>
      <c r="N2532" s="27"/>
      <c r="R2532" s="15"/>
      <c r="X2532" s="3"/>
      <c r="Z2532" s="28"/>
    </row>
    <row r="2533" spans="2:26">
      <c r="B2533" s="2"/>
      <c r="N2533" s="27"/>
      <c r="R2533" s="15"/>
      <c r="X2533" s="3"/>
      <c r="Z2533" s="28"/>
    </row>
    <row r="2534" spans="2:26">
      <c r="B2534" s="2"/>
      <c r="N2534" s="27"/>
      <c r="R2534" s="15"/>
      <c r="X2534" s="3"/>
      <c r="Z2534" s="28"/>
    </row>
    <row r="2535" spans="2:26">
      <c r="B2535" s="2"/>
      <c r="N2535" s="27"/>
      <c r="R2535" s="15"/>
      <c r="X2535" s="3"/>
      <c r="Z2535" s="28"/>
    </row>
    <row r="2536" spans="2:26">
      <c r="B2536" s="2"/>
      <c r="N2536" s="27"/>
      <c r="R2536" s="15"/>
      <c r="X2536" s="3"/>
      <c r="Z2536" s="28"/>
    </row>
    <row r="2537" spans="2:26">
      <c r="B2537" s="2"/>
      <c r="N2537" s="27"/>
      <c r="R2537" s="15"/>
      <c r="X2537" s="3"/>
      <c r="Z2537" s="28"/>
    </row>
    <row r="2538" spans="2:26">
      <c r="B2538" s="2"/>
      <c r="N2538" s="27"/>
      <c r="R2538" s="15"/>
      <c r="X2538" s="3"/>
      <c r="Z2538" s="28"/>
    </row>
    <row r="2539" spans="2:26">
      <c r="B2539" s="2"/>
      <c r="N2539" s="27"/>
      <c r="R2539" s="15"/>
      <c r="X2539" s="3"/>
      <c r="Z2539" s="28"/>
    </row>
    <row r="2540" spans="2:26">
      <c r="B2540" s="2"/>
      <c r="N2540" s="27"/>
      <c r="R2540" s="15"/>
      <c r="X2540" s="3"/>
      <c r="Z2540" s="28"/>
    </row>
    <row r="2541" spans="2:26">
      <c r="B2541" s="2"/>
      <c r="N2541" s="27"/>
      <c r="R2541" s="15"/>
      <c r="X2541" s="3"/>
      <c r="Z2541" s="28"/>
    </row>
    <row r="2542" spans="2:26">
      <c r="B2542" s="2"/>
      <c r="N2542" s="27"/>
      <c r="R2542" s="15"/>
      <c r="X2542" s="3"/>
      <c r="Z2542" s="28"/>
    </row>
    <row r="2543" spans="2:26">
      <c r="B2543" s="2"/>
      <c r="N2543" s="27"/>
      <c r="R2543" s="15"/>
      <c r="X2543" s="3"/>
      <c r="Z2543" s="28"/>
    </row>
    <row r="2544" spans="2:26">
      <c r="B2544" s="2"/>
      <c r="N2544" s="27"/>
      <c r="R2544" s="15"/>
      <c r="X2544" s="3"/>
      <c r="Z2544" s="28"/>
    </row>
    <row r="2545" spans="2:26">
      <c r="B2545" s="2"/>
      <c r="N2545" s="27"/>
      <c r="R2545" s="15"/>
      <c r="X2545" s="3"/>
      <c r="Z2545" s="28"/>
    </row>
    <row r="2546" spans="2:26">
      <c r="B2546" s="2"/>
      <c r="N2546" s="27"/>
      <c r="R2546" s="15"/>
      <c r="X2546" s="3"/>
      <c r="Z2546" s="28"/>
    </row>
    <row r="2547" spans="2:26">
      <c r="B2547" s="2"/>
      <c r="N2547" s="27"/>
      <c r="R2547" s="15"/>
      <c r="X2547" s="3"/>
      <c r="Z2547" s="28"/>
    </row>
    <row r="2548" spans="2:26">
      <c r="B2548" s="2"/>
      <c r="N2548" s="27"/>
      <c r="R2548" s="15"/>
      <c r="X2548" s="3"/>
      <c r="Z2548" s="28"/>
    </row>
    <row r="2549" spans="2:26">
      <c r="B2549" s="2"/>
      <c r="N2549" s="27"/>
      <c r="R2549" s="15"/>
      <c r="X2549" s="3"/>
      <c r="Z2549" s="28"/>
    </row>
    <row r="2550" spans="2:26">
      <c r="B2550" s="2"/>
      <c r="N2550" s="27"/>
      <c r="R2550" s="15"/>
      <c r="X2550" s="3"/>
      <c r="Z2550" s="28"/>
    </row>
    <row r="2551" spans="2:26">
      <c r="B2551" s="2"/>
      <c r="N2551" s="27"/>
      <c r="R2551" s="15"/>
      <c r="X2551" s="3"/>
      <c r="Z2551" s="28"/>
    </row>
    <row r="2552" spans="2:26">
      <c r="B2552" s="2"/>
      <c r="N2552" s="27"/>
      <c r="R2552" s="15"/>
      <c r="X2552" s="3"/>
      <c r="Z2552" s="28"/>
    </row>
    <row r="2553" spans="2:26">
      <c r="B2553" s="2"/>
      <c r="N2553" s="27"/>
      <c r="R2553" s="15"/>
      <c r="X2553" s="3"/>
      <c r="Z2553" s="28"/>
    </row>
    <row r="2554" spans="2:26">
      <c r="B2554" s="2"/>
      <c r="N2554" s="27"/>
      <c r="R2554" s="15"/>
      <c r="X2554" s="3"/>
      <c r="Z2554" s="28"/>
    </row>
    <row r="2555" spans="2:26">
      <c r="B2555" s="2"/>
      <c r="N2555" s="27"/>
      <c r="R2555" s="15"/>
      <c r="X2555" s="3"/>
      <c r="Z2555" s="28"/>
    </row>
    <row r="2556" spans="2:26">
      <c r="B2556" s="2"/>
      <c r="N2556" s="27"/>
      <c r="R2556" s="15"/>
      <c r="X2556" s="3"/>
      <c r="Z2556" s="28"/>
    </row>
    <row r="2557" spans="2:26">
      <c r="B2557" s="2"/>
      <c r="N2557" s="27"/>
      <c r="R2557" s="15"/>
      <c r="X2557" s="3"/>
      <c r="Z2557" s="28"/>
    </row>
    <row r="2558" spans="2:26">
      <c r="B2558" s="2"/>
      <c r="N2558" s="27"/>
      <c r="R2558" s="15"/>
      <c r="X2558" s="3"/>
      <c r="Z2558" s="28"/>
    </row>
    <row r="2559" spans="2:26">
      <c r="B2559" s="2"/>
      <c r="N2559" s="27"/>
      <c r="R2559" s="15"/>
      <c r="X2559" s="3"/>
      <c r="Z2559" s="28"/>
    </row>
    <row r="2560" spans="2:26">
      <c r="B2560" s="2"/>
      <c r="N2560" s="27"/>
      <c r="R2560" s="15"/>
      <c r="X2560" s="3"/>
      <c r="Z2560" s="28"/>
    </row>
    <row r="2561" spans="2:26">
      <c r="B2561" s="2"/>
      <c r="N2561" s="27"/>
      <c r="R2561" s="15"/>
      <c r="X2561" s="3"/>
      <c r="Z2561" s="28"/>
    </row>
    <row r="2562" spans="2:26">
      <c r="B2562" s="2"/>
      <c r="N2562" s="27"/>
      <c r="R2562" s="15"/>
      <c r="X2562" s="3"/>
      <c r="Z2562" s="28"/>
    </row>
    <row r="2563" spans="2:26">
      <c r="B2563" s="2"/>
      <c r="N2563" s="27"/>
      <c r="R2563" s="15"/>
      <c r="X2563" s="3"/>
      <c r="Z2563" s="28"/>
    </row>
    <row r="2564" spans="2:26">
      <c r="B2564" s="2"/>
      <c r="N2564" s="27"/>
      <c r="R2564" s="15"/>
      <c r="X2564" s="3"/>
      <c r="Z2564" s="28"/>
    </row>
    <row r="2565" spans="2:26">
      <c r="B2565" s="2"/>
      <c r="N2565" s="27"/>
      <c r="R2565" s="15"/>
      <c r="X2565" s="3"/>
      <c r="Z2565" s="28"/>
    </row>
    <row r="2566" spans="2:26">
      <c r="B2566" s="2"/>
      <c r="N2566" s="27"/>
      <c r="R2566" s="15"/>
      <c r="X2566" s="3"/>
      <c r="Z2566" s="28"/>
    </row>
    <row r="2567" spans="2:26">
      <c r="B2567" s="2"/>
      <c r="N2567" s="27"/>
      <c r="R2567" s="15"/>
      <c r="X2567" s="3"/>
      <c r="Z2567" s="28"/>
    </row>
    <row r="2568" spans="2:26">
      <c r="B2568" s="2"/>
      <c r="N2568" s="27"/>
      <c r="R2568" s="15"/>
      <c r="X2568" s="3"/>
      <c r="Z2568" s="28"/>
    </row>
    <row r="2569" spans="2:26">
      <c r="B2569" s="2"/>
      <c r="N2569" s="27"/>
      <c r="R2569" s="15"/>
      <c r="X2569" s="3"/>
      <c r="Z2569" s="28"/>
    </row>
    <row r="2570" spans="2:26">
      <c r="B2570" s="2"/>
      <c r="N2570" s="27"/>
      <c r="R2570" s="15"/>
      <c r="X2570" s="3"/>
      <c r="Z2570" s="28"/>
    </row>
    <row r="2571" spans="2:26">
      <c r="B2571" s="2"/>
      <c r="N2571" s="27"/>
      <c r="R2571" s="15"/>
      <c r="X2571" s="3"/>
      <c r="Z2571" s="28"/>
    </row>
    <row r="2572" spans="2:26">
      <c r="B2572" s="2"/>
      <c r="N2572" s="27"/>
      <c r="R2572" s="15"/>
      <c r="X2572" s="3"/>
      <c r="Z2572" s="28"/>
    </row>
    <row r="2573" spans="2:26">
      <c r="B2573" s="2"/>
      <c r="N2573" s="27"/>
      <c r="R2573" s="15"/>
      <c r="X2573" s="3"/>
      <c r="Z2573" s="28"/>
    </row>
    <row r="2574" spans="2:26">
      <c r="B2574" s="2"/>
      <c r="N2574" s="27"/>
      <c r="R2574" s="15"/>
      <c r="X2574" s="3"/>
      <c r="Z2574" s="28"/>
    </row>
    <row r="2575" spans="2:26">
      <c r="B2575" s="2"/>
      <c r="N2575" s="27"/>
      <c r="R2575" s="15"/>
      <c r="X2575" s="3"/>
      <c r="Z2575" s="28"/>
    </row>
    <row r="2576" spans="2:26">
      <c r="B2576" s="2"/>
      <c r="N2576" s="27"/>
      <c r="R2576" s="15"/>
      <c r="X2576" s="3"/>
      <c r="Z2576" s="28"/>
    </row>
    <row r="2577" spans="2:26">
      <c r="B2577" s="2"/>
      <c r="N2577" s="27"/>
      <c r="R2577" s="15"/>
      <c r="X2577" s="3"/>
      <c r="Z2577" s="28"/>
    </row>
    <row r="2578" spans="2:26">
      <c r="B2578" s="2"/>
      <c r="N2578" s="27"/>
      <c r="R2578" s="15"/>
      <c r="X2578" s="3"/>
      <c r="Z2578" s="28"/>
    </row>
    <row r="2579" spans="2:26">
      <c r="B2579" s="2"/>
      <c r="N2579" s="27"/>
      <c r="R2579" s="15"/>
      <c r="X2579" s="3"/>
      <c r="Z2579" s="28"/>
    </row>
    <row r="2580" spans="2:26">
      <c r="B2580" s="2"/>
      <c r="N2580" s="27"/>
      <c r="R2580" s="15"/>
      <c r="X2580" s="3"/>
      <c r="Z2580" s="28"/>
    </row>
    <row r="2581" spans="2:26">
      <c r="B2581" s="2"/>
      <c r="N2581" s="27"/>
      <c r="R2581" s="15"/>
      <c r="X2581" s="3"/>
      <c r="Z2581" s="28"/>
    </row>
    <row r="2582" spans="2:26">
      <c r="B2582" s="2"/>
      <c r="N2582" s="27"/>
      <c r="R2582" s="15"/>
      <c r="X2582" s="3"/>
      <c r="Z2582" s="28"/>
    </row>
    <row r="2583" spans="2:26">
      <c r="B2583" s="2"/>
      <c r="N2583" s="27"/>
      <c r="R2583" s="15"/>
      <c r="X2583" s="3"/>
      <c r="Z2583" s="28"/>
    </row>
    <row r="2584" spans="2:26">
      <c r="B2584" s="2"/>
      <c r="N2584" s="27"/>
      <c r="R2584" s="15"/>
      <c r="X2584" s="3"/>
      <c r="Z2584" s="28"/>
    </row>
    <row r="2585" spans="2:26">
      <c r="B2585" s="2"/>
      <c r="N2585" s="27"/>
      <c r="R2585" s="15"/>
      <c r="X2585" s="3"/>
      <c r="Z2585" s="28"/>
    </row>
    <row r="2586" spans="2:26">
      <c r="B2586" s="2"/>
      <c r="N2586" s="27"/>
      <c r="R2586" s="15"/>
      <c r="X2586" s="3"/>
      <c r="Z2586" s="28"/>
    </row>
    <row r="2587" spans="2:26">
      <c r="B2587" s="2"/>
      <c r="N2587" s="27"/>
      <c r="R2587" s="15"/>
      <c r="X2587" s="3"/>
      <c r="Z2587" s="28"/>
    </row>
    <row r="2588" spans="2:26">
      <c r="B2588" s="2"/>
      <c r="N2588" s="27"/>
      <c r="R2588" s="15"/>
      <c r="X2588" s="3"/>
      <c r="Z2588" s="28"/>
    </row>
    <row r="2589" spans="2:26">
      <c r="B2589" s="2"/>
      <c r="N2589" s="27"/>
      <c r="R2589" s="15"/>
      <c r="X2589" s="3"/>
      <c r="Z2589" s="28"/>
    </row>
    <row r="2590" spans="2:26">
      <c r="B2590" s="2"/>
      <c r="N2590" s="27"/>
      <c r="R2590" s="15"/>
      <c r="X2590" s="3"/>
      <c r="Z2590" s="28"/>
    </row>
    <row r="2591" spans="2:26">
      <c r="B2591" s="2"/>
      <c r="N2591" s="27"/>
      <c r="R2591" s="15"/>
      <c r="X2591" s="3"/>
      <c r="Z2591" s="28"/>
    </row>
    <row r="2592" spans="2:26">
      <c r="B2592" s="2"/>
      <c r="N2592" s="27"/>
      <c r="R2592" s="15"/>
      <c r="X2592" s="3"/>
      <c r="Z2592" s="28"/>
    </row>
    <row r="2593" spans="2:26">
      <c r="B2593" s="2"/>
      <c r="N2593" s="27"/>
      <c r="R2593" s="15"/>
      <c r="X2593" s="3"/>
      <c r="Z2593" s="28"/>
    </row>
    <row r="2594" spans="2:26">
      <c r="B2594" s="2"/>
      <c r="N2594" s="27"/>
      <c r="R2594" s="15"/>
      <c r="X2594" s="3"/>
      <c r="Z2594" s="28"/>
    </row>
    <row r="2595" spans="2:26">
      <c r="B2595" s="2"/>
      <c r="N2595" s="27"/>
      <c r="R2595" s="15"/>
      <c r="X2595" s="3"/>
      <c r="Z2595" s="28"/>
    </row>
    <row r="2596" spans="2:26">
      <c r="B2596" s="2"/>
      <c r="N2596" s="27"/>
      <c r="R2596" s="15"/>
      <c r="X2596" s="3"/>
      <c r="Z2596" s="28"/>
    </row>
    <row r="2597" spans="2:26">
      <c r="B2597" s="2"/>
      <c r="N2597" s="27"/>
      <c r="R2597" s="15"/>
      <c r="X2597" s="3"/>
      <c r="Z2597" s="28"/>
    </row>
    <row r="2598" spans="2:26">
      <c r="B2598" s="2"/>
      <c r="N2598" s="27"/>
      <c r="R2598" s="15"/>
      <c r="X2598" s="3"/>
      <c r="Z2598" s="28"/>
    </row>
    <row r="2599" spans="2:26">
      <c r="B2599" s="2"/>
      <c r="N2599" s="27"/>
      <c r="R2599" s="15"/>
      <c r="X2599" s="3"/>
      <c r="Z2599" s="28"/>
    </row>
    <row r="2600" spans="2:26">
      <c r="B2600" s="2"/>
      <c r="N2600" s="27"/>
      <c r="R2600" s="15"/>
      <c r="X2600" s="3"/>
      <c r="Z2600" s="28"/>
    </row>
    <row r="2601" spans="2:26">
      <c r="B2601" s="2"/>
      <c r="N2601" s="27"/>
      <c r="R2601" s="15"/>
      <c r="X2601" s="3"/>
      <c r="Z2601" s="28"/>
    </row>
    <row r="2602" spans="2:26">
      <c r="B2602" s="2"/>
      <c r="N2602" s="27"/>
      <c r="R2602" s="15"/>
      <c r="X2602" s="3"/>
      <c r="Z2602" s="28"/>
    </row>
    <row r="2603" spans="2:26">
      <c r="B2603" s="2"/>
      <c r="N2603" s="27"/>
      <c r="R2603" s="15"/>
      <c r="X2603" s="3"/>
      <c r="Z2603" s="28"/>
    </row>
    <row r="2604" spans="2:26">
      <c r="B2604" s="2"/>
      <c r="N2604" s="27"/>
      <c r="R2604" s="15"/>
      <c r="X2604" s="3"/>
      <c r="Z2604" s="28"/>
    </row>
    <row r="2605" spans="2:26">
      <c r="B2605" s="2"/>
      <c r="N2605" s="27"/>
      <c r="R2605" s="15"/>
      <c r="X2605" s="3"/>
      <c r="Z2605" s="28"/>
    </row>
    <row r="2606" spans="2:26">
      <c r="B2606" s="2"/>
      <c r="N2606" s="27"/>
      <c r="R2606" s="15"/>
      <c r="X2606" s="3"/>
      <c r="Z2606" s="28"/>
    </row>
    <row r="2607" spans="2:26">
      <c r="B2607" s="2"/>
      <c r="N2607" s="27"/>
      <c r="R2607" s="15"/>
      <c r="X2607" s="3"/>
      <c r="Z2607" s="28"/>
    </row>
    <row r="2608" spans="2:26">
      <c r="B2608" s="2"/>
      <c r="N2608" s="27"/>
      <c r="R2608" s="15"/>
      <c r="X2608" s="3"/>
      <c r="Z2608" s="28"/>
    </row>
    <row r="2609" spans="2:26">
      <c r="B2609" s="2"/>
      <c r="N2609" s="27"/>
      <c r="R2609" s="15"/>
      <c r="X2609" s="3"/>
      <c r="Z2609" s="28"/>
    </row>
    <row r="2610" spans="2:26">
      <c r="B2610" s="2"/>
      <c r="N2610" s="27"/>
      <c r="R2610" s="15"/>
      <c r="X2610" s="3"/>
      <c r="Z2610" s="28"/>
    </row>
    <row r="2611" spans="2:26">
      <c r="B2611" s="2"/>
      <c r="N2611" s="27"/>
      <c r="R2611" s="15"/>
      <c r="X2611" s="3"/>
      <c r="Z2611" s="28"/>
    </row>
    <row r="2612" spans="2:26">
      <c r="B2612" s="2"/>
      <c r="N2612" s="27"/>
      <c r="R2612" s="15"/>
      <c r="X2612" s="3"/>
      <c r="Z2612" s="28"/>
    </row>
    <row r="2613" spans="2:26">
      <c r="B2613" s="2"/>
      <c r="N2613" s="27"/>
      <c r="R2613" s="15"/>
      <c r="X2613" s="3"/>
      <c r="Z2613" s="28"/>
    </row>
    <row r="2614" spans="2:26">
      <c r="B2614" s="2"/>
      <c r="N2614" s="27"/>
      <c r="R2614" s="15"/>
      <c r="X2614" s="3"/>
      <c r="Z2614" s="28"/>
    </row>
    <row r="2615" spans="2:26">
      <c r="B2615" s="2"/>
      <c r="N2615" s="27"/>
      <c r="R2615" s="15"/>
      <c r="X2615" s="3"/>
      <c r="Z2615" s="28"/>
    </row>
    <row r="2616" spans="2:26">
      <c r="B2616" s="2"/>
      <c r="N2616" s="27"/>
      <c r="R2616" s="15"/>
      <c r="X2616" s="3"/>
      <c r="Z2616" s="28"/>
    </row>
    <row r="2617" spans="2:26">
      <c r="B2617" s="2"/>
      <c r="N2617" s="27"/>
      <c r="R2617" s="15"/>
      <c r="X2617" s="3"/>
      <c r="Z2617" s="28"/>
    </row>
    <row r="2618" spans="2:26">
      <c r="B2618" s="2"/>
      <c r="N2618" s="27"/>
      <c r="R2618" s="15"/>
      <c r="X2618" s="3"/>
      <c r="Z2618" s="28"/>
    </row>
    <row r="2619" spans="2:26">
      <c r="B2619" s="2"/>
      <c r="N2619" s="27"/>
      <c r="R2619" s="15"/>
      <c r="X2619" s="3"/>
      <c r="Z2619" s="28"/>
    </row>
    <row r="2620" spans="2:26">
      <c r="B2620" s="2"/>
      <c r="N2620" s="27"/>
      <c r="R2620" s="15"/>
      <c r="X2620" s="3"/>
      <c r="Z2620" s="28"/>
    </row>
    <row r="2621" spans="2:26">
      <c r="B2621" s="2"/>
      <c r="N2621" s="27"/>
      <c r="R2621" s="15"/>
      <c r="X2621" s="3"/>
      <c r="Z2621" s="28"/>
    </row>
    <row r="2622" spans="2:26">
      <c r="B2622" s="2"/>
      <c r="N2622" s="27"/>
      <c r="R2622" s="15"/>
      <c r="X2622" s="3"/>
      <c r="Z2622" s="28"/>
    </row>
    <row r="2623" spans="2:26">
      <c r="B2623" s="2"/>
      <c r="N2623" s="27"/>
      <c r="R2623" s="15"/>
      <c r="X2623" s="3"/>
      <c r="Z2623" s="28"/>
    </row>
    <row r="2624" spans="2:26">
      <c r="B2624" s="2"/>
      <c r="N2624" s="27"/>
      <c r="R2624" s="15"/>
      <c r="X2624" s="3"/>
      <c r="Z2624" s="28"/>
    </row>
    <row r="2625" spans="2:26">
      <c r="B2625" s="2"/>
      <c r="N2625" s="27"/>
      <c r="R2625" s="15"/>
      <c r="X2625" s="3"/>
      <c r="Z2625" s="28"/>
    </row>
    <row r="2626" spans="2:26">
      <c r="B2626" s="2"/>
      <c r="N2626" s="27"/>
      <c r="R2626" s="15"/>
      <c r="X2626" s="3"/>
      <c r="Z2626" s="28"/>
    </row>
    <row r="2627" spans="2:26">
      <c r="B2627" s="2"/>
      <c r="N2627" s="27"/>
      <c r="R2627" s="15"/>
      <c r="X2627" s="3"/>
      <c r="Z2627" s="28"/>
    </row>
    <row r="2628" spans="2:26">
      <c r="B2628" s="2"/>
      <c r="N2628" s="27"/>
      <c r="R2628" s="15"/>
      <c r="X2628" s="3"/>
      <c r="Z2628" s="28"/>
    </row>
    <row r="2629" spans="2:26">
      <c r="B2629" s="2"/>
      <c r="N2629" s="27"/>
      <c r="R2629" s="15"/>
      <c r="X2629" s="3"/>
      <c r="Z2629" s="28"/>
    </row>
    <row r="2630" spans="2:26">
      <c r="B2630" s="2"/>
      <c r="N2630" s="27"/>
      <c r="R2630" s="15"/>
      <c r="X2630" s="3"/>
      <c r="Z2630" s="28"/>
    </row>
    <row r="2631" spans="2:26">
      <c r="B2631" s="2"/>
      <c r="N2631" s="27"/>
      <c r="R2631" s="15"/>
      <c r="X2631" s="3"/>
      <c r="Z2631" s="28"/>
    </row>
    <row r="2632" spans="2:26">
      <c r="B2632" s="2"/>
      <c r="N2632" s="27"/>
      <c r="R2632" s="15"/>
      <c r="X2632" s="3"/>
      <c r="Z2632" s="28"/>
    </row>
    <row r="2633" spans="2:26">
      <c r="B2633" s="2"/>
      <c r="N2633" s="27"/>
      <c r="R2633" s="15"/>
      <c r="X2633" s="3"/>
      <c r="Z2633" s="28"/>
    </row>
    <row r="2634" spans="2:26">
      <c r="B2634" s="2"/>
      <c r="N2634" s="27"/>
      <c r="R2634" s="15"/>
      <c r="X2634" s="3"/>
      <c r="Z2634" s="28"/>
    </row>
    <row r="2635" spans="2:26">
      <c r="B2635" s="2"/>
      <c r="N2635" s="27"/>
      <c r="R2635" s="15"/>
      <c r="X2635" s="3"/>
      <c r="Z2635" s="28"/>
    </row>
    <row r="2636" spans="2:26">
      <c r="B2636" s="2"/>
      <c r="N2636" s="27"/>
      <c r="R2636" s="15"/>
      <c r="X2636" s="3"/>
      <c r="Z2636" s="28"/>
    </row>
    <row r="2637" spans="2:26">
      <c r="B2637" s="2"/>
      <c r="N2637" s="27"/>
      <c r="R2637" s="15"/>
      <c r="X2637" s="3"/>
      <c r="Z2637" s="28"/>
    </row>
    <row r="2638" spans="2:26">
      <c r="B2638" s="2"/>
      <c r="N2638" s="27"/>
      <c r="R2638" s="15"/>
      <c r="X2638" s="3"/>
      <c r="Z2638" s="28"/>
    </row>
    <row r="2639" spans="2:26">
      <c r="B2639" s="2"/>
      <c r="N2639" s="27"/>
      <c r="R2639" s="15"/>
      <c r="X2639" s="3"/>
      <c r="Z2639" s="28"/>
    </row>
    <row r="2640" spans="2:26">
      <c r="B2640" s="2"/>
      <c r="N2640" s="27"/>
      <c r="R2640" s="15"/>
      <c r="X2640" s="3"/>
      <c r="Z2640" s="28"/>
    </row>
    <row r="2641" spans="2:26">
      <c r="B2641" s="2"/>
      <c r="N2641" s="27"/>
      <c r="R2641" s="15"/>
      <c r="X2641" s="3"/>
      <c r="Z2641" s="28"/>
    </row>
    <row r="2642" spans="2:26">
      <c r="B2642" s="2"/>
      <c r="N2642" s="27"/>
      <c r="R2642" s="15"/>
      <c r="X2642" s="3"/>
      <c r="Z2642" s="28"/>
    </row>
    <row r="2643" spans="2:26">
      <c r="B2643" s="2"/>
      <c r="N2643" s="27"/>
      <c r="R2643" s="15"/>
      <c r="X2643" s="3"/>
      <c r="Z2643" s="28"/>
    </row>
    <row r="2644" spans="2:26">
      <c r="B2644" s="2"/>
      <c r="N2644" s="27"/>
      <c r="R2644" s="15"/>
      <c r="X2644" s="3"/>
      <c r="Z2644" s="28"/>
    </row>
    <row r="2645" spans="2:26">
      <c r="B2645" s="2"/>
      <c r="N2645" s="27"/>
      <c r="R2645" s="15"/>
      <c r="X2645" s="3"/>
      <c r="Z2645" s="28"/>
    </row>
    <row r="2646" spans="2:26">
      <c r="B2646" s="2"/>
      <c r="N2646" s="27"/>
      <c r="R2646" s="15"/>
      <c r="X2646" s="3"/>
      <c r="Z2646" s="28"/>
    </row>
    <row r="2647" spans="2:26">
      <c r="B2647" s="2"/>
      <c r="N2647" s="27"/>
      <c r="R2647" s="15"/>
      <c r="X2647" s="3"/>
      <c r="Z2647" s="28"/>
    </row>
    <row r="2648" spans="2:26">
      <c r="B2648" s="2"/>
      <c r="N2648" s="27"/>
      <c r="R2648" s="15"/>
      <c r="X2648" s="3"/>
      <c r="Z2648" s="28"/>
    </row>
    <row r="2649" spans="2:26">
      <c r="B2649" s="2"/>
      <c r="N2649" s="27"/>
      <c r="R2649" s="15"/>
      <c r="X2649" s="3"/>
      <c r="Z2649" s="28"/>
    </row>
    <row r="2650" spans="2:26">
      <c r="B2650" s="2"/>
      <c r="N2650" s="27"/>
      <c r="R2650" s="15"/>
      <c r="X2650" s="3"/>
      <c r="Z2650" s="28"/>
    </row>
    <row r="2651" spans="2:26">
      <c r="B2651" s="2"/>
      <c r="N2651" s="27"/>
      <c r="R2651" s="15"/>
      <c r="X2651" s="3"/>
      <c r="Z2651" s="28"/>
    </row>
    <row r="2652" spans="2:26">
      <c r="B2652" s="2"/>
      <c r="N2652" s="27"/>
      <c r="R2652" s="15"/>
      <c r="X2652" s="3"/>
      <c r="Z2652" s="28"/>
    </row>
    <row r="2653" spans="2:26">
      <c r="B2653" s="2"/>
      <c r="N2653" s="27"/>
      <c r="R2653" s="15"/>
      <c r="X2653" s="3"/>
      <c r="Z2653" s="28"/>
    </row>
    <row r="2654" spans="2:26">
      <c r="B2654" s="2"/>
      <c r="N2654" s="27"/>
      <c r="R2654" s="15"/>
      <c r="X2654" s="3"/>
      <c r="Z2654" s="28"/>
    </row>
    <row r="2655" spans="2:26">
      <c r="B2655" s="2"/>
      <c r="N2655" s="27"/>
      <c r="R2655" s="15"/>
      <c r="X2655" s="3"/>
      <c r="Z2655" s="28"/>
    </row>
    <row r="2656" spans="2:26">
      <c r="B2656" s="2"/>
      <c r="N2656" s="27"/>
      <c r="R2656" s="15"/>
      <c r="X2656" s="3"/>
      <c r="Z2656" s="28"/>
    </row>
    <row r="2657" spans="2:26">
      <c r="B2657" s="2"/>
      <c r="N2657" s="27"/>
      <c r="R2657" s="15"/>
      <c r="X2657" s="3"/>
      <c r="Z2657" s="28"/>
    </row>
    <row r="2658" spans="2:26">
      <c r="B2658" s="2"/>
      <c r="N2658" s="27"/>
      <c r="R2658" s="15"/>
      <c r="X2658" s="3"/>
      <c r="Z2658" s="28"/>
    </row>
    <row r="2659" spans="2:26">
      <c r="B2659" s="2"/>
      <c r="N2659" s="27"/>
      <c r="R2659" s="15"/>
      <c r="X2659" s="3"/>
      <c r="Z2659" s="28"/>
    </row>
    <row r="2660" spans="2:26">
      <c r="B2660" s="2"/>
      <c r="N2660" s="27"/>
      <c r="R2660" s="15"/>
      <c r="X2660" s="3"/>
      <c r="Z2660" s="28"/>
    </row>
    <row r="2661" spans="2:26">
      <c r="B2661" s="2"/>
      <c r="N2661" s="27"/>
      <c r="R2661" s="15"/>
      <c r="X2661" s="3"/>
      <c r="Z2661" s="28"/>
    </row>
    <row r="2662" spans="2:26">
      <c r="B2662" s="2"/>
      <c r="N2662" s="27"/>
      <c r="R2662" s="15"/>
      <c r="X2662" s="3"/>
      <c r="Z2662" s="28"/>
    </row>
    <row r="2663" spans="2:26">
      <c r="B2663" s="2"/>
      <c r="N2663" s="27"/>
      <c r="R2663" s="15"/>
      <c r="X2663" s="3"/>
      <c r="Z2663" s="28"/>
    </row>
    <row r="2664" spans="2:26">
      <c r="B2664" s="2"/>
      <c r="N2664" s="27"/>
      <c r="R2664" s="15"/>
      <c r="X2664" s="3"/>
      <c r="Z2664" s="28"/>
    </row>
    <row r="2665" spans="2:26">
      <c r="B2665" s="2"/>
      <c r="N2665" s="27"/>
      <c r="R2665" s="15"/>
      <c r="X2665" s="3"/>
      <c r="Z2665" s="28"/>
    </row>
    <row r="2666" spans="2:26">
      <c r="B2666" s="2"/>
      <c r="N2666" s="27"/>
      <c r="R2666" s="15"/>
      <c r="X2666" s="3"/>
      <c r="Z2666" s="28"/>
    </row>
    <row r="2667" spans="2:26">
      <c r="B2667" s="2"/>
      <c r="N2667" s="27"/>
      <c r="R2667" s="15"/>
      <c r="X2667" s="3"/>
      <c r="Z2667" s="28"/>
    </row>
    <row r="2668" spans="2:26">
      <c r="B2668" s="2"/>
      <c r="N2668" s="27"/>
      <c r="R2668" s="15"/>
      <c r="X2668" s="3"/>
      <c r="Z2668" s="28"/>
    </row>
    <row r="2669" spans="2:26">
      <c r="B2669" s="2"/>
      <c r="N2669" s="27"/>
      <c r="R2669" s="15"/>
      <c r="X2669" s="3"/>
      <c r="Z2669" s="28"/>
    </row>
    <row r="2670" spans="2:26">
      <c r="B2670" s="2"/>
      <c r="N2670" s="27"/>
      <c r="R2670" s="15"/>
      <c r="X2670" s="3"/>
      <c r="Z2670" s="28"/>
    </row>
    <row r="2671" spans="2:26">
      <c r="B2671" s="2"/>
      <c r="N2671" s="27"/>
      <c r="R2671" s="15"/>
      <c r="X2671" s="3"/>
      <c r="Z2671" s="28"/>
    </row>
    <row r="2672" spans="2:26">
      <c r="B2672" s="2"/>
      <c r="N2672" s="27"/>
      <c r="R2672" s="15"/>
      <c r="X2672" s="3"/>
      <c r="Z2672" s="28"/>
    </row>
    <row r="2673" spans="2:26">
      <c r="B2673" s="2"/>
      <c r="N2673" s="27"/>
      <c r="R2673" s="15"/>
      <c r="X2673" s="3"/>
      <c r="Z2673" s="28"/>
    </row>
    <row r="2674" spans="2:26">
      <c r="B2674" s="2"/>
      <c r="N2674" s="27"/>
      <c r="R2674" s="15"/>
      <c r="X2674" s="3"/>
      <c r="Z2674" s="28"/>
    </row>
    <row r="2675" spans="2:26">
      <c r="B2675" s="2"/>
      <c r="N2675" s="27"/>
      <c r="R2675" s="15"/>
      <c r="X2675" s="3"/>
      <c r="Z2675" s="28"/>
    </row>
    <row r="2676" spans="2:26">
      <c r="B2676" s="2"/>
      <c r="N2676" s="27"/>
      <c r="R2676" s="15"/>
      <c r="X2676" s="3"/>
      <c r="Z2676" s="28"/>
    </row>
    <row r="2677" spans="2:26">
      <c r="B2677" s="2"/>
      <c r="N2677" s="27"/>
      <c r="R2677" s="15"/>
      <c r="X2677" s="3"/>
      <c r="Z2677" s="28"/>
    </row>
    <row r="2678" spans="2:26">
      <c r="B2678" s="2"/>
      <c r="N2678" s="27"/>
      <c r="R2678" s="15"/>
      <c r="X2678" s="3"/>
      <c r="Z2678" s="28"/>
    </row>
    <row r="2679" spans="2:26">
      <c r="B2679" s="2"/>
      <c r="N2679" s="27"/>
      <c r="R2679" s="15"/>
      <c r="X2679" s="3"/>
      <c r="Z2679" s="28"/>
    </row>
    <row r="2680" spans="2:26">
      <c r="B2680" s="2"/>
      <c r="N2680" s="27"/>
      <c r="R2680" s="15"/>
      <c r="X2680" s="3"/>
      <c r="Z2680" s="28"/>
    </row>
    <row r="2681" spans="2:26">
      <c r="B2681" s="2"/>
      <c r="N2681" s="27"/>
      <c r="R2681" s="15"/>
      <c r="X2681" s="3"/>
      <c r="Z2681" s="28"/>
    </row>
    <row r="2682" spans="2:26">
      <c r="B2682" s="2"/>
      <c r="N2682" s="27"/>
      <c r="R2682" s="15"/>
      <c r="X2682" s="3"/>
      <c r="Z2682" s="28"/>
    </row>
    <row r="2683" spans="2:26">
      <c r="B2683" s="2"/>
      <c r="N2683" s="27"/>
      <c r="R2683" s="15"/>
      <c r="X2683" s="3"/>
      <c r="Z2683" s="28"/>
    </row>
    <row r="2684" spans="2:26">
      <c r="B2684" s="2"/>
      <c r="N2684" s="27"/>
      <c r="R2684" s="15"/>
      <c r="X2684" s="3"/>
      <c r="Z2684" s="28"/>
    </row>
    <row r="2685" spans="2:26">
      <c r="B2685" s="2"/>
      <c r="N2685" s="27"/>
      <c r="R2685" s="15"/>
      <c r="X2685" s="3"/>
      <c r="Z2685" s="28"/>
    </row>
    <row r="2686" spans="2:26">
      <c r="B2686" s="2"/>
      <c r="N2686" s="27"/>
      <c r="R2686" s="15"/>
      <c r="X2686" s="3"/>
      <c r="Z2686" s="28"/>
    </row>
    <row r="2687" spans="2:26">
      <c r="B2687" s="2"/>
      <c r="N2687" s="27"/>
      <c r="R2687" s="15"/>
      <c r="X2687" s="3"/>
      <c r="Z2687" s="28"/>
    </row>
    <row r="2688" spans="2:26">
      <c r="B2688" s="2"/>
      <c r="N2688" s="27"/>
      <c r="R2688" s="15"/>
      <c r="X2688" s="3"/>
      <c r="Z2688" s="28"/>
    </row>
    <row r="2689" spans="2:26">
      <c r="B2689" s="2"/>
      <c r="N2689" s="27"/>
      <c r="R2689" s="15"/>
      <c r="X2689" s="3"/>
      <c r="Z2689" s="28"/>
    </row>
    <row r="2690" spans="2:26">
      <c r="B2690" s="2"/>
      <c r="N2690" s="27"/>
      <c r="R2690" s="15"/>
      <c r="X2690" s="3"/>
      <c r="Z2690" s="28"/>
    </row>
    <row r="2691" spans="2:26">
      <c r="B2691" s="2"/>
      <c r="N2691" s="27"/>
      <c r="R2691" s="15"/>
      <c r="X2691" s="3"/>
      <c r="Z2691" s="28"/>
    </row>
    <row r="2692" spans="2:26">
      <c r="B2692" s="2"/>
      <c r="N2692" s="27"/>
      <c r="R2692" s="15"/>
      <c r="X2692" s="3"/>
      <c r="Z2692" s="28"/>
    </row>
    <row r="2693" spans="2:26">
      <c r="B2693" s="2"/>
      <c r="N2693" s="27"/>
      <c r="R2693" s="15"/>
      <c r="X2693" s="3"/>
      <c r="Z2693" s="28"/>
    </row>
    <row r="2694" spans="2:26">
      <c r="B2694" s="2"/>
      <c r="N2694" s="27"/>
      <c r="R2694" s="15"/>
      <c r="X2694" s="3"/>
      <c r="Z2694" s="28"/>
    </row>
    <row r="2695" spans="2:26">
      <c r="B2695" s="2"/>
      <c r="N2695" s="27"/>
      <c r="R2695" s="15"/>
      <c r="X2695" s="3"/>
      <c r="Z2695" s="28"/>
    </row>
    <row r="2696" spans="2:26">
      <c r="B2696" s="2"/>
      <c r="N2696" s="27"/>
      <c r="R2696" s="15"/>
      <c r="X2696" s="3"/>
      <c r="Z2696" s="28"/>
    </row>
    <row r="2697" spans="2:26">
      <c r="B2697" s="2"/>
      <c r="N2697" s="27"/>
      <c r="R2697" s="15"/>
      <c r="X2697" s="3"/>
      <c r="Z2697" s="28"/>
    </row>
    <row r="2698" spans="2:26">
      <c r="B2698" s="2"/>
      <c r="N2698" s="27"/>
      <c r="R2698" s="15"/>
      <c r="X2698" s="3"/>
      <c r="Z2698" s="28"/>
    </row>
    <row r="2699" spans="2:26">
      <c r="B2699" s="2"/>
      <c r="N2699" s="27"/>
      <c r="R2699" s="15"/>
      <c r="X2699" s="3"/>
      <c r="Z2699" s="28"/>
    </row>
    <row r="2700" spans="2:26">
      <c r="B2700" s="2"/>
      <c r="N2700" s="27"/>
      <c r="R2700" s="15"/>
      <c r="X2700" s="3"/>
      <c r="Z2700" s="28"/>
    </row>
    <row r="2701" spans="2:26">
      <c r="B2701" s="2"/>
      <c r="N2701" s="27"/>
      <c r="R2701" s="15"/>
      <c r="X2701" s="3"/>
      <c r="Z2701" s="28"/>
    </row>
    <row r="2702" spans="2:26">
      <c r="B2702" s="2"/>
      <c r="N2702" s="27"/>
      <c r="R2702" s="15"/>
      <c r="X2702" s="3"/>
      <c r="Z2702" s="28"/>
    </row>
    <row r="2703" spans="2:26">
      <c r="B2703" s="2"/>
      <c r="N2703" s="27"/>
      <c r="R2703" s="15"/>
      <c r="X2703" s="3"/>
      <c r="Z2703" s="28"/>
    </row>
    <row r="2704" spans="2:26">
      <c r="B2704" s="2"/>
      <c r="N2704" s="27"/>
      <c r="R2704" s="15"/>
      <c r="X2704" s="3"/>
      <c r="Z2704" s="28"/>
    </row>
    <row r="2705" spans="2:26">
      <c r="B2705" s="2"/>
      <c r="N2705" s="27"/>
      <c r="R2705" s="15"/>
      <c r="X2705" s="3"/>
      <c r="Z2705" s="28"/>
    </row>
    <row r="2706" spans="2:26">
      <c r="B2706" s="2"/>
      <c r="N2706" s="27"/>
      <c r="R2706" s="15"/>
      <c r="X2706" s="3"/>
      <c r="Z2706" s="28"/>
    </row>
    <row r="2707" spans="2:26">
      <c r="B2707" s="2"/>
      <c r="N2707" s="27"/>
      <c r="R2707" s="15"/>
      <c r="X2707" s="3"/>
      <c r="Z2707" s="28"/>
    </row>
    <row r="2708" spans="2:26">
      <c r="B2708" s="2"/>
      <c r="N2708" s="27"/>
      <c r="R2708" s="15"/>
      <c r="X2708" s="3"/>
      <c r="Z2708" s="28"/>
    </row>
    <row r="2709" spans="2:26">
      <c r="B2709" s="2"/>
      <c r="N2709" s="27"/>
      <c r="R2709" s="15"/>
      <c r="X2709" s="3"/>
      <c r="Z2709" s="28"/>
    </row>
    <row r="2710" spans="2:26">
      <c r="B2710" s="2"/>
      <c r="N2710" s="27"/>
      <c r="R2710" s="15"/>
      <c r="X2710" s="3"/>
      <c r="Z2710" s="28"/>
    </row>
    <row r="2711" spans="2:26">
      <c r="B2711" s="2"/>
      <c r="N2711" s="27"/>
      <c r="R2711" s="15"/>
      <c r="X2711" s="3"/>
      <c r="Z2711" s="28"/>
    </row>
    <row r="2712" spans="2:26">
      <c r="B2712" s="2"/>
      <c r="N2712" s="27"/>
      <c r="R2712" s="15"/>
      <c r="X2712" s="3"/>
      <c r="Z2712" s="28"/>
    </row>
    <row r="2713" spans="2:26">
      <c r="B2713" s="2"/>
      <c r="N2713" s="27"/>
      <c r="R2713" s="15"/>
      <c r="X2713" s="3"/>
      <c r="Z2713" s="28"/>
    </row>
    <row r="2714" spans="2:26">
      <c r="B2714" s="2"/>
      <c r="N2714" s="27"/>
      <c r="R2714" s="15"/>
      <c r="X2714" s="3"/>
      <c r="Z2714" s="28"/>
    </row>
    <row r="2715" spans="2:26">
      <c r="B2715" s="2"/>
      <c r="N2715" s="27"/>
      <c r="R2715" s="15"/>
      <c r="X2715" s="3"/>
      <c r="Z2715" s="28"/>
    </row>
    <row r="2716" spans="2:26">
      <c r="B2716" s="2"/>
      <c r="N2716" s="27"/>
      <c r="R2716" s="15"/>
      <c r="X2716" s="3"/>
      <c r="Z2716" s="28"/>
    </row>
    <row r="2717" spans="2:26">
      <c r="B2717" s="2"/>
      <c r="N2717" s="27"/>
      <c r="R2717" s="15"/>
      <c r="X2717" s="3"/>
      <c r="Z2717" s="28"/>
    </row>
    <row r="2718" spans="2:26">
      <c r="B2718" s="2"/>
      <c r="N2718" s="27"/>
      <c r="R2718" s="15"/>
      <c r="X2718" s="3"/>
      <c r="Z2718" s="28"/>
    </row>
    <row r="2719" spans="2:26">
      <c r="B2719" s="2"/>
      <c r="N2719" s="27"/>
      <c r="R2719" s="15"/>
      <c r="X2719" s="3"/>
      <c r="Z2719" s="28"/>
    </row>
    <row r="2720" spans="2:26">
      <c r="B2720" s="2"/>
      <c r="N2720" s="27"/>
      <c r="R2720" s="15"/>
      <c r="X2720" s="3"/>
      <c r="Z2720" s="28"/>
    </row>
    <row r="2721" spans="2:26">
      <c r="B2721" s="2"/>
      <c r="N2721" s="27"/>
      <c r="R2721" s="15"/>
      <c r="X2721" s="3"/>
      <c r="Z2721" s="28"/>
    </row>
    <row r="2722" spans="2:26">
      <c r="B2722" s="2"/>
      <c r="N2722" s="27"/>
      <c r="R2722" s="15"/>
      <c r="X2722" s="3"/>
      <c r="Z2722" s="28"/>
    </row>
    <row r="2723" spans="2:26">
      <c r="B2723" s="2"/>
      <c r="N2723" s="27"/>
      <c r="R2723" s="15"/>
      <c r="X2723" s="3"/>
      <c r="Z2723" s="28"/>
    </row>
    <row r="2724" spans="2:26">
      <c r="B2724" s="2"/>
      <c r="N2724" s="27"/>
      <c r="R2724" s="15"/>
      <c r="X2724" s="3"/>
      <c r="Z2724" s="28"/>
    </row>
    <row r="2725" spans="2:26">
      <c r="B2725" s="2"/>
      <c r="N2725" s="27"/>
      <c r="R2725" s="15"/>
      <c r="X2725" s="3"/>
      <c r="Z2725" s="28"/>
    </row>
    <row r="2726" spans="2:26">
      <c r="B2726" s="2"/>
      <c r="N2726" s="27"/>
      <c r="R2726" s="15"/>
      <c r="X2726" s="3"/>
      <c r="Z2726" s="28"/>
    </row>
    <row r="2727" spans="2:26">
      <c r="B2727" s="2"/>
      <c r="N2727" s="27"/>
      <c r="R2727" s="15"/>
      <c r="X2727" s="3"/>
      <c r="Z2727" s="28"/>
    </row>
    <row r="2728" spans="2:26">
      <c r="B2728" s="2"/>
      <c r="N2728" s="27"/>
      <c r="R2728" s="15"/>
      <c r="X2728" s="3"/>
      <c r="Z2728" s="28"/>
    </row>
    <row r="2729" spans="2:26">
      <c r="B2729" s="2"/>
      <c r="N2729" s="27"/>
      <c r="R2729" s="15"/>
      <c r="X2729" s="3"/>
      <c r="Z2729" s="28"/>
    </row>
    <row r="2730" spans="2:26">
      <c r="B2730" s="2"/>
      <c r="N2730" s="27"/>
      <c r="R2730" s="15"/>
      <c r="X2730" s="3"/>
      <c r="Z2730" s="28"/>
    </row>
    <row r="2731" spans="2:26">
      <c r="B2731" s="2"/>
      <c r="N2731" s="27"/>
      <c r="R2731" s="15"/>
      <c r="X2731" s="3"/>
      <c r="Z2731" s="28"/>
    </row>
    <row r="2732" spans="2:26">
      <c r="B2732" s="2"/>
      <c r="N2732" s="27"/>
      <c r="R2732" s="15"/>
      <c r="X2732" s="3"/>
      <c r="Z2732" s="28"/>
    </row>
    <row r="2733" spans="2:26">
      <c r="B2733" s="2"/>
      <c r="N2733" s="27"/>
      <c r="R2733" s="15"/>
      <c r="X2733" s="3"/>
      <c r="Z2733" s="28"/>
    </row>
    <row r="2734" spans="2:26">
      <c r="B2734" s="2"/>
      <c r="N2734" s="27"/>
      <c r="R2734" s="15"/>
      <c r="X2734" s="3"/>
      <c r="Z2734" s="28"/>
    </row>
    <row r="2735" spans="2:26">
      <c r="B2735" s="2"/>
      <c r="N2735" s="27"/>
      <c r="R2735" s="15"/>
      <c r="X2735" s="3"/>
      <c r="Z2735" s="28"/>
    </row>
    <row r="2736" spans="2:26">
      <c r="B2736" s="2"/>
      <c r="N2736" s="27"/>
      <c r="R2736" s="15"/>
      <c r="X2736" s="3"/>
      <c r="Z2736" s="28"/>
    </row>
    <row r="2737" spans="2:26">
      <c r="B2737" s="2"/>
      <c r="N2737" s="27"/>
      <c r="R2737" s="15"/>
      <c r="X2737" s="3"/>
      <c r="Z2737" s="28"/>
    </row>
    <row r="2738" spans="2:26">
      <c r="B2738" s="2"/>
      <c r="N2738" s="27"/>
      <c r="R2738" s="15"/>
      <c r="X2738" s="3"/>
      <c r="Z2738" s="28"/>
    </row>
    <row r="2739" spans="2:26">
      <c r="B2739" s="2"/>
      <c r="N2739" s="27"/>
      <c r="R2739" s="15"/>
      <c r="X2739" s="3"/>
      <c r="Z2739" s="28"/>
    </row>
    <row r="2740" spans="2:26">
      <c r="B2740" s="2"/>
      <c r="N2740" s="27"/>
      <c r="R2740" s="15"/>
      <c r="X2740" s="3"/>
      <c r="Z2740" s="28"/>
    </row>
    <row r="2741" spans="2:26">
      <c r="B2741" s="2"/>
      <c r="N2741" s="27"/>
      <c r="R2741" s="15"/>
      <c r="X2741" s="3"/>
      <c r="Z2741" s="28"/>
    </row>
    <row r="2742" spans="2:26">
      <c r="B2742" s="2"/>
      <c r="N2742" s="27"/>
      <c r="R2742" s="15"/>
      <c r="X2742" s="3"/>
      <c r="Z2742" s="28"/>
    </row>
    <row r="2743" spans="2:26">
      <c r="B2743" s="2"/>
      <c r="N2743" s="27"/>
      <c r="R2743" s="15"/>
      <c r="X2743" s="3"/>
      <c r="Z2743" s="28"/>
    </row>
    <row r="2744" spans="2:26">
      <c r="B2744" s="2"/>
      <c r="N2744" s="27"/>
      <c r="R2744" s="15"/>
      <c r="X2744" s="3"/>
      <c r="Z2744" s="28"/>
    </row>
    <row r="2745" spans="2:26">
      <c r="B2745" s="2"/>
      <c r="N2745" s="27"/>
      <c r="R2745" s="15"/>
      <c r="X2745" s="3"/>
      <c r="Z2745" s="28"/>
    </row>
    <row r="2746" spans="2:26">
      <c r="B2746" s="2"/>
      <c r="N2746" s="27"/>
      <c r="R2746" s="15"/>
      <c r="X2746" s="3"/>
      <c r="Z2746" s="28"/>
    </row>
    <row r="2747" spans="2:26">
      <c r="B2747" s="2"/>
      <c r="N2747" s="27"/>
      <c r="R2747" s="15"/>
      <c r="X2747" s="3"/>
      <c r="Z2747" s="28"/>
    </row>
    <row r="2748" spans="2:26">
      <c r="B2748" s="2"/>
      <c r="N2748" s="27"/>
      <c r="R2748" s="15"/>
      <c r="X2748" s="3"/>
      <c r="Z2748" s="28"/>
    </row>
    <row r="2749" spans="2:26">
      <c r="B2749" s="2"/>
      <c r="N2749" s="27"/>
      <c r="R2749" s="15"/>
      <c r="X2749" s="3"/>
      <c r="Z2749" s="28"/>
    </row>
    <row r="2750" spans="2:26">
      <c r="B2750" s="2"/>
      <c r="N2750" s="27"/>
      <c r="R2750" s="15"/>
      <c r="X2750" s="3"/>
      <c r="Z2750" s="28"/>
    </row>
    <row r="2751" spans="2:26">
      <c r="B2751" s="2"/>
      <c r="N2751" s="27"/>
      <c r="R2751" s="15"/>
      <c r="X2751" s="3"/>
      <c r="Z2751" s="28"/>
    </row>
    <row r="2752" spans="2:26">
      <c r="B2752" s="2"/>
      <c r="N2752" s="27"/>
      <c r="R2752" s="15"/>
      <c r="X2752" s="3"/>
      <c r="Z2752" s="28"/>
    </row>
    <row r="2753" spans="2:26">
      <c r="B2753" s="2"/>
      <c r="N2753" s="27"/>
      <c r="R2753" s="15"/>
      <c r="X2753" s="3"/>
      <c r="Z2753" s="28"/>
    </row>
    <row r="2754" spans="2:26">
      <c r="B2754" s="2"/>
      <c r="N2754" s="27"/>
      <c r="R2754" s="15"/>
      <c r="X2754" s="3"/>
      <c r="Z2754" s="28"/>
    </row>
    <row r="2755" spans="2:26">
      <c r="B2755" s="2"/>
      <c r="N2755" s="27"/>
      <c r="R2755" s="15"/>
      <c r="X2755" s="3"/>
      <c r="Z2755" s="28"/>
    </row>
    <row r="2756" spans="2:26">
      <c r="B2756" s="2"/>
      <c r="N2756" s="27"/>
      <c r="R2756" s="15"/>
      <c r="X2756" s="3"/>
      <c r="Z2756" s="28"/>
    </row>
    <row r="2757" spans="2:26">
      <c r="B2757" s="2"/>
      <c r="N2757" s="27"/>
      <c r="R2757" s="15"/>
      <c r="X2757" s="3"/>
      <c r="Z2757" s="28"/>
    </row>
    <row r="2758" spans="2:26">
      <c r="B2758" s="2"/>
      <c r="N2758" s="27"/>
      <c r="R2758" s="15"/>
      <c r="X2758" s="3"/>
      <c r="Z2758" s="28"/>
    </row>
    <row r="2759" spans="2:26">
      <c r="B2759" s="2"/>
      <c r="N2759" s="27"/>
      <c r="R2759" s="15"/>
      <c r="X2759" s="3"/>
      <c r="Z2759" s="28"/>
    </row>
    <row r="2760" spans="2:26">
      <c r="B2760" s="2"/>
      <c r="N2760" s="27"/>
      <c r="R2760" s="15"/>
      <c r="X2760" s="3"/>
      <c r="Z2760" s="28"/>
    </row>
    <row r="2761" spans="2:26">
      <c r="B2761" s="2"/>
      <c r="N2761" s="27"/>
      <c r="R2761" s="15"/>
      <c r="X2761" s="3"/>
      <c r="Z2761" s="28"/>
    </row>
    <row r="2762" spans="2:26">
      <c r="B2762" s="2"/>
      <c r="N2762" s="27"/>
      <c r="R2762" s="15"/>
      <c r="X2762" s="3"/>
      <c r="Z2762" s="28"/>
    </row>
    <row r="2763" spans="2:26">
      <c r="B2763" s="2"/>
      <c r="N2763" s="27"/>
      <c r="R2763" s="15"/>
      <c r="X2763" s="3"/>
      <c r="Z2763" s="28"/>
    </row>
    <row r="2764" spans="2:26">
      <c r="B2764" s="2"/>
      <c r="N2764" s="27"/>
      <c r="R2764" s="15"/>
      <c r="X2764" s="3"/>
      <c r="Z2764" s="28"/>
    </row>
    <row r="2765" spans="2:26">
      <c r="B2765" s="2"/>
      <c r="N2765" s="27"/>
      <c r="R2765" s="15"/>
      <c r="X2765" s="3"/>
      <c r="Z2765" s="28"/>
    </row>
    <row r="2766" spans="2:26">
      <c r="B2766" s="2"/>
      <c r="N2766" s="27"/>
      <c r="R2766" s="15"/>
      <c r="X2766" s="3"/>
      <c r="Z2766" s="28"/>
    </row>
    <row r="2767" spans="2:26">
      <c r="B2767" s="2"/>
      <c r="N2767" s="27"/>
      <c r="R2767" s="15"/>
      <c r="X2767" s="3"/>
      <c r="Z2767" s="28"/>
    </row>
    <row r="2768" spans="2:26">
      <c r="B2768" s="2"/>
      <c r="N2768" s="27"/>
      <c r="R2768" s="15"/>
      <c r="X2768" s="3"/>
      <c r="Z2768" s="28"/>
    </row>
    <row r="2769" spans="2:26">
      <c r="B2769" s="2"/>
      <c r="N2769" s="27"/>
      <c r="R2769" s="15"/>
      <c r="X2769" s="3"/>
      <c r="Z2769" s="28"/>
    </row>
    <row r="2770" spans="2:26">
      <c r="B2770" s="2"/>
      <c r="N2770" s="27"/>
      <c r="R2770" s="15"/>
      <c r="X2770" s="3"/>
      <c r="Z2770" s="28"/>
    </row>
    <row r="2771" spans="2:26">
      <c r="B2771" s="2"/>
      <c r="N2771" s="27"/>
      <c r="R2771" s="15"/>
      <c r="X2771" s="3"/>
      <c r="Z2771" s="28"/>
    </row>
    <row r="2772" spans="2:26">
      <c r="B2772" s="2"/>
      <c r="N2772" s="27"/>
      <c r="R2772" s="15"/>
      <c r="X2772" s="3"/>
      <c r="Z2772" s="28"/>
    </row>
    <row r="2773" spans="2:26">
      <c r="B2773" s="2"/>
      <c r="N2773" s="27"/>
      <c r="R2773" s="15"/>
      <c r="X2773" s="3"/>
      <c r="Z2773" s="28"/>
    </row>
    <row r="2774" spans="2:26">
      <c r="B2774" s="2"/>
      <c r="N2774" s="27"/>
      <c r="R2774" s="15"/>
      <c r="X2774" s="3"/>
      <c r="Z2774" s="28"/>
    </row>
    <row r="2775" spans="2:26">
      <c r="B2775" s="2"/>
      <c r="N2775" s="27"/>
      <c r="R2775" s="15"/>
      <c r="X2775" s="3"/>
      <c r="Z2775" s="28"/>
    </row>
    <row r="2776" spans="2:26">
      <c r="B2776" s="2"/>
      <c r="N2776" s="27"/>
      <c r="R2776" s="15"/>
      <c r="X2776" s="3"/>
      <c r="Z2776" s="28"/>
    </row>
    <row r="2777" spans="2:26">
      <c r="B2777" s="2"/>
      <c r="N2777" s="27"/>
      <c r="R2777" s="15"/>
      <c r="X2777" s="3"/>
      <c r="Z2777" s="28"/>
    </row>
    <row r="2778" spans="2:26">
      <c r="B2778" s="2"/>
      <c r="N2778" s="27"/>
      <c r="R2778" s="15"/>
      <c r="X2778" s="3"/>
      <c r="Z2778" s="28"/>
    </row>
    <row r="2779" spans="2:26">
      <c r="B2779" s="2"/>
      <c r="N2779" s="27"/>
      <c r="R2779" s="15"/>
      <c r="X2779" s="3"/>
      <c r="Z2779" s="28"/>
    </row>
    <row r="2780" spans="2:26">
      <c r="B2780" s="2"/>
      <c r="N2780" s="27"/>
      <c r="R2780" s="15"/>
      <c r="X2780" s="3"/>
      <c r="Z2780" s="28"/>
    </row>
    <row r="2781" spans="2:26">
      <c r="B2781" s="2"/>
      <c r="N2781" s="27"/>
      <c r="R2781" s="15"/>
      <c r="X2781" s="3"/>
      <c r="Z2781" s="28"/>
    </row>
    <row r="2782" spans="2:26">
      <c r="B2782" s="2"/>
      <c r="N2782" s="27"/>
      <c r="R2782" s="15"/>
      <c r="X2782" s="3"/>
      <c r="Z2782" s="28"/>
    </row>
    <row r="2783" spans="2:26">
      <c r="B2783" s="2"/>
      <c r="N2783" s="27"/>
      <c r="R2783" s="15"/>
      <c r="X2783" s="3"/>
      <c r="Z2783" s="28"/>
    </row>
    <row r="2784" spans="2:26">
      <c r="B2784" s="2"/>
      <c r="N2784" s="27"/>
      <c r="R2784" s="15"/>
      <c r="X2784" s="3"/>
      <c r="Z2784" s="28"/>
    </row>
    <row r="2785" spans="2:26">
      <c r="B2785" s="2"/>
      <c r="N2785" s="27"/>
      <c r="R2785" s="15"/>
      <c r="X2785" s="3"/>
      <c r="Z2785" s="28"/>
    </row>
    <row r="2786" spans="2:26">
      <c r="B2786" s="2"/>
      <c r="N2786" s="27"/>
      <c r="R2786" s="15"/>
      <c r="X2786" s="3"/>
      <c r="Z2786" s="28"/>
    </row>
    <row r="2787" spans="2:26">
      <c r="B2787" s="2"/>
      <c r="N2787" s="27"/>
      <c r="R2787" s="15"/>
      <c r="X2787" s="3"/>
      <c r="Z2787" s="28"/>
    </row>
    <row r="2788" spans="2:26">
      <c r="B2788" s="2"/>
      <c r="N2788" s="27"/>
      <c r="R2788" s="15"/>
      <c r="X2788" s="3"/>
      <c r="Z2788" s="28"/>
    </row>
    <row r="2789" spans="2:26">
      <c r="B2789" s="2"/>
      <c r="N2789" s="27"/>
      <c r="R2789" s="15"/>
      <c r="X2789" s="3"/>
      <c r="Z2789" s="28"/>
    </row>
    <row r="2790" spans="2:26">
      <c r="B2790" s="2"/>
      <c r="N2790" s="27"/>
      <c r="R2790" s="15"/>
      <c r="X2790" s="3"/>
      <c r="Z2790" s="28"/>
    </row>
    <row r="2791" spans="2:26">
      <c r="B2791" s="2"/>
      <c r="N2791" s="27"/>
      <c r="R2791" s="15"/>
      <c r="X2791" s="3"/>
      <c r="Z2791" s="28"/>
    </row>
    <row r="2792" spans="2:26">
      <c r="B2792" s="2"/>
      <c r="N2792" s="27"/>
      <c r="R2792" s="15"/>
      <c r="X2792" s="3"/>
      <c r="Z2792" s="28"/>
    </row>
    <row r="2793" spans="2:26">
      <c r="B2793" s="2"/>
      <c r="N2793" s="27"/>
      <c r="R2793" s="15"/>
      <c r="X2793" s="3"/>
      <c r="Z2793" s="28"/>
    </row>
    <row r="2794" spans="2:26">
      <c r="B2794" s="2"/>
      <c r="N2794" s="27"/>
      <c r="R2794" s="15"/>
      <c r="X2794" s="3"/>
      <c r="Z2794" s="28"/>
    </row>
    <row r="2795" spans="2:26">
      <c r="B2795" s="2"/>
      <c r="N2795" s="27"/>
      <c r="R2795" s="15"/>
      <c r="X2795" s="3"/>
      <c r="Z2795" s="28"/>
    </row>
    <row r="2796" spans="2:26">
      <c r="B2796" s="2"/>
      <c r="N2796" s="27"/>
      <c r="R2796" s="15"/>
      <c r="X2796" s="3"/>
      <c r="Z2796" s="28"/>
    </row>
    <row r="2797" spans="2:26">
      <c r="B2797" s="2"/>
      <c r="N2797" s="27"/>
      <c r="R2797" s="15"/>
      <c r="X2797" s="3"/>
      <c r="Z2797" s="28"/>
    </row>
    <row r="2798" spans="2:26">
      <c r="B2798" s="2"/>
      <c r="N2798" s="27"/>
      <c r="R2798" s="15"/>
      <c r="X2798" s="3"/>
      <c r="Z2798" s="28"/>
    </row>
    <row r="2799" spans="2:26">
      <c r="B2799" s="2"/>
      <c r="N2799" s="27"/>
      <c r="R2799" s="15"/>
      <c r="X2799" s="3"/>
      <c r="Z2799" s="28"/>
    </row>
    <row r="2800" spans="2:26">
      <c r="B2800" s="2"/>
      <c r="N2800" s="27"/>
      <c r="R2800" s="15"/>
      <c r="X2800" s="3"/>
      <c r="Z2800" s="28"/>
    </row>
    <row r="2801" spans="2:26">
      <c r="B2801" s="2"/>
      <c r="N2801" s="27"/>
      <c r="R2801" s="15"/>
      <c r="X2801" s="3"/>
      <c r="Z2801" s="28"/>
    </row>
    <row r="2802" spans="2:26">
      <c r="B2802" s="2"/>
      <c r="N2802" s="27"/>
      <c r="R2802" s="15"/>
      <c r="X2802" s="3"/>
      <c r="Z2802" s="28"/>
    </row>
    <row r="2803" spans="2:26">
      <c r="B2803" s="2"/>
      <c r="N2803" s="27"/>
      <c r="R2803" s="15"/>
      <c r="X2803" s="3"/>
      <c r="Z2803" s="28"/>
    </row>
    <row r="2804" spans="2:26">
      <c r="B2804" s="2"/>
      <c r="N2804" s="27"/>
      <c r="R2804" s="15"/>
      <c r="X2804" s="3"/>
      <c r="Z2804" s="28"/>
    </row>
    <row r="2805" spans="2:26">
      <c r="B2805" s="2"/>
      <c r="N2805" s="27"/>
      <c r="R2805" s="15"/>
      <c r="X2805" s="3"/>
      <c r="Z2805" s="28"/>
    </row>
    <row r="2806" spans="2:26">
      <c r="B2806" s="2"/>
      <c r="N2806" s="27"/>
      <c r="R2806" s="15"/>
      <c r="X2806" s="3"/>
      <c r="Z2806" s="28"/>
    </row>
    <row r="2807" spans="2:26">
      <c r="B2807" s="2"/>
      <c r="N2807" s="27"/>
      <c r="R2807" s="15"/>
      <c r="X2807" s="3"/>
      <c r="Z2807" s="28"/>
    </row>
    <row r="2808" spans="2:26">
      <c r="B2808" s="2"/>
      <c r="N2808" s="27"/>
      <c r="R2808" s="15"/>
      <c r="X2808" s="3"/>
      <c r="Z2808" s="28"/>
    </row>
    <row r="2809" spans="2:26">
      <c r="B2809" s="2"/>
      <c r="N2809" s="27"/>
      <c r="R2809" s="15"/>
      <c r="X2809" s="3"/>
      <c r="Z2809" s="28"/>
    </row>
    <row r="2810" spans="2:26">
      <c r="B2810" s="2"/>
      <c r="N2810" s="27"/>
      <c r="R2810" s="15"/>
      <c r="X2810" s="3"/>
      <c r="Z2810" s="28"/>
    </row>
    <row r="2811" spans="2:26">
      <c r="B2811" s="2"/>
      <c r="N2811" s="27"/>
      <c r="R2811" s="15"/>
      <c r="X2811" s="3"/>
      <c r="Z2811" s="28"/>
    </row>
    <row r="2812" spans="2:26">
      <c r="B2812" s="2"/>
      <c r="N2812" s="27"/>
      <c r="R2812" s="15"/>
      <c r="X2812" s="3"/>
      <c r="Z2812" s="28"/>
    </row>
    <row r="2813" spans="2:26">
      <c r="B2813" s="2"/>
      <c r="N2813" s="27"/>
      <c r="R2813" s="15"/>
      <c r="X2813" s="3"/>
      <c r="Z2813" s="28"/>
    </row>
    <row r="2814" spans="2:26">
      <c r="B2814" s="2"/>
      <c r="N2814" s="27"/>
      <c r="R2814" s="15"/>
      <c r="X2814" s="3"/>
      <c r="Z2814" s="28"/>
    </row>
    <row r="2815" spans="2:26">
      <c r="B2815" s="2"/>
      <c r="N2815" s="27"/>
      <c r="R2815" s="15"/>
      <c r="X2815" s="3"/>
      <c r="Z2815" s="28"/>
    </row>
    <row r="2816" spans="2:26">
      <c r="B2816" s="2"/>
      <c r="N2816" s="27"/>
      <c r="R2816" s="15"/>
      <c r="X2816" s="3"/>
      <c r="Z2816" s="28"/>
    </row>
    <row r="2817" spans="2:26">
      <c r="B2817" s="2"/>
      <c r="N2817" s="27"/>
      <c r="R2817" s="15"/>
      <c r="X2817" s="3"/>
      <c r="Z2817" s="28"/>
    </row>
    <row r="2818" spans="2:26">
      <c r="B2818" s="2"/>
      <c r="N2818" s="27"/>
      <c r="R2818" s="15"/>
      <c r="X2818" s="3"/>
      <c r="Z2818" s="28"/>
    </row>
    <row r="2819" spans="2:26">
      <c r="B2819" s="2"/>
      <c r="N2819" s="27"/>
      <c r="R2819" s="15"/>
      <c r="X2819" s="3"/>
      <c r="Z2819" s="28"/>
    </row>
    <row r="2820" spans="2:26">
      <c r="B2820" s="2"/>
      <c r="N2820" s="27"/>
      <c r="R2820" s="15"/>
      <c r="X2820" s="3"/>
      <c r="Z2820" s="28"/>
    </row>
    <row r="2821" spans="2:26">
      <c r="B2821" s="2"/>
      <c r="N2821" s="27"/>
      <c r="R2821" s="15"/>
      <c r="X2821" s="3"/>
      <c r="Z2821" s="28"/>
    </row>
    <row r="2822" spans="2:26">
      <c r="B2822" s="2"/>
      <c r="N2822" s="27"/>
      <c r="R2822" s="15"/>
      <c r="X2822" s="3"/>
      <c r="Z2822" s="28"/>
    </row>
    <row r="2823" spans="2:26">
      <c r="B2823" s="2"/>
      <c r="N2823" s="27"/>
      <c r="R2823" s="15"/>
      <c r="X2823" s="3"/>
      <c r="Z2823" s="28"/>
    </row>
    <row r="2824" spans="2:26">
      <c r="B2824" s="2"/>
      <c r="N2824" s="27"/>
      <c r="R2824" s="15"/>
      <c r="X2824" s="3"/>
      <c r="Z2824" s="28"/>
    </row>
    <row r="2825" spans="2:26">
      <c r="B2825" s="2"/>
      <c r="N2825" s="27"/>
      <c r="R2825" s="15"/>
      <c r="X2825" s="3"/>
      <c r="Z2825" s="28"/>
    </row>
    <row r="2826" spans="2:26">
      <c r="B2826" s="2"/>
      <c r="N2826" s="27"/>
      <c r="R2826" s="15"/>
      <c r="X2826" s="3"/>
      <c r="Z2826" s="28"/>
    </row>
    <row r="2827" spans="2:26">
      <c r="B2827" s="2"/>
      <c r="N2827" s="27"/>
      <c r="R2827" s="15"/>
      <c r="X2827" s="3"/>
      <c r="Z2827" s="28"/>
    </row>
    <row r="2828" spans="2:26">
      <c r="B2828" s="2"/>
      <c r="N2828" s="27"/>
      <c r="R2828" s="15"/>
      <c r="X2828" s="3"/>
      <c r="Z2828" s="28"/>
    </row>
    <row r="2829" spans="2:26">
      <c r="B2829" s="2"/>
      <c r="N2829" s="27"/>
      <c r="R2829" s="15"/>
      <c r="X2829" s="3"/>
      <c r="Z2829" s="28"/>
    </row>
    <row r="2830" spans="2:26">
      <c r="B2830" s="2"/>
      <c r="N2830" s="27"/>
      <c r="R2830" s="15"/>
      <c r="X2830" s="3"/>
      <c r="Z2830" s="28"/>
    </row>
    <row r="2831" spans="2:26">
      <c r="B2831" s="2"/>
      <c r="N2831" s="27"/>
      <c r="R2831" s="15"/>
      <c r="X2831" s="3"/>
      <c r="Z2831" s="28"/>
    </row>
    <row r="2832" spans="2:26">
      <c r="B2832" s="2"/>
      <c r="N2832" s="27"/>
      <c r="R2832" s="15"/>
      <c r="X2832" s="3"/>
      <c r="Z2832" s="28"/>
    </row>
    <row r="2833" spans="2:26">
      <c r="B2833" s="2"/>
      <c r="N2833" s="27"/>
      <c r="R2833" s="15"/>
      <c r="X2833" s="3"/>
      <c r="Z2833" s="28"/>
    </row>
    <row r="2834" spans="2:26">
      <c r="B2834" s="2"/>
      <c r="N2834" s="27"/>
      <c r="R2834" s="15"/>
      <c r="X2834" s="3"/>
      <c r="Z2834" s="28"/>
    </row>
    <row r="2835" spans="2:26">
      <c r="B2835" s="2"/>
      <c r="N2835" s="27"/>
      <c r="R2835" s="15"/>
      <c r="X2835" s="3"/>
      <c r="Z2835" s="28"/>
    </row>
    <row r="2836" spans="2:26">
      <c r="B2836" s="2"/>
      <c r="N2836" s="27"/>
      <c r="R2836" s="15"/>
      <c r="X2836" s="3"/>
      <c r="Z2836" s="28"/>
    </row>
    <row r="2837" spans="2:26">
      <c r="B2837" s="2"/>
      <c r="N2837" s="27"/>
      <c r="R2837" s="15"/>
      <c r="X2837" s="3"/>
      <c r="Z2837" s="28"/>
    </row>
    <row r="2838" spans="2:26">
      <c r="B2838" s="2"/>
      <c r="N2838" s="27"/>
      <c r="R2838" s="15"/>
      <c r="X2838" s="3"/>
      <c r="Z2838" s="28"/>
    </row>
    <row r="2839" spans="2:26">
      <c r="B2839" s="2"/>
      <c r="N2839" s="27"/>
      <c r="R2839" s="15"/>
      <c r="X2839" s="3"/>
      <c r="Z2839" s="28"/>
    </row>
    <row r="2840" spans="2:26">
      <c r="B2840" s="2"/>
      <c r="N2840" s="27"/>
      <c r="R2840" s="15"/>
      <c r="X2840" s="3"/>
      <c r="Z2840" s="28"/>
    </row>
    <row r="2841" spans="2:26">
      <c r="B2841" s="2"/>
      <c r="N2841" s="27"/>
      <c r="R2841" s="15"/>
      <c r="X2841" s="3"/>
      <c r="Z2841" s="28"/>
    </row>
    <row r="2842" spans="2:26">
      <c r="B2842" s="2"/>
      <c r="N2842" s="27"/>
      <c r="R2842" s="15"/>
      <c r="X2842" s="3"/>
      <c r="Z2842" s="28"/>
    </row>
    <row r="2843" spans="2:26">
      <c r="B2843" s="2"/>
      <c r="N2843" s="27"/>
      <c r="R2843" s="15"/>
      <c r="X2843" s="3"/>
      <c r="Z2843" s="28"/>
    </row>
    <row r="2844" spans="2:26">
      <c r="B2844" s="2"/>
      <c r="N2844" s="27"/>
      <c r="R2844" s="15"/>
      <c r="X2844" s="3"/>
      <c r="Z2844" s="28"/>
    </row>
    <row r="2845" spans="2:26">
      <c r="B2845" s="2"/>
      <c r="N2845" s="27"/>
      <c r="R2845" s="15"/>
      <c r="X2845" s="3"/>
      <c r="Z2845" s="28"/>
    </row>
    <row r="2846" spans="2:26">
      <c r="B2846" s="2"/>
      <c r="N2846" s="27"/>
      <c r="R2846" s="15"/>
      <c r="X2846" s="3"/>
      <c r="Z2846" s="28"/>
    </row>
    <row r="2847" spans="2:26">
      <c r="B2847" s="2"/>
      <c r="N2847" s="27"/>
      <c r="R2847" s="15"/>
      <c r="X2847" s="3"/>
      <c r="Z2847" s="28"/>
    </row>
    <row r="2848" spans="2:26">
      <c r="B2848" s="2"/>
      <c r="N2848" s="27"/>
      <c r="R2848" s="15"/>
      <c r="X2848" s="3"/>
      <c r="Z2848" s="28"/>
    </row>
    <row r="2849" spans="2:26">
      <c r="B2849" s="2"/>
      <c r="N2849" s="27"/>
      <c r="R2849" s="15"/>
      <c r="X2849" s="3"/>
      <c r="Z2849" s="28"/>
    </row>
    <row r="2850" spans="2:26">
      <c r="B2850" s="2"/>
      <c r="N2850" s="27"/>
      <c r="R2850" s="15"/>
      <c r="X2850" s="3"/>
      <c r="Z2850" s="28"/>
    </row>
    <row r="2851" spans="2:26">
      <c r="B2851" s="2"/>
      <c r="N2851" s="27"/>
      <c r="R2851" s="15"/>
      <c r="X2851" s="3"/>
      <c r="Z2851" s="28"/>
    </row>
    <row r="2852" spans="2:26">
      <c r="B2852" s="2"/>
      <c r="N2852" s="27"/>
      <c r="R2852" s="15"/>
      <c r="X2852" s="3"/>
      <c r="Z2852" s="28"/>
    </row>
    <row r="2853" spans="2:26">
      <c r="B2853" s="2"/>
      <c r="N2853" s="27"/>
      <c r="R2853" s="15"/>
      <c r="X2853" s="3"/>
      <c r="Z2853" s="28"/>
    </row>
    <row r="2854" spans="2:26">
      <c r="B2854" s="2"/>
      <c r="N2854" s="27"/>
      <c r="R2854" s="15"/>
      <c r="X2854" s="3"/>
      <c r="Z2854" s="28"/>
    </row>
    <row r="2855" spans="2:26">
      <c r="B2855" s="2"/>
      <c r="N2855" s="27"/>
      <c r="R2855" s="15"/>
      <c r="X2855" s="3"/>
      <c r="Z2855" s="28"/>
    </row>
    <row r="2856" spans="2:26">
      <c r="B2856" s="2"/>
      <c r="N2856" s="27"/>
      <c r="R2856" s="15"/>
      <c r="X2856" s="3"/>
      <c r="Z2856" s="28"/>
    </row>
    <row r="2857" spans="2:26">
      <c r="B2857" s="2"/>
      <c r="N2857" s="27"/>
      <c r="R2857" s="15"/>
      <c r="X2857" s="3"/>
      <c r="Z2857" s="28"/>
    </row>
    <row r="2858" spans="2:26">
      <c r="B2858" s="2"/>
      <c r="N2858" s="27"/>
      <c r="R2858" s="15"/>
      <c r="X2858" s="3"/>
      <c r="Z2858" s="28"/>
    </row>
    <row r="2859" spans="2:26">
      <c r="B2859" s="2"/>
      <c r="N2859" s="27"/>
      <c r="R2859" s="15"/>
      <c r="X2859" s="3"/>
      <c r="Z2859" s="28"/>
    </row>
    <row r="2860" spans="2:26">
      <c r="B2860" s="2"/>
      <c r="N2860" s="27"/>
      <c r="R2860" s="15"/>
      <c r="X2860" s="3"/>
      <c r="Z2860" s="28"/>
    </row>
    <row r="2861" spans="2:26">
      <c r="B2861" s="2"/>
      <c r="N2861" s="27"/>
      <c r="R2861" s="15"/>
      <c r="X2861" s="3"/>
      <c r="Z2861" s="28"/>
    </row>
    <row r="2862" spans="2:26">
      <c r="B2862" s="2"/>
      <c r="N2862" s="27"/>
      <c r="R2862" s="15"/>
      <c r="X2862" s="3"/>
      <c r="Z2862" s="28"/>
    </row>
    <row r="2863" spans="2:26">
      <c r="B2863" s="2"/>
      <c r="N2863" s="27"/>
      <c r="R2863" s="15"/>
      <c r="X2863" s="3"/>
      <c r="Z2863" s="28"/>
    </row>
    <row r="2864" spans="2:26">
      <c r="B2864" s="2"/>
      <c r="N2864" s="27"/>
      <c r="R2864" s="15"/>
      <c r="X2864" s="3"/>
      <c r="Z2864" s="28"/>
    </row>
    <row r="2865" spans="2:26">
      <c r="B2865" s="2"/>
      <c r="N2865" s="27"/>
      <c r="R2865" s="15"/>
      <c r="X2865" s="3"/>
      <c r="Z2865" s="28"/>
    </row>
    <row r="2866" spans="2:26">
      <c r="B2866" s="2"/>
      <c r="N2866" s="27"/>
      <c r="R2866" s="15"/>
      <c r="X2866" s="3"/>
      <c r="Z2866" s="28"/>
    </row>
    <row r="2867" spans="2:26">
      <c r="B2867" s="2"/>
      <c r="N2867" s="27"/>
      <c r="R2867" s="15"/>
      <c r="X2867" s="3"/>
      <c r="Z2867" s="28"/>
    </row>
    <row r="2868" spans="2:26">
      <c r="B2868" s="2"/>
      <c r="N2868" s="27"/>
      <c r="R2868" s="15"/>
      <c r="X2868" s="3"/>
      <c r="Z2868" s="28"/>
    </row>
    <row r="2869" spans="2:26">
      <c r="B2869" s="2"/>
      <c r="N2869" s="27"/>
      <c r="R2869" s="15"/>
      <c r="X2869" s="3"/>
      <c r="Z2869" s="28"/>
    </row>
    <row r="2870" spans="2:26">
      <c r="B2870" s="2"/>
      <c r="N2870" s="27"/>
      <c r="R2870" s="15"/>
      <c r="X2870" s="3"/>
      <c r="Z2870" s="28"/>
    </row>
    <row r="2871" spans="2:26">
      <c r="B2871" s="2"/>
      <c r="N2871" s="27"/>
      <c r="R2871" s="15"/>
      <c r="X2871" s="3"/>
      <c r="Z2871" s="28"/>
    </row>
    <row r="2872" spans="2:26">
      <c r="B2872" s="2"/>
      <c r="N2872" s="27"/>
      <c r="R2872" s="15"/>
      <c r="X2872" s="3"/>
      <c r="Z2872" s="28"/>
    </row>
    <row r="2873" spans="2:26">
      <c r="B2873" s="2"/>
      <c r="N2873" s="27"/>
      <c r="R2873" s="15"/>
      <c r="X2873" s="3"/>
      <c r="Z2873" s="28"/>
    </row>
    <row r="2874" spans="2:26">
      <c r="B2874" s="2"/>
      <c r="N2874" s="27"/>
      <c r="R2874" s="15"/>
      <c r="X2874" s="3"/>
      <c r="Z2874" s="28"/>
    </row>
    <row r="2875" spans="2:26">
      <c r="B2875" s="2"/>
      <c r="N2875" s="27"/>
      <c r="R2875" s="15"/>
      <c r="X2875" s="3"/>
      <c r="Z2875" s="28"/>
    </row>
    <row r="2876" spans="2:26">
      <c r="B2876" s="2"/>
      <c r="N2876" s="27"/>
      <c r="R2876" s="15"/>
      <c r="X2876" s="3"/>
      <c r="Z2876" s="28"/>
    </row>
    <row r="2877" spans="2:26">
      <c r="B2877" s="2"/>
      <c r="N2877" s="27"/>
      <c r="R2877" s="15"/>
      <c r="X2877" s="3"/>
      <c r="Z2877" s="28"/>
    </row>
    <row r="2878" spans="2:26">
      <c r="B2878" s="2"/>
      <c r="N2878" s="27"/>
      <c r="R2878" s="15"/>
      <c r="X2878" s="3"/>
      <c r="Z2878" s="28"/>
    </row>
    <row r="2879" spans="2:26">
      <c r="B2879" s="2"/>
      <c r="N2879" s="27"/>
      <c r="R2879" s="15"/>
      <c r="X2879" s="3"/>
      <c r="Z2879" s="28"/>
    </row>
    <row r="2880" spans="2:26">
      <c r="B2880" s="2"/>
      <c r="N2880" s="27"/>
      <c r="R2880" s="15"/>
      <c r="X2880" s="3"/>
      <c r="Z2880" s="28"/>
    </row>
    <row r="2881" spans="2:26">
      <c r="B2881" s="2"/>
      <c r="N2881" s="27"/>
      <c r="R2881" s="15"/>
      <c r="X2881" s="3"/>
      <c r="Z2881" s="28"/>
    </row>
    <row r="2882" spans="2:26">
      <c r="B2882" s="2"/>
      <c r="N2882" s="27"/>
      <c r="R2882" s="15"/>
      <c r="X2882" s="3"/>
      <c r="Z2882" s="28"/>
    </row>
    <row r="2883" spans="2:26">
      <c r="B2883" s="2"/>
      <c r="N2883" s="27"/>
      <c r="R2883" s="15"/>
      <c r="X2883" s="3"/>
      <c r="Z2883" s="28"/>
    </row>
    <row r="2884" spans="2:26">
      <c r="B2884" s="2"/>
      <c r="N2884" s="27"/>
      <c r="R2884" s="15"/>
      <c r="X2884" s="3"/>
      <c r="Z2884" s="28"/>
    </row>
    <row r="2885" spans="2:26">
      <c r="B2885" s="2"/>
      <c r="N2885" s="27"/>
      <c r="R2885" s="15"/>
      <c r="X2885" s="3"/>
      <c r="Z2885" s="28"/>
    </row>
    <row r="2886" spans="2:26">
      <c r="B2886" s="2"/>
      <c r="N2886" s="27"/>
      <c r="R2886" s="15"/>
      <c r="X2886" s="3"/>
      <c r="Z2886" s="28"/>
    </row>
    <row r="2887" spans="2:26">
      <c r="B2887" s="2"/>
      <c r="N2887" s="27"/>
      <c r="R2887" s="15"/>
      <c r="X2887" s="3"/>
      <c r="Z2887" s="28"/>
    </row>
    <row r="2888" spans="2:26">
      <c r="B2888" s="2"/>
      <c r="N2888" s="27"/>
      <c r="R2888" s="15"/>
      <c r="X2888" s="3"/>
      <c r="Z2888" s="28"/>
    </row>
    <row r="2889" spans="2:26">
      <c r="B2889" s="2"/>
      <c r="N2889" s="27"/>
      <c r="R2889" s="15"/>
      <c r="X2889" s="3"/>
      <c r="Z2889" s="28"/>
    </row>
    <row r="2890" spans="2:26">
      <c r="B2890" s="2"/>
      <c r="N2890" s="27"/>
      <c r="R2890" s="15"/>
      <c r="X2890" s="3"/>
      <c r="Z2890" s="28"/>
    </row>
    <row r="2891" spans="2:26">
      <c r="B2891" s="2"/>
      <c r="N2891" s="27"/>
      <c r="R2891" s="15"/>
      <c r="X2891" s="3"/>
      <c r="Z2891" s="28"/>
    </row>
    <row r="2892" spans="2:26">
      <c r="B2892" s="2"/>
      <c r="N2892" s="27"/>
      <c r="R2892" s="15"/>
      <c r="X2892" s="3"/>
      <c r="Z2892" s="28"/>
    </row>
    <row r="2893" spans="2:26">
      <c r="B2893" s="2"/>
      <c r="N2893" s="27"/>
      <c r="R2893" s="15"/>
      <c r="X2893" s="3"/>
      <c r="Z2893" s="28"/>
    </row>
    <row r="2894" spans="2:26">
      <c r="B2894" s="2"/>
      <c r="N2894" s="27"/>
      <c r="R2894" s="15"/>
      <c r="X2894" s="3"/>
      <c r="Z2894" s="28"/>
    </row>
    <row r="2895" spans="2:26">
      <c r="B2895" s="2"/>
      <c r="N2895" s="27"/>
      <c r="R2895" s="15"/>
      <c r="X2895" s="3"/>
      <c r="Z2895" s="28"/>
    </row>
    <row r="2896" spans="2:26">
      <c r="B2896" s="2"/>
      <c r="N2896" s="27"/>
      <c r="R2896" s="15"/>
      <c r="X2896" s="3"/>
      <c r="Z2896" s="28"/>
    </row>
    <row r="2897" spans="2:26">
      <c r="B2897" s="2"/>
      <c r="N2897" s="27"/>
      <c r="R2897" s="15"/>
      <c r="X2897" s="3"/>
      <c r="Z2897" s="28"/>
    </row>
    <row r="2898" spans="2:26">
      <c r="B2898" s="2"/>
      <c r="N2898" s="27"/>
      <c r="R2898" s="15"/>
      <c r="X2898" s="3"/>
      <c r="Z2898" s="28"/>
    </row>
    <row r="2899" spans="2:26">
      <c r="B2899" s="2"/>
      <c r="N2899" s="27"/>
      <c r="R2899" s="15"/>
      <c r="X2899" s="3"/>
      <c r="Z2899" s="28"/>
    </row>
    <row r="2900" spans="2:26">
      <c r="B2900" s="2"/>
      <c r="N2900" s="27"/>
      <c r="R2900" s="15"/>
      <c r="X2900" s="3"/>
      <c r="Z2900" s="28"/>
    </row>
    <row r="2901" spans="2:26">
      <c r="B2901" s="2"/>
      <c r="N2901" s="27"/>
      <c r="R2901" s="15"/>
      <c r="X2901" s="3"/>
      <c r="Z2901" s="28"/>
    </row>
    <row r="2902" spans="2:26">
      <c r="B2902" s="2"/>
      <c r="N2902" s="27"/>
      <c r="R2902" s="15"/>
      <c r="X2902" s="3"/>
      <c r="Z2902" s="28"/>
    </row>
    <row r="2903" spans="2:26">
      <c r="B2903" s="2"/>
      <c r="N2903" s="27"/>
      <c r="R2903" s="15"/>
      <c r="X2903" s="3"/>
      <c r="Z2903" s="28"/>
    </row>
    <row r="2904" spans="2:26">
      <c r="B2904" s="2"/>
      <c r="N2904" s="27"/>
      <c r="R2904" s="15"/>
      <c r="X2904" s="3"/>
      <c r="Z2904" s="28"/>
    </row>
    <row r="2905" spans="2:26">
      <c r="B2905" s="2"/>
      <c r="N2905" s="27"/>
      <c r="R2905" s="15"/>
      <c r="X2905" s="3"/>
      <c r="Z2905" s="28"/>
    </row>
    <row r="2906" spans="2:26">
      <c r="B2906" s="2"/>
      <c r="N2906" s="27"/>
      <c r="R2906" s="15"/>
      <c r="X2906" s="3"/>
      <c r="Z2906" s="28"/>
    </row>
    <row r="2907" spans="2:26">
      <c r="B2907" s="2"/>
      <c r="N2907" s="27"/>
      <c r="R2907" s="15"/>
      <c r="X2907" s="3"/>
      <c r="Z2907" s="28"/>
    </row>
    <row r="2908" spans="2:26">
      <c r="B2908" s="2"/>
      <c r="N2908" s="27"/>
      <c r="R2908" s="15"/>
      <c r="X2908" s="3"/>
      <c r="Z2908" s="28"/>
    </row>
    <row r="2909" spans="2:26">
      <c r="B2909" s="2"/>
      <c r="N2909" s="27"/>
      <c r="R2909" s="15"/>
      <c r="X2909" s="3"/>
      <c r="Z2909" s="28"/>
    </row>
    <row r="2910" spans="2:26">
      <c r="B2910" s="2"/>
      <c r="N2910" s="27"/>
      <c r="R2910" s="15"/>
      <c r="X2910" s="3"/>
      <c r="Z2910" s="28"/>
    </row>
    <row r="2911" spans="2:26">
      <c r="B2911" s="2"/>
      <c r="N2911" s="27"/>
      <c r="R2911" s="15"/>
      <c r="X2911" s="3"/>
      <c r="Z2911" s="28"/>
    </row>
    <row r="2912" spans="2:26">
      <c r="B2912" s="2"/>
      <c r="N2912" s="27"/>
      <c r="R2912" s="15"/>
      <c r="X2912" s="3"/>
      <c r="Z2912" s="28"/>
    </row>
    <row r="2913" spans="2:26">
      <c r="B2913" s="2"/>
      <c r="N2913" s="27"/>
      <c r="R2913" s="15"/>
      <c r="X2913" s="3"/>
      <c r="Z2913" s="28"/>
    </row>
    <row r="2914" spans="2:26">
      <c r="B2914" s="2"/>
      <c r="N2914" s="27"/>
      <c r="R2914" s="15"/>
      <c r="X2914" s="3"/>
      <c r="Z2914" s="28"/>
    </row>
    <row r="2915" spans="2:26">
      <c r="B2915" s="2"/>
      <c r="N2915" s="27"/>
      <c r="R2915" s="15"/>
      <c r="X2915" s="3"/>
      <c r="Z2915" s="28"/>
    </row>
    <row r="2916" spans="2:26">
      <c r="B2916" s="2"/>
      <c r="N2916" s="27"/>
      <c r="R2916" s="15"/>
      <c r="X2916" s="3"/>
      <c r="Z2916" s="28"/>
    </row>
    <row r="2917" spans="2:26">
      <c r="B2917" s="2"/>
      <c r="N2917" s="27"/>
      <c r="R2917" s="15"/>
      <c r="X2917" s="3"/>
      <c r="Z2917" s="28"/>
    </row>
    <row r="2918" spans="2:26">
      <c r="B2918" s="2"/>
      <c r="N2918" s="27"/>
      <c r="R2918" s="15"/>
      <c r="X2918" s="3"/>
      <c r="Z2918" s="28"/>
    </row>
    <row r="2919" spans="2:26">
      <c r="B2919" s="2"/>
      <c r="N2919" s="27"/>
      <c r="R2919" s="15"/>
      <c r="X2919" s="3"/>
      <c r="Z2919" s="28"/>
    </row>
    <row r="2920" spans="2:26">
      <c r="B2920" s="2"/>
      <c r="N2920" s="27"/>
      <c r="R2920" s="15"/>
      <c r="X2920" s="3"/>
      <c r="Z2920" s="28"/>
    </row>
    <row r="2921" spans="2:26">
      <c r="B2921" s="2"/>
      <c r="N2921" s="27"/>
      <c r="R2921" s="15"/>
      <c r="X2921" s="3"/>
      <c r="Z2921" s="28"/>
    </row>
    <row r="2922" spans="2:26">
      <c r="B2922" s="2"/>
      <c r="N2922" s="27"/>
      <c r="R2922" s="15"/>
      <c r="X2922" s="3"/>
      <c r="Z2922" s="28"/>
    </row>
    <row r="2923" spans="2:26">
      <c r="B2923" s="2"/>
      <c r="N2923" s="27"/>
      <c r="R2923" s="15"/>
      <c r="X2923" s="3"/>
      <c r="Z2923" s="28"/>
    </row>
    <row r="2924" spans="2:26">
      <c r="B2924" s="2"/>
      <c r="N2924" s="27"/>
      <c r="R2924" s="15"/>
      <c r="X2924" s="3"/>
      <c r="Z2924" s="28"/>
    </row>
    <row r="2925" spans="2:26">
      <c r="B2925" s="2"/>
      <c r="N2925" s="27"/>
      <c r="R2925" s="15"/>
      <c r="X2925" s="3"/>
      <c r="Z2925" s="28"/>
    </row>
    <row r="2926" spans="2:26">
      <c r="B2926" s="2"/>
      <c r="N2926" s="27"/>
      <c r="R2926" s="15"/>
      <c r="X2926" s="3"/>
      <c r="Z2926" s="28"/>
    </row>
    <row r="2927" spans="2:26">
      <c r="B2927" s="2"/>
      <c r="N2927" s="27"/>
      <c r="R2927" s="15"/>
      <c r="X2927" s="3"/>
      <c r="Z2927" s="28"/>
    </row>
    <row r="2928" spans="2:26">
      <c r="B2928" s="2"/>
      <c r="N2928" s="27"/>
      <c r="R2928" s="15"/>
      <c r="X2928" s="3"/>
      <c r="Z2928" s="28"/>
    </row>
    <row r="2929" spans="2:26">
      <c r="B2929" s="2"/>
      <c r="N2929" s="27"/>
      <c r="R2929" s="15"/>
      <c r="X2929" s="3"/>
      <c r="Z2929" s="28"/>
    </row>
    <row r="2930" spans="2:26">
      <c r="B2930" s="2"/>
      <c r="N2930" s="27"/>
      <c r="R2930" s="15"/>
      <c r="X2930" s="3"/>
      <c r="Z2930" s="28"/>
    </row>
    <row r="2931" spans="2:26">
      <c r="B2931" s="2"/>
      <c r="N2931" s="27"/>
      <c r="R2931" s="15"/>
      <c r="X2931" s="3"/>
      <c r="Z2931" s="28"/>
    </row>
    <row r="2932" spans="2:26">
      <c r="B2932" s="2"/>
      <c r="N2932" s="27"/>
      <c r="R2932" s="15"/>
      <c r="X2932" s="3"/>
      <c r="Z2932" s="28"/>
    </row>
    <row r="2933" spans="2:26">
      <c r="B2933" s="2"/>
      <c r="N2933" s="27"/>
      <c r="R2933" s="15"/>
      <c r="X2933" s="3"/>
      <c r="Z2933" s="28"/>
    </row>
    <row r="2934" spans="2:26">
      <c r="B2934" s="2"/>
      <c r="N2934" s="27"/>
      <c r="R2934" s="15"/>
      <c r="X2934" s="3"/>
      <c r="Z2934" s="28"/>
    </row>
    <row r="2935" spans="2:26">
      <c r="B2935" s="2"/>
      <c r="N2935" s="27"/>
      <c r="R2935" s="15"/>
      <c r="X2935" s="3"/>
      <c r="Z2935" s="28"/>
    </row>
    <row r="2936" spans="2:26">
      <c r="B2936" s="2"/>
      <c r="N2936" s="27"/>
      <c r="R2936" s="15"/>
      <c r="X2936" s="3"/>
      <c r="Z2936" s="28"/>
    </row>
    <row r="2937" spans="2:26">
      <c r="B2937" s="2"/>
      <c r="N2937" s="27"/>
      <c r="R2937" s="15"/>
      <c r="X2937" s="3"/>
      <c r="Z2937" s="28"/>
    </row>
    <row r="2938" spans="2:26">
      <c r="B2938" s="2"/>
      <c r="N2938" s="27"/>
      <c r="R2938" s="15"/>
      <c r="X2938" s="3"/>
      <c r="Z2938" s="28"/>
    </row>
    <row r="2939" spans="2:26">
      <c r="B2939" s="2"/>
      <c r="N2939" s="27"/>
      <c r="R2939" s="15"/>
      <c r="X2939" s="3"/>
      <c r="Z2939" s="28"/>
    </row>
    <row r="2940" spans="2:26">
      <c r="B2940" s="2"/>
      <c r="N2940" s="27"/>
      <c r="R2940" s="15"/>
      <c r="X2940" s="3"/>
      <c r="Z2940" s="28"/>
    </row>
    <row r="2941" spans="2:26">
      <c r="B2941" s="2"/>
      <c r="N2941" s="27"/>
      <c r="R2941" s="15"/>
      <c r="X2941" s="3"/>
      <c r="Z2941" s="28"/>
    </row>
    <row r="2942" spans="2:26">
      <c r="B2942" s="2"/>
      <c r="N2942" s="27"/>
      <c r="R2942" s="15"/>
      <c r="X2942" s="3"/>
      <c r="Z2942" s="28"/>
    </row>
    <row r="2943" spans="2:26">
      <c r="B2943" s="2"/>
      <c r="N2943" s="27"/>
      <c r="R2943" s="15"/>
      <c r="X2943" s="3"/>
      <c r="Z2943" s="28"/>
    </row>
    <row r="2944" spans="2:26">
      <c r="B2944" s="2"/>
      <c r="N2944" s="27"/>
      <c r="R2944" s="15"/>
      <c r="X2944" s="3"/>
      <c r="Z2944" s="28"/>
    </row>
    <row r="2945" spans="2:26">
      <c r="B2945" s="2"/>
      <c r="N2945" s="27"/>
      <c r="R2945" s="15"/>
      <c r="X2945" s="3"/>
      <c r="Z2945" s="28"/>
    </row>
    <row r="2946" spans="2:26">
      <c r="B2946" s="2"/>
      <c r="N2946" s="27"/>
      <c r="R2946" s="15"/>
      <c r="X2946" s="3"/>
      <c r="Z2946" s="28"/>
    </row>
    <row r="2947" spans="2:26">
      <c r="B2947" s="2"/>
      <c r="N2947" s="27"/>
      <c r="R2947" s="15"/>
      <c r="X2947" s="3"/>
      <c r="Z2947" s="28"/>
    </row>
    <row r="2948" spans="2:26">
      <c r="B2948" s="2"/>
      <c r="N2948" s="27"/>
      <c r="R2948" s="15"/>
      <c r="X2948" s="3"/>
      <c r="Z2948" s="28"/>
    </row>
    <row r="2949" spans="2:26">
      <c r="B2949" s="2"/>
      <c r="N2949" s="27"/>
      <c r="R2949" s="15"/>
      <c r="X2949" s="3"/>
      <c r="Z2949" s="28"/>
    </row>
    <row r="2950" spans="2:26">
      <c r="B2950" s="2"/>
      <c r="N2950" s="27"/>
      <c r="R2950" s="15"/>
      <c r="X2950" s="3"/>
      <c r="Z2950" s="28"/>
    </row>
    <row r="2951" spans="2:26">
      <c r="B2951" s="2"/>
      <c r="N2951" s="27"/>
      <c r="R2951" s="15"/>
      <c r="X2951" s="3"/>
      <c r="Z2951" s="28"/>
    </row>
    <row r="2952" spans="2:26">
      <c r="B2952" s="2"/>
      <c r="N2952" s="27"/>
      <c r="R2952" s="15"/>
      <c r="X2952" s="3"/>
      <c r="Z2952" s="28"/>
    </row>
    <row r="2953" spans="2:26">
      <c r="B2953" s="2"/>
      <c r="N2953" s="27"/>
      <c r="R2953" s="15"/>
      <c r="X2953" s="3"/>
      <c r="Z2953" s="28"/>
    </row>
    <row r="2954" spans="2:26">
      <c r="B2954" s="2"/>
      <c r="N2954" s="27"/>
      <c r="R2954" s="15"/>
      <c r="X2954" s="3"/>
      <c r="Z2954" s="28"/>
    </row>
    <row r="2955" spans="2:26">
      <c r="B2955" s="2"/>
      <c r="N2955" s="27"/>
      <c r="R2955" s="15"/>
      <c r="X2955" s="3"/>
      <c r="Z2955" s="28"/>
    </row>
    <row r="2956" spans="2:26">
      <c r="B2956" s="2"/>
      <c r="N2956" s="27"/>
      <c r="R2956" s="15"/>
      <c r="X2956" s="3"/>
      <c r="Z2956" s="28"/>
    </row>
    <row r="2957" spans="2:26">
      <c r="B2957" s="2"/>
      <c r="N2957" s="27"/>
      <c r="R2957" s="15"/>
      <c r="X2957" s="3"/>
      <c r="Z2957" s="28"/>
    </row>
    <row r="2958" spans="2:26">
      <c r="B2958" s="2"/>
      <c r="N2958" s="27"/>
      <c r="R2958" s="15"/>
      <c r="X2958" s="3"/>
      <c r="Z2958" s="28"/>
    </row>
    <row r="2959" spans="2:26">
      <c r="B2959" s="2"/>
      <c r="N2959" s="27"/>
      <c r="R2959" s="15"/>
      <c r="X2959" s="3"/>
      <c r="Z2959" s="28"/>
    </row>
    <row r="2960" spans="2:26">
      <c r="B2960" s="2"/>
      <c r="N2960" s="27"/>
      <c r="R2960" s="15"/>
      <c r="X2960" s="3"/>
      <c r="Z2960" s="28"/>
    </row>
    <row r="2961" spans="2:26">
      <c r="B2961" s="2"/>
      <c r="N2961" s="27"/>
      <c r="R2961" s="15"/>
      <c r="X2961" s="3"/>
      <c r="Z2961" s="28"/>
    </row>
    <row r="2962" spans="2:26">
      <c r="B2962" s="2"/>
      <c r="N2962" s="27"/>
      <c r="R2962" s="15"/>
      <c r="X2962" s="3"/>
      <c r="Z2962" s="28"/>
    </row>
    <row r="2963" spans="2:26">
      <c r="B2963" s="2"/>
      <c r="N2963" s="27"/>
      <c r="R2963" s="15"/>
      <c r="X2963" s="3"/>
      <c r="Z2963" s="28"/>
    </row>
    <row r="2964" spans="2:26">
      <c r="B2964" s="2"/>
      <c r="N2964" s="27"/>
      <c r="R2964" s="15"/>
      <c r="X2964" s="3"/>
      <c r="Z2964" s="28"/>
    </row>
    <row r="2965" spans="2:26">
      <c r="B2965" s="2"/>
      <c r="N2965" s="27"/>
      <c r="R2965" s="15"/>
      <c r="X2965" s="3"/>
      <c r="Z2965" s="28"/>
    </row>
    <row r="2966" spans="2:26">
      <c r="B2966" s="2"/>
      <c r="N2966" s="27"/>
      <c r="R2966" s="15"/>
      <c r="X2966" s="3"/>
      <c r="Z2966" s="28"/>
    </row>
    <row r="2967" spans="2:26">
      <c r="B2967" s="2"/>
      <c r="N2967" s="27"/>
      <c r="R2967" s="15"/>
      <c r="X2967" s="3"/>
      <c r="Z2967" s="28"/>
    </row>
    <row r="2968" spans="2:26">
      <c r="B2968" s="2"/>
      <c r="N2968" s="27"/>
      <c r="R2968" s="15"/>
      <c r="X2968" s="3"/>
      <c r="Z2968" s="28"/>
    </row>
    <row r="2969" spans="2:26">
      <c r="B2969" s="2"/>
      <c r="N2969" s="27"/>
      <c r="R2969" s="15"/>
      <c r="X2969" s="3"/>
      <c r="Z2969" s="28"/>
    </row>
    <row r="2970" spans="2:26">
      <c r="B2970" s="2"/>
      <c r="N2970" s="27"/>
      <c r="R2970" s="15"/>
      <c r="X2970" s="3"/>
      <c r="Z2970" s="28"/>
    </row>
    <row r="2971" spans="2:26">
      <c r="B2971" s="2"/>
      <c r="N2971" s="27"/>
      <c r="R2971" s="15"/>
      <c r="X2971" s="3"/>
      <c r="Z2971" s="28"/>
    </row>
    <row r="2972" spans="2:26">
      <c r="B2972" s="2"/>
      <c r="N2972" s="27"/>
      <c r="R2972" s="15"/>
      <c r="X2972" s="3"/>
      <c r="Z2972" s="28"/>
    </row>
    <row r="2973" spans="2:26">
      <c r="B2973" s="2"/>
      <c r="N2973" s="27"/>
      <c r="R2973" s="15"/>
      <c r="X2973" s="3"/>
      <c r="Z2973" s="28"/>
    </row>
    <row r="2974" spans="2:26">
      <c r="B2974" s="2"/>
      <c r="N2974" s="27"/>
      <c r="R2974" s="15"/>
      <c r="X2974" s="3"/>
      <c r="Z2974" s="28"/>
    </row>
    <row r="2975" spans="2:26">
      <c r="B2975" s="2"/>
      <c r="N2975" s="27"/>
      <c r="R2975" s="15"/>
      <c r="X2975" s="3"/>
      <c r="Z2975" s="28"/>
    </row>
    <row r="2976" spans="2:26">
      <c r="B2976" s="2"/>
      <c r="N2976" s="27"/>
      <c r="R2976" s="15"/>
      <c r="X2976" s="3"/>
      <c r="Z2976" s="28"/>
    </row>
    <row r="2977" spans="2:26">
      <c r="B2977" s="2"/>
      <c r="N2977" s="27"/>
      <c r="R2977" s="15"/>
      <c r="X2977" s="3"/>
      <c r="Z2977" s="28"/>
    </row>
    <row r="2978" spans="2:26">
      <c r="B2978" s="2"/>
      <c r="N2978" s="27"/>
      <c r="R2978" s="15"/>
      <c r="X2978" s="3"/>
      <c r="Z2978" s="28"/>
    </row>
    <row r="2979" spans="2:26">
      <c r="B2979" s="2"/>
      <c r="N2979" s="27"/>
      <c r="R2979" s="15"/>
      <c r="X2979" s="3"/>
      <c r="Z2979" s="28"/>
    </row>
    <row r="2980" spans="2:26">
      <c r="B2980" s="2"/>
      <c r="N2980" s="27"/>
      <c r="R2980" s="15"/>
      <c r="X2980" s="3"/>
      <c r="Z2980" s="28"/>
    </row>
    <row r="2981" spans="2:26">
      <c r="B2981" s="2"/>
      <c r="N2981" s="27"/>
      <c r="R2981" s="15"/>
      <c r="X2981" s="3"/>
      <c r="Z2981" s="28"/>
    </row>
    <row r="2982" spans="2:26">
      <c r="B2982" s="2"/>
      <c r="N2982" s="27"/>
      <c r="R2982" s="15"/>
      <c r="X2982" s="3"/>
      <c r="Z2982" s="28"/>
    </row>
    <row r="2983" spans="2:26">
      <c r="B2983" s="2"/>
      <c r="N2983" s="27"/>
      <c r="R2983" s="15"/>
      <c r="X2983" s="3"/>
      <c r="Z2983" s="28"/>
    </row>
    <row r="2984" spans="2:26">
      <c r="B2984" s="2"/>
      <c r="N2984" s="27"/>
      <c r="R2984" s="15"/>
      <c r="X2984" s="3"/>
      <c r="Z2984" s="28"/>
    </row>
    <row r="2985" spans="2:26">
      <c r="B2985" s="2"/>
      <c r="N2985" s="27"/>
      <c r="R2985" s="15"/>
      <c r="X2985" s="3"/>
      <c r="Z2985" s="28"/>
    </row>
    <row r="2986" spans="2:26">
      <c r="B2986" s="2"/>
      <c r="N2986" s="27"/>
      <c r="R2986" s="15"/>
      <c r="X2986" s="3"/>
      <c r="Z2986" s="28"/>
    </row>
    <row r="2987" spans="2:26">
      <c r="B2987" s="2"/>
      <c r="N2987" s="27"/>
      <c r="R2987" s="15"/>
      <c r="X2987" s="3"/>
      <c r="Z2987" s="28"/>
    </row>
    <row r="2988" spans="2:26">
      <c r="B2988" s="2"/>
      <c r="N2988" s="27"/>
      <c r="R2988" s="15"/>
      <c r="X2988" s="3"/>
      <c r="Z2988" s="28"/>
    </row>
    <row r="2989" spans="2:26">
      <c r="B2989" s="2"/>
      <c r="N2989" s="27"/>
      <c r="R2989" s="15"/>
      <c r="X2989" s="3"/>
      <c r="Z2989" s="28"/>
    </row>
    <row r="2990" spans="2:26">
      <c r="B2990" s="2"/>
      <c r="N2990" s="27"/>
      <c r="R2990" s="15"/>
      <c r="X2990" s="3"/>
      <c r="Z2990" s="28"/>
    </row>
    <row r="2991" spans="2:26">
      <c r="B2991" s="2"/>
      <c r="N2991" s="27"/>
      <c r="R2991" s="15"/>
      <c r="X2991" s="3"/>
      <c r="Z2991" s="28"/>
    </row>
    <row r="2992" spans="2:26">
      <c r="B2992" s="2"/>
      <c r="N2992" s="27"/>
      <c r="R2992" s="15"/>
      <c r="X2992" s="3"/>
      <c r="Z2992" s="28"/>
    </row>
    <row r="2993" spans="2:26">
      <c r="B2993" s="2"/>
      <c r="N2993" s="27"/>
      <c r="R2993" s="15"/>
      <c r="X2993" s="3"/>
      <c r="Z2993" s="28"/>
    </row>
    <row r="2994" spans="2:26">
      <c r="B2994" s="2"/>
      <c r="N2994" s="27"/>
      <c r="R2994" s="15"/>
      <c r="X2994" s="3"/>
      <c r="Z2994" s="28"/>
    </row>
    <row r="2995" spans="2:26">
      <c r="B2995" s="2"/>
      <c r="N2995" s="27"/>
      <c r="R2995" s="15"/>
      <c r="X2995" s="3"/>
      <c r="Z2995" s="28"/>
    </row>
    <row r="2996" spans="2:26">
      <c r="B2996" s="2"/>
      <c r="N2996" s="27"/>
      <c r="R2996" s="15"/>
      <c r="X2996" s="3"/>
      <c r="Z2996" s="28"/>
    </row>
    <row r="2997" spans="2:26">
      <c r="B2997" s="2"/>
      <c r="N2997" s="27"/>
      <c r="R2997" s="15"/>
      <c r="X2997" s="3"/>
      <c r="Z2997" s="28"/>
    </row>
    <row r="2998" spans="2:26">
      <c r="B2998" s="2"/>
      <c r="N2998" s="27"/>
      <c r="R2998" s="15"/>
      <c r="X2998" s="3"/>
      <c r="Z2998" s="28"/>
    </row>
    <row r="2999" spans="2:26">
      <c r="B2999" s="2"/>
      <c r="N2999" s="27"/>
      <c r="R2999" s="15"/>
      <c r="X2999" s="3"/>
      <c r="Z2999" s="28"/>
    </row>
    <row r="3000" spans="2:26">
      <c r="B3000" s="2"/>
      <c r="N3000" s="27"/>
      <c r="R3000" s="15"/>
      <c r="X3000" s="3"/>
      <c r="Z3000" s="28"/>
    </row>
    <row r="3001" spans="2:26">
      <c r="B3001" s="2"/>
      <c r="N3001" s="27"/>
      <c r="R3001" s="15"/>
      <c r="X3001" s="3"/>
      <c r="Z3001" s="28"/>
    </row>
    <row r="3002" spans="2:26">
      <c r="B3002" s="2"/>
      <c r="N3002" s="27"/>
      <c r="R3002" s="15"/>
      <c r="X3002" s="3"/>
      <c r="Z3002" s="28"/>
    </row>
    <row r="3003" spans="2:26">
      <c r="B3003" s="2"/>
      <c r="N3003" s="27"/>
      <c r="R3003" s="15"/>
      <c r="X3003" s="3"/>
      <c r="Z3003" s="28"/>
    </row>
    <row r="3004" spans="2:26">
      <c r="B3004" s="2"/>
      <c r="N3004" s="27"/>
      <c r="R3004" s="15"/>
      <c r="X3004" s="3"/>
      <c r="Z3004" s="28"/>
    </row>
    <row r="3005" spans="2:26">
      <c r="B3005" s="2"/>
      <c r="N3005" s="27"/>
      <c r="R3005" s="15"/>
      <c r="X3005" s="3"/>
      <c r="Z3005" s="28"/>
    </row>
    <row r="3006" spans="2:26">
      <c r="B3006" s="2"/>
      <c r="N3006" s="27"/>
      <c r="R3006" s="15"/>
      <c r="X3006" s="3"/>
      <c r="Z3006" s="28"/>
    </row>
    <row r="3007" spans="2:26">
      <c r="B3007" s="2"/>
      <c r="N3007" s="27"/>
      <c r="R3007" s="15"/>
      <c r="X3007" s="3"/>
      <c r="Z3007" s="28"/>
    </row>
    <row r="3008" spans="2:26">
      <c r="B3008" s="2"/>
      <c r="N3008" s="27"/>
      <c r="R3008" s="15"/>
      <c r="X3008" s="3"/>
      <c r="Z3008" s="28"/>
    </row>
    <row r="3009" spans="2:26">
      <c r="B3009" s="2"/>
      <c r="N3009" s="27"/>
      <c r="R3009" s="15"/>
      <c r="X3009" s="3"/>
      <c r="Z3009" s="28"/>
    </row>
    <row r="3010" spans="2:26">
      <c r="B3010" s="2"/>
      <c r="N3010" s="27"/>
      <c r="R3010" s="15"/>
      <c r="X3010" s="3"/>
      <c r="Z3010" s="28"/>
    </row>
    <row r="3011" spans="2:26">
      <c r="B3011" s="2"/>
      <c r="N3011" s="27"/>
      <c r="R3011" s="15"/>
      <c r="X3011" s="3"/>
      <c r="Z3011" s="28"/>
    </row>
    <row r="3012" spans="2:26">
      <c r="B3012" s="2"/>
      <c r="N3012" s="27"/>
      <c r="R3012" s="15"/>
      <c r="X3012" s="3"/>
      <c r="Z3012" s="28"/>
    </row>
    <row r="3013" spans="2:26">
      <c r="B3013" s="2"/>
      <c r="N3013" s="27"/>
      <c r="R3013" s="15"/>
      <c r="X3013" s="3"/>
      <c r="Z3013" s="28"/>
    </row>
    <row r="3014" spans="2:26">
      <c r="B3014" s="2"/>
      <c r="N3014" s="27"/>
      <c r="R3014" s="15"/>
      <c r="X3014" s="3"/>
      <c r="Z3014" s="28"/>
    </row>
    <row r="3015" spans="2:26">
      <c r="B3015" s="2"/>
      <c r="N3015" s="27"/>
      <c r="R3015" s="15"/>
      <c r="X3015" s="3"/>
      <c r="Z3015" s="28"/>
    </row>
    <row r="3016" spans="2:26">
      <c r="B3016" s="2"/>
      <c r="N3016" s="27"/>
      <c r="R3016" s="15"/>
      <c r="X3016" s="3"/>
      <c r="Z3016" s="28"/>
    </row>
    <row r="3017" spans="2:26">
      <c r="B3017" s="2"/>
      <c r="N3017" s="27"/>
      <c r="R3017" s="15"/>
      <c r="X3017" s="3"/>
      <c r="Z3017" s="28"/>
    </row>
    <row r="3018" spans="2:26">
      <c r="B3018" s="2"/>
      <c r="N3018" s="27"/>
      <c r="R3018" s="15"/>
      <c r="X3018" s="3"/>
      <c r="Z3018" s="28"/>
    </row>
    <row r="3019" spans="2:26">
      <c r="B3019" s="2"/>
      <c r="N3019" s="27"/>
      <c r="R3019" s="15"/>
      <c r="X3019" s="3"/>
      <c r="Z3019" s="28"/>
    </row>
    <row r="3020" spans="2:26">
      <c r="B3020" s="2"/>
      <c r="N3020" s="27"/>
      <c r="R3020" s="15"/>
      <c r="X3020" s="3"/>
      <c r="Z3020" s="28"/>
    </row>
    <row r="3021" spans="2:26">
      <c r="B3021" s="2"/>
      <c r="N3021" s="27"/>
      <c r="R3021" s="15"/>
      <c r="X3021" s="3"/>
      <c r="Z3021" s="28"/>
    </row>
    <row r="3022" spans="2:26">
      <c r="B3022" s="2"/>
      <c r="N3022" s="27"/>
      <c r="R3022" s="15"/>
      <c r="X3022" s="3"/>
      <c r="Z3022" s="28"/>
    </row>
    <row r="3023" spans="2:26">
      <c r="B3023" s="2"/>
      <c r="N3023" s="27"/>
      <c r="R3023" s="15"/>
      <c r="X3023" s="3"/>
      <c r="Z3023" s="28"/>
    </row>
    <row r="3024" spans="2:26">
      <c r="B3024" s="2"/>
      <c r="N3024" s="27"/>
      <c r="R3024" s="15"/>
      <c r="X3024" s="3"/>
      <c r="Z3024" s="28"/>
    </row>
    <row r="3025" spans="2:26">
      <c r="B3025" s="2"/>
      <c r="N3025" s="27"/>
      <c r="R3025" s="15"/>
      <c r="X3025" s="3"/>
      <c r="Z3025" s="28"/>
    </row>
    <row r="3026" spans="2:26">
      <c r="B3026" s="2"/>
      <c r="N3026" s="27"/>
      <c r="R3026" s="15"/>
      <c r="X3026" s="3"/>
      <c r="Z3026" s="28"/>
    </row>
    <row r="3027" spans="2:26">
      <c r="B3027" s="2"/>
      <c r="N3027" s="27"/>
      <c r="R3027" s="15"/>
      <c r="X3027" s="3"/>
      <c r="Z3027" s="28"/>
    </row>
    <row r="3028" spans="2:26">
      <c r="B3028" s="2"/>
      <c r="N3028" s="27"/>
      <c r="R3028" s="15"/>
      <c r="X3028" s="3"/>
      <c r="Z3028" s="28"/>
    </row>
    <row r="3029" spans="2:26">
      <c r="B3029" s="2"/>
      <c r="N3029" s="27"/>
      <c r="R3029" s="15"/>
      <c r="X3029" s="3"/>
      <c r="Z3029" s="28"/>
    </row>
    <row r="3030" spans="2:26">
      <c r="B3030" s="2"/>
      <c r="N3030" s="27"/>
      <c r="R3030" s="15"/>
      <c r="X3030" s="3"/>
      <c r="Z3030" s="28"/>
    </row>
    <row r="3031" spans="2:26">
      <c r="B3031" s="2"/>
      <c r="N3031" s="27"/>
      <c r="R3031" s="15"/>
      <c r="X3031" s="3"/>
      <c r="Z3031" s="28"/>
    </row>
    <row r="3032" spans="2:26">
      <c r="B3032" s="2"/>
      <c r="N3032" s="27"/>
      <c r="R3032" s="15"/>
      <c r="X3032" s="3"/>
      <c r="Z3032" s="28"/>
    </row>
    <row r="3033" spans="2:26">
      <c r="B3033" s="2"/>
      <c r="N3033" s="27"/>
      <c r="R3033" s="15"/>
      <c r="X3033" s="3"/>
      <c r="Z3033" s="28"/>
    </row>
    <row r="3034" spans="2:26">
      <c r="B3034" s="2"/>
      <c r="N3034" s="27"/>
      <c r="R3034" s="15"/>
      <c r="X3034" s="3"/>
      <c r="Z3034" s="28"/>
    </row>
    <row r="3035" spans="2:26">
      <c r="B3035" s="2"/>
      <c r="N3035" s="27"/>
      <c r="R3035" s="15"/>
      <c r="X3035" s="3"/>
      <c r="Z3035" s="28"/>
    </row>
    <row r="3036" spans="2:26">
      <c r="B3036" s="2"/>
      <c r="N3036" s="27"/>
      <c r="R3036" s="15"/>
      <c r="X3036" s="3"/>
      <c r="Z3036" s="28"/>
    </row>
    <row r="3037" spans="2:26">
      <c r="B3037" s="2"/>
      <c r="N3037" s="27"/>
      <c r="R3037" s="15"/>
      <c r="X3037" s="3"/>
      <c r="Z3037" s="28"/>
    </row>
    <row r="3038" spans="2:26">
      <c r="B3038" s="2"/>
      <c r="N3038" s="27"/>
      <c r="R3038" s="15"/>
      <c r="X3038" s="3"/>
      <c r="Z3038" s="28"/>
    </row>
    <row r="3039" spans="2:26">
      <c r="B3039" s="2"/>
      <c r="N3039" s="27"/>
      <c r="R3039" s="15"/>
      <c r="X3039" s="3"/>
      <c r="Z3039" s="28"/>
    </row>
    <row r="3040" spans="2:26">
      <c r="B3040" s="2"/>
      <c r="N3040" s="27"/>
      <c r="R3040" s="15"/>
      <c r="X3040" s="3"/>
      <c r="Z3040" s="28"/>
    </row>
    <row r="3041" spans="2:26">
      <c r="B3041" s="2"/>
      <c r="N3041" s="27"/>
      <c r="R3041" s="15"/>
      <c r="X3041" s="3"/>
      <c r="Z3041" s="28"/>
    </row>
    <row r="3042" spans="2:26">
      <c r="B3042" s="2"/>
      <c r="N3042" s="27"/>
      <c r="R3042" s="15"/>
      <c r="X3042" s="3"/>
      <c r="Z3042" s="28"/>
    </row>
    <row r="3043" spans="2:26">
      <c r="B3043" s="2"/>
      <c r="N3043" s="27"/>
      <c r="R3043" s="15"/>
      <c r="X3043" s="3"/>
      <c r="Z3043" s="28"/>
    </row>
    <row r="3044" spans="2:26">
      <c r="B3044" s="2"/>
      <c r="N3044" s="27"/>
      <c r="R3044" s="15"/>
      <c r="X3044" s="3"/>
      <c r="Z3044" s="28"/>
    </row>
    <row r="3045" spans="2:26">
      <c r="B3045" s="2"/>
      <c r="N3045" s="27"/>
      <c r="R3045" s="15"/>
      <c r="X3045" s="3"/>
      <c r="Z3045" s="28"/>
    </row>
    <row r="3046" spans="2:26">
      <c r="B3046" s="2"/>
      <c r="N3046" s="27"/>
      <c r="R3046" s="15"/>
      <c r="X3046" s="3"/>
      <c r="Z3046" s="28"/>
    </row>
    <row r="3047" spans="2:26">
      <c r="B3047" s="2"/>
      <c r="N3047" s="27"/>
      <c r="R3047" s="15"/>
      <c r="X3047" s="3"/>
      <c r="Z3047" s="28"/>
    </row>
    <row r="3048" spans="2:26">
      <c r="B3048" s="2"/>
      <c r="N3048" s="27"/>
      <c r="R3048" s="15"/>
      <c r="X3048" s="3"/>
      <c r="Z3048" s="28"/>
    </row>
    <row r="3049" spans="2:26">
      <c r="B3049" s="2"/>
      <c r="N3049" s="27"/>
      <c r="R3049" s="15"/>
      <c r="X3049" s="3"/>
      <c r="Z3049" s="28"/>
    </row>
    <row r="3050" spans="2:26">
      <c r="B3050" s="2"/>
      <c r="N3050" s="27"/>
      <c r="R3050" s="15"/>
      <c r="X3050" s="3"/>
      <c r="Z3050" s="28"/>
    </row>
    <row r="3051" spans="2:26">
      <c r="B3051" s="2"/>
      <c r="N3051" s="27"/>
      <c r="R3051" s="15"/>
      <c r="X3051" s="3"/>
      <c r="Z3051" s="28"/>
    </row>
    <row r="3052" spans="2:26">
      <c r="B3052" s="2"/>
      <c r="N3052" s="27"/>
      <c r="R3052" s="15"/>
      <c r="X3052" s="3"/>
      <c r="Z3052" s="28"/>
    </row>
    <row r="3053" spans="2:26">
      <c r="B3053" s="2"/>
      <c r="N3053" s="27"/>
      <c r="R3053" s="15"/>
      <c r="X3053" s="3"/>
      <c r="Z3053" s="28"/>
    </row>
    <row r="3054" spans="2:26">
      <c r="B3054" s="2"/>
      <c r="N3054" s="27"/>
      <c r="R3054" s="15"/>
      <c r="X3054" s="3"/>
      <c r="Z3054" s="28"/>
    </row>
    <row r="3055" spans="2:26">
      <c r="B3055" s="2"/>
      <c r="N3055" s="27"/>
      <c r="R3055" s="15"/>
      <c r="X3055" s="3"/>
      <c r="Z3055" s="28"/>
    </row>
    <row r="3056" spans="2:26">
      <c r="B3056" s="2"/>
      <c r="N3056" s="27"/>
      <c r="R3056" s="15"/>
      <c r="X3056" s="3"/>
      <c r="Z3056" s="28"/>
    </row>
    <row r="3057" spans="2:26">
      <c r="B3057" s="2"/>
      <c r="N3057" s="27"/>
      <c r="R3057" s="15"/>
      <c r="X3057" s="3"/>
      <c r="Z3057" s="28"/>
    </row>
    <row r="3058" spans="2:26">
      <c r="B3058" s="2"/>
      <c r="N3058" s="27"/>
      <c r="R3058" s="15"/>
      <c r="X3058" s="3"/>
      <c r="Z3058" s="28"/>
    </row>
    <row r="3059" spans="2:26">
      <c r="B3059" s="2"/>
      <c r="N3059" s="27"/>
      <c r="R3059" s="15"/>
      <c r="X3059" s="3"/>
      <c r="Z3059" s="28"/>
    </row>
    <row r="3060" spans="2:26">
      <c r="B3060" s="2"/>
      <c r="N3060" s="27"/>
      <c r="R3060" s="15"/>
      <c r="X3060" s="3"/>
      <c r="Z3060" s="28"/>
    </row>
    <row r="3061" spans="2:26">
      <c r="B3061" s="2"/>
      <c r="N3061" s="27"/>
      <c r="R3061" s="15"/>
      <c r="X3061" s="3"/>
      <c r="Z3061" s="28"/>
    </row>
    <row r="3062" spans="2:26">
      <c r="B3062" s="2"/>
      <c r="N3062" s="27"/>
      <c r="R3062" s="15"/>
      <c r="X3062" s="3"/>
      <c r="Z3062" s="28"/>
    </row>
    <row r="3063" spans="2:26">
      <c r="B3063" s="2"/>
      <c r="N3063" s="27"/>
      <c r="R3063" s="15"/>
      <c r="X3063" s="3"/>
      <c r="Z3063" s="28"/>
    </row>
    <row r="3064" spans="2:26">
      <c r="B3064" s="2"/>
      <c r="N3064" s="27"/>
      <c r="R3064" s="15"/>
      <c r="X3064" s="3"/>
      <c r="Z3064" s="28"/>
    </row>
    <row r="3065" spans="2:26">
      <c r="B3065" s="2"/>
      <c r="N3065" s="27"/>
      <c r="R3065" s="15"/>
      <c r="X3065" s="3"/>
      <c r="Z3065" s="28"/>
    </row>
    <row r="3066" spans="2:26">
      <c r="B3066" s="2"/>
      <c r="N3066" s="27"/>
      <c r="R3066" s="15"/>
      <c r="X3066" s="3"/>
      <c r="Z3066" s="28"/>
    </row>
    <row r="3067" spans="2:26">
      <c r="B3067" s="2"/>
      <c r="N3067" s="27"/>
      <c r="R3067" s="15"/>
      <c r="X3067" s="3"/>
      <c r="Z3067" s="28"/>
    </row>
    <row r="3068" spans="2:26">
      <c r="B3068" s="2"/>
      <c r="N3068" s="27"/>
      <c r="R3068" s="15"/>
      <c r="X3068" s="3"/>
      <c r="Z3068" s="28"/>
    </row>
    <row r="3069" spans="2:26">
      <c r="B3069" s="2"/>
      <c r="N3069" s="27"/>
      <c r="R3069" s="15"/>
      <c r="X3069" s="3"/>
      <c r="Z3069" s="28"/>
    </row>
    <row r="3070" spans="2:26">
      <c r="B3070" s="2"/>
      <c r="N3070" s="27"/>
      <c r="R3070" s="15"/>
      <c r="X3070" s="3"/>
      <c r="Z3070" s="28"/>
    </row>
    <row r="3071" spans="2:26">
      <c r="B3071" s="2"/>
      <c r="N3071" s="27"/>
      <c r="R3071" s="15"/>
      <c r="X3071" s="3"/>
      <c r="Z3071" s="28"/>
    </row>
    <row r="3072" spans="2:26">
      <c r="B3072" s="2"/>
      <c r="N3072" s="27"/>
      <c r="R3072" s="15"/>
      <c r="X3072" s="3"/>
      <c r="Z3072" s="28"/>
    </row>
    <row r="3073" spans="2:26">
      <c r="B3073" s="2"/>
      <c r="N3073" s="27"/>
      <c r="R3073" s="15"/>
      <c r="X3073" s="3"/>
      <c r="Z3073" s="28"/>
    </row>
    <row r="3074" spans="2:26">
      <c r="B3074" s="2"/>
      <c r="N3074" s="27"/>
      <c r="R3074" s="15"/>
      <c r="X3074" s="3"/>
      <c r="Z3074" s="28"/>
    </row>
    <row r="3075" spans="2:26">
      <c r="B3075" s="2"/>
      <c r="N3075" s="27"/>
      <c r="R3075" s="15"/>
      <c r="X3075" s="3"/>
      <c r="Z3075" s="28"/>
    </row>
    <row r="3076" spans="2:26">
      <c r="B3076" s="2"/>
      <c r="N3076" s="27"/>
      <c r="R3076" s="15"/>
      <c r="X3076" s="3"/>
      <c r="Z3076" s="28"/>
    </row>
    <row r="3077" spans="2:26">
      <c r="B3077" s="2"/>
      <c r="N3077" s="27"/>
      <c r="R3077" s="15"/>
      <c r="X3077" s="3"/>
      <c r="Z3077" s="28"/>
    </row>
    <row r="3078" spans="2:26">
      <c r="B3078" s="2"/>
      <c r="N3078" s="27"/>
      <c r="R3078" s="15"/>
      <c r="X3078" s="3"/>
      <c r="Z3078" s="28"/>
    </row>
    <row r="3079" spans="2:26">
      <c r="B3079" s="2"/>
      <c r="N3079" s="27"/>
      <c r="R3079" s="15"/>
      <c r="X3079" s="3"/>
      <c r="Z3079" s="28"/>
    </row>
    <row r="3080" spans="2:26">
      <c r="B3080" s="2"/>
      <c r="N3080" s="27"/>
      <c r="R3080" s="15"/>
      <c r="X3080" s="3"/>
      <c r="Z3080" s="28"/>
    </row>
    <row r="3081" spans="2:26">
      <c r="B3081" s="2"/>
      <c r="N3081" s="27"/>
      <c r="R3081" s="15"/>
      <c r="X3081" s="3"/>
      <c r="Z3081" s="28"/>
    </row>
    <row r="3082" spans="2:26">
      <c r="B3082" s="2"/>
      <c r="N3082" s="27"/>
      <c r="R3082" s="15"/>
      <c r="X3082" s="3"/>
      <c r="Z3082" s="28"/>
    </row>
    <row r="3083" spans="2:26">
      <c r="B3083" s="2"/>
      <c r="N3083" s="27"/>
      <c r="R3083" s="15"/>
      <c r="X3083" s="3"/>
      <c r="Z3083" s="28"/>
    </row>
    <row r="3084" spans="2:26">
      <c r="B3084" s="2"/>
      <c r="N3084" s="27"/>
      <c r="R3084" s="15"/>
      <c r="X3084" s="3"/>
      <c r="Z3084" s="28"/>
    </row>
    <row r="3085" spans="2:26">
      <c r="B3085" s="2"/>
      <c r="N3085" s="27"/>
      <c r="R3085" s="15"/>
      <c r="X3085" s="3"/>
      <c r="Z3085" s="28"/>
    </row>
    <row r="3086" spans="2:26">
      <c r="B3086" s="2"/>
      <c r="N3086" s="27"/>
      <c r="R3086" s="15"/>
      <c r="X3086" s="3"/>
      <c r="Z3086" s="28"/>
    </row>
    <row r="3087" spans="2:26">
      <c r="B3087" s="2"/>
      <c r="N3087" s="27"/>
      <c r="R3087" s="15"/>
      <c r="X3087" s="3"/>
      <c r="Z3087" s="28"/>
    </row>
    <row r="3088" spans="2:26">
      <c r="B3088" s="2"/>
      <c r="N3088" s="27"/>
      <c r="R3088" s="15"/>
      <c r="X3088" s="3"/>
      <c r="Z3088" s="28"/>
    </row>
    <row r="3089" spans="2:26">
      <c r="B3089" s="2"/>
      <c r="N3089" s="27"/>
      <c r="R3089" s="15"/>
      <c r="X3089" s="3"/>
      <c r="Z3089" s="28"/>
    </row>
    <row r="3090" spans="2:26">
      <c r="B3090" s="2"/>
      <c r="N3090" s="27"/>
      <c r="R3090" s="15"/>
      <c r="X3090" s="3"/>
      <c r="Z3090" s="28"/>
    </row>
    <row r="3091" spans="2:26">
      <c r="B3091" s="2"/>
      <c r="N3091" s="27"/>
      <c r="R3091" s="15"/>
      <c r="X3091" s="3"/>
      <c r="Z3091" s="28"/>
    </row>
    <row r="3092" spans="2:26">
      <c r="B3092" s="2"/>
      <c r="N3092" s="27"/>
      <c r="R3092" s="15"/>
      <c r="X3092" s="3"/>
      <c r="Z3092" s="28"/>
    </row>
    <row r="3093" spans="2:26">
      <c r="B3093" s="2"/>
      <c r="N3093" s="27"/>
      <c r="R3093" s="15"/>
      <c r="X3093" s="3"/>
      <c r="Z3093" s="28"/>
    </row>
    <row r="3094" spans="2:26">
      <c r="B3094" s="2"/>
      <c r="N3094" s="27"/>
      <c r="R3094" s="15"/>
      <c r="X3094" s="3"/>
      <c r="Z3094" s="28"/>
    </row>
    <row r="3095" spans="2:26">
      <c r="B3095" s="2"/>
      <c r="N3095" s="27"/>
      <c r="R3095" s="15"/>
      <c r="X3095" s="3"/>
      <c r="Z3095" s="28"/>
    </row>
    <row r="3096" spans="2:26">
      <c r="B3096" s="2"/>
      <c r="N3096" s="27"/>
      <c r="R3096" s="15"/>
      <c r="X3096" s="3"/>
      <c r="Z3096" s="28"/>
    </row>
    <row r="3097" spans="2:26">
      <c r="B3097" s="2"/>
      <c r="N3097" s="27"/>
      <c r="R3097" s="15"/>
      <c r="X3097" s="3"/>
      <c r="Z3097" s="28"/>
    </row>
    <row r="3098" spans="2:26">
      <c r="B3098" s="2"/>
      <c r="N3098" s="27"/>
      <c r="R3098" s="15"/>
      <c r="X3098" s="3"/>
      <c r="Z3098" s="28"/>
    </row>
    <row r="3099" spans="2:26">
      <c r="B3099" s="2"/>
      <c r="N3099" s="27"/>
      <c r="R3099" s="15"/>
      <c r="X3099" s="3"/>
      <c r="Z3099" s="28"/>
    </row>
    <row r="3100" spans="2:26">
      <c r="B3100" s="2"/>
      <c r="N3100" s="27"/>
      <c r="R3100" s="15"/>
      <c r="X3100" s="3"/>
      <c r="Z3100" s="28"/>
    </row>
    <row r="3101" spans="2:26">
      <c r="B3101" s="2"/>
      <c r="N3101" s="27"/>
      <c r="R3101" s="15"/>
      <c r="X3101" s="3"/>
      <c r="Z3101" s="28"/>
    </row>
    <row r="3102" spans="2:26">
      <c r="B3102" s="2"/>
      <c r="N3102" s="27"/>
      <c r="R3102" s="15"/>
      <c r="X3102" s="3"/>
      <c r="Z3102" s="28"/>
    </row>
    <row r="3103" spans="2:26">
      <c r="B3103" s="2"/>
      <c r="N3103" s="27"/>
      <c r="R3103" s="15"/>
      <c r="X3103" s="3"/>
      <c r="Z3103" s="28"/>
    </row>
    <row r="3104" spans="2:26">
      <c r="B3104" s="2"/>
      <c r="N3104" s="27"/>
      <c r="R3104" s="15"/>
      <c r="X3104" s="3"/>
      <c r="Z3104" s="28"/>
    </row>
    <row r="3105" spans="2:26">
      <c r="B3105" s="2"/>
      <c r="N3105" s="27"/>
      <c r="R3105" s="15"/>
      <c r="X3105" s="3"/>
      <c r="Z3105" s="28"/>
    </row>
    <row r="3106" spans="2:26">
      <c r="B3106" s="2"/>
      <c r="N3106" s="27"/>
      <c r="R3106" s="15"/>
      <c r="X3106" s="3"/>
      <c r="Z3106" s="28"/>
    </row>
    <row r="3107" spans="2:26">
      <c r="B3107" s="2"/>
      <c r="N3107" s="27"/>
      <c r="R3107" s="15"/>
      <c r="X3107" s="3"/>
      <c r="Z3107" s="28"/>
    </row>
    <row r="3108" spans="2:26">
      <c r="B3108" s="2"/>
      <c r="N3108" s="27"/>
      <c r="R3108" s="15"/>
      <c r="X3108" s="3"/>
      <c r="Z3108" s="28"/>
    </row>
    <row r="3109" spans="2:26">
      <c r="B3109" s="2"/>
      <c r="N3109" s="27"/>
      <c r="R3109" s="15"/>
      <c r="X3109" s="3"/>
      <c r="Z3109" s="28"/>
    </row>
    <row r="3110" spans="2:26">
      <c r="B3110" s="2"/>
      <c r="N3110" s="27"/>
      <c r="R3110" s="15"/>
      <c r="X3110" s="3"/>
      <c r="Z3110" s="28"/>
    </row>
    <row r="3111" spans="2:26">
      <c r="B3111" s="2"/>
      <c r="N3111" s="27"/>
      <c r="R3111" s="15"/>
      <c r="X3111" s="3"/>
      <c r="Z3111" s="28"/>
    </row>
    <row r="3112" spans="2:26">
      <c r="B3112" s="2"/>
      <c r="N3112" s="27"/>
      <c r="R3112" s="15"/>
      <c r="X3112" s="3"/>
      <c r="Z3112" s="28"/>
    </row>
    <row r="3113" spans="2:26">
      <c r="B3113" s="2"/>
      <c r="N3113" s="27"/>
      <c r="R3113" s="15"/>
      <c r="X3113" s="3"/>
      <c r="Z3113" s="28"/>
    </row>
    <row r="3114" spans="2:26">
      <c r="B3114" s="2"/>
      <c r="N3114" s="27"/>
      <c r="R3114" s="15"/>
      <c r="X3114" s="3"/>
      <c r="Z3114" s="28"/>
    </row>
    <row r="3115" spans="2:26">
      <c r="B3115" s="2"/>
      <c r="N3115" s="27"/>
      <c r="R3115" s="15"/>
      <c r="X3115" s="3"/>
      <c r="Z3115" s="28"/>
    </row>
    <row r="3116" spans="2:26">
      <c r="B3116" s="2"/>
      <c r="N3116" s="27"/>
      <c r="R3116" s="15"/>
      <c r="X3116" s="3"/>
      <c r="Z3116" s="28"/>
    </row>
    <row r="3117" spans="2:26">
      <c r="B3117" s="2"/>
      <c r="N3117" s="27"/>
      <c r="R3117" s="15"/>
      <c r="X3117" s="3"/>
      <c r="Z3117" s="28"/>
    </row>
    <row r="3118" spans="2:26">
      <c r="B3118" s="2"/>
      <c r="N3118" s="27"/>
      <c r="R3118" s="15"/>
      <c r="X3118" s="3"/>
      <c r="Z3118" s="28"/>
    </row>
    <row r="3119" spans="2:26">
      <c r="B3119" s="2"/>
      <c r="N3119" s="27"/>
      <c r="R3119" s="15"/>
      <c r="X3119" s="3"/>
      <c r="Z3119" s="28"/>
    </row>
    <row r="3120" spans="2:26">
      <c r="B3120" s="2"/>
      <c r="N3120" s="27"/>
      <c r="R3120" s="15"/>
      <c r="X3120" s="3"/>
      <c r="Z3120" s="28"/>
    </row>
    <row r="3121" spans="2:26">
      <c r="B3121" s="2"/>
      <c r="N3121" s="27"/>
      <c r="R3121" s="15"/>
      <c r="X3121" s="3"/>
      <c r="Z3121" s="28"/>
    </row>
    <row r="3122" spans="2:26">
      <c r="B3122" s="2"/>
      <c r="N3122" s="27"/>
      <c r="R3122" s="15"/>
      <c r="X3122" s="3"/>
      <c r="Z3122" s="28"/>
    </row>
    <row r="3123" spans="2:26">
      <c r="B3123" s="2"/>
      <c r="N3123" s="27"/>
      <c r="R3123" s="15"/>
      <c r="X3123" s="3"/>
      <c r="Z3123" s="28"/>
    </row>
    <row r="3124" spans="2:26">
      <c r="B3124" s="2"/>
      <c r="N3124" s="27"/>
      <c r="R3124" s="15"/>
      <c r="X3124" s="3"/>
      <c r="Z3124" s="28"/>
    </row>
    <row r="3125" spans="2:26">
      <c r="B3125" s="2"/>
      <c r="N3125" s="27"/>
      <c r="R3125" s="15"/>
      <c r="X3125" s="3"/>
      <c r="Z3125" s="28"/>
    </row>
    <row r="3126" spans="2:26">
      <c r="B3126" s="2"/>
      <c r="N3126" s="27"/>
      <c r="R3126" s="15"/>
      <c r="X3126" s="3"/>
      <c r="Z3126" s="28"/>
    </row>
    <row r="3127" spans="2:26">
      <c r="B3127" s="2"/>
      <c r="N3127" s="27"/>
      <c r="R3127" s="15"/>
      <c r="X3127" s="3"/>
      <c r="Z3127" s="28"/>
    </row>
    <row r="3128" spans="2:26">
      <c r="B3128" s="2"/>
      <c r="N3128" s="27"/>
      <c r="R3128" s="15"/>
      <c r="X3128" s="3"/>
      <c r="Z3128" s="28"/>
    </row>
    <row r="3129" spans="2:26">
      <c r="B3129" s="2"/>
      <c r="N3129" s="27"/>
      <c r="R3129" s="15"/>
      <c r="X3129" s="3"/>
      <c r="Z3129" s="28"/>
    </row>
    <row r="3130" spans="2:26">
      <c r="B3130" s="2"/>
      <c r="N3130" s="27"/>
      <c r="R3130" s="15"/>
      <c r="X3130" s="3"/>
      <c r="Z3130" s="28"/>
    </row>
    <row r="3131" spans="2:26">
      <c r="B3131" s="2"/>
      <c r="N3131" s="27"/>
      <c r="R3131" s="15"/>
      <c r="X3131" s="3"/>
      <c r="Z3131" s="28"/>
    </row>
    <row r="3132" spans="2:26">
      <c r="B3132" s="2"/>
      <c r="N3132" s="27"/>
      <c r="R3132" s="15"/>
      <c r="X3132" s="3"/>
      <c r="Z3132" s="28"/>
    </row>
    <row r="3133" spans="2:26">
      <c r="B3133" s="2"/>
      <c r="N3133" s="27"/>
      <c r="R3133" s="15"/>
      <c r="X3133" s="3"/>
      <c r="Z3133" s="28"/>
    </row>
    <row r="3134" spans="2:26">
      <c r="B3134" s="2"/>
      <c r="N3134" s="27"/>
      <c r="R3134" s="15"/>
      <c r="X3134" s="3"/>
      <c r="Z3134" s="28"/>
    </row>
    <row r="3135" spans="2:26">
      <c r="B3135" s="2"/>
      <c r="N3135" s="27"/>
      <c r="R3135" s="15"/>
      <c r="X3135" s="3"/>
      <c r="Z3135" s="28"/>
    </row>
    <row r="3136" spans="2:26">
      <c r="B3136" s="2"/>
      <c r="N3136" s="27"/>
      <c r="R3136" s="15"/>
      <c r="X3136" s="3"/>
      <c r="Z3136" s="28"/>
    </row>
    <row r="3137" spans="2:26">
      <c r="B3137" s="2"/>
      <c r="N3137" s="27"/>
      <c r="R3137" s="15"/>
      <c r="X3137" s="3"/>
      <c r="Z3137" s="28"/>
    </row>
    <row r="3138" spans="2:26">
      <c r="B3138" s="2"/>
      <c r="N3138" s="27"/>
      <c r="R3138" s="15"/>
      <c r="X3138" s="3"/>
      <c r="Z3138" s="28"/>
    </row>
    <row r="3139" spans="2:26">
      <c r="B3139" s="2"/>
      <c r="N3139" s="27"/>
      <c r="R3139" s="15"/>
      <c r="X3139" s="3"/>
      <c r="Z3139" s="28"/>
    </row>
    <row r="3140" spans="2:26">
      <c r="B3140" s="2"/>
      <c r="N3140" s="27"/>
      <c r="R3140" s="15"/>
      <c r="X3140" s="3"/>
      <c r="Z3140" s="28"/>
    </row>
    <row r="3141" spans="2:26">
      <c r="B3141" s="2"/>
      <c r="N3141" s="27"/>
      <c r="R3141" s="15"/>
      <c r="X3141" s="3"/>
      <c r="Z3141" s="28"/>
    </row>
    <row r="3142" spans="2:26">
      <c r="B3142" s="2"/>
      <c r="N3142" s="27"/>
      <c r="R3142" s="15"/>
      <c r="X3142" s="3"/>
      <c r="Z3142" s="28"/>
    </row>
    <row r="3143" spans="2:26">
      <c r="B3143" s="2"/>
      <c r="N3143" s="27"/>
      <c r="R3143" s="15"/>
      <c r="X3143" s="3"/>
      <c r="Z3143" s="28"/>
    </row>
    <row r="3144" spans="2:26">
      <c r="B3144" s="2"/>
      <c r="N3144" s="27"/>
      <c r="R3144" s="15"/>
      <c r="X3144" s="3"/>
      <c r="Z3144" s="28"/>
    </row>
    <row r="3145" spans="2:26">
      <c r="B3145" s="2"/>
      <c r="N3145" s="27"/>
      <c r="R3145" s="15"/>
      <c r="X3145" s="3"/>
      <c r="Z3145" s="28"/>
    </row>
    <row r="3146" spans="2:26">
      <c r="B3146" s="2"/>
      <c r="N3146" s="27"/>
      <c r="R3146" s="15"/>
      <c r="X3146" s="3"/>
      <c r="Z3146" s="28"/>
    </row>
    <row r="3147" spans="2:26">
      <c r="B3147" s="2"/>
      <c r="N3147" s="27"/>
      <c r="R3147" s="15"/>
      <c r="X3147" s="3"/>
      <c r="Z3147" s="28"/>
    </row>
    <row r="3148" spans="2:26">
      <c r="B3148" s="2"/>
      <c r="N3148" s="27"/>
      <c r="R3148" s="15"/>
      <c r="X3148" s="3"/>
      <c r="Z3148" s="28"/>
    </row>
    <row r="3149" spans="2:26">
      <c r="B3149" s="2"/>
      <c r="N3149" s="27"/>
      <c r="R3149" s="15"/>
      <c r="X3149" s="3"/>
      <c r="Z3149" s="28"/>
    </row>
    <row r="3150" spans="2:26">
      <c r="B3150" s="2"/>
      <c r="N3150" s="27"/>
      <c r="R3150" s="15"/>
      <c r="X3150" s="3"/>
      <c r="Z3150" s="28"/>
    </row>
    <row r="3151" spans="2:26">
      <c r="B3151" s="2"/>
      <c r="N3151" s="27"/>
      <c r="R3151" s="15"/>
      <c r="X3151" s="3"/>
      <c r="Z3151" s="28"/>
    </row>
    <row r="3152" spans="2:26">
      <c r="B3152" s="2"/>
      <c r="N3152" s="27"/>
      <c r="R3152" s="15"/>
      <c r="X3152" s="3"/>
      <c r="Z3152" s="28"/>
    </row>
    <row r="3153" spans="2:26">
      <c r="B3153" s="2"/>
      <c r="N3153" s="27"/>
      <c r="R3153" s="15"/>
      <c r="X3153" s="3"/>
      <c r="Z3153" s="28"/>
    </row>
    <row r="3154" spans="2:26">
      <c r="B3154" s="2"/>
      <c r="N3154" s="27"/>
      <c r="R3154" s="15"/>
      <c r="X3154" s="3"/>
      <c r="Z3154" s="28"/>
    </row>
    <row r="3155" spans="2:26">
      <c r="B3155" s="2"/>
      <c r="N3155" s="27"/>
      <c r="R3155" s="15"/>
      <c r="X3155" s="3"/>
      <c r="Z3155" s="28"/>
    </row>
    <row r="3156" spans="2:26">
      <c r="B3156" s="2"/>
      <c r="N3156" s="27"/>
      <c r="R3156" s="15"/>
      <c r="X3156" s="3"/>
      <c r="Z3156" s="28"/>
    </row>
    <row r="3157" spans="2:26">
      <c r="B3157" s="2"/>
      <c r="N3157" s="27"/>
      <c r="R3157" s="15"/>
      <c r="X3157" s="3"/>
      <c r="Z3157" s="28"/>
    </row>
    <row r="3158" spans="2:26">
      <c r="B3158" s="2"/>
      <c r="N3158" s="27"/>
      <c r="R3158" s="15"/>
      <c r="X3158" s="3"/>
      <c r="Z3158" s="28"/>
    </row>
    <row r="3159" spans="2:26">
      <c r="B3159" s="2"/>
      <c r="N3159" s="27"/>
      <c r="R3159" s="15"/>
      <c r="X3159" s="3"/>
      <c r="Z3159" s="28"/>
    </row>
    <row r="3160" spans="2:26">
      <c r="B3160" s="2"/>
      <c r="N3160" s="27"/>
      <c r="R3160" s="15"/>
      <c r="X3160" s="3"/>
      <c r="Z3160" s="28"/>
    </row>
    <row r="3161" spans="2:26">
      <c r="B3161" s="2"/>
      <c r="N3161" s="27"/>
      <c r="R3161" s="15"/>
      <c r="X3161" s="3"/>
      <c r="Z3161" s="28"/>
    </row>
    <row r="3162" spans="2:26">
      <c r="B3162" s="2"/>
      <c r="N3162" s="27"/>
      <c r="R3162" s="15"/>
      <c r="X3162" s="3"/>
      <c r="Z3162" s="28"/>
    </row>
    <row r="3163" spans="2:26">
      <c r="B3163" s="2"/>
      <c r="N3163" s="27"/>
      <c r="R3163" s="15"/>
      <c r="X3163" s="3"/>
      <c r="Z3163" s="28"/>
    </row>
    <row r="3164" spans="2:26">
      <c r="B3164" s="2"/>
      <c r="N3164" s="27"/>
      <c r="R3164" s="15"/>
      <c r="X3164" s="3"/>
      <c r="Z3164" s="28"/>
    </row>
    <row r="3165" spans="2:26">
      <c r="B3165" s="2"/>
      <c r="N3165" s="27"/>
      <c r="R3165" s="15"/>
      <c r="X3165" s="3"/>
      <c r="Z3165" s="28"/>
    </row>
    <row r="3166" spans="2:26">
      <c r="B3166" s="2"/>
      <c r="N3166" s="27"/>
      <c r="R3166" s="15"/>
      <c r="X3166" s="3"/>
      <c r="Z3166" s="28"/>
    </row>
    <row r="3167" spans="2:26">
      <c r="B3167" s="2"/>
      <c r="N3167" s="27"/>
      <c r="R3167" s="15"/>
      <c r="X3167" s="3"/>
      <c r="Z3167" s="28"/>
    </row>
    <row r="3168" spans="2:26">
      <c r="B3168" s="2"/>
      <c r="N3168" s="27"/>
      <c r="R3168" s="15"/>
      <c r="X3168" s="3"/>
      <c r="Z3168" s="28"/>
    </row>
    <row r="3169" spans="2:26">
      <c r="B3169" s="2"/>
      <c r="N3169" s="27"/>
      <c r="R3169" s="15"/>
      <c r="X3169" s="3"/>
      <c r="Z3169" s="28"/>
    </row>
    <row r="3170" spans="2:26">
      <c r="B3170" s="2"/>
      <c r="N3170" s="27"/>
      <c r="R3170" s="15"/>
      <c r="X3170" s="3"/>
      <c r="Z3170" s="28"/>
    </row>
    <row r="3171" spans="2:26">
      <c r="B3171" s="2"/>
      <c r="N3171" s="27"/>
      <c r="R3171" s="15"/>
      <c r="X3171" s="3"/>
      <c r="Z3171" s="28"/>
    </row>
    <row r="3172" spans="2:26">
      <c r="B3172" s="2"/>
      <c r="N3172" s="27"/>
      <c r="R3172" s="15"/>
      <c r="X3172" s="3"/>
      <c r="Z3172" s="28"/>
    </row>
    <row r="3173" spans="2:26">
      <c r="B3173" s="2"/>
      <c r="N3173" s="27"/>
      <c r="R3173" s="15"/>
      <c r="X3173" s="3"/>
      <c r="Z3173" s="28"/>
    </row>
    <row r="3174" spans="2:26">
      <c r="B3174" s="2"/>
      <c r="N3174" s="27"/>
      <c r="R3174" s="15"/>
      <c r="X3174" s="3"/>
      <c r="Z3174" s="28"/>
    </row>
    <row r="3175" spans="2:26">
      <c r="B3175" s="2"/>
      <c r="N3175" s="27"/>
      <c r="R3175" s="15"/>
      <c r="X3175" s="3"/>
      <c r="Z3175" s="28"/>
    </row>
    <row r="3176" spans="2:26">
      <c r="B3176" s="2"/>
      <c r="N3176" s="27"/>
      <c r="R3176" s="15"/>
      <c r="X3176" s="3"/>
      <c r="Z3176" s="28"/>
    </row>
    <row r="3177" spans="2:26">
      <c r="B3177" s="2"/>
      <c r="N3177" s="27"/>
      <c r="R3177" s="15"/>
      <c r="X3177" s="3"/>
      <c r="Z3177" s="28"/>
    </row>
    <row r="3178" spans="2:26">
      <c r="B3178" s="2"/>
      <c r="N3178" s="27"/>
      <c r="R3178" s="15"/>
      <c r="X3178" s="3"/>
      <c r="Z3178" s="28"/>
    </row>
    <row r="3179" spans="2:26">
      <c r="B3179" s="2"/>
      <c r="N3179" s="27"/>
      <c r="R3179" s="15"/>
      <c r="X3179" s="3"/>
      <c r="Z3179" s="28"/>
    </row>
    <row r="3180" spans="2:26">
      <c r="B3180" s="2"/>
      <c r="N3180" s="27"/>
      <c r="R3180" s="15"/>
      <c r="X3180" s="3"/>
      <c r="Z3180" s="28"/>
    </row>
    <row r="3181" spans="2:26">
      <c r="B3181" s="2"/>
      <c r="N3181" s="27"/>
      <c r="R3181" s="15"/>
      <c r="X3181" s="3"/>
      <c r="Z3181" s="28"/>
    </row>
    <row r="3182" spans="2:26">
      <c r="B3182" s="2"/>
      <c r="N3182" s="27"/>
      <c r="R3182" s="15"/>
      <c r="X3182" s="3"/>
      <c r="Z3182" s="28"/>
    </row>
    <row r="3183" spans="2:26">
      <c r="B3183" s="2"/>
      <c r="N3183" s="27"/>
      <c r="R3183" s="15"/>
      <c r="X3183" s="3"/>
      <c r="Z3183" s="28"/>
    </row>
    <row r="3184" spans="2:26">
      <c r="B3184" s="2"/>
      <c r="N3184" s="27"/>
      <c r="R3184" s="15"/>
      <c r="X3184" s="3"/>
      <c r="Z3184" s="28"/>
    </row>
    <row r="3185" spans="2:26">
      <c r="B3185" s="2"/>
      <c r="N3185" s="27"/>
      <c r="R3185" s="15"/>
      <c r="X3185" s="3"/>
      <c r="Z3185" s="28"/>
    </row>
    <row r="3186" spans="2:26">
      <c r="B3186" s="2"/>
      <c r="N3186" s="27"/>
      <c r="R3186" s="15"/>
      <c r="X3186" s="3"/>
      <c r="Z3186" s="28"/>
    </row>
    <row r="3187" spans="2:26">
      <c r="B3187" s="2"/>
      <c r="N3187" s="27"/>
      <c r="R3187" s="15"/>
      <c r="X3187" s="3"/>
      <c r="Z3187" s="28"/>
    </row>
    <row r="3188" spans="2:26">
      <c r="B3188" s="2"/>
      <c r="N3188" s="27"/>
      <c r="R3188" s="15"/>
      <c r="X3188" s="3"/>
      <c r="Z3188" s="28"/>
    </row>
    <row r="3189" spans="2:26">
      <c r="B3189" s="2"/>
      <c r="N3189" s="27"/>
      <c r="R3189" s="15"/>
      <c r="X3189" s="3"/>
      <c r="Z3189" s="28"/>
    </row>
    <row r="3190" spans="2:26">
      <c r="B3190" s="2"/>
      <c r="N3190" s="27"/>
      <c r="R3190" s="15"/>
      <c r="X3190" s="3"/>
      <c r="Z3190" s="28"/>
    </row>
    <row r="3191" spans="2:26">
      <c r="B3191" s="2"/>
      <c r="N3191" s="27"/>
      <c r="R3191" s="15"/>
      <c r="X3191" s="3"/>
      <c r="Z3191" s="28"/>
    </row>
    <row r="3192" spans="2:26">
      <c r="B3192" s="2"/>
      <c r="N3192" s="27"/>
      <c r="R3192" s="15"/>
      <c r="X3192" s="3"/>
      <c r="Z3192" s="28"/>
    </row>
    <row r="3193" spans="2:26">
      <c r="B3193" s="2"/>
      <c r="N3193" s="27"/>
      <c r="R3193" s="15"/>
      <c r="X3193" s="3"/>
      <c r="Z3193" s="28"/>
    </row>
    <row r="3194" spans="2:26">
      <c r="B3194" s="2"/>
      <c r="N3194" s="27"/>
      <c r="R3194" s="15"/>
      <c r="X3194" s="3"/>
      <c r="Z3194" s="28"/>
    </row>
    <row r="3195" spans="2:26">
      <c r="B3195" s="2"/>
      <c r="N3195" s="27"/>
      <c r="R3195" s="15"/>
      <c r="X3195" s="3"/>
      <c r="Z3195" s="28"/>
    </row>
    <row r="3196" spans="2:26">
      <c r="B3196" s="2"/>
      <c r="N3196" s="27"/>
      <c r="R3196" s="15"/>
      <c r="X3196" s="3"/>
      <c r="Z3196" s="28"/>
    </row>
    <row r="3197" spans="2:26">
      <c r="B3197" s="2"/>
      <c r="N3197" s="27"/>
      <c r="R3197" s="15"/>
      <c r="X3197" s="3"/>
      <c r="Z3197" s="28"/>
    </row>
    <row r="3198" spans="2:26">
      <c r="B3198" s="2"/>
      <c r="N3198" s="27"/>
      <c r="R3198" s="15"/>
      <c r="X3198" s="3"/>
      <c r="Z3198" s="28"/>
    </row>
    <row r="3199" spans="2:26">
      <c r="B3199" s="2"/>
      <c r="N3199" s="27"/>
      <c r="R3199" s="15"/>
      <c r="X3199" s="3"/>
      <c r="Z3199" s="28"/>
    </row>
    <row r="3200" spans="2:26">
      <c r="B3200" s="2"/>
      <c r="N3200" s="27"/>
      <c r="R3200" s="15"/>
      <c r="X3200" s="3"/>
      <c r="Z3200" s="28"/>
    </row>
    <row r="3201" spans="2:26">
      <c r="B3201" s="2"/>
      <c r="N3201" s="27"/>
      <c r="R3201" s="15"/>
      <c r="X3201" s="3"/>
      <c r="Z3201" s="28"/>
    </row>
    <row r="3202" spans="2:26">
      <c r="B3202" s="2"/>
      <c r="N3202" s="27"/>
      <c r="R3202" s="15"/>
      <c r="X3202" s="3"/>
      <c r="Z3202" s="28"/>
    </row>
    <row r="3203" spans="2:26">
      <c r="B3203" s="2"/>
      <c r="N3203" s="27"/>
      <c r="R3203" s="15"/>
      <c r="X3203" s="3"/>
      <c r="Z3203" s="28"/>
    </row>
    <row r="3204" spans="2:26">
      <c r="B3204" s="2"/>
      <c r="N3204" s="27"/>
      <c r="R3204" s="15"/>
      <c r="X3204" s="3"/>
      <c r="Z3204" s="28"/>
    </row>
    <row r="3205" spans="2:26">
      <c r="B3205" s="2"/>
      <c r="N3205" s="27"/>
      <c r="R3205" s="15"/>
      <c r="X3205" s="3"/>
      <c r="Z3205" s="28"/>
    </row>
    <row r="3206" spans="2:26">
      <c r="B3206" s="2"/>
      <c r="N3206" s="27"/>
      <c r="R3206" s="15"/>
      <c r="X3206" s="3"/>
      <c r="Z3206" s="28"/>
    </row>
    <row r="3207" spans="2:26">
      <c r="B3207" s="2"/>
      <c r="N3207" s="27"/>
      <c r="R3207" s="15"/>
      <c r="X3207" s="3"/>
      <c r="Z3207" s="28"/>
    </row>
    <row r="3208" spans="2:26">
      <c r="B3208" s="2"/>
      <c r="N3208" s="27"/>
      <c r="R3208" s="15"/>
      <c r="X3208" s="3"/>
      <c r="Z3208" s="28"/>
    </row>
    <row r="3209" spans="2:26">
      <c r="B3209" s="2"/>
      <c r="N3209" s="27"/>
      <c r="R3209" s="15"/>
      <c r="X3209" s="3"/>
      <c r="Z3209" s="28"/>
    </row>
    <row r="3210" spans="2:26">
      <c r="B3210" s="2"/>
      <c r="N3210" s="27"/>
      <c r="R3210" s="15"/>
      <c r="X3210" s="3"/>
      <c r="Z3210" s="28"/>
    </row>
    <row r="3211" spans="2:26">
      <c r="B3211" s="2"/>
      <c r="N3211" s="27"/>
      <c r="R3211" s="15"/>
      <c r="X3211" s="3"/>
      <c r="Z3211" s="28"/>
    </row>
    <row r="3212" spans="2:26">
      <c r="B3212" s="2"/>
      <c r="N3212" s="27"/>
      <c r="R3212" s="15"/>
      <c r="X3212" s="3"/>
      <c r="Z3212" s="28"/>
    </row>
    <row r="3213" spans="2:26">
      <c r="B3213" s="2"/>
      <c r="N3213" s="27"/>
      <c r="R3213" s="15"/>
      <c r="X3213" s="3"/>
      <c r="Z3213" s="28"/>
    </row>
    <row r="3214" spans="2:26">
      <c r="B3214" s="2"/>
      <c r="N3214" s="27"/>
      <c r="R3214" s="15"/>
      <c r="X3214" s="3"/>
      <c r="Z3214" s="28"/>
    </row>
    <row r="3215" spans="2:26">
      <c r="B3215" s="2"/>
      <c r="N3215" s="27"/>
      <c r="R3215" s="15"/>
      <c r="X3215" s="3"/>
      <c r="Z3215" s="28"/>
    </row>
    <row r="3216" spans="2:26">
      <c r="B3216" s="2"/>
      <c r="N3216" s="27"/>
      <c r="R3216" s="15"/>
      <c r="X3216" s="3"/>
      <c r="Z3216" s="28"/>
    </row>
    <row r="3217" spans="2:26">
      <c r="B3217" s="2"/>
      <c r="N3217" s="27"/>
      <c r="R3217" s="15"/>
      <c r="X3217" s="3"/>
      <c r="Z3217" s="28"/>
    </row>
    <row r="3218" spans="2:26">
      <c r="B3218" s="2"/>
      <c r="N3218" s="27"/>
      <c r="R3218" s="15"/>
      <c r="X3218" s="3"/>
      <c r="Z3218" s="28"/>
    </row>
    <row r="3219" spans="2:26">
      <c r="B3219" s="2"/>
      <c r="N3219" s="27"/>
      <c r="R3219" s="15"/>
      <c r="X3219" s="3"/>
      <c r="Z3219" s="28"/>
    </row>
    <row r="3220" spans="2:26">
      <c r="B3220" s="2"/>
      <c r="N3220" s="27"/>
      <c r="R3220" s="15"/>
      <c r="X3220" s="3"/>
      <c r="Z3220" s="28"/>
    </row>
    <row r="3221" spans="2:26">
      <c r="B3221" s="2"/>
      <c r="N3221" s="27"/>
      <c r="R3221" s="15"/>
      <c r="X3221" s="3"/>
      <c r="Z3221" s="28"/>
    </row>
    <row r="3222" spans="2:26">
      <c r="B3222" s="2"/>
      <c r="N3222" s="27"/>
      <c r="R3222" s="15"/>
      <c r="X3222" s="3"/>
      <c r="Z3222" s="28"/>
    </row>
    <row r="3223" spans="2:26">
      <c r="B3223" s="2"/>
      <c r="N3223" s="27"/>
      <c r="R3223" s="15"/>
      <c r="X3223" s="3"/>
      <c r="Z3223" s="28"/>
    </row>
    <row r="3224" spans="2:26">
      <c r="B3224" s="2"/>
      <c r="N3224" s="27"/>
      <c r="R3224" s="15"/>
      <c r="X3224" s="3"/>
      <c r="Z3224" s="28"/>
    </row>
    <row r="3225" spans="2:26">
      <c r="B3225" s="2"/>
      <c r="N3225" s="27"/>
      <c r="R3225" s="15"/>
      <c r="X3225" s="3"/>
      <c r="Z3225" s="28"/>
    </row>
    <row r="3226" spans="2:26">
      <c r="B3226" s="2"/>
      <c r="N3226" s="27"/>
      <c r="R3226" s="15"/>
      <c r="X3226" s="3"/>
      <c r="Z3226" s="28"/>
    </row>
    <row r="3227" spans="2:26">
      <c r="B3227" s="2"/>
      <c r="N3227" s="27"/>
      <c r="R3227" s="15"/>
      <c r="X3227" s="3"/>
      <c r="Z3227" s="28"/>
    </row>
    <row r="3228" spans="2:26">
      <c r="B3228" s="2"/>
      <c r="N3228" s="27"/>
      <c r="R3228" s="15"/>
      <c r="X3228" s="3"/>
      <c r="Z3228" s="28"/>
    </row>
    <row r="3229" spans="2:26">
      <c r="B3229" s="2"/>
      <c r="N3229" s="27"/>
      <c r="R3229" s="15"/>
      <c r="X3229" s="3"/>
      <c r="Z3229" s="28"/>
    </row>
    <row r="3230" spans="2:26">
      <c r="B3230" s="2"/>
      <c r="N3230" s="27"/>
      <c r="R3230" s="15"/>
      <c r="X3230" s="3"/>
      <c r="Z3230" s="28"/>
    </row>
    <row r="3231" spans="2:26">
      <c r="B3231" s="2"/>
      <c r="N3231" s="27"/>
      <c r="R3231" s="15"/>
      <c r="X3231" s="3"/>
      <c r="Z3231" s="28"/>
    </row>
    <row r="3232" spans="2:26">
      <c r="B3232" s="2"/>
      <c r="N3232" s="27"/>
      <c r="R3232" s="15"/>
      <c r="X3232" s="3"/>
      <c r="Z3232" s="28"/>
    </row>
    <row r="3233" spans="2:26">
      <c r="B3233" s="2"/>
      <c r="N3233" s="27"/>
      <c r="R3233" s="15"/>
      <c r="X3233" s="3"/>
      <c r="Z3233" s="28"/>
    </row>
    <row r="3234" spans="2:26">
      <c r="B3234" s="2"/>
      <c r="N3234" s="27"/>
      <c r="R3234" s="15"/>
      <c r="X3234" s="3"/>
      <c r="Z3234" s="28"/>
    </row>
    <row r="3235" spans="2:26">
      <c r="B3235" s="2"/>
      <c r="N3235" s="27"/>
      <c r="R3235" s="15"/>
      <c r="X3235" s="3"/>
      <c r="Z3235" s="28"/>
    </row>
    <row r="3236" spans="2:26">
      <c r="B3236" s="2"/>
      <c r="N3236" s="27"/>
      <c r="R3236" s="15"/>
      <c r="X3236" s="3"/>
      <c r="Z3236" s="28"/>
    </row>
    <row r="3237" spans="2:26">
      <c r="B3237" s="2"/>
      <c r="N3237" s="27"/>
      <c r="R3237" s="15"/>
      <c r="X3237" s="3"/>
      <c r="Z3237" s="28"/>
    </row>
    <row r="3238" spans="2:26">
      <c r="B3238" s="2"/>
      <c r="N3238" s="27"/>
      <c r="R3238" s="15"/>
      <c r="X3238" s="3"/>
      <c r="Z3238" s="28"/>
    </row>
    <row r="3239" spans="2:26">
      <c r="B3239" s="2"/>
      <c r="N3239" s="27"/>
      <c r="R3239" s="15"/>
      <c r="X3239" s="3"/>
      <c r="Z3239" s="28"/>
    </row>
    <row r="3240" spans="2:26">
      <c r="B3240" s="2"/>
      <c r="N3240" s="27"/>
      <c r="R3240" s="15"/>
      <c r="X3240" s="3"/>
      <c r="Z3240" s="28"/>
    </row>
    <row r="3241" spans="2:26">
      <c r="B3241" s="2"/>
      <c r="N3241" s="27"/>
      <c r="R3241" s="15"/>
      <c r="X3241" s="3"/>
      <c r="Z3241" s="28"/>
    </row>
    <row r="3242" spans="2:26">
      <c r="B3242" s="2"/>
      <c r="N3242" s="27"/>
      <c r="R3242" s="15"/>
      <c r="X3242" s="3"/>
      <c r="Z3242" s="28"/>
    </row>
    <row r="3243" spans="2:26">
      <c r="B3243" s="2"/>
      <c r="N3243" s="27"/>
      <c r="R3243" s="15"/>
      <c r="X3243" s="3"/>
      <c r="Z3243" s="28"/>
    </row>
    <row r="3244" spans="2:26">
      <c r="B3244" s="2"/>
      <c r="N3244" s="27"/>
      <c r="R3244" s="15"/>
      <c r="X3244" s="3"/>
      <c r="Z3244" s="28"/>
    </row>
    <row r="3245" spans="2:26">
      <c r="B3245" s="2"/>
      <c r="N3245" s="27"/>
      <c r="R3245" s="15"/>
      <c r="X3245" s="3"/>
      <c r="Z3245" s="28"/>
    </row>
    <row r="3246" spans="2:26">
      <c r="B3246" s="2"/>
      <c r="N3246" s="27"/>
      <c r="R3246" s="15"/>
      <c r="X3246" s="3"/>
      <c r="Z3246" s="28"/>
    </row>
    <row r="3247" spans="2:26">
      <c r="B3247" s="2"/>
      <c r="N3247" s="27"/>
      <c r="R3247" s="15"/>
      <c r="X3247" s="3"/>
      <c r="Z3247" s="28"/>
    </row>
    <row r="3248" spans="2:26">
      <c r="B3248" s="2"/>
      <c r="N3248" s="27"/>
      <c r="R3248" s="15"/>
      <c r="X3248" s="3"/>
      <c r="Z3248" s="28"/>
    </row>
    <row r="3249" spans="2:26">
      <c r="B3249" s="2"/>
      <c r="N3249" s="27"/>
      <c r="R3249" s="15"/>
      <c r="X3249" s="3"/>
      <c r="Z3249" s="28"/>
    </row>
    <row r="3250" spans="2:26">
      <c r="B3250" s="2"/>
      <c r="N3250" s="27"/>
      <c r="R3250" s="15"/>
      <c r="X3250" s="3"/>
      <c r="Z3250" s="28"/>
    </row>
    <row r="3251" spans="2:26">
      <c r="B3251" s="2"/>
      <c r="N3251" s="27"/>
      <c r="R3251" s="15"/>
      <c r="X3251" s="3"/>
      <c r="Z3251" s="28"/>
    </row>
    <row r="3252" spans="2:26">
      <c r="B3252" s="2"/>
      <c r="N3252" s="27"/>
      <c r="R3252" s="15"/>
      <c r="X3252" s="3"/>
      <c r="Z3252" s="28"/>
    </row>
    <row r="3253" spans="2:26">
      <c r="B3253" s="2"/>
      <c r="N3253" s="27"/>
      <c r="R3253" s="15"/>
      <c r="X3253" s="3"/>
      <c r="Z3253" s="28"/>
    </row>
    <row r="3254" spans="2:26">
      <c r="B3254" s="2"/>
      <c r="N3254" s="27"/>
      <c r="R3254" s="15"/>
      <c r="X3254" s="3"/>
      <c r="Z3254" s="28"/>
    </row>
    <row r="3255" spans="2:26">
      <c r="B3255" s="2"/>
      <c r="N3255" s="27"/>
      <c r="R3255" s="15"/>
      <c r="X3255" s="3"/>
      <c r="Z3255" s="28"/>
    </row>
    <row r="3256" spans="2:26">
      <c r="B3256" s="2"/>
      <c r="N3256" s="27"/>
      <c r="R3256" s="15"/>
      <c r="X3256" s="3"/>
      <c r="Z3256" s="28"/>
    </row>
    <row r="3257" spans="2:26">
      <c r="B3257" s="2"/>
      <c r="N3257" s="27"/>
      <c r="R3257" s="15"/>
      <c r="X3257" s="3"/>
      <c r="Z3257" s="28"/>
    </row>
    <row r="3258" spans="2:26">
      <c r="B3258" s="2"/>
      <c r="N3258" s="27"/>
      <c r="R3258" s="15"/>
      <c r="X3258" s="3"/>
      <c r="Z3258" s="28"/>
    </row>
    <row r="3259" spans="2:26">
      <c r="B3259" s="2"/>
      <c r="N3259" s="27"/>
      <c r="R3259" s="15"/>
      <c r="X3259" s="3"/>
      <c r="Z3259" s="28"/>
    </row>
    <row r="3260" spans="2:26">
      <c r="B3260" s="2"/>
      <c r="N3260" s="27"/>
      <c r="R3260" s="15"/>
      <c r="X3260" s="3"/>
      <c r="Z3260" s="28"/>
    </row>
    <row r="3261" spans="2:26">
      <c r="B3261" s="2"/>
      <c r="N3261" s="27"/>
      <c r="R3261" s="15"/>
      <c r="X3261" s="3"/>
      <c r="Z3261" s="28"/>
    </row>
    <row r="3262" spans="2:26">
      <c r="B3262" s="2"/>
      <c r="N3262" s="27"/>
      <c r="R3262" s="15"/>
      <c r="X3262" s="3"/>
      <c r="Z3262" s="28"/>
    </row>
    <row r="3263" spans="2:26">
      <c r="B3263" s="2"/>
      <c r="N3263" s="27"/>
      <c r="R3263" s="15"/>
      <c r="X3263" s="3"/>
      <c r="Z3263" s="28"/>
    </row>
    <row r="3264" spans="2:26">
      <c r="B3264" s="2"/>
      <c r="N3264" s="27"/>
      <c r="R3264" s="15"/>
      <c r="X3264" s="3"/>
      <c r="Z3264" s="28"/>
    </row>
    <row r="3265" spans="2:26">
      <c r="B3265" s="2"/>
      <c r="N3265" s="27"/>
      <c r="R3265" s="15"/>
      <c r="X3265" s="3"/>
      <c r="Z3265" s="28"/>
    </row>
    <row r="3266" spans="2:26">
      <c r="B3266" s="2"/>
      <c r="N3266" s="27"/>
      <c r="R3266" s="15"/>
      <c r="X3266" s="3"/>
      <c r="Z3266" s="28"/>
    </row>
    <row r="3267" spans="2:26">
      <c r="B3267" s="2"/>
      <c r="N3267" s="27"/>
      <c r="R3267" s="15"/>
      <c r="X3267" s="3"/>
      <c r="Z3267" s="28"/>
    </row>
    <row r="3268" spans="2:26">
      <c r="B3268" s="2"/>
      <c r="N3268" s="27"/>
      <c r="R3268" s="15"/>
      <c r="X3268" s="3"/>
      <c r="Z3268" s="28"/>
    </row>
    <row r="3269" spans="2:26">
      <c r="B3269" s="2"/>
      <c r="N3269" s="27"/>
      <c r="R3269" s="15"/>
      <c r="X3269" s="3"/>
      <c r="Z3269" s="28"/>
    </row>
    <row r="3270" spans="2:26">
      <c r="B3270" s="2"/>
      <c r="N3270" s="27"/>
      <c r="R3270" s="15"/>
      <c r="X3270" s="3"/>
      <c r="Z3270" s="28"/>
    </row>
    <row r="3271" spans="2:26">
      <c r="B3271" s="2"/>
      <c r="N3271" s="27"/>
      <c r="R3271" s="15"/>
      <c r="X3271" s="3"/>
      <c r="Z3271" s="28"/>
    </row>
    <row r="3272" spans="2:26">
      <c r="B3272" s="2"/>
      <c r="N3272" s="27"/>
      <c r="R3272" s="15"/>
      <c r="X3272" s="3"/>
      <c r="Z3272" s="28"/>
    </row>
    <row r="3273" spans="2:26">
      <c r="B3273" s="2"/>
      <c r="N3273" s="27"/>
      <c r="R3273" s="15"/>
      <c r="X3273" s="3"/>
      <c r="Z3273" s="28"/>
    </row>
    <row r="3274" spans="2:26">
      <c r="B3274" s="2"/>
      <c r="N3274" s="27"/>
      <c r="R3274" s="15"/>
      <c r="X3274" s="3"/>
      <c r="Z3274" s="28"/>
    </row>
    <row r="3275" spans="2:26">
      <c r="B3275" s="2"/>
      <c r="N3275" s="27"/>
      <c r="R3275" s="15"/>
      <c r="X3275" s="3"/>
      <c r="Z3275" s="28"/>
    </row>
    <row r="3276" spans="2:26">
      <c r="B3276" s="2"/>
      <c r="N3276" s="27"/>
      <c r="R3276" s="15"/>
      <c r="X3276" s="3"/>
      <c r="Z3276" s="28"/>
    </row>
    <row r="3277" spans="2:26">
      <c r="B3277" s="2"/>
      <c r="N3277" s="27"/>
      <c r="R3277" s="15"/>
      <c r="X3277" s="3"/>
      <c r="Z3277" s="28"/>
    </row>
    <row r="3278" spans="2:26">
      <c r="B3278" s="2"/>
      <c r="N3278" s="27"/>
      <c r="R3278" s="15"/>
      <c r="X3278" s="3"/>
      <c r="Z3278" s="28"/>
    </row>
    <row r="3279" spans="2:26">
      <c r="B3279" s="2"/>
      <c r="N3279" s="27"/>
      <c r="R3279" s="15"/>
      <c r="X3279" s="3"/>
      <c r="Z3279" s="28"/>
    </row>
    <row r="3280" spans="2:26">
      <c r="B3280" s="2"/>
      <c r="N3280" s="27"/>
      <c r="R3280" s="15"/>
      <c r="X3280" s="3"/>
      <c r="Z3280" s="28"/>
    </row>
    <row r="3281" spans="2:26">
      <c r="B3281" s="2"/>
      <c r="N3281" s="27"/>
      <c r="R3281" s="15"/>
      <c r="X3281" s="3"/>
      <c r="Z3281" s="28"/>
    </row>
    <row r="3282" spans="2:26">
      <c r="B3282" s="2"/>
      <c r="N3282" s="27"/>
      <c r="R3282" s="15"/>
      <c r="X3282" s="3"/>
      <c r="Z3282" s="28"/>
    </row>
    <row r="3283" spans="2:26">
      <c r="B3283" s="2"/>
      <c r="N3283" s="27"/>
      <c r="R3283" s="15"/>
      <c r="X3283" s="3"/>
      <c r="Z3283" s="28"/>
    </row>
    <row r="3284" spans="2:26">
      <c r="B3284" s="2"/>
      <c r="N3284" s="27"/>
      <c r="R3284" s="15"/>
      <c r="X3284" s="3"/>
      <c r="Z3284" s="28"/>
    </row>
    <row r="3285" spans="2:26">
      <c r="B3285" s="2"/>
      <c r="N3285" s="27"/>
      <c r="R3285" s="15"/>
      <c r="X3285" s="3"/>
      <c r="Z3285" s="28"/>
    </row>
    <row r="3286" spans="2:26">
      <c r="B3286" s="2"/>
      <c r="N3286" s="27"/>
      <c r="R3286" s="15"/>
      <c r="X3286" s="3"/>
      <c r="Z3286" s="28"/>
    </row>
    <row r="3287" spans="2:26">
      <c r="B3287" s="2"/>
      <c r="N3287" s="27"/>
      <c r="R3287" s="15"/>
      <c r="X3287" s="3"/>
      <c r="Z3287" s="28"/>
    </row>
    <row r="3288" spans="2:26">
      <c r="B3288" s="2"/>
      <c r="N3288" s="27"/>
      <c r="R3288" s="15"/>
      <c r="X3288" s="3"/>
      <c r="Z3288" s="28"/>
    </row>
    <row r="3289" spans="2:26">
      <c r="B3289" s="2"/>
      <c r="N3289" s="27"/>
      <c r="R3289" s="15"/>
      <c r="X3289" s="3"/>
      <c r="Z3289" s="28"/>
    </row>
    <row r="3290" spans="2:26">
      <c r="B3290" s="2"/>
      <c r="N3290" s="27"/>
      <c r="R3290" s="15"/>
      <c r="X3290" s="3"/>
      <c r="Z3290" s="28"/>
    </row>
    <row r="3291" spans="2:26">
      <c r="B3291" s="2"/>
      <c r="N3291" s="27"/>
      <c r="R3291" s="15"/>
      <c r="X3291" s="3"/>
      <c r="Z3291" s="28"/>
    </row>
    <row r="3292" spans="2:26">
      <c r="B3292" s="2"/>
      <c r="N3292" s="27"/>
      <c r="R3292" s="15"/>
      <c r="X3292" s="3"/>
      <c r="Z3292" s="28"/>
    </row>
    <row r="3293" spans="2:26">
      <c r="B3293" s="2"/>
      <c r="N3293" s="27"/>
      <c r="R3293" s="15"/>
      <c r="X3293" s="3"/>
      <c r="Z3293" s="28"/>
    </row>
    <row r="3294" spans="2:26">
      <c r="B3294" s="2"/>
      <c r="N3294" s="27"/>
      <c r="R3294" s="15"/>
      <c r="X3294" s="3"/>
      <c r="Z3294" s="28"/>
    </row>
    <row r="3295" spans="2:26">
      <c r="B3295" s="2"/>
      <c r="N3295" s="27"/>
      <c r="R3295" s="15"/>
      <c r="X3295" s="3"/>
      <c r="Z3295" s="28"/>
    </row>
    <row r="3296" spans="2:26">
      <c r="B3296" s="2"/>
      <c r="N3296" s="27"/>
      <c r="R3296" s="15"/>
      <c r="X3296" s="3"/>
      <c r="Z3296" s="28"/>
    </row>
    <row r="3297" spans="2:26">
      <c r="B3297" s="2"/>
      <c r="N3297" s="27"/>
      <c r="R3297" s="15"/>
      <c r="X3297" s="3"/>
      <c r="Z3297" s="28"/>
    </row>
    <row r="3298" spans="2:26">
      <c r="B3298" s="2"/>
      <c r="N3298" s="27"/>
      <c r="R3298" s="15"/>
      <c r="X3298" s="3"/>
      <c r="Z3298" s="28"/>
    </row>
    <row r="3299" spans="2:26">
      <c r="B3299" s="2"/>
      <c r="N3299" s="27"/>
      <c r="R3299" s="15"/>
      <c r="X3299" s="3"/>
      <c r="Z3299" s="28"/>
    </row>
    <row r="3300" spans="2:26">
      <c r="B3300" s="2"/>
      <c r="N3300" s="27"/>
      <c r="R3300" s="15"/>
      <c r="X3300" s="3"/>
      <c r="Z3300" s="28"/>
    </row>
    <row r="3301" spans="2:26">
      <c r="B3301" s="2"/>
      <c r="N3301" s="27"/>
      <c r="R3301" s="15"/>
      <c r="X3301" s="3"/>
      <c r="Z3301" s="28"/>
    </row>
    <row r="3302" spans="2:26">
      <c r="B3302" s="2"/>
      <c r="N3302" s="27"/>
      <c r="R3302" s="15"/>
      <c r="X3302" s="3"/>
      <c r="Z3302" s="28"/>
    </row>
    <row r="3303" spans="2:26">
      <c r="B3303" s="2"/>
      <c r="N3303" s="27"/>
      <c r="R3303" s="15"/>
      <c r="X3303" s="3"/>
      <c r="Z3303" s="28"/>
    </row>
    <row r="3304" spans="2:26">
      <c r="B3304" s="2"/>
      <c r="N3304" s="27"/>
      <c r="R3304" s="15"/>
      <c r="X3304" s="3"/>
      <c r="Z3304" s="28"/>
    </row>
    <row r="3305" spans="2:26">
      <c r="B3305" s="2"/>
      <c r="N3305" s="27"/>
      <c r="R3305" s="15"/>
      <c r="X3305" s="3"/>
      <c r="Z3305" s="28"/>
    </row>
    <row r="3306" spans="2:26">
      <c r="B3306" s="2"/>
      <c r="N3306" s="27"/>
      <c r="R3306" s="15"/>
      <c r="X3306" s="3"/>
      <c r="Z3306" s="28"/>
    </row>
    <row r="3307" spans="2:26">
      <c r="B3307" s="2"/>
      <c r="N3307" s="27"/>
      <c r="R3307" s="15"/>
      <c r="X3307" s="3"/>
      <c r="Z3307" s="28"/>
    </row>
    <row r="3308" spans="2:26">
      <c r="B3308" s="2"/>
      <c r="N3308" s="27"/>
      <c r="R3308" s="15"/>
      <c r="X3308" s="3"/>
      <c r="Z3308" s="28"/>
    </row>
    <row r="3309" spans="2:26">
      <c r="B3309" s="2"/>
      <c r="N3309" s="27"/>
      <c r="R3309" s="15"/>
      <c r="X3309" s="3"/>
      <c r="Z3309" s="28"/>
    </row>
    <row r="3310" spans="2:26">
      <c r="B3310" s="2"/>
      <c r="N3310" s="27"/>
      <c r="R3310" s="15"/>
      <c r="X3310" s="3"/>
      <c r="Z3310" s="28"/>
    </row>
    <row r="3311" spans="2:26">
      <c r="B3311" s="2"/>
      <c r="N3311" s="27"/>
      <c r="R3311" s="15"/>
      <c r="X3311" s="3"/>
      <c r="Z3311" s="28"/>
    </row>
    <row r="3312" spans="2:26">
      <c r="B3312" s="2"/>
      <c r="N3312" s="27"/>
      <c r="R3312" s="15"/>
      <c r="X3312" s="3"/>
      <c r="Z3312" s="28"/>
    </row>
    <row r="3313" spans="2:26">
      <c r="B3313" s="2"/>
      <c r="N3313" s="27"/>
      <c r="R3313" s="15"/>
      <c r="X3313" s="3"/>
      <c r="Z3313" s="28"/>
    </row>
    <row r="3314" spans="2:26">
      <c r="B3314" s="2"/>
      <c r="N3314" s="27"/>
      <c r="R3314" s="15"/>
      <c r="X3314" s="3"/>
      <c r="Z3314" s="28"/>
    </row>
    <row r="3315" spans="2:26">
      <c r="B3315" s="2"/>
      <c r="N3315" s="27"/>
      <c r="R3315" s="15"/>
      <c r="X3315" s="3"/>
      <c r="Z3315" s="28"/>
    </row>
    <row r="3316" spans="2:26">
      <c r="B3316" s="2"/>
      <c r="N3316" s="27"/>
      <c r="R3316" s="15"/>
      <c r="X3316" s="3"/>
      <c r="Z3316" s="28"/>
    </row>
    <row r="3317" spans="2:26">
      <c r="B3317" s="2"/>
      <c r="N3317" s="27"/>
      <c r="R3317" s="15"/>
      <c r="X3317" s="3"/>
      <c r="Z3317" s="28"/>
    </row>
    <row r="3318" spans="2:26">
      <c r="B3318" s="2"/>
      <c r="N3318" s="27"/>
      <c r="R3318" s="15"/>
      <c r="X3318" s="3"/>
      <c r="Z3318" s="28"/>
    </row>
    <row r="3319" spans="2:26">
      <c r="B3319" s="2"/>
      <c r="N3319" s="27"/>
      <c r="R3319" s="15"/>
      <c r="X3319" s="3"/>
      <c r="Z3319" s="28"/>
    </row>
    <row r="3320" spans="2:26">
      <c r="B3320" s="2"/>
      <c r="N3320" s="27"/>
      <c r="R3320" s="15"/>
      <c r="X3320" s="3"/>
      <c r="Z3320" s="28"/>
    </row>
    <row r="3321" spans="2:26">
      <c r="B3321" s="2"/>
      <c r="N3321" s="27"/>
      <c r="R3321" s="15"/>
      <c r="X3321" s="3"/>
      <c r="Z3321" s="28"/>
    </row>
    <row r="3322" spans="2:26">
      <c r="B3322" s="2"/>
      <c r="N3322" s="27"/>
      <c r="R3322" s="15"/>
      <c r="X3322" s="3"/>
      <c r="Z3322" s="28"/>
    </row>
    <row r="3323" spans="2:26">
      <c r="B3323" s="2"/>
      <c r="N3323" s="27"/>
      <c r="R3323" s="15"/>
      <c r="X3323" s="3"/>
      <c r="Z3323" s="28"/>
    </row>
    <row r="3324" spans="2:26">
      <c r="B3324" s="2"/>
      <c r="N3324" s="27"/>
      <c r="R3324" s="15"/>
      <c r="X3324" s="3"/>
      <c r="Z3324" s="28"/>
    </row>
    <row r="3325" spans="2:26">
      <c r="B3325" s="2"/>
      <c r="N3325" s="27"/>
      <c r="R3325" s="15"/>
      <c r="X3325" s="3"/>
      <c r="Z3325" s="28"/>
    </row>
    <row r="3326" spans="2:26">
      <c r="B3326" s="2"/>
      <c r="N3326" s="27"/>
      <c r="R3326" s="15"/>
      <c r="X3326" s="3"/>
      <c r="Z3326" s="28"/>
    </row>
    <row r="3327" spans="2:26">
      <c r="B3327" s="2"/>
      <c r="N3327" s="27"/>
      <c r="R3327" s="15"/>
      <c r="X3327" s="3"/>
      <c r="Z3327" s="28"/>
    </row>
    <row r="3328" spans="2:26">
      <c r="B3328" s="2"/>
      <c r="N3328" s="27"/>
      <c r="R3328" s="15"/>
      <c r="X3328" s="3"/>
      <c r="Z3328" s="28"/>
    </row>
    <row r="3329" spans="2:26">
      <c r="B3329" s="2"/>
      <c r="N3329" s="27"/>
      <c r="R3329" s="15"/>
      <c r="X3329" s="3"/>
      <c r="Z3329" s="28"/>
    </row>
    <row r="3330" spans="2:26">
      <c r="B3330" s="2"/>
      <c r="N3330" s="27"/>
      <c r="R3330" s="15"/>
      <c r="X3330" s="3"/>
      <c r="Z3330" s="28"/>
    </row>
    <row r="3331" spans="2:26">
      <c r="B3331" s="2"/>
      <c r="N3331" s="27"/>
      <c r="R3331" s="15"/>
      <c r="X3331" s="3"/>
      <c r="Z3331" s="28"/>
    </row>
    <row r="3332" spans="2:26">
      <c r="B3332" s="2"/>
      <c r="N3332" s="27"/>
      <c r="R3332" s="15"/>
      <c r="X3332" s="3"/>
      <c r="Z3332" s="28"/>
    </row>
    <row r="3333" spans="2:26">
      <c r="B3333" s="2"/>
      <c r="N3333" s="27"/>
      <c r="R3333" s="15"/>
      <c r="X3333" s="3"/>
      <c r="Z3333" s="28"/>
    </row>
    <row r="3334" spans="2:26">
      <c r="B3334" s="2"/>
      <c r="N3334" s="27"/>
      <c r="R3334" s="15"/>
      <c r="X3334" s="3"/>
      <c r="Z3334" s="28"/>
    </row>
    <row r="3335" spans="2:26">
      <c r="B3335" s="2"/>
      <c r="N3335" s="27"/>
      <c r="R3335" s="15"/>
      <c r="X3335" s="3"/>
      <c r="Z3335" s="28"/>
    </row>
    <row r="3336" spans="2:26">
      <c r="B3336" s="2"/>
      <c r="N3336" s="27"/>
      <c r="R3336" s="15"/>
      <c r="X3336" s="3"/>
      <c r="Z3336" s="28"/>
    </row>
    <row r="3337" spans="2:26">
      <c r="B3337" s="2"/>
      <c r="N3337" s="27"/>
      <c r="R3337" s="15"/>
      <c r="X3337" s="3"/>
      <c r="Z3337" s="28"/>
    </row>
    <row r="3338" spans="2:26">
      <c r="B3338" s="2"/>
      <c r="N3338" s="27"/>
      <c r="R3338" s="15"/>
      <c r="X3338" s="3"/>
      <c r="Z3338" s="28"/>
    </row>
    <row r="3339" spans="2:26">
      <c r="B3339" s="2"/>
      <c r="N3339" s="27"/>
      <c r="R3339" s="15"/>
      <c r="X3339" s="3"/>
      <c r="Z3339" s="28"/>
    </row>
    <row r="3340" spans="2:26">
      <c r="B3340" s="2"/>
      <c r="N3340" s="27"/>
      <c r="R3340" s="15"/>
      <c r="X3340" s="3"/>
      <c r="Z3340" s="28"/>
    </row>
    <row r="3341" spans="2:26">
      <c r="B3341" s="2"/>
      <c r="N3341" s="27"/>
      <c r="R3341" s="15"/>
      <c r="X3341" s="3"/>
      <c r="Z3341" s="28"/>
    </row>
    <row r="3342" spans="2:26">
      <c r="B3342" s="2"/>
      <c r="N3342" s="27"/>
      <c r="R3342" s="15"/>
      <c r="X3342" s="3"/>
      <c r="Z3342" s="28"/>
    </row>
    <row r="3343" spans="2:26">
      <c r="B3343" s="2"/>
      <c r="N3343" s="27"/>
      <c r="R3343" s="15"/>
      <c r="X3343" s="3"/>
      <c r="Z3343" s="28"/>
    </row>
    <row r="3344" spans="2:26">
      <c r="B3344" s="2"/>
      <c r="N3344" s="27"/>
      <c r="R3344" s="15"/>
      <c r="X3344" s="3"/>
      <c r="Z3344" s="28"/>
    </row>
    <row r="3345" spans="2:26">
      <c r="B3345" s="2"/>
      <c r="N3345" s="27"/>
      <c r="R3345" s="15"/>
      <c r="X3345" s="3"/>
      <c r="Z3345" s="28"/>
    </row>
    <row r="3346" spans="2:26">
      <c r="B3346" s="2"/>
      <c r="N3346" s="27"/>
      <c r="R3346" s="15"/>
      <c r="X3346" s="3"/>
      <c r="Z3346" s="28"/>
    </row>
    <row r="3347" spans="2:26">
      <c r="B3347" s="2"/>
      <c r="N3347" s="27"/>
      <c r="R3347" s="15"/>
      <c r="X3347" s="3"/>
      <c r="Z3347" s="28"/>
    </row>
    <row r="3348" spans="2:26">
      <c r="B3348" s="2"/>
      <c r="N3348" s="27"/>
      <c r="R3348" s="15"/>
      <c r="X3348" s="3"/>
      <c r="Z3348" s="28"/>
    </row>
    <row r="3349" spans="2:26">
      <c r="B3349" s="2"/>
      <c r="N3349" s="27"/>
      <c r="R3349" s="15"/>
      <c r="X3349" s="3"/>
      <c r="Z3349" s="28"/>
    </row>
    <row r="3350" spans="2:26">
      <c r="B3350" s="2"/>
      <c r="N3350" s="27"/>
      <c r="R3350" s="15"/>
      <c r="X3350" s="3"/>
      <c r="Z3350" s="28"/>
    </row>
    <row r="3351" spans="2:26">
      <c r="B3351" s="2"/>
      <c r="N3351" s="27"/>
      <c r="R3351" s="15"/>
      <c r="X3351" s="3"/>
      <c r="Z3351" s="28"/>
    </row>
    <row r="3352" spans="2:26">
      <c r="B3352" s="2"/>
      <c r="N3352" s="27"/>
      <c r="R3352" s="15"/>
      <c r="X3352" s="3"/>
      <c r="Z3352" s="28"/>
    </row>
    <row r="3353" spans="2:26">
      <c r="B3353" s="2"/>
      <c r="N3353" s="27"/>
      <c r="R3353" s="15"/>
      <c r="X3353" s="3"/>
      <c r="Z3353" s="28"/>
    </row>
    <row r="3354" spans="2:26">
      <c r="B3354" s="2"/>
      <c r="N3354" s="27"/>
      <c r="R3354" s="15"/>
      <c r="X3354" s="3"/>
      <c r="Z3354" s="28"/>
    </row>
    <row r="3355" spans="2:26">
      <c r="B3355" s="2"/>
      <c r="N3355" s="27"/>
      <c r="R3355" s="15"/>
      <c r="X3355" s="3"/>
      <c r="Z3355" s="28"/>
    </row>
    <row r="3356" spans="2:26">
      <c r="B3356" s="2"/>
      <c r="N3356" s="27"/>
      <c r="R3356" s="15"/>
      <c r="X3356" s="3"/>
      <c r="Z3356" s="28"/>
    </row>
    <row r="3357" spans="2:26">
      <c r="B3357" s="2"/>
      <c r="N3357" s="27"/>
      <c r="R3357" s="15"/>
      <c r="X3357" s="3"/>
      <c r="Z3357" s="28"/>
    </row>
    <row r="3358" spans="2:26">
      <c r="B3358" s="2"/>
      <c r="N3358" s="27"/>
      <c r="R3358" s="15"/>
      <c r="X3358" s="3"/>
      <c r="Z3358" s="28"/>
    </row>
    <row r="3359" spans="2:26">
      <c r="B3359" s="2"/>
      <c r="N3359" s="27"/>
      <c r="R3359" s="15"/>
      <c r="X3359" s="3"/>
      <c r="Z3359" s="28"/>
    </row>
    <row r="3360" spans="2:26">
      <c r="B3360" s="2"/>
      <c r="N3360" s="27"/>
      <c r="R3360" s="15"/>
      <c r="X3360" s="3"/>
      <c r="Z3360" s="28"/>
    </row>
    <row r="3361" spans="2:26">
      <c r="B3361" s="2"/>
      <c r="N3361" s="27"/>
      <c r="R3361" s="15"/>
      <c r="X3361" s="3"/>
      <c r="Z3361" s="28"/>
    </row>
    <row r="3362" spans="2:26">
      <c r="B3362" s="2"/>
      <c r="N3362" s="27"/>
      <c r="R3362" s="15"/>
      <c r="X3362" s="3"/>
      <c r="Z3362" s="28"/>
    </row>
    <row r="3363" spans="2:26">
      <c r="B3363" s="2"/>
      <c r="N3363" s="27"/>
      <c r="R3363" s="15"/>
      <c r="X3363" s="3"/>
      <c r="Z3363" s="28"/>
    </row>
    <row r="3364" spans="2:26">
      <c r="B3364" s="2"/>
      <c r="N3364" s="27"/>
      <c r="R3364" s="15"/>
      <c r="X3364" s="3"/>
      <c r="Z3364" s="28"/>
    </row>
    <row r="3365" spans="2:26">
      <c r="B3365" s="2"/>
      <c r="N3365" s="27"/>
      <c r="R3365" s="15"/>
      <c r="X3365" s="3"/>
      <c r="Z3365" s="28"/>
    </row>
    <row r="3366" spans="2:26">
      <c r="B3366" s="2"/>
      <c r="N3366" s="27"/>
      <c r="R3366" s="15"/>
      <c r="X3366" s="3"/>
      <c r="Z3366" s="28"/>
    </row>
    <row r="3367" spans="2:26">
      <c r="B3367" s="2"/>
      <c r="N3367" s="27"/>
      <c r="R3367" s="15"/>
      <c r="X3367" s="3"/>
      <c r="Z3367" s="28"/>
    </row>
    <row r="3368" spans="2:26">
      <c r="B3368" s="2"/>
      <c r="N3368" s="27"/>
      <c r="R3368" s="15"/>
      <c r="X3368" s="3"/>
      <c r="Z3368" s="28"/>
    </row>
    <row r="3369" spans="2:26">
      <c r="B3369" s="2"/>
      <c r="N3369" s="27"/>
      <c r="R3369" s="15"/>
      <c r="X3369" s="3"/>
      <c r="Z3369" s="28"/>
    </row>
    <row r="3370" spans="2:26">
      <c r="B3370" s="2"/>
      <c r="N3370" s="27"/>
      <c r="R3370" s="15"/>
      <c r="X3370" s="3"/>
      <c r="Z3370" s="28"/>
    </row>
    <row r="3371" spans="2:26">
      <c r="B3371" s="2"/>
      <c r="N3371" s="27"/>
      <c r="R3371" s="15"/>
      <c r="X3371" s="3"/>
      <c r="Z3371" s="28"/>
    </row>
    <row r="3372" spans="2:26">
      <c r="B3372" s="2"/>
      <c r="N3372" s="27"/>
      <c r="R3372" s="15"/>
      <c r="X3372" s="3"/>
      <c r="Z3372" s="28"/>
    </row>
    <row r="3373" spans="2:26">
      <c r="B3373" s="2"/>
      <c r="N3373" s="27"/>
      <c r="R3373" s="15"/>
      <c r="X3373" s="3"/>
      <c r="Z3373" s="28"/>
    </row>
    <row r="3374" spans="2:26">
      <c r="B3374" s="2"/>
      <c r="N3374" s="27"/>
      <c r="R3374" s="15"/>
      <c r="X3374" s="3"/>
      <c r="Z3374" s="28"/>
    </row>
    <row r="3375" spans="2:26">
      <c r="B3375" s="2"/>
      <c r="N3375" s="27"/>
      <c r="R3375" s="15"/>
      <c r="X3375" s="3"/>
      <c r="Z3375" s="28"/>
    </row>
    <row r="3376" spans="2:26">
      <c r="B3376" s="2"/>
      <c r="N3376" s="27"/>
      <c r="R3376" s="15"/>
      <c r="X3376" s="3"/>
      <c r="Z3376" s="28"/>
    </row>
    <row r="3377" spans="2:26">
      <c r="B3377" s="2"/>
      <c r="N3377" s="27"/>
      <c r="R3377" s="15"/>
      <c r="X3377" s="3"/>
      <c r="Z3377" s="28"/>
    </row>
    <row r="3378" spans="2:26">
      <c r="B3378" s="2"/>
      <c r="N3378" s="27"/>
      <c r="R3378" s="15"/>
      <c r="X3378" s="3"/>
      <c r="Z3378" s="28"/>
    </row>
    <row r="3379" spans="2:26">
      <c r="B3379" s="2"/>
      <c r="N3379" s="27"/>
      <c r="R3379" s="15"/>
      <c r="X3379" s="3"/>
      <c r="Z3379" s="28"/>
    </row>
    <row r="3380" spans="2:26">
      <c r="B3380" s="2"/>
      <c r="N3380" s="27"/>
      <c r="R3380" s="15"/>
      <c r="X3380" s="3"/>
      <c r="Z3380" s="28"/>
    </row>
    <row r="3381" spans="2:26">
      <c r="B3381" s="2"/>
      <c r="N3381" s="27"/>
      <c r="R3381" s="15"/>
      <c r="X3381" s="3"/>
      <c r="Z3381" s="28"/>
    </row>
    <row r="3382" spans="2:26">
      <c r="B3382" s="2"/>
      <c r="N3382" s="27"/>
      <c r="R3382" s="15"/>
      <c r="X3382" s="3"/>
      <c r="Z3382" s="28"/>
    </row>
    <row r="3383" spans="2:26">
      <c r="B3383" s="2"/>
      <c r="N3383" s="27"/>
      <c r="R3383" s="15"/>
      <c r="X3383" s="3"/>
      <c r="Z3383" s="28"/>
    </row>
    <row r="3384" spans="2:26">
      <c r="B3384" s="2"/>
      <c r="N3384" s="27"/>
      <c r="R3384" s="15"/>
      <c r="X3384" s="3"/>
      <c r="Z3384" s="28"/>
    </row>
    <row r="3385" spans="2:26">
      <c r="B3385" s="2"/>
      <c r="N3385" s="27"/>
      <c r="R3385" s="15"/>
      <c r="X3385" s="3"/>
      <c r="Z3385" s="28"/>
    </row>
    <row r="3386" spans="2:26">
      <c r="B3386" s="2"/>
      <c r="N3386" s="27"/>
      <c r="R3386" s="15"/>
      <c r="X3386" s="3"/>
      <c r="Z3386" s="28"/>
    </row>
    <row r="3387" spans="2:26">
      <c r="B3387" s="2"/>
      <c r="N3387" s="27"/>
      <c r="R3387" s="15"/>
      <c r="X3387" s="3"/>
      <c r="Z3387" s="28"/>
    </row>
    <row r="3388" spans="2:26">
      <c r="B3388" s="2"/>
      <c r="N3388" s="27"/>
      <c r="R3388" s="15"/>
      <c r="X3388" s="3"/>
      <c r="Z3388" s="28"/>
    </row>
    <row r="3389" spans="2:26">
      <c r="B3389" s="2"/>
      <c r="N3389" s="27"/>
      <c r="R3389" s="15"/>
      <c r="X3389" s="3"/>
      <c r="Z3389" s="28"/>
    </row>
    <row r="3390" spans="2:26">
      <c r="B3390" s="2"/>
      <c r="N3390" s="27"/>
      <c r="R3390" s="15"/>
      <c r="X3390" s="3"/>
      <c r="Z3390" s="28"/>
    </row>
    <row r="3391" spans="2:26">
      <c r="B3391" s="2"/>
      <c r="N3391" s="27"/>
      <c r="R3391" s="15"/>
      <c r="X3391" s="3"/>
      <c r="Z3391" s="28"/>
    </row>
    <row r="3392" spans="2:26">
      <c r="B3392" s="2"/>
      <c r="N3392" s="27"/>
      <c r="R3392" s="15"/>
      <c r="X3392" s="3"/>
      <c r="Z3392" s="28"/>
    </row>
    <row r="3393" spans="2:26">
      <c r="B3393" s="2"/>
      <c r="N3393" s="27"/>
      <c r="R3393" s="15"/>
      <c r="X3393" s="3"/>
      <c r="Z3393" s="28"/>
    </row>
    <row r="3394" spans="2:26">
      <c r="B3394" s="2"/>
      <c r="N3394" s="27"/>
      <c r="R3394" s="15"/>
      <c r="X3394" s="3"/>
      <c r="Z3394" s="28"/>
    </row>
    <row r="3395" spans="2:26">
      <c r="B3395" s="2"/>
      <c r="N3395" s="27"/>
      <c r="R3395" s="15"/>
      <c r="X3395" s="3"/>
      <c r="Z3395" s="28"/>
    </row>
    <row r="3396" spans="2:26">
      <c r="B3396" s="2"/>
      <c r="N3396" s="27"/>
      <c r="R3396" s="15"/>
      <c r="X3396" s="3"/>
      <c r="Z3396" s="28"/>
    </row>
    <row r="3397" spans="2:26">
      <c r="B3397" s="2"/>
      <c r="N3397" s="27"/>
      <c r="R3397" s="15"/>
      <c r="X3397" s="3"/>
      <c r="Z3397" s="28"/>
    </row>
    <row r="3398" spans="2:26">
      <c r="B3398" s="2"/>
      <c r="N3398" s="27"/>
      <c r="R3398" s="15"/>
      <c r="X3398" s="3"/>
      <c r="Z3398" s="28"/>
    </row>
    <row r="3399" spans="2:26">
      <c r="B3399" s="2"/>
      <c r="N3399" s="27"/>
      <c r="R3399" s="15"/>
      <c r="X3399" s="3"/>
      <c r="Z3399" s="28"/>
    </row>
    <row r="3400" spans="2:26">
      <c r="B3400" s="2"/>
      <c r="N3400" s="27"/>
      <c r="R3400" s="15"/>
      <c r="X3400" s="3"/>
      <c r="Z3400" s="28"/>
    </row>
    <row r="3401" spans="2:26">
      <c r="B3401" s="2"/>
      <c r="N3401" s="27"/>
      <c r="R3401" s="15"/>
      <c r="X3401" s="3"/>
      <c r="Z3401" s="28"/>
    </row>
    <row r="3402" spans="2:26">
      <c r="B3402" s="2"/>
      <c r="N3402" s="27"/>
      <c r="R3402" s="15"/>
      <c r="X3402" s="3"/>
      <c r="Z3402" s="28"/>
    </row>
    <row r="3403" spans="2:26">
      <c r="B3403" s="2"/>
      <c r="N3403" s="27"/>
      <c r="R3403" s="15"/>
      <c r="X3403" s="3"/>
      <c r="Z3403" s="28"/>
    </row>
    <row r="3404" spans="2:26">
      <c r="B3404" s="2"/>
      <c r="N3404" s="27"/>
      <c r="R3404" s="15"/>
      <c r="X3404" s="3"/>
      <c r="Z3404" s="28"/>
    </row>
    <row r="3405" spans="2:26">
      <c r="B3405" s="2"/>
      <c r="N3405" s="27"/>
      <c r="R3405" s="15"/>
      <c r="X3405" s="3"/>
      <c r="Z3405" s="28"/>
    </row>
    <row r="3406" spans="2:26">
      <c r="B3406" s="2"/>
      <c r="N3406" s="27"/>
      <c r="R3406" s="15"/>
      <c r="X3406" s="3"/>
      <c r="Z3406" s="28"/>
    </row>
    <row r="3407" spans="2:26">
      <c r="B3407" s="2"/>
      <c r="N3407" s="27"/>
      <c r="R3407" s="15"/>
      <c r="X3407" s="3"/>
      <c r="Z3407" s="28"/>
    </row>
    <row r="3408" spans="2:26">
      <c r="B3408" s="2"/>
      <c r="N3408" s="27"/>
      <c r="R3408" s="15"/>
      <c r="X3408" s="3"/>
      <c r="Z3408" s="28"/>
    </row>
    <row r="3409" spans="2:26">
      <c r="B3409" s="2"/>
      <c r="N3409" s="27"/>
      <c r="R3409" s="15"/>
      <c r="X3409" s="3"/>
      <c r="Z3409" s="28"/>
    </row>
    <row r="3410" spans="2:26">
      <c r="B3410" s="2"/>
      <c r="N3410" s="27"/>
      <c r="R3410" s="15"/>
      <c r="X3410" s="3"/>
      <c r="Z3410" s="28"/>
    </row>
    <row r="3411" spans="2:26">
      <c r="B3411" s="2"/>
      <c r="N3411" s="27"/>
      <c r="R3411" s="15"/>
      <c r="X3411" s="3"/>
      <c r="Z3411" s="28"/>
    </row>
    <row r="3412" spans="2:26">
      <c r="B3412" s="2"/>
      <c r="N3412" s="27"/>
      <c r="R3412" s="15"/>
      <c r="X3412" s="3"/>
      <c r="Z3412" s="28"/>
    </row>
    <row r="3413" spans="2:26">
      <c r="B3413" s="2"/>
      <c r="N3413" s="27"/>
      <c r="R3413" s="15"/>
      <c r="X3413" s="3"/>
      <c r="Z3413" s="28"/>
    </row>
    <row r="3414" spans="2:26">
      <c r="B3414" s="2"/>
      <c r="N3414" s="27"/>
      <c r="R3414" s="15"/>
      <c r="X3414" s="3"/>
      <c r="Z3414" s="28"/>
    </row>
    <row r="3415" spans="2:26">
      <c r="B3415" s="2"/>
      <c r="N3415" s="27"/>
      <c r="R3415" s="15"/>
      <c r="X3415" s="3"/>
      <c r="Z3415" s="28"/>
    </row>
    <row r="3416" spans="2:26">
      <c r="B3416" s="2"/>
      <c r="N3416" s="27"/>
      <c r="R3416" s="15"/>
      <c r="X3416" s="3"/>
      <c r="Z3416" s="28"/>
    </row>
    <row r="3417" spans="2:26">
      <c r="B3417" s="2"/>
      <c r="N3417" s="27"/>
      <c r="R3417" s="15"/>
      <c r="X3417" s="3"/>
      <c r="Z3417" s="28"/>
    </row>
    <row r="3418" spans="2:26">
      <c r="B3418" s="2"/>
      <c r="N3418" s="27"/>
      <c r="R3418" s="15"/>
      <c r="X3418" s="3"/>
      <c r="Z3418" s="28"/>
    </row>
    <row r="3419" spans="2:26">
      <c r="B3419" s="2"/>
      <c r="N3419" s="27"/>
      <c r="R3419" s="15"/>
      <c r="X3419" s="3"/>
      <c r="Z3419" s="28"/>
    </row>
    <row r="3420" spans="2:26">
      <c r="B3420" s="2"/>
      <c r="N3420" s="27"/>
      <c r="R3420" s="15"/>
      <c r="X3420" s="3"/>
      <c r="Z3420" s="28"/>
    </row>
    <row r="3421" spans="2:26">
      <c r="B3421" s="2"/>
      <c r="N3421" s="27"/>
      <c r="R3421" s="15"/>
      <c r="X3421" s="3"/>
      <c r="Z3421" s="28"/>
    </row>
    <row r="3422" spans="2:26">
      <c r="B3422" s="2"/>
      <c r="N3422" s="27"/>
      <c r="R3422" s="15"/>
      <c r="X3422" s="3"/>
      <c r="Z3422" s="28"/>
    </row>
    <row r="3423" spans="2:26">
      <c r="B3423" s="2"/>
      <c r="N3423" s="27"/>
      <c r="R3423" s="15"/>
      <c r="X3423" s="3"/>
      <c r="Z3423" s="28"/>
    </row>
    <row r="3424" spans="2:26">
      <c r="B3424" s="2"/>
      <c r="N3424" s="27"/>
      <c r="R3424" s="15"/>
      <c r="X3424" s="3"/>
      <c r="Z3424" s="28"/>
    </row>
    <row r="3425" spans="2:26">
      <c r="B3425" s="2"/>
      <c r="N3425" s="27"/>
      <c r="R3425" s="15"/>
      <c r="X3425" s="3"/>
      <c r="Z3425" s="28"/>
    </row>
    <row r="3426" spans="2:26">
      <c r="B3426" s="2"/>
      <c r="N3426" s="27"/>
      <c r="R3426" s="15"/>
      <c r="X3426" s="3"/>
      <c r="Z3426" s="28"/>
    </row>
    <row r="3427" spans="2:26">
      <c r="B3427" s="2"/>
      <c r="N3427" s="27"/>
      <c r="R3427" s="15"/>
      <c r="X3427" s="3"/>
      <c r="Z3427" s="28"/>
    </row>
    <row r="3428" spans="2:26">
      <c r="B3428" s="2"/>
      <c r="N3428" s="27"/>
      <c r="R3428" s="15"/>
      <c r="X3428" s="3"/>
      <c r="Z3428" s="28"/>
    </row>
    <row r="3429" spans="2:26">
      <c r="B3429" s="2"/>
      <c r="N3429" s="27"/>
      <c r="R3429" s="15"/>
      <c r="X3429" s="3"/>
      <c r="Z3429" s="28"/>
    </row>
    <row r="3430" spans="2:26">
      <c r="B3430" s="2"/>
      <c r="N3430" s="27"/>
      <c r="R3430" s="15"/>
      <c r="X3430" s="3"/>
      <c r="Z3430" s="28"/>
    </row>
    <row r="3431" spans="2:26">
      <c r="B3431" s="2"/>
      <c r="N3431" s="27"/>
      <c r="R3431" s="15"/>
      <c r="X3431" s="3"/>
      <c r="Z3431" s="28"/>
    </row>
    <row r="3432" spans="2:26">
      <c r="B3432" s="2"/>
      <c r="N3432" s="27"/>
      <c r="R3432" s="15"/>
      <c r="X3432" s="3"/>
      <c r="Z3432" s="28"/>
    </row>
    <row r="3433" spans="2:26">
      <c r="B3433" s="2"/>
      <c r="N3433" s="27"/>
      <c r="R3433" s="15"/>
      <c r="X3433" s="3"/>
      <c r="Z3433" s="28"/>
    </row>
    <row r="3434" spans="2:26">
      <c r="B3434" s="2"/>
      <c r="N3434" s="27"/>
      <c r="R3434" s="15"/>
      <c r="X3434" s="3"/>
      <c r="Z3434" s="28"/>
    </row>
    <row r="3435" spans="2:26">
      <c r="B3435" s="2"/>
      <c r="N3435" s="27"/>
      <c r="R3435" s="15"/>
      <c r="X3435" s="3"/>
      <c r="Z3435" s="28"/>
    </row>
    <row r="3436" spans="2:26">
      <c r="B3436" s="2"/>
      <c r="N3436" s="27"/>
      <c r="R3436" s="15"/>
      <c r="X3436" s="3"/>
      <c r="Z3436" s="28"/>
    </row>
    <row r="3437" spans="2:26">
      <c r="B3437" s="2"/>
      <c r="N3437" s="27"/>
      <c r="R3437" s="15"/>
      <c r="X3437" s="3"/>
      <c r="Z3437" s="28"/>
    </row>
    <row r="3438" spans="2:26">
      <c r="B3438" s="2"/>
      <c r="N3438" s="27"/>
      <c r="R3438" s="15"/>
      <c r="X3438" s="3"/>
      <c r="Z3438" s="28"/>
    </row>
    <row r="3439" spans="2:26">
      <c r="B3439" s="2"/>
      <c r="N3439" s="27"/>
      <c r="R3439" s="15"/>
      <c r="X3439" s="3"/>
      <c r="Z3439" s="28"/>
    </row>
    <row r="3440" spans="2:26">
      <c r="B3440" s="2"/>
      <c r="N3440" s="27"/>
      <c r="R3440" s="15"/>
      <c r="X3440" s="3"/>
      <c r="Z3440" s="28"/>
    </row>
    <row r="3441" spans="2:26">
      <c r="B3441" s="2"/>
      <c r="N3441" s="27"/>
      <c r="R3441" s="15"/>
      <c r="X3441" s="3"/>
      <c r="Z3441" s="28"/>
    </row>
    <row r="3442" spans="2:26">
      <c r="B3442" s="2"/>
      <c r="N3442" s="27"/>
      <c r="R3442" s="15"/>
      <c r="X3442" s="3"/>
      <c r="Z3442" s="28"/>
    </row>
    <row r="3443" spans="2:26">
      <c r="B3443" s="2"/>
      <c r="N3443" s="27"/>
      <c r="R3443" s="15"/>
      <c r="X3443" s="3"/>
      <c r="Z3443" s="28"/>
    </row>
    <row r="3444" spans="2:26">
      <c r="B3444" s="2"/>
      <c r="N3444" s="27"/>
      <c r="R3444" s="15"/>
      <c r="X3444" s="3"/>
      <c r="Z3444" s="28"/>
    </row>
    <row r="3445" spans="2:26">
      <c r="B3445" s="2"/>
      <c r="N3445" s="27"/>
      <c r="R3445" s="15"/>
      <c r="X3445" s="3"/>
      <c r="Z3445" s="28"/>
    </row>
    <row r="3446" spans="2:26">
      <c r="B3446" s="2"/>
      <c r="N3446" s="27"/>
      <c r="R3446" s="15"/>
      <c r="X3446" s="3"/>
      <c r="Z3446" s="28"/>
    </row>
    <row r="3447" spans="2:26">
      <c r="B3447" s="2"/>
      <c r="N3447" s="27"/>
      <c r="R3447" s="15"/>
      <c r="X3447" s="3"/>
      <c r="Z3447" s="28"/>
    </row>
    <row r="3448" spans="2:26">
      <c r="B3448" s="2"/>
      <c r="N3448" s="27"/>
      <c r="R3448" s="15"/>
      <c r="X3448" s="3"/>
      <c r="Z3448" s="28"/>
    </row>
    <row r="3449" spans="2:26">
      <c r="B3449" s="2"/>
      <c r="N3449" s="27"/>
      <c r="R3449" s="15"/>
      <c r="X3449" s="3"/>
      <c r="Z3449" s="28"/>
    </row>
    <row r="3450" spans="2:26">
      <c r="B3450" s="2"/>
      <c r="N3450" s="27"/>
      <c r="R3450" s="15"/>
      <c r="X3450" s="3"/>
      <c r="Z3450" s="28"/>
    </row>
    <row r="3451" spans="2:26">
      <c r="B3451" s="2"/>
      <c r="N3451" s="27"/>
      <c r="R3451" s="15"/>
      <c r="X3451" s="3"/>
      <c r="Z3451" s="28"/>
    </row>
    <row r="3452" spans="2:26">
      <c r="B3452" s="2"/>
      <c r="N3452" s="27"/>
      <c r="R3452" s="15"/>
      <c r="X3452" s="3"/>
      <c r="Z3452" s="28"/>
    </row>
    <row r="3453" spans="2:26">
      <c r="B3453" s="2"/>
      <c r="N3453" s="27"/>
      <c r="R3453" s="15"/>
      <c r="X3453" s="3"/>
      <c r="Z3453" s="28"/>
    </row>
    <row r="3454" spans="2:26">
      <c r="B3454" s="2"/>
      <c r="N3454" s="27"/>
      <c r="R3454" s="15"/>
      <c r="X3454" s="3"/>
      <c r="Z3454" s="28"/>
    </row>
    <row r="3455" spans="2:26">
      <c r="B3455" s="2"/>
      <c r="N3455" s="27"/>
      <c r="R3455" s="15"/>
      <c r="X3455" s="3"/>
      <c r="Z3455" s="28"/>
    </row>
    <row r="3456" spans="2:26">
      <c r="B3456" s="2"/>
      <c r="N3456" s="27"/>
      <c r="R3456" s="15"/>
      <c r="X3456" s="3"/>
      <c r="Z3456" s="28"/>
    </row>
    <row r="3457" spans="2:26">
      <c r="B3457" s="2"/>
      <c r="N3457" s="27"/>
      <c r="R3457" s="15"/>
      <c r="X3457" s="3"/>
      <c r="Z3457" s="28"/>
    </row>
    <row r="3458" spans="2:26">
      <c r="B3458" s="2"/>
      <c r="N3458" s="27"/>
      <c r="R3458" s="15"/>
      <c r="X3458" s="3"/>
      <c r="Z3458" s="28"/>
    </row>
    <row r="3459" spans="2:26">
      <c r="B3459" s="2"/>
      <c r="N3459" s="27"/>
      <c r="R3459" s="15"/>
      <c r="X3459" s="3"/>
      <c r="Z3459" s="28"/>
    </row>
    <row r="3460" spans="2:26">
      <c r="B3460" s="2"/>
      <c r="N3460" s="27"/>
      <c r="R3460" s="15"/>
      <c r="X3460" s="3"/>
      <c r="Z3460" s="28"/>
    </row>
    <row r="3461" spans="2:26">
      <c r="B3461" s="2"/>
      <c r="N3461" s="27"/>
      <c r="R3461" s="15"/>
      <c r="X3461" s="3"/>
      <c r="Z3461" s="28"/>
    </row>
    <row r="3462" spans="2:26">
      <c r="B3462" s="2"/>
      <c r="N3462" s="27"/>
      <c r="R3462" s="15"/>
      <c r="X3462" s="3"/>
      <c r="Z3462" s="28"/>
    </row>
    <row r="3463" spans="2:26">
      <c r="B3463" s="2"/>
      <c r="N3463" s="27"/>
      <c r="R3463" s="15"/>
      <c r="X3463" s="3"/>
      <c r="Z3463" s="28"/>
    </row>
    <row r="3464" spans="2:26">
      <c r="B3464" s="2"/>
      <c r="N3464" s="27"/>
      <c r="R3464" s="15"/>
      <c r="X3464" s="3"/>
      <c r="Z3464" s="28"/>
    </row>
    <row r="3465" spans="2:26">
      <c r="B3465" s="2"/>
      <c r="N3465" s="27"/>
      <c r="R3465" s="15"/>
      <c r="X3465" s="3"/>
      <c r="Z3465" s="28"/>
    </row>
    <row r="3466" spans="2:26">
      <c r="B3466" s="2"/>
      <c r="N3466" s="27"/>
      <c r="R3466" s="15"/>
      <c r="X3466" s="3"/>
      <c r="Z3466" s="28"/>
    </row>
    <row r="3467" spans="2:26">
      <c r="B3467" s="2"/>
      <c r="N3467" s="27"/>
      <c r="R3467" s="15"/>
      <c r="X3467" s="3"/>
      <c r="Z3467" s="28"/>
    </row>
    <row r="3468" spans="2:26">
      <c r="B3468" s="2"/>
      <c r="N3468" s="27"/>
      <c r="R3468" s="15"/>
      <c r="X3468" s="3"/>
      <c r="Z3468" s="28"/>
    </row>
    <row r="3469" spans="2:26">
      <c r="B3469" s="2"/>
      <c r="N3469" s="27"/>
      <c r="R3469" s="15"/>
      <c r="X3469" s="3"/>
      <c r="Z3469" s="28"/>
    </row>
    <row r="3470" spans="2:26">
      <c r="B3470" s="2"/>
      <c r="N3470" s="27"/>
      <c r="R3470" s="15"/>
      <c r="X3470" s="3"/>
      <c r="Z3470" s="28"/>
    </row>
    <row r="3471" spans="2:26">
      <c r="B3471" s="2"/>
      <c r="N3471" s="27"/>
      <c r="R3471" s="15"/>
      <c r="X3471" s="3"/>
      <c r="Z3471" s="28"/>
    </row>
    <row r="3472" spans="2:26">
      <c r="B3472" s="2"/>
      <c r="N3472" s="27"/>
      <c r="R3472" s="15"/>
      <c r="X3472" s="3"/>
      <c r="Z3472" s="28"/>
    </row>
    <row r="3473" spans="2:26">
      <c r="B3473" s="2"/>
      <c r="N3473" s="27"/>
      <c r="R3473" s="15"/>
      <c r="X3473" s="3"/>
      <c r="Z3473" s="28"/>
    </row>
    <row r="3474" spans="2:26">
      <c r="B3474" s="2"/>
      <c r="N3474" s="27"/>
      <c r="R3474" s="15"/>
      <c r="X3474" s="3"/>
      <c r="Z3474" s="28"/>
    </row>
    <row r="3475" spans="2:26">
      <c r="B3475" s="2"/>
      <c r="N3475" s="27"/>
      <c r="R3475" s="15"/>
      <c r="X3475" s="3"/>
      <c r="Z3475" s="28"/>
    </row>
    <row r="3476" spans="2:26">
      <c r="B3476" s="2"/>
      <c r="N3476" s="27"/>
      <c r="R3476" s="15"/>
      <c r="X3476" s="3"/>
      <c r="Z3476" s="28"/>
    </row>
    <row r="3477" spans="2:26">
      <c r="B3477" s="2"/>
      <c r="N3477" s="27"/>
      <c r="R3477" s="15"/>
      <c r="X3477" s="3"/>
      <c r="Z3477" s="28"/>
    </row>
    <row r="3478" spans="2:26">
      <c r="B3478" s="2"/>
      <c r="N3478" s="27"/>
      <c r="R3478" s="15"/>
      <c r="X3478" s="3"/>
      <c r="Z3478" s="28"/>
    </row>
    <row r="3479" spans="2:26">
      <c r="B3479" s="2"/>
      <c r="N3479" s="27"/>
      <c r="R3479" s="15"/>
      <c r="X3479" s="3"/>
      <c r="Z3479" s="28"/>
    </row>
    <row r="3480" spans="2:26">
      <c r="B3480" s="2"/>
      <c r="N3480" s="27"/>
      <c r="R3480" s="15"/>
      <c r="X3480" s="3"/>
      <c r="Z3480" s="28"/>
    </row>
    <row r="3481" spans="2:26">
      <c r="B3481" s="2"/>
      <c r="N3481" s="27"/>
      <c r="R3481" s="15"/>
      <c r="X3481" s="3"/>
      <c r="Z3481" s="28"/>
    </row>
    <row r="3482" spans="2:26">
      <c r="B3482" s="2"/>
      <c r="N3482" s="27"/>
      <c r="R3482" s="15"/>
      <c r="X3482" s="3"/>
      <c r="Z3482" s="28"/>
    </row>
    <row r="3483" spans="2:26">
      <c r="B3483" s="2"/>
      <c r="N3483" s="27"/>
      <c r="R3483" s="15"/>
      <c r="X3483" s="3"/>
      <c r="Z3483" s="28"/>
    </row>
    <row r="3484" spans="2:26">
      <c r="B3484" s="2"/>
      <c r="N3484" s="27"/>
      <c r="R3484" s="15"/>
      <c r="X3484" s="3"/>
      <c r="Z3484" s="28"/>
    </row>
    <row r="3485" spans="2:26">
      <c r="B3485" s="2"/>
      <c r="N3485" s="27"/>
      <c r="R3485" s="15"/>
      <c r="X3485" s="3"/>
      <c r="Z3485" s="28"/>
    </row>
    <row r="3486" spans="2:26">
      <c r="B3486" s="2"/>
      <c r="N3486" s="27"/>
      <c r="R3486" s="15"/>
      <c r="X3486" s="3"/>
      <c r="Z3486" s="28"/>
    </row>
    <row r="3487" spans="2:26">
      <c r="B3487" s="2"/>
      <c r="N3487" s="27"/>
      <c r="R3487" s="15"/>
      <c r="X3487" s="3"/>
      <c r="Z3487" s="28"/>
    </row>
    <row r="3488" spans="2:26">
      <c r="B3488" s="2"/>
      <c r="N3488" s="27"/>
      <c r="R3488" s="15"/>
      <c r="X3488" s="3"/>
      <c r="Z3488" s="28"/>
    </row>
    <row r="3489" spans="2:26">
      <c r="B3489" s="2"/>
      <c r="N3489" s="27"/>
      <c r="R3489" s="15"/>
      <c r="X3489" s="3"/>
      <c r="Z3489" s="28"/>
    </row>
    <row r="3490" spans="2:26">
      <c r="B3490" s="2"/>
      <c r="N3490" s="27"/>
      <c r="R3490" s="15"/>
      <c r="X3490" s="3"/>
      <c r="Z3490" s="28"/>
    </row>
    <row r="3491" spans="2:26">
      <c r="B3491" s="2"/>
      <c r="N3491" s="27"/>
      <c r="R3491" s="15"/>
      <c r="X3491" s="3"/>
      <c r="Z3491" s="28"/>
    </row>
    <row r="3492" spans="2:26">
      <c r="B3492" s="2"/>
      <c r="N3492" s="27"/>
      <c r="R3492" s="15"/>
      <c r="X3492" s="3"/>
      <c r="Z3492" s="28"/>
    </row>
    <row r="3493" spans="2:26">
      <c r="B3493" s="2"/>
      <c r="N3493" s="27"/>
      <c r="R3493" s="15"/>
      <c r="X3493" s="3"/>
      <c r="Z3493" s="28"/>
    </row>
    <row r="3494" spans="2:26">
      <c r="B3494" s="2"/>
      <c r="N3494" s="27"/>
      <c r="R3494" s="15"/>
      <c r="X3494" s="3"/>
      <c r="Z3494" s="28"/>
    </row>
    <row r="3495" spans="2:26">
      <c r="B3495" s="2"/>
      <c r="N3495" s="27"/>
      <c r="R3495" s="15"/>
      <c r="X3495" s="3"/>
      <c r="Z3495" s="28"/>
    </row>
    <row r="3496" spans="2:26">
      <c r="B3496" s="2"/>
      <c r="N3496" s="27"/>
      <c r="R3496" s="15"/>
      <c r="X3496" s="3"/>
      <c r="Z3496" s="28"/>
    </row>
    <row r="3497" spans="2:26">
      <c r="B3497" s="2"/>
      <c r="N3497" s="27"/>
      <c r="R3497" s="15"/>
      <c r="X3497" s="3"/>
      <c r="Z3497" s="28"/>
    </row>
    <row r="3498" spans="2:26">
      <c r="B3498" s="2"/>
      <c r="N3498" s="27"/>
      <c r="R3498" s="15"/>
      <c r="X3498" s="3"/>
      <c r="Z3498" s="28"/>
    </row>
    <row r="3499" spans="2:26">
      <c r="B3499" s="2"/>
      <c r="N3499" s="27"/>
      <c r="R3499" s="15"/>
      <c r="X3499" s="3"/>
      <c r="Z3499" s="28"/>
    </row>
    <row r="3500" spans="2:26">
      <c r="B3500" s="2"/>
      <c r="N3500" s="27"/>
      <c r="R3500" s="15"/>
      <c r="X3500" s="3"/>
      <c r="Z3500" s="28"/>
    </row>
    <row r="3501" spans="2:26">
      <c r="B3501" s="2"/>
      <c r="N3501" s="27"/>
      <c r="R3501" s="15"/>
      <c r="X3501" s="3"/>
      <c r="Z3501" s="28"/>
    </row>
    <row r="3502" spans="2:26">
      <c r="B3502" s="2"/>
      <c r="N3502" s="27"/>
      <c r="R3502" s="15"/>
      <c r="X3502" s="3"/>
      <c r="Z3502" s="28"/>
    </row>
    <row r="3503" spans="2:26">
      <c r="B3503" s="2"/>
      <c r="N3503" s="27"/>
      <c r="R3503" s="15"/>
      <c r="X3503" s="3"/>
      <c r="Z3503" s="28"/>
    </row>
    <row r="3504" spans="2:26">
      <c r="B3504" s="2"/>
      <c r="N3504" s="27"/>
      <c r="R3504" s="15"/>
      <c r="X3504" s="3"/>
      <c r="Z3504" s="28"/>
    </row>
    <row r="3505" spans="2:26">
      <c r="B3505" s="2"/>
      <c r="N3505" s="27"/>
      <c r="R3505" s="15"/>
      <c r="X3505" s="3"/>
      <c r="Z3505" s="28"/>
    </row>
    <row r="3506" spans="2:26">
      <c r="B3506" s="2"/>
      <c r="N3506" s="27"/>
      <c r="R3506" s="15"/>
      <c r="X3506" s="3"/>
      <c r="Z3506" s="28"/>
    </row>
    <row r="3507" spans="2:26">
      <c r="B3507" s="2"/>
      <c r="N3507" s="27"/>
      <c r="R3507" s="15"/>
      <c r="X3507" s="3"/>
      <c r="Z3507" s="28"/>
    </row>
    <row r="3508" spans="2:26">
      <c r="B3508" s="2"/>
      <c r="N3508" s="27"/>
      <c r="R3508" s="15"/>
      <c r="X3508" s="3"/>
      <c r="Z3508" s="28"/>
    </row>
    <row r="3509" spans="2:26">
      <c r="B3509" s="2"/>
      <c r="N3509" s="27"/>
      <c r="R3509" s="15"/>
      <c r="X3509" s="3"/>
      <c r="Z3509" s="28"/>
    </row>
    <row r="3510" spans="2:26">
      <c r="B3510" s="2"/>
      <c r="N3510" s="27"/>
      <c r="R3510" s="15"/>
      <c r="X3510" s="3"/>
      <c r="Z3510" s="28"/>
    </row>
    <row r="3511" spans="2:26">
      <c r="B3511" s="2"/>
      <c r="N3511" s="27"/>
      <c r="R3511" s="15"/>
      <c r="X3511" s="3"/>
      <c r="Z3511" s="28"/>
    </row>
    <row r="3512" spans="2:26">
      <c r="B3512" s="2"/>
      <c r="N3512" s="27"/>
      <c r="R3512" s="15"/>
      <c r="X3512" s="3"/>
      <c r="Z3512" s="28"/>
    </row>
    <row r="3513" spans="2:26">
      <c r="B3513" s="2"/>
      <c r="N3513" s="27"/>
      <c r="R3513" s="15"/>
      <c r="X3513" s="3"/>
      <c r="Z3513" s="28"/>
    </row>
    <row r="3514" spans="2:26">
      <c r="B3514" s="2"/>
      <c r="N3514" s="27"/>
      <c r="R3514" s="15"/>
      <c r="X3514" s="3"/>
      <c r="Z3514" s="28"/>
    </row>
    <row r="3515" spans="2:26">
      <c r="B3515" s="2"/>
      <c r="N3515" s="27"/>
      <c r="R3515" s="15"/>
      <c r="X3515" s="3"/>
      <c r="Z3515" s="28"/>
    </row>
    <row r="3516" spans="2:26">
      <c r="B3516" s="2"/>
      <c r="N3516" s="27"/>
      <c r="R3516" s="15"/>
      <c r="X3516" s="3"/>
      <c r="Z3516" s="28"/>
    </row>
    <row r="3517" spans="2:26">
      <c r="B3517" s="2"/>
      <c r="N3517" s="27"/>
      <c r="R3517" s="15"/>
      <c r="X3517" s="3"/>
      <c r="Z3517" s="28"/>
    </row>
    <row r="3518" spans="2:26">
      <c r="B3518" s="2"/>
      <c r="N3518" s="27"/>
      <c r="R3518" s="15"/>
      <c r="X3518" s="3"/>
      <c r="Z3518" s="28"/>
    </row>
    <row r="3519" spans="2:26">
      <c r="B3519" s="2"/>
      <c r="N3519" s="27"/>
      <c r="R3519" s="15"/>
      <c r="X3519" s="3"/>
      <c r="Z3519" s="28"/>
    </row>
    <row r="3520" spans="2:26">
      <c r="B3520" s="2"/>
      <c r="N3520" s="27"/>
      <c r="R3520" s="15"/>
      <c r="X3520" s="3"/>
      <c r="Z3520" s="28"/>
    </row>
    <row r="3521" spans="2:26">
      <c r="B3521" s="2"/>
      <c r="N3521" s="27"/>
      <c r="R3521" s="15"/>
      <c r="X3521" s="3"/>
      <c r="Z3521" s="28"/>
    </row>
    <row r="3522" spans="2:26">
      <c r="B3522" s="2"/>
      <c r="N3522" s="27"/>
      <c r="R3522" s="15"/>
      <c r="X3522" s="3"/>
      <c r="Z3522" s="28"/>
    </row>
    <row r="3523" spans="2:26">
      <c r="B3523" s="2"/>
      <c r="N3523" s="27"/>
      <c r="R3523" s="15"/>
      <c r="X3523" s="3"/>
      <c r="Z3523" s="28"/>
    </row>
    <row r="3524" spans="2:26">
      <c r="B3524" s="2"/>
      <c r="N3524" s="27"/>
      <c r="R3524" s="15"/>
      <c r="X3524" s="3"/>
      <c r="Z3524" s="28"/>
    </row>
    <row r="3525" spans="2:26">
      <c r="B3525" s="2"/>
      <c r="N3525" s="27"/>
      <c r="R3525" s="15"/>
      <c r="X3525" s="3"/>
      <c r="Z3525" s="28"/>
    </row>
    <row r="3526" spans="2:26">
      <c r="B3526" s="2"/>
      <c r="N3526" s="27"/>
      <c r="R3526" s="15"/>
      <c r="X3526" s="3"/>
      <c r="Z3526" s="28"/>
    </row>
    <row r="3527" spans="2:26">
      <c r="B3527" s="2"/>
      <c r="N3527" s="27"/>
      <c r="R3527" s="15"/>
      <c r="X3527" s="3"/>
      <c r="Z3527" s="28"/>
    </row>
    <row r="3528" spans="2:26">
      <c r="B3528" s="2"/>
      <c r="N3528" s="27"/>
      <c r="R3528" s="15"/>
      <c r="X3528" s="3"/>
      <c r="Z3528" s="28"/>
    </row>
    <row r="3529" spans="2:26">
      <c r="B3529" s="2"/>
      <c r="N3529" s="27"/>
      <c r="R3529" s="15"/>
      <c r="X3529" s="3"/>
      <c r="Z3529" s="28"/>
    </row>
    <row r="3530" spans="2:26">
      <c r="B3530" s="2"/>
      <c r="N3530" s="27"/>
      <c r="R3530" s="15"/>
      <c r="X3530" s="3"/>
      <c r="Z3530" s="28"/>
    </row>
    <row r="3531" spans="2:26">
      <c r="B3531" s="2"/>
      <c r="N3531" s="27"/>
      <c r="R3531" s="15"/>
      <c r="X3531" s="3"/>
      <c r="Z3531" s="28"/>
    </row>
    <row r="3532" spans="2:26">
      <c r="B3532" s="2"/>
      <c r="N3532" s="27"/>
      <c r="R3532" s="15"/>
      <c r="X3532" s="3"/>
      <c r="Z3532" s="28"/>
    </row>
    <row r="3533" spans="2:26">
      <c r="B3533" s="2"/>
      <c r="N3533" s="27"/>
      <c r="R3533" s="15"/>
      <c r="X3533" s="3"/>
      <c r="Z3533" s="28"/>
    </row>
    <row r="3534" spans="2:26">
      <c r="B3534" s="2"/>
      <c r="N3534" s="27"/>
      <c r="R3534" s="15"/>
      <c r="X3534" s="3"/>
      <c r="Z3534" s="28"/>
    </row>
    <row r="3535" spans="2:26">
      <c r="B3535" s="2"/>
      <c r="N3535" s="27"/>
      <c r="R3535" s="15"/>
      <c r="X3535" s="3"/>
      <c r="Z3535" s="28"/>
    </row>
    <row r="3536" spans="2:26">
      <c r="B3536" s="2"/>
      <c r="N3536" s="27"/>
      <c r="R3536" s="15"/>
      <c r="X3536" s="3"/>
      <c r="Z3536" s="28"/>
    </row>
    <row r="3537" spans="2:26">
      <c r="B3537" s="2"/>
      <c r="N3537" s="27"/>
      <c r="R3537" s="15"/>
      <c r="X3537" s="3"/>
      <c r="Z3537" s="28"/>
    </row>
    <row r="3538" spans="2:26">
      <c r="B3538" s="2"/>
      <c r="N3538" s="27"/>
      <c r="R3538" s="15"/>
      <c r="X3538" s="3"/>
      <c r="Z3538" s="28"/>
    </row>
    <row r="3539" spans="2:26">
      <c r="B3539" s="2"/>
      <c r="N3539" s="27"/>
      <c r="R3539" s="15"/>
      <c r="X3539" s="3"/>
      <c r="Z3539" s="28"/>
    </row>
    <row r="3540" spans="2:26">
      <c r="B3540" s="2"/>
      <c r="N3540" s="27"/>
      <c r="R3540" s="15"/>
      <c r="X3540" s="3"/>
      <c r="Z3540" s="28"/>
    </row>
    <row r="3541" spans="2:26">
      <c r="B3541" s="2"/>
      <c r="N3541" s="27"/>
      <c r="R3541" s="15"/>
      <c r="X3541" s="3"/>
      <c r="Z3541" s="28"/>
    </row>
    <row r="3542" spans="2:26">
      <c r="B3542" s="2"/>
      <c r="N3542" s="27"/>
      <c r="R3542" s="15"/>
      <c r="X3542" s="3"/>
      <c r="Z3542" s="28"/>
    </row>
    <row r="3543" spans="2:26">
      <c r="B3543" s="2"/>
      <c r="N3543" s="27"/>
      <c r="R3543" s="15"/>
      <c r="X3543" s="3"/>
      <c r="Z3543" s="28"/>
    </row>
    <row r="3544" spans="2:26">
      <c r="B3544" s="2"/>
      <c r="N3544" s="27"/>
      <c r="R3544" s="15"/>
      <c r="X3544" s="3"/>
      <c r="Z3544" s="28"/>
    </row>
    <row r="3545" spans="2:26">
      <c r="B3545" s="2"/>
      <c r="N3545" s="27"/>
      <c r="R3545" s="15"/>
      <c r="X3545" s="3"/>
      <c r="Z3545" s="28"/>
    </row>
    <row r="3546" spans="2:26">
      <c r="B3546" s="2"/>
      <c r="N3546" s="27"/>
      <c r="R3546" s="15"/>
      <c r="X3546" s="3"/>
      <c r="Z3546" s="28"/>
    </row>
    <row r="3547" spans="2:26">
      <c r="B3547" s="2"/>
      <c r="N3547" s="27"/>
      <c r="R3547" s="15"/>
      <c r="X3547" s="3"/>
      <c r="Z3547" s="28"/>
    </row>
    <row r="3548" spans="2:26">
      <c r="B3548" s="2"/>
      <c r="N3548" s="27"/>
      <c r="R3548" s="15"/>
      <c r="X3548" s="3"/>
      <c r="Z3548" s="28"/>
    </row>
    <row r="3549" spans="2:26">
      <c r="B3549" s="2"/>
      <c r="N3549" s="27"/>
      <c r="R3549" s="15"/>
      <c r="X3549" s="3"/>
      <c r="Z3549" s="28"/>
    </row>
    <row r="3550" spans="2:26">
      <c r="B3550" s="2"/>
      <c r="N3550" s="27"/>
      <c r="R3550" s="15"/>
      <c r="X3550" s="3"/>
      <c r="Z3550" s="28"/>
    </row>
    <row r="3551" spans="2:26">
      <c r="B3551" s="2"/>
      <c r="N3551" s="27"/>
      <c r="R3551" s="15"/>
      <c r="X3551" s="3"/>
      <c r="Z3551" s="28"/>
    </row>
    <row r="3552" spans="2:26">
      <c r="B3552" s="2"/>
      <c r="N3552" s="27"/>
      <c r="R3552" s="15"/>
      <c r="X3552" s="3"/>
      <c r="Z3552" s="28"/>
    </row>
    <row r="3553" spans="2:26">
      <c r="B3553" s="2"/>
      <c r="N3553" s="27"/>
      <c r="R3553" s="15"/>
      <c r="X3553" s="3"/>
      <c r="Z3553" s="28"/>
    </row>
    <row r="3554" spans="2:26">
      <c r="B3554" s="2"/>
      <c r="N3554" s="27"/>
      <c r="R3554" s="15"/>
      <c r="X3554" s="3"/>
      <c r="Z3554" s="28"/>
    </row>
    <row r="3555" spans="2:26">
      <c r="B3555" s="2"/>
      <c r="N3555" s="27"/>
      <c r="R3555" s="15"/>
      <c r="X3555" s="3"/>
      <c r="Z3555" s="28"/>
    </row>
    <row r="3556" spans="2:26">
      <c r="B3556" s="2"/>
      <c r="N3556" s="27"/>
      <c r="R3556" s="15"/>
      <c r="X3556" s="3"/>
      <c r="Z3556" s="28"/>
    </row>
    <row r="3557" spans="2:26">
      <c r="B3557" s="2"/>
      <c r="N3557" s="27"/>
      <c r="R3557" s="15"/>
      <c r="X3557" s="3"/>
      <c r="Z3557" s="28"/>
    </row>
    <row r="3558" spans="2:26">
      <c r="B3558" s="2"/>
      <c r="N3558" s="27"/>
      <c r="R3558" s="15"/>
      <c r="X3558" s="3"/>
      <c r="Z3558" s="28"/>
    </row>
    <row r="3559" spans="2:26">
      <c r="B3559" s="2"/>
      <c r="N3559" s="27"/>
      <c r="R3559" s="15"/>
      <c r="X3559" s="3"/>
      <c r="Z3559" s="28"/>
    </row>
    <row r="3560" spans="2:26">
      <c r="B3560" s="2"/>
      <c r="N3560" s="27"/>
      <c r="R3560" s="15"/>
      <c r="X3560" s="3"/>
      <c r="Z3560" s="28"/>
    </row>
    <row r="3561" spans="2:26">
      <c r="B3561" s="2"/>
      <c r="N3561" s="27"/>
      <c r="R3561" s="15"/>
      <c r="X3561" s="3"/>
      <c r="Z3561" s="28"/>
    </row>
    <row r="3562" spans="2:26">
      <c r="B3562" s="2"/>
      <c r="N3562" s="27"/>
      <c r="R3562" s="15"/>
      <c r="X3562" s="3"/>
      <c r="Z3562" s="28"/>
    </row>
    <row r="3563" spans="2:26">
      <c r="B3563" s="2"/>
      <c r="N3563" s="27"/>
      <c r="R3563" s="15"/>
      <c r="X3563" s="3"/>
      <c r="Z3563" s="28"/>
    </row>
    <row r="3564" spans="2:26">
      <c r="B3564" s="2"/>
      <c r="N3564" s="27"/>
      <c r="R3564" s="15"/>
      <c r="X3564" s="3"/>
      <c r="Z3564" s="28"/>
    </row>
    <row r="3565" spans="2:26">
      <c r="B3565" s="2"/>
      <c r="N3565" s="27"/>
      <c r="R3565" s="15"/>
      <c r="X3565" s="3"/>
      <c r="Z3565" s="28"/>
    </row>
    <row r="3566" spans="2:26">
      <c r="B3566" s="2"/>
      <c r="N3566" s="27"/>
      <c r="R3566" s="15"/>
      <c r="X3566" s="3"/>
      <c r="Z3566" s="28"/>
    </row>
    <row r="3567" spans="2:26">
      <c r="B3567" s="2"/>
      <c r="N3567" s="27"/>
      <c r="R3567" s="15"/>
      <c r="X3567" s="3"/>
      <c r="Z3567" s="28"/>
    </row>
    <row r="3568" spans="2:26">
      <c r="B3568" s="2"/>
      <c r="N3568" s="27"/>
      <c r="R3568" s="15"/>
      <c r="X3568" s="3"/>
      <c r="Z3568" s="28"/>
    </row>
    <row r="3569" spans="2:26">
      <c r="B3569" s="2"/>
      <c r="N3569" s="27"/>
      <c r="R3569" s="15"/>
      <c r="X3569" s="3"/>
      <c r="Z3569" s="28"/>
    </row>
    <row r="3570" spans="2:26">
      <c r="B3570" s="2"/>
      <c r="N3570" s="27"/>
      <c r="R3570" s="15"/>
      <c r="X3570" s="3"/>
      <c r="Z3570" s="28"/>
    </row>
    <row r="3571" spans="2:26">
      <c r="B3571" s="2"/>
      <c r="N3571" s="27"/>
      <c r="R3571" s="15"/>
      <c r="X3571" s="3"/>
      <c r="Z3571" s="28"/>
    </row>
    <row r="3572" spans="2:26">
      <c r="B3572" s="2"/>
      <c r="N3572" s="27"/>
      <c r="R3572" s="15"/>
      <c r="X3572" s="3"/>
      <c r="Z3572" s="28"/>
    </row>
    <row r="3573" spans="2:26">
      <c r="B3573" s="2"/>
      <c r="N3573" s="27"/>
      <c r="R3573" s="15"/>
      <c r="X3573" s="3"/>
      <c r="Z3573" s="28"/>
    </row>
    <row r="3574" spans="2:26">
      <c r="B3574" s="2"/>
      <c r="N3574" s="27"/>
      <c r="R3574" s="15"/>
      <c r="X3574" s="3"/>
      <c r="Z3574" s="28"/>
    </row>
    <row r="3575" spans="2:26">
      <c r="B3575" s="2"/>
      <c r="N3575" s="27"/>
      <c r="R3575" s="15"/>
      <c r="X3575" s="3"/>
      <c r="Z3575" s="28"/>
    </row>
    <row r="3576" spans="2:26">
      <c r="B3576" s="2"/>
      <c r="N3576" s="27"/>
      <c r="R3576" s="15"/>
      <c r="X3576" s="3"/>
      <c r="Z3576" s="28"/>
    </row>
    <row r="3577" spans="2:26">
      <c r="B3577" s="2"/>
      <c r="N3577" s="27"/>
      <c r="R3577" s="15"/>
      <c r="X3577" s="3"/>
      <c r="Z3577" s="28"/>
    </row>
    <row r="3578" spans="2:26">
      <c r="B3578" s="2"/>
      <c r="N3578" s="27"/>
      <c r="R3578" s="15"/>
      <c r="X3578" s="3"/>
      <c r="Z3578" s="28"/>
    </row>
    <row r="3579" spans="2:26">
      <c r="B3579" s="2"/>
      <c r="N3579" s="27"/>
      <c r="R3579" s="15"/>
      <c r="X3579" s="3"/>
      <c r="Z3579" s="28"/>
    </row>
    <row r="3580" spans="2:26">
      <c r="B3580" s="2"/>
      <c r="N3580" s="27"/>
      <c r="R3580" s="15"/>
      <c r="X3580" s="3"/>
      <c r="Z3580" s="28"/>
    </row>
    <row r="3581" spans="2:26">
      <c r="B3581" s="2"/>
      <c r="N3581" s="27"/>
      <c r="R3581" s="15"/>
      <c r="X3581" s="3"/>
      <c r="Z3581" s="28"/>
    </row>
    <row r="3582" spans="2:26">
      <c r="B3582" s="2"/>
      <c r="N3582" s="27"/>
      <c r="R3582" s="15"/>
      <c r="X3582" s="3"/>
      <c r="Z3582" s="28"/>
    </row>
    <row r="3583" spans="2:26">
      <c r="B3583" s="2"/>
      <c r="N3583" s="27"/>
      <c r="R3583" s="15"/>
      <c r="X3583" s="3"/>
      <c r="Z3583" s="28"/>
    </row>
    <row r="3584" spans="2:26">
      <c r="B3584" s="2"/>
      <c r="N3584" s="27"/>
      <c r="R3584" s="15"/>
      <c r="X3584" s="3"/>
      <c r="Z3584" s="28"/>
    </row>
    <row r="3585" spans="2:26">
      <c r="B3585" s="2"/>
      <c r="N3585" s="27"/>
      <c r="R3585" s="15"/>
      <c r="X3585" s="3"/>
      <c r="Z3585" s="28"/>
    </row>
    <row r="3586" spans="2:26">
      <c r="B3586" s="2"/>
      <c r="N3586" s="27"/>
      <c r="R3586" s="15"/>
      <c r="X3586" s="3"/>
      <c r="Z3586" s="28"/>
    </row>
    <row r="3587" spans="2:26">
      <c r="B3587" s="2"/>
      <c r="N3587" s="27"/>
      <c r="R3587" s="15"/>
      <c r="X3587" s="3"/>
      <c r="Z3587" s="28"/>
    </row>
    <row r="3588" spans="2:26">
      <c r="B3588" s="2"/>
      <c r="N3588" s="27"/>
      <c r="R3588" s="15"/>
      <c r="X3588" s="3"/>
      <c r="Z3588" s="28"/>
    </row>
    <row r="3589" spans="2:26">
      <c r="B3589" s="2"/>
      <c r="N3589" s="27"/>
      <c r="R3589" s="15"/>
      <c r="X3589" s="3"/>
      <c r="Z3589" s="28"/>
    </row>
    <row r="3590" spans="2:26">
      <c r="B3590" s="2"/>
      <c r="N3590" s="27"/>
      <c r="R3590" s="15"/>
      <c r="X3590" s="3"/>
      <c r="Z3590" s="28"/>
    </row>
    <row r="3591" spans="2:26">
      <c r="B3591" s="2"/>
      <c r="N3591" s="27"/>
      <c r="R3591" s="15"/>
      <c r="X3591" s="3"/>
      <c r="Z3591" s="28"/>
    </row>
    <row r="3592" spans="2:26">
      <c r="B3592" s="2"/>
      <c r="N3592" s="27"/>
      <c r="R3592" s="15"/>
      <c r="X3592" s="3"/>
      <c r="Z3592" s="28"/>
    </row>
    <row r="3593" spans="2:26">
      <c r="B3593" s="2"/>
      <c r="N3593" s="27"/>
      <c r="R3593" s="15"/>
      <c r="X3593" s="3"/>
      <c r="Z3593" s="28"/>
    </row>
    <row r="3594" spans="2:26">
      <c r="B3594" s="2"/>
      <c r="N3594" s="27"/>
      <c r="R3594" s="15"/>
      <c r="X3594" s="3"/>
      <c r="Z3594" s="28"/>
    </row>
    <row r="3595" spans="2:26">
      <c r="B3595" s="2"/>
      <c r="N3595" s="27"/>
      <c r="R3595" s="15"/>
      <c r="X3595" s="3"/>
      <c r="Z3595" s="28"/>
    </row>
    <row r="3596" spans="2:26">
      <c r="B3596" s="2"/>
      <c r="N3596" s="27"/>
      <c r="R3596" s="15"/>
      <c r="X3596" s="3"/>
      <c r="Z3596" s="28"/>
    </row>
    <row r="3597" spans="2:26">
      <c r="B3597" s="2"/>
      <c r="N3597" s="27"/>
      <c r="R3597" s="15"/>
      <c r="X3597" s="3"/>
      <c r="Z3597" s="28"/>
    </row>
    <row r="3598" spans="2:26">
      <c r="B3598" s="2"/>
      <c r="N3598" s="27"/>
      <c r="R3598" s="15"/>
      <c r="X3598" s="3"/>
      <c r="Z3598" s="28"/>
    </row>
    <row r="3599" spans="2:26">
      <c r="B3599" s="2"/>
      <c r="N3599" s="27"/>
      <c r="R3599" s="15"/>
      <c r="X3599" s="3"/>
      <c r="Z3599" s="28"/>
    </row>
    <row r="3600" spans="2:26">
      <c r="B3600" s="2"/>
      <c r="N3600" s="27"/>
      <c r="R3600" s="15"/>
      <c r="X3600" s="3"/>
      <c r="Z3600" s="28"/>
    </row>
    <row r="3601" spans="2:26">
      <c r="B3601" s="2"/>
      <c r="N3601" s="27"/>
      <c r="R3601" s="15"/>
      <c r="X3601" s="3"/>
      <c r="Z3601" s="28"/>
    </row>
    <row r="3602" spans="2:26">
      <c r="B3602" s="2"/>
      <c r="N3602" s="27"/>
      <c r="R3602" s="15"/>
      <c r="X3602" s="3"/>
      <c r="Z3602" s="28"/>
    </row>
    <row r="3603" spans="2:26">
      <c r="B3603" s="2"/>
      <c r="N3603" s="27"/>
      <c r="R3603" s="15"/>
      <c r="X3603" s="3"/>
      <c r="Z3603" s="28"/>
    </row>
    <row r="3604" spans="2:26">
      <c r="B3604" s="2"/>
      <c r="N3604" s="27"/>
      <c r="R3604" s="15"/>
      <c r="X3604" s="3"/>
      <c r="Z3604" s="28"/>
    </row>
    <row r="3605" spans="2:26">
      <c r="B3605" s="2"/>
      <c r="N3605" s="27"/>
      <c r="R3605" s="15"/>
      <c r="X3605" s="3"/>
      <c r="Z3605" s="28"/>
    </row>
    <row r="3606" spans="2:26">
      <c r="B3606" s="2"/>
      <c r="N3606" s="27"/>
      <c r="R3606" s="15"/>
      <c r="X3606" s="3"/>
      <c r="Z3606" s="28"/>
    </row>
    <row r="3607" spans="2:26">
      <c r="B3607" s="2"/>
      <c r="N3607" s="27"/>
      <c r="R3607" s="15"/>
      <c r="X3607" s="3"/>
      <c r="Z3607" s="28"/>
    </row>
    <row r="3608" spans="2:26">
      <c r="B3608" s="2"/>
      <c r="N3608" s="27"/>
      <c r="R3608" s="15"/>
      <c r="X3608" s="3"/>
      <c r="Z3608" s="28"/>
    </row>
    <row r="3609" spans="2:26">
      <c r="B3609" s="2"/>
      <c r="N3609" s="27"/>
      <c r="R3609" s="15"/>
      <c r="X3609" s="3"/>
      <c r="Z3609" s="28"/>
    </row>
    <row r="3610" spans="2:26">
      <c r="B3610" s="2"/>
      <c r="N3610" s="27"/>
      <c r="R3610" s="15"/>
      <c r="X3610" s="3"/>
      <c r="Z3610" s="28"/>
    </row>
    <row r="3611" spans="2:26">
      <c r="B3611" s="2"/>
      <c r="N3611" s="27"/>
      <c r="R3611" s="15"/>
      <c r="X3611" s="3"/>
      <c r="Z3611" s="28"/>
    </row>
    <row r="3612" spans="2:26">
      <c r="B3612" s="2"/>
      <c r="N3612" s="27"/>
      <c r="R3612" s="15"/>
      <c r="X3612" s="3"/>
      <c r="Z3612" s="28"/>
    </row>
    <row r="3613" spans="2:26">
      <c r="B3613" s="2"/>
      <c r="N3613" s="27"/>
      <c r="R3613" s="15"/>
      <c r="X3613" s="3"/>
      <c r="Z3613" s="28"/>
    </row>
    <row r="3614" spans="2:26">
      <c r="B3614" s="2"/>
      <c r="N3614" s="27"/>
      <c r="R3614" s="15"/>
      <c r="X3614" s="3"/>
      <c r="Z3614" s="28"/>
    </row>
    <row r="3615" spans="2:26">
      <c r="B3615" s="2"/>
      <c r="N3615" s="27"/>
      <c r="R3615" s="15"/>
      <c r="X3615" s="3"/>
      <c r="Z3615" s="28"/>
    </row>
    <row r="3616" spans="2:26">
      <c r="B3616" s="2"/>
      <c r="N3616" s="27"/>
      <c r="R3616" s="15"/>
      <c r="X3616" s="3"/>
      <c r="Z3616" s="28"/>
    </row>
    <row r="3617" spans="2:26">
      <c r="B3617" s="2"/>
      <c r="N3617" s="27"/>
      <c r="R3617" s="15"/>
      <c r="X3617" s="3"/>
      <c r="Z3617" s="28"/>
    </row>
    <row r="3618" spans="2:26">
      <c r="B3618" s="2"/>
      <c r="N3618" s="27"/>
      <c r="R3618" s="15"/>
      <c r="X3618" s="3"/>
      <c r="Z3618" s="28"/>
    </row>
    <row r="3619" spans="2:26">
      <c r="B3619" s="2"/>
      <c r="N3619" s="27"/>
      <c r="R3619" s="15"/>
      <c r="X3619" s="3"/>
      <c r="Z3619" s="28"/>
    </row>
    <row r="3620" spans="2:26">
      <c r="B3620" s="2"/>
      <c r="N3620" s="27"/>
      <c r="R3620" s="15"/>
      <c r="X3620" s="3"/>
      <c r="Z3620" s="28"/>
    </row>
    <row r="3621" spans="2:26">
      <c r="B3621" s="2"/>
      <c r="N3621" s="27"/>
      <c r="R3621" s="15"/>
      <c r="X3621" s="3"/>
      <c r="Z3621" s="28"/>
    </row>
    <row r="3622" spans="2:26">
      <c r="B3622" s="2"/>
      <c r="N3622" s="27"/>
      <c r="R3622" s="15"/>
      <c r="X3622" s="3"/>
      <c r="Z3622" s="28"/>
    </row>
    <row r="3623" spans="2:26">
      <c r="B3623" s="2"/>
      <c r="N3623" s="27"/>
      <c r="R3623" s="15"/>
      <c r="X3623" s="3"/>
      <c r="Z3623" s="28"/>
    </row>
    <row r="3624" spans="2:26">
      <c r="B3624" s="2"/>
      <c r="N3624" s="27"/>
      <c r="R3624" s="15"/>
      <c r="X3624" s="3"/>
      <c r="Z3624" s="28"/>
    </row>
    <row r="3625" spans="2:26">
      <c r="B3625" s="2"/>
      <c r="N3625" s="27"/>
      <c r="R3625" s="15"/>
      <c r="X3625" s="3"/>
      <c r="Z3625" s="28"/>
    </row>
    <row r="3626" spans="2:26">
      <c r="B3626" s="2"/>
      <c r="N3626" s="27"/>
      <c r="R3626" s="15"/>
      <c r="X3626" s="3"/>
      <c r="Z3626" s="28"/>
    </row>
    <row r="3627" spans="2:26">
      <c r="B3627" s="2"/>
      <c r="N3627" s="27"/>
      <c r="R3627" s="15"/>
      <c r="X3627" s="3"/>
      <c r="Z3627" s="28"/>
    </row>
    <row r="3628" spans="2:26">
      <c r="B3628" s="2"/>
      <c r="N3628" s="27"/>
      <c r="R3628" s="15"/>
      <c r="X3628" s="3"/>
      <c r="Z3628" s="28"/>
    </row>
    <row r="3629" spans="2:26">
      <c r="B3629" s="2"/>
      <c r="N3629" s="27"/>
      <c r="R3629" s="15"/>
      <c r="X3629" s="3"/>
      <c r="Z3629" s="28"/>
    </row>
    <row r="3630" spans="2:26">
      <c r="B3630" s="2"/>
      <c r="N3630" s="27"/>
      <c r="R3630" s="15"/>
      <c r="X3630" s="3"/>
      <c r="Z3630" s="28"/>
    </row>
    <row r="3631" spans="2:26">
      <c r="B3631" s="2"/>
      <c r="N3631" s="27"/>
      <c r="R3631" s="15"/>
      <c r="X3631" s="3"/>
      <c r="Z3631" s="28"/>
    </row>
    <row r="3632" spans="2:26">
      <c r="B3632" s="2"/>
      <c r="N3632" s="27"/>
      <c r="R3632" s="15"/>
      <c r="X3632" s="3"/>
      <c r="Z3632" s="28"/>
    </row>
    <row r="3633" spans="2:26">
      <c r="B3633" s="2"/>
      <c r="N3633" s="27"/>
      <c r="R3633" s="15"/>
      <c r="X3633" s="3"/>
      <c r="Z3633" s="28"/>
    </row>
    <row r="3634" spans="2:26">
      <c r="B3634" s="2"/>
      <c r="N3634" s="27"/>
      <c r="R3634" s="15"/>
      <c r="X3634" s="3"/>
      <c r="Z3634" s="28"/>
    </row>
    <row r="3635" spans="2:26">
      <c r="B3635" s="2"/>
      <c r="N3635" s="27"/>
      <c r="R3635" s="15"/>
      <c r="X3635" s="3"/>
      <c r="Z3635" s="28"/>
    </row>
    <row r="3636" spans="2:26">
      <c r="B3636" s="2"/>
      <c r="N3636" s="27"/>
      <c r="R3636" s="15"/>
      <c r="X3636" s="3"/>
      <c r="Z3636" s="28"/>
    </row>
    <row r="3637" spans="2:26">
      <c r="B3637" s="2"/>
      <c r="N3637" s="27"/>
      <c r="R3637" s="15"/>
      <c r="X3637" s="3"/>
      <c r="Z3637" s="28"/>
    </row>
    <row r="3638" spans="2:26">
      <c r="B3638" s="2"/>
      <c r="N3638" s="27"/>
      <c r="R3638" s="15"/>
      <c r="X3638" s="3"/>
      <c r="Z3638" s="28"/>
    </row>
    <row r="3639" spans="2:26">
      <c r="B3639" s="2"/>
      <c r="N3639" s="27"/>
      <c r="R3639" s="15"/>
      <c r="X3639" s="3"/>
      <c r="Z3639" s="28"/>
    </row>
    <row r="3640" spans="2:26">
      <c r="B3640" s="2"/>
      <c r="N3640" s="27"/>
      <c r="R3640" s="15"/>
      <c r="X3640" s="3"/>
      <c r="Z3640" s="28"/>
    </row>
    <row r="3641" spans="2:26">
      <c r="B3641" s="2"/>
      <c r="N3641" s="27"/>
      <c r="R3641" s="15"/>
      <c r="X3641" s="3"/>
      <c r="Z3641" s="28"/>
    </row>
    <row r="3642" spans="2:26">
      <c r="B3642" s="2"/>
      <c r="N3642" s="27"/>
      <c r="R3642" s="15"/>
      <c r="X3642" s="3"/>
      <c r="Z3642" s="28"/>
    </row>
    <row r="3643" spans="2:26">
      <c r="B3643" s="2"/>
      <c r="N3643" s="27"/>
      <c r="R3643" s="15"/>
      <c r="X3643" s="3"/>
      <c r="Z3643" s="28"/>
    </row>
    <row r="3644" spans="2:26">
      <c r="B3644" s="2"/>
      <c r="N3644" s="27"/>
      <c r="R3644" s="15"/>
      <c r="X3644" s="3"/>
      <c r="Z3644" s="28"/>
    </row>
    <row r="3645" spans="2:26">
      <c r="B3645" s="2"/>
      <c r="N3645" s="27"/>
      <c r="R3645" s="15"/>
      <c r="X3645" s="3"/>
      <c r="Z3645" s="28"/>
    </row>
    <row r="3646" spans="2:26">
      <c r="B3646" s="2"/>
      <c r="N3646" s="27"/>
      <c r="R3646" s="15"/>
      <c r="X3646" s="3"/>
      <c r="Z3646" s="28"/>
    </row>
    <row r="3647" spans="2:26">
      <c r="B3647" s="2"/>
      <c r="N3647" s="27"/>
      <c r="R3647" s="15"/>
      <c r="X3647" s="3"/>
      <c r="Z3647" s="28"/>
    </row>
    <row r="3648" spans="2:26">
      <c r="B3648" s="2"/>
      <c r="N3648" s="27"/>
      <c r="R3648" s="15"/>
      <c r="X3648" s="3"/>
      <c r="Z3648" s="28"/>
    </row>
    <row r="3649" spans="2:26">
      <c r="B3649" s="2"/>
      <c r="N3649" s="27"/>
      <c r="R3649" s="15"/>
      <c r="X3649" s="3"/>
      <c r="Z3649" s="28"/>
    </row>
    <row r="3650" spans="2:26">
      <c r="B3650" s="2"/>
      <c r="N3650" s="27"/>
      <c r="R3650" s="15"/>
      <c r="X3650" s="3"/>
      <c r="Z3650" s="28"/>
    </row>
    <row r="3651" spans="2:26">
      <c r="B3651" s="2"/>
      <c r="N3651" s="27"/>
      <c r="R3651" s="15"/>
      <c r="X3651" s="3"/>
      <c r="Z3651" s="28"/>
    </row>
    <row r="3652" spans="2:26">
      <c r="B3652" s="2"/>
      <c r="N3652" s="27"/>
      <c r="R3652" s="15"/>
      <c r="X3652" s="3"/>
      <c r="Z3652" s="28"/>
    </row>
    <row r="3653" spans="2:26">
      <c r="B3653" s="2"/>
      <c r="N3653" s="27"/>
      <c r="R3653" s="15"/>
      <c r="X3653" s="3"/>
      <c r="Z3653" s="28"/>
    </row>
    <row r="3654" spans="2:26">
      <c r="B3654" s="2"/>
      <c r="N3654" s="27"/>
      <c r="R3654" s="15"/>
      <c r="X3654" s="3"/>
      <c r="Z3654" s="28"/>
    </row>
    <row r="3655" spans="2:26">
      <c r="B3655" s="2"/>
      <c r="N3655" s="27"/>
      <c r="R3655" s="15"/>
      <c r="X3655" s="3"/>
      <c r="Z3655" s="28"/>
    </row>
    <row r="3656" spans="2:26">
      <c r="B3656" s="2"/>
      <c r="N3656" s="27"/>
      <c r="R3656" s="15"/>
      <c r="X3656" s="3"/>
      <c r="Z3656" s="28"/>
    </row>
    <row r="3657" spans="2:26">
      <c r="B3657" s="2"/>
      <c r="N3657" s="27"/>
      <c r="R3657" s="15"/>
      <c r="X3657" s="3"/>
      <c r="Z3657" s="28"/>
    </row>
    <row r="3658" spans="2:26">
      <c r="B3658" s="2"/>
      <c r="N3658" s="27"/>
      <c r="R3658" s="15"/>
      <c r="X3658" s="3"/>
      <c r="Z3658" s="28"/>
    </row>
    <row r="3659" spans="2:26">
      <c r="B3659" s="2"/>
      <c r="N3659" s="27"/>
      <c r="R3659" s="15"/>
      <c r="X3659" s="3"/>
      <c r="Z3659" s="28"/>
    </row>
    <row r="3660" spans="2:26">
      <c r="B3660" s="2"/>
      <c r="N3660" s="27"/>
      <c r="R3660" s="15"/>
      <c r="X3660" s="3"/>
      <c r="Z3660" s="28"/>
    </row>
    <row r="3661" spans="2:26">
      <c r="B3661" s="2"/>
      <c r="N3661" s="27"/>
      <c r="R3661" s="15"/>
      <c r="X3661" s="3"/>
      <c r="Z3661" s="28"/>
    </row>
    <row r="3662" spans="2:26">
      <c r="B3662" s="2"/>
      <c r="N3662" s="27"/>
      <c r="R3662" s="15"/>
      <c r="X3662" s="3"/>
      <c r="Z3662" s="28"/>
    </row>
    <row r="3663" spans="2:26">
      <c r="B3663" s="2"/>
      <c r="N3663" s="27"/>
      <c r="R3663" s="15"/>
      <c r="X3663" s="3"/>
      <c r="Z3663" s="28"/>
    </row>
    <row r="3664" spans="2:26">
      <c r="B3664" s="2"/>
      <c r="N3664" s="27"/>
      <c r="R3664" s="15"/>
      <c r="X3664" s="3"/>
      <c r="Z3664" s="28"/>
    </row>
    <row r="3665" spans="2:26">
      <c r="B3665" s="2"/>
      <c r="N3665" s="27"/>
      <c r="R3665" s="15"/>
      <c r="X3665" s="3"/>
      <c r="Z3665" s="28"/>
    </row>
    <row r="3666" spans="2:26">
      <c r="B3666" s="2"/>
      <c r="N3666" s="27"/>
      <c r="R3666" s="15"/>
      <c r="X3666" s="3"/>
      <c r="Z3666" s="28"/>
    </row>
    <row r="3667" spans="2:26">
      <c r="B3667" s="2"/>
      <c r="N3667" s="27"/>
      <c r="R3667" s="15"/>
      <c r="X3667" s="3"/>
      <c r="Z3667" s="28"/>
    </row>
    <row r="3668" spans="2:26">
      <c r="B3668" s="2"/>
      <c r="N3668" s="27"/>
      <c r="R3668" s="15"/>
      <c r="X3668" s="3"/>
      <c r="Z3668" s="28"/>
    </row>
    <row r="3669" spans="2:26">
      <c r="B3669" s="2"/>
      <c r="N3669" s="27"/>
      <c r="R3669" s="15"/>
      <c r="X3669" s="3"/>
      <c r="Z3669" s="28"/>
    </row>
    <row r="3670" spans="2:26">
      <c r="B3670" s="2"/>
      <c r="N3670" s="27"/>
      <c r="R3670" s="15"/>
      <c r="X3670" s="3"/>
      <c r="Z3670" s="28"/>
    </row>
    <row r="3671" spans="2:26">
      <c r="B3671" s="2"/>
      <c r="N3671" s="27"/>
      <c r="R3671" s="15"/>
      <c r="X3671" s="3"/>
      <c r="Z3671" s="28"/>
    </row>
    <row r="3672" spans="2:26">
      <c r="B3672" s="2"/>
      <c r="N3672" s="27"/>
      <c r="R3672" s="15"/>
      <c r="X3672" s="3"/>
      <c r="Z3672" s="28"/>
    </row>
    <row r="3673" spans="2:26">
      <c r="B3673" s="2"/>
      <c r="N3673" s="27"/>
      <c r="R3673" s="15"/>
      <c r="X3673" s="3"/>
      <c r="Z3673" s="28"/>
    </row>
    <row r="3674" spans="2:26">
      <c r="B3674" s="2"/>
      <c r="N3674" s="27"/>
      <c r="R3674" s="15"/>
      <c r="X3674" s="3"/>
      <c r="Z3674" s="28"/>
    </row>
    <row r="3675" spans="2:26">
      <c r="B3675" s="2"/>
      <c r="N3675" s="27"/>
      <c r="R3675" s="15"/>
      <c r="X3675" s="3"/>
      <c r="Z3675" s="28"/>
    </row>
    <row r="3676" spans="2:26">
      <c r="B3676" s="2"/>
      <c r="N3676" s="27"/>
      <c r="R3676" s="15"/>
      <c r="X3676" s="3"/>
      <c r="Z3676" s="28"/>
    </row>
    <row r="3677" spans="2:26">
      <c r="B3677" s="2"/>
      <c r="N3677" s="27"/>
      <c r="R3677" s="15"/>
      <c r="X3677" s="3"/>
      <c r="Z3677" s="28"/>
    </row>
    <row r="3678" spans="2:26">
      <c r="B3678" s="2"/>
      <c r="N3678" s="27"/>
      <c r="R3678" s="15"/>
      <c r="X3678" s="3"/>
      <c r="Z3678" s="28"/>
    </row>
    <row r="3679" spans="2:26">
      <c r="B3679" s="2"/>
      <c r="N3679" s="27"/>
      <c r="R3679" s="15"/>
      <c r="X3679" s="3"/>
      <c r="Z3679" s="28"/>
    </row>
    <row r="3680" spans="2:26">
      <c r="B3680" s="2"/>
      <c r="N3680" s="27"/>
      <c r="R3680" s="15"/>
      <c r="X3680" s="3"/>
      <c r="Z3680" s="28"/>
    </row>
    <row r="3681" spans="2:26">
      <c r="B3681" s="2"/>
      <c r="N3681" s="27"/>
      <c r="R3681" s="15"/>
      <c r="X3681" s="3"/>
      <c r="Z3681" s="28"/>
    </row>
    <row r="3682" spans="2:26">
      <c r="B3682" s="2"/>
      <c r="N3682" s="27"/>
      <c r="R3682" s="15"/>
      <c r="X3682" s="3"/>
      <c r="Z3682" s="28"/>
    </row>
    <row r="3683" spans="2:26">
      <c r="B3683" s="2"/>
      <c r="N3683" s="27"/>
      <c r="R3683" s="15"/>
      <c r="X3683" s="3"/>
      <c r="Z3683" s="28"/>
    </row>
    <row r="3684" spans="2:26">
      <c r="B3684" s="2"/>
      <c r="N3684" s="27"/>
      <c r="R3684" s="15"/>
      <c r="X3684" s="3"/>
      <c r="Z3684" s="28"/>
    </row>
    <row r="3685" spans="2:26">
      <c r="B3685" s="2"/>
      <c r="N3685" s="27"/>
      <c r="R3685" s="15"/>
      <c r="X3685" s="3"/>
      <c r="Z3685" s="28"/>
    </row>
    <row r="3686" spans="2:26">
      <c r="B3686" s="2"/>
      <c r="N3686" s="27"/>
      <c r="R3686" s="15"/>
      <c r="X3686" s="3"/>
      <c r="Z3686" s="28"/>
    </row>
    <row r="3687" spans="2:26">
      <c r="B3687" s="2"/>
      <c r="N3687" s="27"/>
      <c r="R3687" s="15"/>
      <c r="X3687" s="3"/>
      <c r="Z3687" s="28"/>
    </row>
    <row r="3688" spans="2:26">
      <c r="B3688" s="2"/>
      <c r="N3688" s="27"/>
      <c r="R3688" s="15"/>
      <c r="X3688" s="3"/>
      <c r="Z3688" s="28"/>
    </row>
    <row r="3689" spans="2:26">
      <c r="B3689" s="2"/>
      <c r="N3689" s="27"/>
      <c r="R3689" s="15"/>
      <c r="X3689" s="3"/>
      <c r="Z3689" s="28"/>
    </row>
    <row r="3690" spans="2:26">
      <c r="B3690" s="2"/>
      <c r="N3690" s="27"/>
      <c r="R3690" s="15"/>
      <c r="X3690" s="3"/>
      <c r="Z3690" s="28"/>
    </row>
    <row r="3691" spans="2:26">
      <c r="B3691" s="2"/>
      <c r="N3691" s="27"/>
      <c r="R3691" s="15"/>
      <c r="X3691" s="3"/>
      <c r="Z3691" s="28"/>
    </row>
    <row r="3692" spans="2:26">
      <c r="B3692" s="2"/>
      <c r="N3692" s="27"/>
      <c r="R3692" s="15"/>
      <c r="X3692" s="3"/>
      <c r="Z3692" s="28"/>
    </row>
    <row r="3693" spans="2:26">
      <c r="B3693" s="2"/>
      <c r="N3693" s="27"/>
      <c r="R3693" s="15"/>
      <c r="X3693" s="3"/>
      <c r="Z3693" s="28"/>
    </row>
    <row r="3694" spans="2:26">
      <c r="B3694" s="2"/>
      <c r="N3694" s="27"/>
      <c r="R3694" s="15"/>
      <c r="X3694" s="3"/>
      <c r="Z3694" s="28"/>
    </row>
    <row r="3695" spans="2:26">
      <c r="B3695" s="2"/>
      <c r="N3695" s="27"/>
      <c r="R3695" s="15"/>
      <c r="X3695" s="3"/>
      <c r="Z3695" s="28"/>
    </row>
    <row r="3696" spans="2:26">
      <c r="B3696" s="2"/>
      <c r="N3696" s="27"/>
      <c r="R3696" s="15"/>
      <c r="X3696" s="3"/>
      <c r="Z3696" s="28"/>
    </row>
    <row r="3697" spans="2:26">
      <c r="B3697" s="2"/>
      <c r="N3697" s="27"/>
      <c r="R3697" s="15"/>
      <c r="X3697" s="3"/>
      <c r="Z3697" s="28"/>
    </row>
    <row r="3698" spans="2:26">
      <c r="B3698" s="2"/>
      <c r="N3698" s="27"/>
      <c r="R3698" s="15"/>
      <c r="X3698" s="3"/>
      <c r="Z3698" s="28"/>
    </row>
    <row r="3699" spans="2:26">
      <c r="B3699" s="2"/>
      <c r="N3699" s="27"/>
      <c r="R3699" s="15"/>
      <c r="X3699" s="3"/>
      <c r="Z3699" s="28"/>
    </row>
    <row r="3700" spans="2:26">
      <c r="B3700" s="2"/>
      <c r="N3700" s="27"/>
      <c r="R3700" s="15"/>
      <c r="X3700" s="3"/>
      <c r="Z3700" s="28"/>
    </row>
    <row r="3701" spans="2:26">
      <c r="B3701" s="2"/>
      <c r="N3701" s="27"/>
      <c r="R3701" s="15"/>
      <c r="X3701" s="3"/>
      <c r="Z3701" s="28"/>
    </row>
    <row r="3702" spans="2:26">
      <c r="B3702" s="2"/>
      <c r="N3702" s="27"/>
      <c r="R3702" s="15"/>
      <c r="X3702" s="3"/>
      <c r="Z3702" s="28"/>
    </row>
    <row r="3703" spans="2:26">
      <c r="B3703" s="2"/>
      <c r="N3703" s="27"/>
      <c r="R3703" s="15"/>
      <c r="X3703" s="3"/>
      <c r="Z3703" s="28"/>
    </row>
    <row r="3704" spans="2:26">
      <c r="B3704" s="2"/>
      <c r="N3704" s="27"/>
      <c r="R3704" s="15"/>
      <c r="X3704" s="3"/>
      <c r="Z3704" s="28"/>
    </row>
    <row r="3705" spans="2:26">
      <c r="B3705" s="2"/>
      <c r="N3705" s="27"/>
      <c r="R3705" s="15"/>
      <c r="X3705" s="3"/>
      <c r="Z3705" s="28"/>
    </row>
    <row r="3706" spans="2:26">
      <c r="B3706" s="2"/>
      <c r="N3706" s="27"/>
      <c r="R3706" s="15"/>
      <c r="X3706" s="3"/>
      <c r="Z3706" s="28"/>
    </row>
    <row r="3707" spans="2:26">
      <c r="B3707" s="2"/>
      <c r="N3707" s="27"/>
      <c r="R3707" s="15"/>
      <c r="X3707" s="3"/>
      <c r="Z3707" s="28"/>
    </row>
    <row r="3708" spans="2:26">
      <c r="B3708" s="2"/>
      <c r="N3708" s="27"/>
      <c r="R3708" s="15"/>
      <c r="X3708" s="3"/>
      <c r="Z3708" s="28"/>
    </row>
    <row r="3709" spans="2:26">
      <c r="B3709" s="2"/>
      <c r="N3709" s="27"/>
      <c r="R3709" s="15"/>
      <c r="X3709" s="3"/>
      <c r="Z3709" s="28"/>
    </row>
    <row r="3710" spans="2:26">
      <c r="B3710" s="2"/>
      <c r="N3710" s="27"/>
      <c r="R3710" s="15"/>
      <c r="X3710" s="3"/>
      <c r="Z3710" s="28"/>
    </row>
    <row r="3711" spans="2:26">
      <c r="B3711" s="2"/>
      <c r="N3711" s="27"/>
      <c r="R3711" s="15"/>
      <c r="X3711" s="3"/>
      <c r="Z3711" s="28"/>
    </row>
    <row r="3712" spans="2:26">
      <c r="B3712" s="2"/>
      <c r="N3712" s="27"/>
      <c r="R3712" s="15"/>
      <c r="X3712" s="3"/>
      <c r="Z3712" s="28"/>
    </row>
    <row r="3713" spans="2:26">
      <c r="B3713" s="2"/>
      <c r="N3713" s="27"/>
      <c r="R3713" s="15"/>
      <c r="X3713" s="3"/>
      <c r="Z3713" s="28"/>
    </row>
    <row r="3714" spans="2:26">
      <c r="B3714" s="2"/>
      <c r="N3714" s="27"/>
      <c r="R3714" s="15"/>
      <c r="X3714" s="3"/>
      <c r="Z3714" s="28"/>
    </row>
    <row r="3715" spans="2:26">
      <c r="B3715" s="2"/>
      <c r="N3715" s="27"/>
      <c r="R3715" s="15"/>
      <c r="X3715" s="3"/>
      <c r="Z3715" s="28"/>
    </row>
    <row r="3716" spans="2:26">
      <c r="B3716" s="2"/>
      <c r="N3716" s="27"/>
      <c r="R3716" s="15"/>
      <c r="X3716" s="3"/>
      <c r="Z3716" s="28"/>
    </row>
    <row r="3717" spans="2:26">
      <c r="B3717" s="2"/>
      <c r="N3717" s="27"/>
      <c r="R3717" s="15"/>
      <c r="X3717" s="3"/>
      <c r="Z3717" s="28"/>
    </row>
    <row r="3718" spans="2:26">
      <c r="B3718" s="2"/>
      <c r="N3718" s="27"/>
      <c r="R3718" s="15"/>
      <c r="X3718" s="3"/>
      <c r="Z3718" s="28"/>
    </row>
    <row r="3719" spans="2:26">
      <c r="B3719" s="2"/>
      <c r="N3719" s="27"/>
      <c r="R3719" s="15"/>
      <c r="X3719" s="3"/>
      <c r="Z3719" s="28"/>
    </row>
    <row r="3720" spans="2:26">
      <c r="B3720" s="2"/>
      <c r="N3720" s="27"/>
      <c r="R3720" s="15"/>
      <c r="X3720" s="3"/>
      <c r="Z3720" s="28"/>
    </row>
    <row r="3721" spans="2:26">
      <c r="B3721" s="2"/>
      <c r="N3721" s="27"/>
      <c r="R3721" s="15"/>
      <c r="X3721" s="3"/>
      <c r="Z3721" s="28"/>
    </row>
    <row r="3722" spans="2:26">
      <c r="B3722" s="2"/>
      <c r="N3722" s="27"/>
      <c r="R3722" s="15"/>
      <c r="X3722" s="3"/>
      <c r="Z3722" s="28"/>
    </row>
    <row r="3723" spans="2:26">
      <c r="B3723" s="2"/>
      <c r="N3723" s="27"/>
      <c r="R3723" s="15"/>
      <c r="X3723" s="3"/>
      <c r="Z3723" s="28"/>
    </row>
    <row r="3724" spans="2:26">
      <c r="B3724" s="2"/>
      <c r="N3724" s="27"/>
      <c r="R3724" s="15"/>
      <c r="X3724" s="3"/>
      <c r="Z3724" s="28"/>
    </row>
    <row r="3725" spans="2:26">
      <c r="B3725" s="2"/>
      <c r="N3725" s="27"/>
      <c r="R3725" s="15"/>
      <c r="X3725" s="3"/>
      <c r="Z3725" s="28"/>
    </row>
    <row r="3726" spans="2:26">
      <c r="B3726" s="2"/>
      <c r="N3726" s="27"/>
      <c r="R3726" s="15"/>
      <c r="X3726" s="3"/>
      <c r="Z3726" s="28"/>
    </row>
    <row r="3727" spans="2:26">
      <c r="B3727" s="2"/>
      <c r="N3727" s="27"/>
      <c r="R3727" s="15"/>
      <c r="X3727" s="3"/>
      <c r="Z3727" s="28"/>
    </row>
    <row r="3728" spans="2:26">
      <c r="B3728" s="2"/>
      <c r="N3728" s="27"/>
      <c r="R3728" s="15"/>
      <c r="X3728" s="3"/>
      <c r="Z3728" s="28"/>
    </row>
    <row r="3729" spans="2:26">
      <c r="B3729" s="2"/>
      <c r="N3729" s="27"/>
      <c r="R3729" s="15"/>
      <c r="X3729" s="3"/>
      <c r="Z3729" s="28"/>
    </row>
    <row r="3730" spans="2:26">
      <c r="B3730" s="2"/>
      <c r="N3730" s="27"/>
      <c r="R3730" s="15"/>
      <c r="X3730" s="3"/>
      <c r="Z3730" s="28"/>
    </row>
    <row r="3731" spans="2:26">
      <c r="B3731" s="2"/>
      <c r="N3731" s="27"/>
      <c r="R3731" s="15"/>
      <c r="X3731" s="3"/>
      <c r="Z3731" s="28"/>
    </row>
    <row r="3732" spans="2:26">
      <c r="B3732" s="2"/>
      <c r="N3732" s="27"/>
      <c r="R3732" s="15"/>
      <c r="X3732" s="3"/>
      <c r="Z3732" s="28"/>
    </row>
    <row r="3733" spans="2:26">
      <c r="B3733" s="2"/>
      <c r="N3733" s="27"/>
      <c r="R3733" s="15"/>
      <c r="X3733" s="3"/>
      <c r="Z3733" s="28"/>
    </row>
    <row r="3734" spans="2:26">
      <c r="B3734" s="2"/>
      <c r="N3734" s="27"/>
      <c r="R3734" s="15"/>
      <c r="X3734" s="3"/>
      <c r="Z3734" s="28"/>
    </row>
    <row r="3735" spans="2:26">
      <c r="B3735" s="2"/>
      <c r="N3735" s="27"/>
      <c r="R3735" s="15"/>
      <c r="X3735" s="3"/>
      <c r="Z3735" s="28"/>
    </row>
    <row r="3736" spans="2:26">
      <c r="B3736" s="2"/>
      <c r="N3736" s="27"/>
      <c r="R3736" s="15"/>
      <c r="X3736" s="3"/>
      <c r="Z3736" s="28"/>
    </row>
    <row r="3737" spans="2:26">
      <c r="B3737" s="2"/>
      <c r="N3737" s="27"/>
      <c r="R3737" s="15"/>
      <c r="X3737" s="3"/>
      <c r="Z3737" s="28"/>
    </row>
    <row r="3738" spans="2:26">
      <c r="B3738" s="2"/>
      <c r="N3738" s="27"/>
      <c r="R3738" s="15"/>
      <c r="X3738" s="3"/>
      <c r="Z3738" s="28"/>
    </row>
    <row r="3739" spans="2:26">
      <c r="B3739" s="2"/>
      <c r="N3739" s="27"/>
      <c r="R3739" s="15"/>
      <c r="X3739" s="3"/>
      <c r="Z3739" s="28"/>
    </row>
    <row r="3740" spans="2:26">
      <c r="B3740" s="2"/>
      <c r="N3740" s="27"/>
      <c r="R3740" s="15"/>
      <c r="X3740" s="3"/>
      <c r="Z3740" s="28"/>
    </row>
    <row r="3741" spans="2:26">
      <c r="B3741" s="2"/>
      <c r="N3741" s="27"/>
      <c r="R3741" s="15"/>
      <c r="X3741" s="3"/>
      <c r="Z3741" s="28"/>
    </row>
    <row r="3742" spans="2:26">
      <c r="B3742" s="2"/>
      <c r="N3742" s="27"/>
      <c r="R3742" s="15"/>
      <c r="X3742" s="3"/>
      <c r="Z3742" s="28"/>
    </row>
    <row r="3743" spans="2:26">
      <c r="B3743" s="2"/>
      <c r="N3743" s="27"/>
      <c r="R3743" s="15"/>
      <c r="X3743" s="3"/>
      <c r="Z3743" s="28"/>
    </row>
    <row r="3744" spans="2:26">
      <c r="B3744" s="2"/>
      <c r="N3744" s="27"/>
      <c r="R3744" s="15"/>
      <c r="X3744" s="3"/>
      <c r="Z3744" s="28"/>
    </row>
    <row r="3745" spans="2:26">
      <c r="B3745" s="2"/>
      <c r="N3745" s="27"/>
      <c r="R3745" s="15"/>
      <c r="X3745" s="3"/>
      <c r="Z3745" s="28"/>
    </row>
    <row r="3746" spans="2:26">
      <c r="B3746" s="2"/>
      <c r="N3746" s="27"/>
      <c r="R3746" s="15"/>
      <c r="X3746" s="3"/>
      <c r="Z3746" s="28"/>
    </row>
    <row r="3747" spans="2:26">
      <c r="B3747" s="2"/>
      <c r="N3747" s="27"/>
      <c r="R3747" s="15"/>
      <c r="X3747" s="3"/>
      <c r="Z3747" s="28"/>
    </row>
    <row r="3748" spans="2:26">
      <c r="B3748" s="2"/>
      <c r="N3748" s="27"/>
      <c r="R3748" s="15"/>
      <c r="X3748" s="3"/>
      <c r="Z3748" s="28"/>
    </row>
    <row r="3749" spans="2:26">
      <c r="B3749" s="2"/>
      <c r="N3749" s="27"/>
      <c r="R3749" s="15"/>
      <c r="X3749" s="3"/>
      <c r="Z3749" s="28"/>
    </row>
    <row r="3750" spans="2:26">
      <c r="B3750" s="2"/>
      <c r="N3750" s="27"/>
      <c r="R3750" s="15"/>
      <c r="X3750" s="3"/>
      <c r="Z3750" s="28"/>
    </row>
    <row r="3751" spans="2:26">
      <c r="B3751" s="2"/>
      <c r="N3751" s="27"/>
      <c r="R3751" s="15"/>
      <c r="X3751" s="3"/>
      <c r="Z3751" s="28"/>
    </row>
    <row r="3752" spans="2:26">
      <c r="B3752" s="2"/>
      <c r="N3752" s="27"/>
      <c r="R3752" s="15"/>
      <c r="X3752" s="3"/>
      <c r="Z3752" s="28"/>
    </row>
    <row r="3753" spans="2:26">
      <c r="B3753" s="2"/>
      <c r="N3753" s="27"/>
      <c r="R3753" s="15"/>
      <c r="X3753" s="3"/>
      <c r="Z3753" s="28"/>
    </row>
    <row r="3754" spans="2:26">
      <c r="B3754" s="2"/>
      <c r="N3754" s="27"/>
      <c r="R3754" s="15"/>
      <c r="X3754" s="3"/>
      <c r="Z3754" s="28"/>
    </row>
    <row r="3755" spans="2:26">
      <c r="B3755" s="2"/>
      <c r="N3755" s="27"/>
      <c r="R3755" s="15"/>
      <c r="X3755" s="3"/>
      <c r="Z3755" s="28"/>
    </row>
    <row r="3756" spans="2:26">
      <c r="B3756" s="2"/>
      <c r="N3756" s="27"/>
      <c r="R3756" s="15"/>
      <c r="X3756" s="3"/>
      <c r="Z3756" s="28"/>
    </row>
    <row r="3757" spans="2:26">
      <c r="B3757" s="2"/>
      <c r="N3757" s="27"/>
      <c r="R3757" s="15"/>
      <c r="X3757" s="3"/>
      <c r="Z3757" s="28"/>
    </row>
    <row r="3758" spans="2:26">
      <c r="B3758" s="2"/>
      <c r="N3758" s="27"/>
      <c r="R3758" s="15"/>
      <c r="X3758" s="3"/>
      <c r="Z3758" s="28"/>
    </row>
    <row r="3759" spans="2:26">
      <c r="B3759" s="2"/>
      <c r="N3759" s="27"/>
      <c r="R3759" s="15"/>
      <c r="X3759" s="3"/>
      <c r="Z3759" s="28"/>
    </row>
    <row r="3760" spans="2:26">
      <c r="B3760" s="2"/>
      <c r="N3760" s="27"/>
      <c r="R3760" s="15"/>
      <c r="X3760" s="3"/>
      <c r="Z3760" s="28"/>
    </row>
    <row r="3761" spans="2:26">
      <c r="B3761" s="2"/>
      <c r="N3761" s="27"/>
      <c r="R3761" s="15"/>
      <c r="X3761" s="3"/>
      <c r="Z3761" s="28"/>
    </row>
    <row r="3762" spans="2:26">
      <c r="B3762" s="2"/>
      <c r="N3762" s="27"/>
      <c r="R3762" s="15"/>
      <c r="X3762" s="3"/>
      <c r="Z3762" s="28"/>
    </row>
    <row r="3763" spans="2:26">
      <c r="B3763" s="2"/>
      <c r="N3763" s="27"/>
      <c r="R3763" s="15"/>
      <c r="X3763" s="3"/>
      <c r="Z3763" s="28"/>
    </row>
    <row r="3764" spans="2:26">
      <c r="B3764" s="2"/>
      <c r="N3764" s="27"/>
      <c r="R3764" s="15"/>
      <c r="X3764" s="3"/>
      <c r="Z3764" s="28"/>
    </row>
    <row r="3765" spans="2:26">
      <c r="B3765" s="2"/>
      <c r="N3765" s="27"/>
      <c r="R3765" s="15"/>
      <c r="X3765" s="3"/>
      <c r="Z3765" s="28"/>
    </row>
    <row r="3766" spans="2:26">
      <c r="B3766" s="2"/>
      <c r="N3766" s="27"/>
      <c r="R3766" s="15"/>
      <c r="X3766" s="3"/>
      <c r="Z3766" s="28"/>
    </row>
    <row r="3767" spans="2:26">
      <c r="B3767" s="2"/>
      <c r="N3767" s="27"/>
      <c r="R3767" s="15"/>
      <c r="X3767" s="3"/>
      <c r="Z3767" s="28"/>
    </row>
    <row r="3768" spans="2:26">
      <c r="B3768" s="2"/>
      <c r="N3768" s="27"/>
      <c r="R3768" s="15"/>
      <c r="X3768" s="3"/>
      <c r="Z3768" s="28"/>
    </row>
    <row r="3769" spans="2:26">
      <c r="B3769" s="2"/>
      <c r="N3769" s="27"/>
      <c r="R3769" s="15"/>
      <c r="X3769" s="3"/>
      <c r="Z3769" s="28"/>
    </row>
    <row r="3770" spans="2:26">
      <c r="B3770" s="2"/>
      <c r="N3770" s="27"/>
      <c r="R3770" s="15"/>
      <c r="X3770" s="3"/>
      <c r="Z3770" s="28"/>
    </row>
    <row r="3771" spans="2:26">
      <c r="B3771" s="2"/>
      <c r="N3771" s="27"/>
      <c r="R3771" s="15"/>
      <c r="X3771" s="3"/>
      <c r="Z3771" s="28"/>
    </row>
    <row r="3772" spans="2:26">
      <c r="B3772" s="2"/>
      <c r="N3772" s="27"/>
      <c r="R3772" s="15"/>
      <c r="X3772" s="3"/>
      <c r="Z3772" s="28"/>
    </row>
    <row r="3773" spans="2:26">
      <c r="B3773" s="2"/>
      <c r="N3773" s="27"/>
      <c r="R3773" s="15"/>
      <c r="X3773" s="3"/>
      <c r="Z3773" s="28"/>
    </row>
    <row r="3774" spans="2:26">
      <c r="B3774" s="2"/>
      <c r="N3774" s="27"/>
      <c r="R3774" s="15"/>
      <c r="X3774" s="3"/>
      <c r="Z3774" s="28"/>
    </row>
    <row r="3775" spans="2:26">
      <c r="B3775" s="2"/>
      <c r="N3775" s="27"/>
      <c r="R3775" s="15"/>
      <c r="X3775" s="3"/>
      <c r="Z3775" s="28"/>
    </row>
    <row r="3776" spans="2:26">
      <c r="B3776" s="2"/>
      <c r="N3776" s="27"/>
      <c r="R3776" s="15"/>
      <c r="X3776" s="3"/>
      <c r="Z3776" s="28"/>
    </row>
    <row r="3777" spans="2:26">
      <c r="B3777" s="2"/>
      <c r="N3777" s="27"/>
      <c r="R3777" s="15"/>
      <c r="X3777" s="3"/>
      <c r="Z3777" s="28"/>
    </row>
    <row r="3778" spans="2:26">
      <c r="B3778" s="2"/>
      <c r="N3778" s="27"/>
      <c r="R3778" s="15"/>
      <c r="X3778" s="3"/>
      <c r="Z3778" s="28"/>
    </row>
    <row r="3779" spans="2:26">
      <c r="B3779" s="2"/>
      <c r="N3779" s="27"/>
      <c r="R3779" s="15"/>
      <c r="X3779" s="3"/>
      <c r="Z3779" s="28"/>
    </row>
    <row r="3780" spans="2:26">
      <c r="B3780" s="2"/>
      <c r="N3780" s="27"/>
      <c r="R3780" s="15"/>
      <c r="X3780" s="3"/>
      <c r="Z3780" s="28"/>
    </row>
    <row r="3781" spans="2:26">
      <c r="B3781" s="2"/>
      <c r="N3781" s="27"/>
      <c r="R3781" s="15"/>
      <c r="X3781" s="3"/>
      <c r="Z3781" s="28"/>
    </row>
    <row r="3782" spans="2:26">
      <c r="B3782" s="2"/>
      <c r="N3782" s="27"/>
      <c r="R3782" s="15"/>
      <c r="X3782" s="3"/>
      <c r="Z3782" s="28"/>
    </row>
    <row r="3783" spans="2:26">
      <c r="B3783" s="2"/>
      <c r="N3783" s="27"/>
      <c r="R3783" s="15"/>
      <c r="X3783" s="3"/>
      <c r="Z3783" s="28"/>
    </row>
    <row r="3784" spans="2:26">
      <c r="B3784" s="2"/>
      <c r="N3784" s="27"/>
      <c r="R3784" s="15"/>
      <c r="X3784" s="3"/>
      <c r="Z3784" s="28"/>
    </row>
    <row r="3785" spans="2:26">
      <c r="B3785" s="2"/>
      <c r="N3785" s="27"/>
      <c r="R3785" s="15"/>
      <c r="X3785" s="3"/>
      <c r="Z3785" s="28"/>
    </row>
    <row r="3786" spans="2:26">
      <c r="B3786" s="2"/>
      <c r="N3786" s="27"/>
      <c r="R3786" s="15"/>
      <c r="X3786" s="3"/>
      <c r="Z3786" s="28"/>
    </row>
    <row r="3787" spans="2:26">
      <c r="B3787" s="2"/>
      <c r="N3787" s="27"/>
      <c r="R3787" s="15"/>
      <c r="X3787" s="3"/>
      <c r="Z3787" s="28"/>
    </row>
    <row r="3788" spans="2:26">
      <c r="B3788" s="2"/>
      <c r="N3788" s="27"/>
      <c r="R3788" s="15"/>
      <c r="X3788" s="3"/>
      <c r="Z3788" s="28"/>
    </row>
    <row r="3789" spans="2:26">
      <c r="B3789" s="2"/>
      <c r="N3789" s="27"/>
      <c r="R3789" s="15"/>
      <c r="X3789" s="3"/>
      <c r="Z3789" s="28"/>
    </row>
    <row r="3790" spans="2:26">
      <c r="B3790" s="2"/>
      <c r="N3790" s="27"/>
      <c r="R3790" s="15"/>
      <c r="X3790" s="3"/>
      <c r="Z3790" s="28"/>
    </row>
    <row r="3791" spans="2:26">
      <c r="B3791" s="2"/>
      <c r="N3791" s="27"/>
      <c r="R3791" s="15"/>
      <c r="X3791" s="3"/>
      <c r="Z3791" s="28"/>
    </row>
    <row r="3792" spans="2:26">
      <c r="B3792" s="2"/>
      <c r="N3792" s="27"/>
      <c r="R3792" s="15"/>
      <c r="X3792" s="3"/>
      <c r="Z3792" s="28"/>
    </row>
    <row r="3793" spans="2:26">
      <c r="B3793" s="2"/>
      <c r="N3793" s="27"/>
      <c r="R3793" s="15"/>
      <c r="X3793" s="3"/>
      <c r="Z3793" s="28"/>
    </row>
    <row r="3794" spans="2:26">
      <c r="B3794" s="2"/>
      <c r="N3794" s="27"/>
      <c r="R3794" s="15"/>
      <c r="X3794" s="3"/>
      <c r="Z3794" s="28"/>
    </row>
    <row r="3795" spans="2:26">
      <c r="B3795" s="2"/>
      <c r="N3795" s="27"/>
      <c r="R3795" s="15"/>
      <c r="X3795" s="3"/>
      <c r="Z3795" s="28"/>
    </row>
    <row r="3796" spans="2:26">
      <c r="B3796" s="2"/>
      <c r="N3796" s="27"/>
      <c r="R3796" s="15"/>
      <c r="X3796" s="3"/>
      <c r="Z3796" s="28"/>
    </row>
    <row r="3797" spans="2:26">
      <c r="B3797" s="2"/>
      <c r="N3797" s="27"/>
      <c r="R3797" s="15"/>
      <c r="X3797" s="3"/>
      <c r="Z3797" s="28"/>
    </row>
    <row r="3798" spans="2:26">
      <c r="B3798" s="2"/>
      <c r="N3798" s="27"/>
      <c r="R3798" s="15"/>
      <c r="X3798" s="3"/>
      <c r="Z3798" s="28"/>
    </row>
    <row r="3799" spans="2:26">
      <c r="B3799" s="2"/>
      <c r="N3799" s="27"/>
      <c r="R3799" s="15"/>
      <c r="X3799" s="3"/>
      <c r="Z3799" s="28"/>
    </row>
    <row r="3800" spans="2:26">
      <c r="B3800" s="2"/>
      <c r="N3800" s="27"/>
      <c r="R3800" s="15"/>
      <c r="X3800" s="3"/>
      <c r="Z3800" s="28"/>
    </row>
    <row r="3801" spans="2:26">
      <c r="B3801" s="2"/>
      <c r="N3801" s="27"/>
      <c r="R3801" s="15"/>
      <c r="X3801" s="3"/>
      <c r="Z3801" s="28"/>
    </row>
    <row r="3802" spans="2:26">
      <c r="B3802" s="2"/>
      <c r="N3802" s="27"/>
      <c r="R3802" s="15"/>
      <c r="X3802" s="3"/>
      <c r="Z3802" s="28"/>
    </row>
    <row r="3803" spans="2:26">
      <c r="B3803" s="2"/>
      <c r="N3803" s="27"/>
      <c r="R3803" s="15"/>
      <c r="X3803" s="3"/>
      <c r="Z3803" s="28"/>
    </row>
    <row r="3804" spans="2:26">
      <c r="B3804" s="2"/>
      <c r="N3804" s="27"/>
      <c r="R3804" s="15"/>
      <c r="X3804" s="3"/>
      <c r="Z3804" s="28"/>
    </row>
    <row r="3805" spans="2:26">
      <c r="B3805" s="2"/>
      <c r="N3805" s="27"/>
      <c r="R3805" s="15"/>
      <c r="X3805" s="3"/>
      <c r="Z3805" s="28"/>
    </row>
    <row r="3806" spans="2:26">
      <c r="B3806" s="2"/>
      <c r="N3806" s="27"/>
      <c r="R3806" s="15"/>
      <c r="X3806" s="3"/>
      <c r="Z3806" s="28"/>
    </row>
    <row r="3807" spans="2:26">
      <c r="B3807" s="2"/>
      <c r="N3807" s="27"/>
      <c r="R3807" s="15"/>
      <c r="X3807" s="3"/>
      <c r="Z3807" s="28"/>
    </row>
    <row r="3808" spans="2:26">
      <c r="B3808" s="2"/>
      <c r="N3808" s="27"/>
      <c r="R3808" s="15"/>
      <c r="X3808" s="3"/>
      <c r="Z3808" s="28"/>
    </row>
    <row r="3809" spans="2:26">
      <c r="B3809" s="2"/>
      <c r="N3809" s="27"/>
      <c r="R3809" s="15"/>
      <c r="X3809" s="3"/>
      <c r="Z3809" s="28"/>
    </row>
    <row r="3810" spans="2:26">
      <c r="B3810" s="2"/>
      <c r="N3810" s="27"/>
      <c r="R3810" s="15"/>
      <c r="X3810" s="3"/>
      <c r="Z3810" s="28"/>
    </row>
    <row r="3811" spans="2:26">
      <c r="B3811" s="2"/>
      <c r="N3811" s="27"/>
      <c r="R3811" s="15"/>
      <c r="X3811" s="3"/>
      <c r="Z3811" s="28"/>
    </row>
    <row r="3812" spans="2:26">
      <c r="B3812" s="2"/>
      <c r="N3812" s="27"/>
      <c r="R3812" s="15"/>
      <c r="X3812" s="3"/>
      <c r="Z3812" s="28"/>
    </row>
    <row r="3813" spans="2:26">
      <c r="B3813" s="2"/>
      <c r="N3813" s="27"/>
      <c r="R3813" s="15"/>
      <c r="X3813" s="3"/>
      <c r="Z3813" s="28"/>
    </row>
    <row r="3814" spans="2:26">
      <c r="B3814" s="2"/>
      <c r="N3814" s="27"/>
      <c r="R3814" s="15"/>
      <c r="X3814" s="3"/>
      <c r="Z3814" s="28"/>
    </row>
    <row r="3815" spans="2:26">
      <c r="B3815" s="2"/>
      <c r="N3815" s="27"/>
      <c r="R3815" s="15"/>
      <c r="X3815" s="3"/>
      <c r="Z3815" s="28"/>
    </row>
    <row r="3816" spans="2:26">
      <c r="B3816" s="2"/>
      <c r="N3816" s="27"/>
      <c r="R3816" s="15"/>
      <c r="X3816" s="3"/>
      <c r="Z3816" s="28"/>
    </row>
    <row r="3817" spans="2:26">
      <c r="B3817" s="2"/>
      <c r="N3817" s="27"/>
      <c r="R3817" s="15"/>
      <c r="X3817" s="3"/>
      <c r="Z3817" s="28"/>
    </row>
    <row r="3818" spans="2:26">
      <c r="B3818" s="2"/>
      <c r="N3818" s="27"/>
      <c r="R3818" s="15"/>
      <c r="X3818" s="3"/>
      <c r="Z3818" s="28"/>
    </row>
    <row r="3819" spans="2:26">
      <c r="B3819" s="2"/>
      <c r="N3819" s="27"/>
      <c r="R3819" s="15"/>
      <c r="X3819" s="3"/>
      <c r="Z3819" s="28"/>
    </row>
    <row r="3820" spans="2:26">
      <c r="B3820" s="2"/>
      <c r="N3820" s="27"/>
      <c r="R3820" s="15"/>
      <c r="X3820" s="3"/>
      <c r="Z3820" s="28"/>
    </row>
    <row r="3821" spans="2:26">
      <c r="B3821" s="2"/>
      <c r="N3821" s="27"/>
      <c r="R3821" s="15"/>
      <c r="X3821" s="3"/>
      <c r="Z3821" s="28"/>
    </row>
    <row r="3822" spans="2:26">
      <c r="B3822" s="2"/>
      <c r="N3822" s="27"/>
      <c r="R3822" s="15"/>
      <c r="X3822" s="3"/>
      <c r="Z3822" s="28"/>
    </row>
    <row r="3823" spans="2:26">
      <c r="B3823" s="2"/>
      <c r="N3823" s="27"/>
      <c r="R3823" s="15"/>
      <c r="X3823" s="3"/>
      <c r="Z3823" s="28"/>
    </row>
    <row r="3824" spans="2:26">
      <c r="B3824" s="2"/>
      <c r="N3824" s="27"/>
      <c r="R3824" s="15"/>
      <c r="X3824" s="3"/>
      <c r="Z3824" s="28"/>
    </row>
    <row r="3825" spans="2:26">
      <c r="B3825" s="2"/>
      <c r="N3825" s="27"/>
      <c r="R3825" s="15"/>
      <c r="X3825" s="3"/>
      <c r="Z3825" s="28"/>
    </row>
    <row r="3826" spans="2:26">
      <c r="B3826" s="2"/>
      <c r="N3826" s="27"/>
      <c r="R3826" s="15"/>
      <c r="X3826" s="3"/>
      <c r="Z3826" s="28"/>
    </row>
    <row r="3827" spans="2:26">
      <c r="B3827" s="2"/>
      <c r="N3827" s="27"/>
      <c r="R3827" s="15"/>
      <c r="X3827" s="3"/>
      <c r="Z3827" s="28"/>
    </row>
    <row r="3828" spans="2:26">
      <c r="B3828" s="2"/>
      <c r="N3828" s="27"/>
      <c r="R3828" s="15"/>
      <c r="X3828" s="3"/>
      <c r="Z3828" s="28"/>
    </row>
    <row r="3829" spans="2:26">
      <c r="B3829" s="2"/>
      <c r="N3829" s="27"/>
      <c r="R3829" s="15"/>
      <c r="X3829" s="3"/>
      <c r="Z3829" s="28"/>
    </row>
    <row r="3830" spans="2:26">
      <c r="B3830" s="2"/>
      <c r="N3830" s="27"/>
      <c r="R3830" s="15"/>
      <c r="X3830" s="3"/>
      <c r="Z3830" s="28"/>
    </row>
    <row r="3831" spans="2:26">
      <c r="B3831" s="2"/>
      <c r="N3831" s="27"/>
      <c r="R3831" s="15"/>
      <c r="X3831" s="3"/>
      <c r="Z3831" s="28"/>
    </row>
    <row r="3832" spans="2:26">
      <c r="B3832" s="2"/>
      <c r="N3832" s="27"/>
      <c r="R3832" s="15"/>
      <c r="X3832" s="3"/>
      <c r="Z3832" s="28"/>
    </row>
    <row r="3833" spans="2:26">
      <c r="B3833" s="2"/>
      <c r="N3833" s="27"/>
      <c r="R3833" s="15"/>
      <c r="X3833" s="3"/>
      <c r="Z3833" s="28"/>
    </row>
    <row r="3834" spans="2:26">
      <c r="B3834" s="2"/>
      <c r="N3834" s="27"/>
      <c r="R3834" s="15"/>
      <c r="X3834" s="3"/>
      <c r="Z3834" s="28"/>
    </row>
    <row r="3835" spans="2:26">
      <c r="B3835" s="2"/>
      <c r="N3835" s="27"/>
      <c r="R3835" s="15"/>
      <c r="X3835" s="3"/>
      <c r="Z3835" s="28"/>
    </row>
    <row r="3836" spans="2:26">
      <c r="B3836" s="2"/>
      <c r="N3836" s="27"/>
      <c r="R3836" s="15"/>
      <c r="X3836" s="3"/>
      <c r="Z3836" s="28"/>
    </row>
    <row r="3837" spans="2:26">
      <c r="B3837" s="2"/>
      <c r="N3837" s="27"/>
      <c r="R3837" s="15"/>
      <c r="X3837" s="3"/>
      <c r="Z3837" s="28"/>
    </row>
    <row r="3838" spans="2:26">
      <c r="B3838" s="2"/>
      <c r="N3838" s="27"/>
      <c r="R3838" s="15"/>
      <c r="X3838" s="3"/>
      <c r="Z3838" s="28"/>
    </row>
    <row r="3839" spans="2:26">
      <c r="B3839" s="2"/>
      <c r="N3839" s="27"/>
      <c r="R3839" s="15"/>
      <c r="X3839" s="3"/>
      <c r="Z3839" s="28"/>
    </row>
    <row r="3840" spans="2:26">
      <c r="B3840" s="2"/>
      <c r="N3840" s="27"/>
      <c r="R3840" s="15"/>
      <c r="X3840" s="3"/>
      <c r="Z3840" s="28"/>
    </row>
    <row r="3841" spans="2:26">
      <c r="B3841" s="2"/>
      <c r="N3841" s="27"/>
      <c r="R3841" s="15"/>
      <c r="X3841" s="3"/>
      <c r="Z3841" s="28"/>
    </row>
    <row r="3842" spans="2:26">
      <c r="B3842" s="2"/>
      <c r="N3842" s="27"/>
      <c r="R3842" s="15"/>
      <c r="X3842" s="3"/>
      <c r="Z3842" s="28"/>
    </row>
    <row r="3843" spans="2:26">
      <c r="B3843" s="2"/>
      <c r="N3843" s="27"/>
      <c r="R3843" s="15"/>
      <c r="X3843" s="3"/>
      <c r="Z3843" s="28"/>
    </row>
    <row r="3844" spans="2:26">
      <c r="B3844" s="2"/>
      <c r="N3844" s="27"/>
      <c r="R3844" s="15"/>
      <c r="X3844" s="3"/>
      <c r="Z3844" s="28"/>
    </row>
    <row r="3845" spans="2:26">
      <c r="B3845" s="2"/>
      <c r="N3845" s="27"/>
      <c r="R3845" s="15"/>
      <c r="X3845" s="3"/>
      <c r="Z3845" s="28"/>
    </row>
    <row r="3846" spans="2:26">
      <c r="B3846" s="2"/>
      <c r="N3846" s="27"/>
      <c r="R3846" s="15"/>
      <c r="X3846" s="3"/>
      <c r="Z3846" s="28"/>
    </row>
    <row r="3847" spans="2:26">
      <c r="B3847" s="2"/>
      <c r="N3847" s="27"/>
      <c r="R3847" s="15"/>
      <c r="X3847" s="3"/>
      <c r="Z3847" s="28"/>
    </row>
    <row r="3848" spans="2:26">
      <c r="B3848" s="2"/>
      <c r="N3848" s="27"/>
      <c r="R3848" s="15"/>
      <c r="X3848" s="3"/>
      <c r="Z3848" s="28"/>
    </row>
    <row r="3849" spans="2:26">
      <c r="B3849" s="2"/>
      <c r="N3849" s="27"/>
      <c r="R3849" s="15"/>
      <c r="X3849" s="3"/>
      <c r="Z3849" s="28"/>
    </row>
    <row r="3850" spans="2:26">
      <c r="B3850" s="2"/>
      <c r="N3850" s="27"/>
      <c r="R3850" s="15"/>
      <c r="X3850" s="3"/>
      <c r="Z3850" s="28"/>
    </row>
    <row r="3851" spans="2:26">
      <c r="B3851" s="2"/>
      <c r="N3851" s="27"/>
      <c r="R3851" s="15"/>
      <c r="X3851" s="3"/>
      <c r="Z3851" s="28"/>
    </row>
    <row r="3852" spans="2:26">
      <c r="B3852" s="2"/>
      <c r="N3852" s="27"/>
      <c r="R3852" s="15"/>
      <c r="X3852" s="3"/>
      <c r="Z3852" s="28"/>
    </row>
    <row r="3853" spans="2:26">
      <c r="B3853" s="2"/>
      <c r="N3853" s="27"/>
      <c r="R3853" s="15"/>
      <c r="X3853" s="3"/>
      <c r="Z3853" s="28"/>
    </row>
    <row r="3854" spans="2:26">
      <c r="B3854" s="2"/>
      <c r="N3854" s="27"/>
      <c r="R3854" s="15"/>
      <c r="X3854" s="3"/>
      <c r="Z3854" s="28"/>
    </row>
    <row r="3855" spans="2:26">
      <c r="B3855" s="2"/>
      <c r="N3855" s="27"/>
      <c r="R3855" s="15"/>
      <c r="X3855" s="3"/>
      <c r="Z3855" s="28"/>
    </row>
    <row r="3856" spans="2:26">
      <c r="B3856" s="2"/>
      <c r="N3856" s="27"/>
      <c r="R3856" s="15"/>
      <c r="X3856" s="3"/>
      <c r="Z3856" s="28"/>
    </row>
    <row r="3857" spans="2:26">
      <c r="B3857" s="2"/>
      <c r="N3857" s="27"/>
      <c r="R3857" s="15"/>
      <c r="X3857" s="3"/>
      <c r="Z3857" s="28"/>
    </row>
    <row r="3858" spans="2:26">
      <c r="B3858" s="2"/>
      <c r="N3858" s="27"/>
      <c r="R3858" s="15"/>
      <c r="X3858" s="3"/>
      <c r="Z3858" s="28"/>
    </row>
    <row r="3859" spans="2:26">
      <c r="B3859" s="2"/>
      <c r="N3859" s="27"/>
      <c r="R3859" s="15"/>
      <c r="X3859" s="3"/>
      <c r="Z3859" s="28"/>
    </row>
    <row r="3860" spans="2:26">
      <c r="B3860" s="2"/>
      <c r="N3860" s="27"/>
      <c r="R3860" s="15"/>
      <c r="X3860" s="3"/>
      <c r="Z3860" s="28"/>
    </row>
    <row r="3861" spans="2:26">
      <c r="B3861" s="2"/>
      <c r="N3861" s="27"/>
      <c r="R3861" s="15"/>
      <c r="X3861" s="3"/>
      <c r="Z3861" s="28"/>
    </row>
    <row r="3862" spans="2:26">
      <c r="B3862" s="2"/>
      <c r="N3862" s="27"/>
      <c r="R3862" s="15"/>
      <c r="X3862" s="3"/>
      <c r="Z3862" s="28"/>
    </row>
    <row r="3863" spans="2:26">
      <c r="B3863" s="2"/>
      <c r="N3863" s="27"/>
      <c r="R3863" s="15"/>
      <c r="X3863" s="3"/>
      <c r="Z3863" s="28"/>
    </row>
    <row r="3864" spans="2:26">
      <c r="B3864" s="2"/>
      <c r="N3864" s="27"/>
      <c r="R3864" s="15"/>
      <c r="X3864" s="3"/>
      <c r="Z3864" s="28"/>
    </row>
    <row r="3865" spans="2:26">
      <c r="B3865" s="2"/>
      <c r="N3865" s="27"/>
      <c r="R3865" s="15"/>
      <c r="X3865" s="3"/>
      <c r="Z3865" s="28"/>
    </row>
    <row r="3866" spans="2:26">
      <c r="B3866" s="2"/>
      <c r="N3866" s="27"/>
      <c r="R3866" s="15"/>
      <c r="X3866" s="3"/>
      <c r="Z3866" s="28"/>
    </row>
    <row r="3867" spans="2:26">
      <c r="B3867" s="2"/>
      <c r="N3867" s="27"/>
      <c r="R3867" s="15"/>
      <c r="X3867" s="3"/>
      <c r="Z3867" s="28"/>
    </row>
    <row r="3868" spans="2:26">
      <c r="B3868" s="2"/>
      <c r="N3868" s="27"/>
      <c r="R3868" s="15"/>
      <c r="X3868" s="3"/>
      <c r="Z3868" s="28"/>
    </row>
    <row r="3869" spans="2:26">
      <c r="B3869" s="2"/>
      <c r="N3869" s="27"/>
      <c r="R3869" s="15"/>
      <c r="X3869" s="3"/>
      <c r="Z3869" s="28"/>
    </row>
    <row r="3870" spans="2:26">
      <c r="B3870" s="2"/>
      <c r="N3870" s="27"/>
      <c r="R3870" s="15"/>
      <c r="X3870" s="3"/>
      <c r="Z3870" s="28"/>
    </row>
    <row r="3871" spans="2:26">
      <c r="B3871" s="2"/>
      <c r="N3871" s="27"/>
      <c r="R3871" s="15"/>
      <c r="X3871" s="3"/>
      <c r="Z3871" s="28"/>
    </row>
    <row r="3872" spans="2:26">
      <c r="B3872" s="2"/>
      <c r="N3872" s="27"/>
      <c r="R3872" s="15"/>
      <c r="X3872" s="3"/>
      <c r="Z3872" s="28"/>
    </row>
    <row r="3873" spans="2:26">
      <c r="B3873" s="2"/>
      <c r="N3873" s="27"/>
      <c r="R3873" s="15"/>
      <c r="X3873" s="3"/>
      <c r="Z3873" s="28"/>
    </row>
    <row r="3874" spans="2:26">
      <c r="B3874" s="2"/>
      <c r="N3874" s="27"/>
      <c r="R3874" s="15"/>
      <c r="X3874" s="3"/>
      <c r="Z3874" s="28"/>
    </row>
    <row r="3875" spans="2:26">
      <c r="B3875" s="2"/>
      <c r="N3875" s="27"/>
      <c r="R3875" s="15"/>
      <c r="X3875" s="3"/>
      <c r="Z3875" s="28"/>
    </row>
    <row r="3876" spans="2:26">
      <c r="B3876" s="2"/>
      <c r="N3876" s="27"/>
      <c r="R3876" s="15"/>
      <c r="X3876" s="3"/>
      <c r="Z3876" s="28"/>
    </row>
    <row r="3877" spans="2:26">
      <c r="B3877" s="2"/>
      <c r="N3877" s="27"/>
      <c r="R3877" s="15"/>
      <c r="X3877" s="3"/>
      <c r="Z3877" s="28"/>
    </row>
    <row r="3878" spans="2:26">
      <c r="B3878" s="2"/>
      <c r="N3878" s="27"/>
      <c r="R3878" s="15"/>
      <c r="X3878" s="3"/>
      <c r="Z3878" s="28"/>
    </row>
    <row r="3879" spans="2:26">
      <c r="B3879" s="2"/>
      <c r="N3879" s="27"/>
      <c r="R3879" s="15"/>
      <c r="X3879" s="3"/>
      <c r="Z3879" s="28"/>
    </row>
    <row r="3880" spans="2:26">
      <c r="B3880" s="2"/>
      <c r="N3880" s="27"/>
      <c r="R3880" s="15"/>
      <c r="X3880" s="3"/>
      <c r="Z3880" s="28"/>
    </row>
    <row r="3881" spans="2:26">
      <c r="B3881" s="2"/>
      <c r="N3881" s="27"/>
      <c r="R3881" s="15"/>
      <c r="X3881" s="3"/>
      <c r="Z3881" s="28"/>
    </row>
    <row r="3882" spans="2:26">
      <c r="B3882" s="2"/>
      <c r="N3882" s="27"/>
      <c r="R3882" s="15"/>
      <c r="X3882" s="3"/>
      <c r="Z3882" s="28"/>
    </row>
    <row r="3883" spans="2:26">
      <c r="B3883" s="2"/>
      <c r="N3883" s="27"/>
      <c r="R3883" s="15"/>
      <c r="X3883" s="3"/>
      <c r="Z3883" s="28"/>
    </row>
    <row r="3884" spans="2:26">
      <c r="B3884" s="2"/>
      <c r="N3884" s="27"/>
      <c r="R3884" s="15"/>
      <c r="X3884" s="3"/>
      <c r="Z3884" s="28"/>
    </row>
    <row r="3885" spans="2:26">
      <c r="B3885" s="2"/>
      <c r="N3885" s="27"/>
      <c r="R3885" s="15"/>
      <c r="X3885" s="3"/>
      <c r="Z3885" s="28"/>
    </row>
    <row r="3886" spans="2:26">
      <c r="B3886" s="2"/>
      <c r="N3886" s="27"/>
      <c r="R3886" s="15"/>
      <c r="X3886" s="3"/>
      <c r="Z3886" s="28"/>
    </row>
    <row r="3887" spans="2:26">
      <c r="B3887" s="2"/>
      <c r="N3887" s="27"/>
      <c r="R3887" s="15"/>
      <c r="X3887" s="3"/>
      <c r="Z3887" s="28"/>
    </row>
    <row r="3888" spans="2:26">
      <c r="B3888" s="2"/>
      <c r="N3888" s="27"/>
      <c r="R3888" s="15"/>
      <c r="X3888" s="3"/>
      <c r="Z3888" s="28"/>
    </row>
    <row r="3889" spans="2:26">
      <c r="B3889" s="2"/>
      <c r="N3889" s="27"/>
      <c r="R3889" s="15"/>
      <c r="X3889" s="3"/>
      <c r="Z3889" s="28"/>
    </row>
    <row r="3890" spans="2:26">
      <c r="B3890" s="2"/>
      <c r="N3890" s="27"/>
      <c r="R3890" s="15"/>
      <c r="X3890" s="3"/>
      <c r="Z3890" s="28"/>
    </row>
    <row r="3891" spans="2:26">
      <c r="B3891" s="2"/>
      <c r="N3891" s="27"/>
      <c r="R3891" s="15"/>
      <c r="X3891" s="3"/>
      <c r="Z3891" s="28"/>
    </row>
    <row r="3892" spans="2:26">
      <c r="B3892" s="2"/>
      <c r="N3892" s="27"/>
      <c r="R3892" s="15"/>
      <c r="X3892" s="3"/>
      <c r="Z3892" s="28"/>
    </row>
    <row r="3893" spans="2:26">
      <c r="B3893" s="2"/>
      <c r="N3893" s="27"/>
      <c r="R3893" s="15"/>
      <c r="X3893" s="3"/>
      <c r="Z3893" s="28"/>
    </row>
    <row r="3894" spans="2:26">
      <c r="B3894" s="2"/>
      <c r="N3894" s="27"/>
      <c r="R3894" s="15"/>
      <c r="X3894" s="3"/>
      <c r="Z3894" s="28"/>
    </row>
    <row r="3895" spans="2:26">
      <c r="B3895" s="2"/>
      <c r="N3895" s="27"/>
      <c r="R3895" s="15"/>
      <c r="X3895" s="3"/>
      <c r="Z3895" s="28"/>
    </row>
    <row r="3896" spans="2:26">
      <c r="B3896" s="2"/>
      <c r="N3896" s="27"/>
      <c r="R3896" s="15"/>
      <c r="X3896" s="3"/>
      <c r="Z3896" s="28"/>
    </row>
    <row r="3897" spans="2:26">
      <c r="B3897" s="2"/>
      <c r="N3897" s="27"/>
      <c r="R3897" s="15"/>
      <c r="X3897" s="3"/>
      <c r="Z3897" s="28"/>
    </row>
    <row r="3898" spans="2:26">
      <c r="B3898" s="2"/>
      <c r="N3898" s="27"/>
      <c r="R3898" s="15"/>
      <c r="X3898" s="3"/>
      <c r="Z3898" s="28"/>
    </row>
    <row r="3899" spans="2:26">
      <c r="B3899" s="2"/>
      <c r="N3899" s="27"/>
      <c r="R3899" s="15"/>
      <c r="X3899" s="3"/>
      <c r="Z3899" s="28"/>
    </row>
    <row r="3900" spans="2:26">
      <c r="B3900" s="2"/>
      <c r="N3900" s="27"/>
      <c r="R3900" s="15"/>
      <c r="X3900" s="3"/>
      <c r="Z3900" s="28"/>
    </row>
    <row r="3901" spans="2:26">
      <c r="B3901" s="2"/>
      <c r="N3901" s="27"/>
      <c r="R3901" s="15"/>
      <c r="X3901" s="3"/>
      <c r="Z3901" s="28"/>
    </row>
    <row r="3902" spans="2:26">
      <c r="B3902" s="2"/>
      <c r="N3902" s="27"/>
      <c r="R3902" s="15"/>
      <c r="X3902" s="3"/>
      <c r="Z3902" s="28"/>
    </row>
    <row r="3903" spans="2:26">
      <c r="B3903" s="2"/>
      <c r="N3903" s="27"/>
      <c r="R3903" s="15"/>
      <c r="X3903" s="3"/>
      <c r="Z3903" s="28"/>
    </row>
    <row r="3904" spans="2:26">
      <c r="B3904" s="2"/>
      <c r="N3904" s="27"/>
      <c r="R3904" s="15"/>
      <c r="X3904" s="3"/>
      <c r="Z3904" s="28"/>
    </row>
    <row r="3905" spans="2:26">
      <c r="B3905" s="2"/>
      <c r="N3905" s="27"/>
      <c r="R3905" s="15"/>
      <c r="X3905" s="3"/>
      <c r="Z3905" s="28"/>
    </row>
    <row r="3906" spans="2:26">
      <c r="B3906" s="2"/>
      <c r="N3906" s="27"/>
      <c r="R3906" s="15"/>
      <c r="X3906" s="3"/>
      <c r="Z3906" s="28"/>
    </row>
    <row r="3907" spans="2:26">
      <c r="B3907" s="2"/>
      <c r="N3907" s="27"/>
      <c r="R3907" s="15"/>
      <c r="X3907" s="3"/>
      <c r="Z3907" s="28"/>
    </row>
    <row r="3908" spans="2:26">
      <c r="B3908" s="2"/>
      <c r="N3908" s="27"/>
      <c r="R3908" s="15"/>
      <c r="X3908" s="3"/>
      <c r="Z3908" s="28"/>
    </row>
    <row r="3909" spans="2:26">
      <c r="B3909" s="2"/>
      <c r="N3909" s="27"/>
      <c r="R3909" s="15"/>
      <c r="X3909" s="3"/>
      <c r="Z3909" s="28"/>
    </row>
    <row r="3910" spans="2:26">
      <c r="B3910" s="2"/>
      <c r="N3910" s="27"/>
      <c r="R3910" s="15"/>
      <c r="X3910" s="3"/>
      <c r="Z3910" s="28"/>
    </row>
    <row r="3911" spans="2:26">
      <c r="B3911" s="2"/>
      <c r="N3911" s="27"/>
      <c r="R3911" s="15"/>
      <c r="X3911" s="3"/>
      <c r="Z3911" s="28"/>
    </row>
    <row r="3912" spans="2:26">
      <c r="B3912" s="2"/>
      <c r="N3912" s="27"/>
      <c r="R3912" s="15"/>
      <c r="X3912" s="3"/>
      <c r="Z3912" s="28"/>
    </row>
    <row r="3913" spans="2:26">
      <c r="B3913" s="2"/>
      <c r="N3913" s="27"/>
      <c r="R3913" s="15"/>
      <c r="X3913" s="3"/>
      <c r="Z3913" s="28"/>
    </row>
    <row r="3914" spans="2:26">
      <c r="B3914" s="2"/>
      <c r="N3914" s="27"/>
      <c r="R3914" s="15"/>
      <c r="X3914" s="3"/>
      <c r="Z3914" s="28"/>
    </row>
    <row r="3915" spans="2:26">
      <c r="B3915" s="2"/>
      <c r="N3915" s="27"/>
      <c r="R3915" s="15"/>
      <c r="X3915" s="3"/>
      <c r="Z3915" s="28"/>
    </row>
    <row r="3916" spans="2:26">
      <c r="B3916" s="2"/>
      <c r="N3916" s="27"/>
      <c r="R3916" s="15"/>
      <c r="X3916" s="3"/>
      <c r="Z3916" s="28"/>
    </row>
    <row r="3917" spans="2:26">
      <c r="B3917" s="2"/>
      <c r="N3917" s="27"/>
      <c r="R3917" s="15"/>
      <c r="X3917" s="3"/>
      <c r="Z3917" s="28"/>
    </row>
    <row r="3918" spans="2:26">
      <c r="B3918" s="2"/>
      <c r="N3918" s="27"/>
      <c r="R3918" s="15"/>
      <c r="X3918" s="3"/>
      <c r="Z3918" s="28"/>
    </row>
    <row r="3919" spans="2:26">
      <c r="B3919" s="2"/>
      <c r="N3919" s="27"/>
      <c r="R3919" s="15"/>
      <c r="X3919" s="3"/>
      <c r="Z3919" s="28"/>
    </row>
    <row r="3920" spans="2:26">
      <c r="B3920" s="2"/>
      <c r="N3920" s="27"/>
      <c r="R3920" s="15"/>
      <c r="X3920" s="3"/>
      <c r="Z3920" s="28"/>
    </row>
    <row r="3921" spans="2:26">
      <c r="B3921" s="2"/>
      <c r="N3921" s="27"/>
      <c r="R3921" s="15"/>
      <c r="X3921" s="3"/>
      <c r="Z3921" s="28"/>
    </row>
    <row r="3922" spans="2:26">
      <c r="B3922" s="2"/>
      <c r="N3922" s="27"/>
      <c r="R3922" s="15"/>
      <c r="X3922" s="3"/>
      <c r="Z3922" s="28"/>
    </row>
    <row r="3923" spans="2:26">
      <c r="B3923" s="2"/>
      <c r="N3923" s="27"/>
      <c r="R3923" s="15"/>
      <c r="X3923" s="3"/>
      <c r="Z3923" s="28"/>
    </row>
    <row r="3924" spans="2:26">
      <c r="B3924" s="2"/>
      <c r="N3924" s="27"/>
      <c r="R3924" s="15"/>
      <c r="X3924" s="3"/>
      <c r="Z3924" s="28"/>
    </row>
    <row r="3925" spans="2:26">
      <c r="B3925" s="2"/>
      <c r="N3925" s="27"/>
      <c r="R3925" s="15"/>
      <c r="X3925" s="3"/>
      <c r="Z3925" s="28"/>
    </row>
    <row r="3926" spans="2:26">
      <c r="B3926" s="2"/>
      <c r="N3926" s="27"/>
      <c r="R3926" s="15"/>
      <c r="X3926" s="3"/>
      <c r="Z3926" s="28"/>
    </row>
    <row r="3927" spans="2:26">
      <c r="B3927" s="2"/>
      <c r="N3927" s="27"/>
      <c r="R3927" s="15"/>
      <c r="X3927" s="3"/>
      <c r="Z3927" s="28"/>
    </row>
    <row r="3928" spans="2:26">
      <c r="B3928" s="2"/>
      <c r="N3928" s="27"/>
      <c r="R3928" s="15"/>
      <c r="X3928" s="3"/>
      <c r="Z3928" s="28"/>
    </row>
    <row r="3929" spans="2:26">
      <c r="B3929" s="2"/>
      <c r="N3929" s="27"/>
      <c r="R3929" s="15"/>
      <c r="X3929" s="3"/>
      <c r="Z3929" s="28"/>
    </row>
    <row r="3930" spans="2:26">
      <c r="B3930" s="2"/>
      <c r="N3930" s="27"/>
      <c r="R3930" s="15"/>
      <c r="X3930" s="3"/>
      <c r="Z3930" s="28"/>
    </row>
    <row r="3931" spans="2:26">
      <c r="B3931" s="2"/>
      <c r="N3931" s="27"/>
      <c r="R3931" s="15"/>
      <c r="X3931" s="3"/>
      <c r="Z3931" s="28"/>
    </row>
    <row r="3932" spans="2:26">
      <c r="B3932" s="2"/>
      <c r="N3932" s="27"/>
      <c r="R3932" s="15"/>
      <c r="X3932" s="3"/>
      <c r="Z3932" s="28"/>
    </row>
    <row r="3933" spans="2:26">
      <c r="B3933" s="2"/>
      <c r="N3933" s="27"/>
      <c r="R3933" s="15"/>
      <c r="X3933" s="3"/>
      <c r="Z3933" s="28"/>
    </row>
    <row r="3934" spans="2:26">
      <c r="B3934" s="2"/>
      <c r="N3934" s="27"/>
      <c r="R3934" s="15"/>
      <c r="X3934" s="3"/>
      <c r="Z3934" s="28"/>
    </row>
    <row r="3935" spans="2:26">
      <c r="B3935" s="2"/>
      <c r="N3935" s="27"/>
      <c r="R3935" s="15"/>
      <c r="X3935" s="3"/>
      <c r="Z3935" s="28"/>
    </row>
    <row r="3936" spans="2:26">
      <c r="B3936" s="2"/>
      <c r="N3936" s="27"/>
      <c r="R3936" s="15"/>
      <c r="X3936" s="3"/>
      <c r="Z3936" s="28"/>
    </row>
    <row r="3937" spans="2:26">
      <c r="B3937" s="2"/>
      <c r="N3937" s="27"/>
      <c r="R3937" s="15"/>
      <c r="X3937" s="3"/>
      <c r="Z3937" s="28"/>
    </row>
    <row r="3938" spans="2:26">
      <c r="B3938" s="2"/>
      <c r="N3938" s="27"/>
      <c r="R3938" s="15"/>
      <c r="X3938" s="3"/>
      <c r="Z3938" s="28"/>
    </row>
    <row r="3939" spans="2:26">
      <c r="B3939" s="2"/>
      <c r="N3939" s="27"/>
      <c r="R3939" s="15"/>
      <c r="X3939" s="3"/>
      <c r="Z3939" s="28"/>
    </row>
    <row r="3940" spans="2:26">
      <c r="B3940" s="2"/>
      <c r="N3940" s="27"/>
      <c r="R3940" s="15"/>
      <c r="X3940" s="3"/>
      <c r="Z3940" s="28"/>
    </row>
    <row r="3941" spans="2:26">
      <c r="B3941" s="2"/>
      <c r="N3941" s="27"/>
      <c r="R3941" s="15"/>
      <c r="X3941" s="3"/>
      <c r="Z3941" s="28"/>
    </row>
    <row r="3942" spans="2:26">
      <c r="B3942" s="2"/>
      <c r="N3942" s="27"/>
      <c r="R3942" s="15"/>
      <c r="X3942" s="3"/>
      <c r="Z3942" s="28"/>
    </row>
    <row r="3943" spans="2:26">
      <c r="B3943" s="2"/>
      <c r="N3943" s="27"/>
      <c r="R3943" s="15"/>
      <c r="X3943" s="3"/>
      <c r="Z3943" s="28"/>
    </row>
    <row r="3944" spans="2:26">
      <c r="B3944" s="2"/>
      <c r="N3944" s="27"/>
      <c r="R3944" s="15"/>
      <c r="X3944" s="3"/>
      <c r="Z3944" s="28"/>
    </row>
    <row r="3945" spans="2:26">
      <c r="B3945" s="2"/>
      <c r="N3945" s="27"/>
      <c r="R3945" s="15"/>
      <c r="X3945" s="3"/>
      <c r="Z3945" s="28"/>
    </row>
    <row r="3946" spans="2:26">
      <c r="B3946" s="2"/>
      <c r="N3946" s="27"/>
      <c r="R3946" s="15"/>
      <c r="X3946" s="3"/>
      <c r="Z3946" s="28"/>
    </row>
    <row r="3947" spans="2:26">
      <c r="B3947" s="2"/>
      <c r="N3947" s="27"/>
      <c r="R3947" s="15"/>
      <c r="X3947" s="3"/>
      <c r="Z3947" s="28"/>
    </row>
    <row r="3948" spans="2:26">
      <c r="B3948" s="2"/>
      <c r="N3948" s="27"/>
      <c r="R3948" s="15"/>
      <c r="X3948" s="3"/>
      <c r="Z3948" s="28"/>
    </row>
    <row r="3949" spans="2:26">
      <c r="B3949" s="2"/>
      <c r="N3949" s="27"/>
      <c r="R3949" s="15"/>
      <c r="X3949" s="3"/>
      <c r="Z3949" s="28"/>
    </row>
    <row r="3950" spans="2:26">
      <c r="B3950" s="2"/>
      <c r="N3950" s="27"/>
      <c r="R3950" s="15"/>
      <c r="X3950" s="3"/>
      <c r="Z3950" s="28"/>
    </row>
    <row r="3951" spans="2:26">
      <c r="B3951" s="2"/>
      <c r="N3951" s="27"/>
      <c r="R3951" s="15"/>
      <c r="X3951" s="3"/>
      <c r="Z3951" s="28"/>
    </row>
    <row r="3952" spans="2:26">
      <c r="B3952" s="2"/>
      <c r="N3952" s="27"/>
      <c r="R3952" s="15"/>
      <c r="X3952" s="3"/>
      <c r="Z3952" s="28"/>
    </row>
    <row r="3953" spans="2:26">
      <c r="B3953" s="2"/>
      <c r="N3953" s="27"/>
      <c r="R3953" s="15"/>
      <c r="X3953" s="3"/>
      <c r="Z3953" s="28"/>
    </row>
    <row r="3954" spans="2:26">
      <c r="B3954" s="2"/>
      <c r="N3954" s="27"/>
      <c r="R3954" s="15"/>
      <c r="X3954" s="3"/>
      <c r="Z3954" s="28"/>
    </row>
    <row r="3955" spans="2:26">
      <c r="B3955" s="2"/>
      <c r="N3955" s="27"/>
      <c r="R3955" s="15"/>
      <c r="X3955" s="3"/>
      <c r="Z3955" s="28"/>
    </row>
    <row r="3956" spans="2:26">
      <c r="B3956" s="2"/>
      <c r="N3956" s="27"/>
      <c r="R3956" s="15"/>
      <c r="X3956" s="3"/>
      <c r="Z3956" s="28"/>
    </row>
    <row r="3957" spans="2:26">
      <c r="B3957" s="2"/>
      <c r="N3957" s="27"/>
      <c r="R3957" s="15"/>
      <c r="X3957" s="3"/>
      <c r="Z3957" s="28"/>
    </row>
    <row r="3958" spans="2:26">
      <c r="B3958" s="2"/>
      <c r="N3958" s="27"/>
      <c r="R3958" s="15"/>
      <c r="X3958" s="3"/>
      <c r="Z3958" s="28"/>
    </row>
    <row r="3959" spans="2:26">
      <c r="B3959" s="2"/>
      <c r="N3959" s="27"/>
      <c r="R3959" s="15"/>
      <c r="X3959" s="3"/>
      <c r="Z3959" s="28"/>
    </row>
    <row r="3960" spans="2:26">
      <c r="B3960" s="2"/>
      <c r="N3960" s="27"/>
      <c r="R3960" s="15"/>
      <c r="X3960" s="3"/>
      <c r="Z3960" s="28"/>
    </row>
    <row r="3961" spans="2:26">
      <c r="B3961" s="2"/>
      <c r="N3961" s="27"/>
      <c r="R3961" s="15"/>
      <c r="X3961" s="3"/>
      <c r="Z3961" s="28"/>
    </row>
    <row r="3962" spans="2:26">
      <c r="B3962" s="2"/>
      <c r="N3962" s="27"/>
      <c r="R3962" s="15"/>
      <c r="X3962" s="3"/>
      <c r="Z3962" s="28"/>
    </row>
    <row r="3963" spans="2:26">
      <c r="B3963" s="2"/>
      <c r="N3963" s="27"/>
      <c r="R3963" s="15"/>
      <c r="X3963" s="3"/>
      <c r="Z3963" s="28"/>
    </row>
    <row r="3964" spans="2:26">
      <c r="B3964" s="2"/>
      <c r="N3964" s="27"/>
      <c r="R3964" s="15"/>
      <c r="X3964" s="3"/>
      <c r="Z3964" s="28"/>
    </row>
    <row r="3965" spans="2:26">
      <c r="B3965" s="2"/>
      <c r="N3965" s="27"/>
      <c r="R3965" s="15"/>
      <c r="X3965" s="3"/>
      <c r="Z3965" s="28"/>
    </row>
    <row r="3966" spans="2:26">
      <c r="B3966" s="2"/>
      <c r="N3966" s="27"/>
      <c r="R3966" s="15"/>
      <c r="X3966" s="3"/>
      <c r="Z3966" s="28"/>
    </row>
    <row r="3967" spans="2:26">
      <c r="B3967" s="2"/>
      <c r="N3967" s="27"/>
      <c r="R3967" s="15"/>
      <c r="X3967" s="3"/>
      <c r="Z3967" s="28"/>
    </row>
    <row r="3968" spans="2:26">
      <c r="B3968" s="2"/>
      <c r="N3968" s="27"/>
      <c r="R3968" s="15"/>
      <c r="X3968" s="3"/>
      <c r="Z3968" s="28"/>
    </row>
    <row r="3969" spans="2:26">
      <c r="B3969" s="2"/>
      <c r="N3969" s="27"/>
      <c r="R3969" s="15"/>
      <c r="X3969" s="3"/>
      <c r="Z3969" s="28"/>
    </row>
    <row r="3970" spans="2:26">
      <c r="B3970" s="2"/>
      <c r="N3970" s="27"/>
      <c r="R3970" s="15"/>
      <c r="X3970" s="3"/>
      <c r="Z3970" s="28"/>
    </row>
    <row r="3971" spans="2:26">
      <c r="B3971" s="2"/>
      <c r="N3971" s="27"/>
      <c r="R3971" s="15"/>
      <c r="X3971" s="3"/>
      <c r="Z3971" s="28"/>
    </row>
    <row r="3972" spans="2:26">
      <c r="B3972" s="2"/>
      <c r="N3972" s="27"/>
      <c r="R3972" s="15"/>
      <c r="X3972" s="3"/>
      <c r="Z3972" s="28"/>
    </row>
    <row r="3973" spans="2:26">
      <c r="B3973" s="2"/>
      <c r="N3973" s="27"/>
      <c r="R3973" s="15"/>
      <c r="X3973" s="3"/>
      <c r="Z3973" s="28"/>
    </row>
    <row r="3974" spans="2:26">
      <c r="B3974" s="2"/>
      <c r="N3974" s="27"/>
      <c r="R3974" s="15"/>
      <c r="X3974" s="3"/>
      <c r="Z3974" s="28"/>
    </row>
    <row r="3975" spans="2:26">
      <c r="B3975" s="2"/>
      <c r="N3975" s="27"/>
      <c r="R3975" s="15"/>
      <c r="X3975" s="3"/>
      <c r="Z3975" s="28"/>
    </row>
    <row r="3976" spans="2:26">
      <c r="B3976" s="2"/>
      <c r="N3976" s="27"/>
      <c r="R3976" s="15"/>
      <c r="X3976" s="3"/>
      <c r="Z3976" s="28"/>
    </row>
    <row r="3977" spans="2:26">
      <c r="B3977" s="2"/>
      <c r="N3977" s="27"/>
      <c r="R3977" s="15"/>
      <c r="X3977" s="3"/>
      <c r="Z3977" s="28"/>
    </row>
    <row r="3978" spans="2:26">
      <c r="B3978" s="2"/>
      <c r="N3978" s="27"/>
      <c r="R3978" s="15"/>
      <c r="X3978" s="3"/>
      <c r="Z3978" s="28"/>
    </row>
    <row r="3979" spans="2:26">
      <c r="B3979" s="2"/>
      <c r="N3979" s="27"/>
      <c r="R3979" s="15"/>
      <c r="X3979" s="3"/>
      <c r="Z3979" s="28"/>
    </row>
    <row r="3980" spans="2:26">
      <c r="B3980" s="2"/>
      <c r="N3980" s="27"/>
      <c r="R3980" s="15"/>
      <c r="X3980" s="3"/>
      <c r="Z3980" s="28"/>
    </row>
    <row r="3981" spans="2:26">
      <c r="B3981" s="2"/>
      <c r="N3981" s="27"/>
      <c r="R3981" s="15"/>
      <c r="X3981" s="3"/>
      <c r="Z3981" s="28"/>
    </row>
    <row r="3982" spans="2:26">
      <c r="B3982" s="2"/>
      <c r="N3982" s="27"/>
      <c r="R3982" s="15"/>
      <c r="X3982" s="3"/>
      <c r="Z3982" s="28"/>
    </row>
    <row r="3983" spans="2:26">
      <c r="B3983" s="2"/>
      <c r="N3983" s="27"/>
      <c r="R3983" s="15"/>
      <c r="X3983" s="3"/>
      <c r="Z3983" s="28"/>
    </row>
    <row r="3984" spans="2:26">
      <c r="B3984" s="2"/>
      <c r="N3984" s="27"/>
      <c r="R3984" s="15"/>
      <c r="X3984" s="3"/>
      <c r="Z3984" s="28"/>
    </row>
    <row r="3985" spans="2:26">
      <c r="B3985" s="2"/>
      <c r="N3985" s="27"/>
      <c r="R3985" s="15"/>
      <c r="X3985" s="3"/>
      <c r="Z3985" s="28"/>
    </row>
    <row r="3986" spans="2:26">
      <c r="B3986" s="2"/>
      <c r="N3986" s="27"/>
      <c r="R3986" s="15"/>
      <c r="X3986" s="3"/>
      <c r="Z3986" s="28"/>
    </row>
    <row r="3987" spans="2:26">
      <c r="B3987" s="2"/>
      <c r="N3987" s="27"/>
      <c r="R3987" s="15"/>
      <c r="X3987" s="3"/>
      <c r="Z3987" s="28"/>
    </row>
    <row r="3988" spans="2:26">
      <c r="B3988" s="2"/>
      <c r="N3988" s="27"/>
      <c r="R3988" s="15"/>
      <c r="X3988" s="3"/>
      <c r="Z3988" s="28"/>
    </row>
    <row r="3989" spans="2:26">
      <c r="B3989" s="2"/>
      <c r="N3989" s="27"/>
      <c r="R3989" s="15"/>
      <c r="X3989" s="3"/>
      <c r="Z3989" s="28"/>
    </row>
    <row r="3990" spans="2:26">
      <c r="B3990" s="2"/>
      <c r="N3990" s="27"/>
      <c r="R3990" s="15"/>
      <c r="X3990" s="3"/>
      <c r="Z3990" s="28"/>
    </row>
    <row r="3991" spans="2:26">
      <c r="B3991" s="2"/>
      <c r="N3991" s="27"/>
      <c r="R3991" s="15"/>
      <c r="X3991" s="3"/>
      <c r="Z3991" s="28"/>
    </row>
    <row r="3992" spans="2:26">
      <c r="B3992" s="2"/>
      <c r="N3992" s="27"/>
      <c r="R3992" s="15"/>
      <c r="X3992" s="3"/>
      <c r="Z3992" s="28"/>
    </row>
    <row r="3993" spans="2:26">
      <c r="B3993" s="2"/>
      <c r="N3993" s="27"/>
      <c r="R3993" s="15"/>
      <c r="X3993" s="3"/>
      <c r="Z3993" s="28"/>
    </row>
    <row r="3994" spans="2:26">
      <c r="B3994" s="2"/>
      <c r="N3994" s="27"/>
      <c r="R3994" s="15"/>
      <c r="X3994" s="3"/>
      <c r="Z3994" s="28"/>
    </row>
    <row r="3995" spans="2:26">
      <c r="B3995" s="2"/>
      <c r="N3995" s="27"/>
      <c r="R3995" s="15"/>
      <c r="X3995" s="3"/>
      <c r="Z3995" s="28"/>
    </row>
    <row r="3996" spans="2:26">
      <c r="B3996" s="2"/>
      <c r="N3996" s="27"/>
      <c r="R3996" s="15"/>
      <c r="X3996" s="3"/>
      <c r="Z3996" s="28"/>
    </row>
    <row r="3997" spans="2:26">
      <c r="B3997" s="2"/>
      <c r="N3997" s="27"/>
      <c r="R3997" s="15"/>
      <c r="X3997" s="3"/>
      <c r="Z3997" s="28"/>
    </row>
    <row r="3998" spans="2:26">
      <c r="B3998" s="2"/>
      <c r="N3998" s="27"/>
      <c r="R3998" s="15"/>
      <c r="X3998" s="3"/>
      <c r="Z3998" s="28"/>
    </row>
    <row r="3999" spans="2:26">
      <c r="B3999" s="2"/>
      <c r="N3999" s="27"/>
      <c r="R3999" s="15"/>
      <c r="X3999" s="3"/>
      <c r="Z3999" s="28"/>
    </row>
    <row r="4000" spans="2:26">
      <c r="B4000" s="2"/>
      <c r="N4000" s="27"/>
      <c r="R4000" s="15"/>
      <c r="X4000" s="3"/>
      <c r="Z4000" s="28"/>
    </row>
    <row r="4001" spans="2:26">
      <c r="B4001" s="2"/>
      <c r="N4001" s="27"/>
      <c r="R4001" s="15"/>
      <c r="X4001" s="3"/>
      <c r="Z4001" s="28"/>
    </row>
    <row r="4002" spans="2:26">
      <c r="B4002" s="2"/>
      <c r="N4002" s="27"/>
      <c r="R4002" s="15"/>
      <c r="X4002" s="3"/>
      <c r="Z4002" s="28"/>
    </row>
    <row r="4003" spans="2:26">
      <c r="B4003" s="2"/>
      <c r="N4003" s="27"/>
      <c r="R4003" s="15"/>
      <c r="X4003" s="3"/>
      <c r="Z4003" s="28"/>
    </row>
    <row r="4004" spans="2:26">
      <c r="B4004" s="2"/>
      <c r="N4004" s="27"/>
      <c r="R4004" s="15"/>
      <c r="X4004" s="3"/>
      <c r="Z4004" s="28"/>
    </row>
    <row r="4005" spans="2:26">
      <c r="B4005" s="2"/>
      <c r="N4005" s="27"/>
      <c r="R4005" s="15"/>
      <c r="X4005" s="3"/>
      <c r="Z4005" s="28"/>
    </row>
    <row r="4006" spans="2:26">
      <c r="B4006" s="2"/>
      <c r="N4006" s="27"/>
      <c r="R4006" s="15"/>
      <c r="X4006" s="3"/>
      <c r="Z4006" s="28"/>
    </row>
    <row r="4007" spans="2:26">
      <c r="B4007" s="2"/>
      <c r="N4007" s="27"/>
      <c r="R4007" s="15"/>
      <c r="X4007" s="3"/>
      <c r="Z4007" s="28"/>
    </row>
    <row r="4008" spans="2:26">
      <c r="B4008" s="2"/>
      <c r="N4008" s="27"/>
      <c r="R4008" s="15"/>
      <c r="X4008" s="3"/>
      <c r="Z4008" s="28"/>
    </row>
    <row r="4009" spans="2:26">
      <c r="B4009" s="2"/>
      <c r="N4009" s="27"/>
      <c r="R4009" s="15"/>
      <c r="X4009" s="3"/>
      <c r="Z4009" s="28"/>
    </row>
    <row r="4010" spans="2:26">
      <c r="B4010" s="2"/>
      <c r="N4010" s="27"/>
      <c r="R4010" s="15"/>
      <c r="X4010" s="3"/>
      <c r="Z4010" s="28"/>
    </row>
    <row r="4011" spans="2:26">
      <c r="B4011" s="2"/>
      <c r="N4011" s="27"/>
      <c r="R4011" s="15"/>
      <c r="X4011" s="3"/>
      <c r="Z4011" s="28"/>
    </row>
    <row r="4012" spans="2:26">
      <c r="B4012" s="2"/>
      <c r="N4012" s="27"/>
      <c r="R4012" s="15"/>
      <c r="X4012" s="3"/>
      <c r="Z4012" s="28"/>
    </row>
    <row r="4013" spans="2:26">
      <c r="B4013" s="2"/>
      <c r="N4013" s="27"/>
      <c r="R4013" s="15"/>
      <c r="X4013" s="3"/>
      <c r="Z4013" s="28"/>
    </row>
    <row r="4014" spans="2:26">
      <c r="B4014" s="2"/>
      <c r="N4014" s="27"/>
      <c r="R4014" s="15"/>
      <c r="X4014" s="3"/>
      <c r="Z4014" s="28"/>
    </row>
    <row r="4015" spans="2:26">
      <c r="B4015" s="2"/>
      <c r="N4015" s="27"/>
      <c r="R4015" s="15"/>
      <c r="X4015" s="3"/>
      <c r="Z4015" s="28"/>
    </row>
    <row r="4016" spans="2:26">
      <c r="B4016" s="2"/>
      <c r="N4016" s="27"/>
      <c r="R4016" s="15"/>
      <c r="X4016" s="3"/>
      <c r="Z4016" s="28"/>
    </row>
    <row r="4017" spans="2:26">
      <c r="B4017" s="2"/>
      <c r="N4017" s="27"/>
      <c r="R4017" s="15"/>
      <c r="X4017" s="3"/>
      <c r="Z4017" s="28"/>
    </row>
    <row r="4018" spans="2:26">
      <c r="B4018" s="2"/>
      <c r="N4018" s="27"/>
      <c r="R4018" s="15"/>
      <c r="X4018" s="3"/>
      <c r="Z4018" s="28"/>
    </row>
    <row r="4019" spans="2:26">
      <c r="B4019" s="2"/>
      <c r="N4019" s="27"/>
      <c r="R4019" s="15"/>
      <c r="X4019" s="3"/>
      <c r="Z4019" s="28"/>
    </row>
    <row r="4020" spans="2:26">
      <c r="B4020" s="2"/>
      <c r="N4020" s="27"/>
      <c r="R4020" s="15"/>
      <c r="X4020" s="3"/>
      <c r="Z4020" s="28"/>
    </row>
    <row r="4021" spans="2:26">
      <c r="B4021" s="2"/>
      <c r="N4021" s="27"/>
      <c r="R4021" s="15"/>
      <c r="X4021" s="3"/>
      <c r="Z4021" s="28"/>
    </row>
    <row r="4022" spans="2:26">
      <c r="B4022" s="2"/>
      <c r="N4022" s="27"/>
      <c r="R4022" s="15"/>
      <c r="X4022" s="3"/>
      <c r="Z4022" s="28"/>
    </row>
    <row r="4023" spans="2:26">
      <c r="B4023" s="2"/>
      <c r="N4023" s="27"/>
      <c r="R4023" s="15"/>
      <c r="X4023" s="3"/>
      <c r="Z4023" s="28"/>
    </row>
    <row r="4024" spans="2:26">
      <c r="B4024" s="2"/>
      <c r="N4024" s="27"/>
      <c r="R4024" s="15"/>
      <c r="X4024" s="3"/>
      <c r="Z4024" s="28"/>
    </row>
    <row r="4025" spans="2:26">
      <c r="B4025" s="2"/>
      <c r="N4025" s="27"/>
      <c r="R4025" s="15"/>
      <c r="X4025" s="3"/>
      <c r="Z4025" s="28"/>
    </row>
    <row r="4026" spans="2:26">
      <c r="B4026" s="2"/>
      <c r="N4026" s="27"/>
      <c r="R4026" s="15"/>
      <c r="X4026" s="3"/>
      <c r="Z4026" s="28"/>
    </row>
    <row r="4027" spans="2:26">
      <c r="B4027" s="2"/>
      <c r="N4027" s="27"/>
      <c r="R4027" s="15"/>
      <c r="X4027" s="3"/>
      <c r="Z4027" s="28"/>
    </row>
    <row r="4028" spans="2:26">
      <c r="B4028" s="2"/>
      <c r="N4028" s="27"/>
      <c r="R4028" s="15"/>
      <c r="X4028" s="3"/>
      <c r="Z4028" s="28"/>
    </row>
    <row r="4029" spans="2:26">
      <c r="B4029" s="2"/>
      <c r="N4029" s="27"/>
      <c r="R4029" s="15"/>
      <c r="X4029" s="3"/>
      <c r="Z4029" s="28"/>
    </row>
    <row r="4030" spans="2:26">
      <c r="B4030" s="2"/>
      <c r="N4030" s="27"/>
      <c r="R4030" s="15"/>
      <c r="X4030" s="3"/>
      <c r="Z4030" s="28"/>
    </row>
    <row r="4031" spans="2:26">
      <c r="B4031" s="2"/>
      <c r="N4031" s="27"/>
      <c r="R4031" s="15"/>
      <c r="X4031" s="3"/>
      <c r="Z4031" s="28"/>
    </row>
    <row r="4032" spans="2:26">
      <c r="B4032" s="2"/>
      <c r="N4032" s="27"/>
      <c r="R4032" s="15"/>
      <c r="X4032" s="3"/>
      <c r="Z4032" s="28"/>
    </row>
    <row r="4033" spans="2:26">
      <c r="B4033" s="2"/>
      <c r="N4033" s="27"/>
      <c r="R4033" s="15"/>
      <c r="X4033" s="3"/>
      <c r="Z4033" s="28"/>
    </row>
    <row r="4034" spans="2:26">
      <c r="B4034" s="2"/>
      <c r="N4034" s="27"/>
      <c r="R4034" s="15"/>
      <c r="X4034" s="3"/>
      <c r="Z4034" s="28"/>
    </row>
    <row r="4035" spans="2:26">
      <c r="B4035" s="2"/>
      <c r="N4035" s="27"/>
      <c r="R4035" s="15"/>
      <c r="X4035" s="3"/>
      <c r="Z4035" s="28"/>
    </row>
    <row r="4036" spans="2:26">
      <c r="B4036" s="2"/>
      <c r="N4036" s="27"/>
      <c r="R4036" s="15"/>
      <c r="X4036" s="3"/>
      <c r="Z4036" s="28"/>
    </row>
    <row r="4037" spans="2:26">
      <c r="B4037" s="2"/>
      <c r="N4037" s="27"/>
      <c r="R4037" s="15"/>
      <c r="X4037" s="3"/>
      <c r="Z4037" s="28"/>
    </row>
    <row r="4038" spans="2:26">
      <c r="B4038" s="2"/>
      <c r="N4038" s="27"/>
      <c r="R4038" s="15"/>
      <c r="X4038" s="3"/>
      <c r="Z4038" s="28"/>
    </row>
    <row r="4039" spans="2:26">
      <c r="B4039" s="2"/>
      <c r="N4039" s="27"/>
      <c r="R4039" s="15"/>
      <c r="X4039" s="3"/>
      <c r="Z4039" s="28"/>
    </row>
    <row r="4040" spans="2:26">
      <c r="B4040" s="2"/>
      <c r="N4040" s="27"/>
      <c r="R4040" s="15"/>
      <c r="X4040" s="3"/>
      <c r="Z4040" s="28"/>
    </row>
    <row r="4041" spans="2:26">
      <c r="B4041" s="2"/>
      <c r="N4041" s="27"/>
      <c r="R4041" s="15"/>
      <c r="X4041" s="3"/>
      <c r="Z4041" s="28"/>
    </row>
    <row r="4042" spans="2:26">
      <c r="B4042" s="2"/>
      <c r="N4042" s="27"/>
      <c r="R4042" s="15"/>
      <c r="X4042" s="3"/>
      <c r="Z4042" s="28"/>
    </row>
    <row r="4043" spans="2:26">
      <c r="B4043" s="2"/>
      <c r="N4043" s="27"/>
      <c r="R4043" s="15"/>
      <c r="X4043" s="3"/>
      <c r="Z4043" s="28"/>
    </row>
    <row r="4044" spans="2:26">
      <c r="B4044" s="2"/>
      <c r="N4044" s="27"/>
      <c r="R4044" s="15"/>
      <c r="X4044" s="3"/>
      <c r="Z4044" s="28"/>
    </row>
    <row r="4045" spans="2:26">
      <c r="B4045" s="2"/>
      <c r="N4045" s="27"/>
      <c r="R4045" s="15"/>
      <c r="X4045" s="3"/>
      <c r="Z4045" s="28"/>
    </row>
    <row r="4046" spans="2:26">
      <c r="B4046" s="2"/>
      <c r="N4046" s="27"/>
      <c r="R4046" s="15"/>
      <c r="X4046" s="3"/>
      <c r="Z4046" s="28"/>
    </row>
    <row r="4047" spans="2:26">
      <c r="B4047" s="2"/>
      <c r="N4047" s="27"/>
      <c r="R4047" s="15"/>
      <c r="X4047" s="3"/>
      <c r="Z4047" s="28"/>
    </row>
    <row r="4048" spans="2:26">
      <c r="B4048" s="2"/>
      <c r="N4048" s="27"/>
      <c r="R4048" s="15"/>
      <c r="X4048" s="3"/>
      <c r="Z4048" s="28"/>
    </row>
    <row r="4049" spans="2:26">
      <c r="B4049" s="2"/>
      <c r="N4049" s="27"/>
      <c r="R4049" s="15"/>
      <c r="X4049" s="3"/>
      <c r="Z4049" s="28"/>
    </row>
    <row r="4050" spans="2:26">
      <c r="B4050" s="2"/>
      <c r="N4050" s="27"/>
      <c r="R4050" s="15"/>
      <c r="X4050" s="3"/>
      <c r="Z4050" s="28"/>
    </row>
    <row r="4051" spans="2:26">
      <c r="B4051" s="2"/>
      <c r="N4051" s="27"/>
      <c r="R4051" s="15"/>
      <c r="X4051" s="3"/>
      <c r="Z4051" s="28"/>
    </row>
    <row r="4052" spans="2:26">
      <c r="B4052" s="2"/>
      <c r="N4052" s="27"/>
      <c r="R4052" s="15"/>
      <c r="X4052" s="3"/>
      <c r="Z4052" s="28"/>
    </row>
    <row r="4053" spans="2:26">
      <c r="B4053" s="2"/>
      <c r="N4053" s="27"/>
      <c r="R4053" s="15"/>
      <c r="X4053" s="3"/>
      <c r="Z4053" s="28"/>
    </row>
    <row r="4054" spans="2:26">
      <c r="B4054" s="2"/>
      <c r="N4054" s="27"/>
      <c r="R4054" s="15"/>
      <c r="X4054" s="3"/>
      <c r="Z4054" s="28"/>
    </row>
    <row r="4055" spans="2:26">
      <c r="B4055" s="2"/>
      <c r="N4055" s="27"/>
      <c r="R4055" s="15"/>
      <c r="X4055" s="3"/>
      <c r="Z4055" s="28"/>
    </row>
    <row r="4056" spans="2:26">
      <c r="B4056" s="2"/>
      <c r="N4056" s="27"/>
      <c r="R4056" s="15"/>
      <c r="X4056" s="3"/>
      <c r="Z4056" s="28"/>
    </row>
    <row r="4057" spans="2:26">
      <c r="B4057" s="2"/>
      <c r="N4057" s="27"/>
      <c r="R4057" s="15"/>
      <c r="X4057" s="3"/>
      <c r="Z4057" s="28"/>
    </row>
    <row r="4058" spans="2:26">
      <c r="B4058" s="2"/>
      <c r="N4058" s="27"/>
      <c r="R4058" s="15"/>
      <c r="X4058" s="3"/>
      <c r="Z4058" s="28"/>
    </row>
    <row r="4059" spans="2:26">
      <c r="B4059" s="2"/>
      <c r="N4059" s="27"/>
      <c r="R4059" s="15"/>
      <c r="X4059" s="3"/>
      <c r="Z4059" s="28"/>
    </row>
    <row r="4060" spans="2:26">
      <c r="B4060" s="2"/>
      <c r="N4060" s="27"/>
      <c r="R4060" s="15"/>
      <c r="X4060" s="3"/>
      <c r="Z4060" s="28"/>
    </row>
    <row r="4061" spans="2:26">
      <c r="B4061" s="2"/>
      <c r="N4061" s="27"/>
      <c r="R4061" s="15"/>
      <c r="X4061" s="3"/>
      <c r="Z4061" s="28"/>
    </row>
    <row r="4062" spans="2:26">
      <c r="B4062" s="2"/>
      <c r="N4062" s="27"/>
      <c r="R4062" s="15"/>
      <c r="X4062" s="3"/>
      <c r="Z4062" s="28"/>
    </row>
    <row r="4063" spans="2:26">
      <c r="B4063" s="2"/>
      <c r="N4063" s="27"/>
      <c r="R4063" s="15"/>
      <c r="X4063" s="3"/>
      <c r="Z4063" s="28"/>
    </row>
    <row r="4064" spans="2:26">
      <c r="B4064" s="2"/>
      <c r="N4064" s="27"/>
      <c r="R4064" s="15"/>
      <c r="X4064" s="3"/>
      <c r="Z4064" s="28"/>
    </row>
    <row r="4065" spans="2:26">
      <c r="B4065" s="2"/>
      <c r="N4065" s="27"/>
      <c r="R4065" s="15"/>
      <c r="X4065" s="3"/>
      <c r="Z4065" s="28"/>
    </row>
    <row r="4066" spans="2:26">
      <c r="B4066" s="2"/>
      <c r="N4066" s="27"/>
      <c r="R4066" s="15"/>
      <c r="X4066" s="3"/>
      <c r="Z4066" s="28"/>
    </row>
    <row r="4067" spans="2:26">
      <c r="B4067" s="2"/>
      <c r="N4067" s="27"/>
      <c r="R4067" s="15"/>
      <c r="X4067" s="3"/>
      <c r="Z4067" s="28"/>
    </row>
    <row r="4068" spans="2:26">
      <c r="B4068" s="2"/>
      <c r="N4068" s="27"/>
      <c r="R4068" s="15"/>
      <c r="X4068" s="3"/>
      <c r="Z4068" s="28"/>
    </row>
    <row r="4069" spans="2:26">
      <c r="B4069" s="2"/>
      <c r="N4069" s="27"/>
      <c r="R4069" s="15"/>
      <c r="X4069" s="3"/>
      <c r="Z4069" s="28"/>
    </row>
    <row r="4070" spans="2:26">
      <c r="B4070" s="2"/>
      <c r="N4070" s="27"/>
      <c r="R4070" s="15"/>
      <c r="X4070" s="3"/>
      <c r="Z4070" s="28"/>
    </row>
    <row r="4071" spans="2:26">
      <c r="B4071" s="2"/>
      <c r="N4071" s="27"/>
      <c r="R4071" s="15"/>
      <c r="X4071" s="3"/>
      <c r="Z4071" s="28"/>
    </row>
    <row r="4072" spans="2:26">
      <c r="B4072" s="2"/>
      <c r="N4072" s="27"/>
      <c r="R4072" s="15"/>
      <c r="X4072" s="3"/>
      <c r="Z4072" s="28"/>
    </row>
    <row r="4073" spans="2:26">
      <c r="B4073" s="2"/>
      <c r="N4073" s="27"/>
      <c r="R4073" s="15"/>
      <c r="X4073" s="3"/>
      <c r="Z4073" s="28"/>
    </row>
    <row r="4074" spans="2:26">
      <c r="B4074" s="2"/>
      <c r="N4074" s="27"/>
      <c r="R4074" s="15"/>
      <c r="X4074" s="3"/>
      <c r="Z4074" s="28"/>
    </row>
    <row r="4075" spans="2:26">
      <c r="B4075" s="2"/>
      <c r="N4075" s="27"/>
      <c r="R4075" s="15"/>
      <c r="X4075" s="3"/>
      <c r="Z4075" s="28"/>
    </row>
    <row r="4076" spans="2:26">
      <c r="B4076" s="2"/>
      <c r="N4076" s="27"/>
      <c r="R4076" s="15"/>
      <c r="X4076" s="3"/>
      <c r="Z4076" s="28"/>
    </row>
    <row r="4077" spans="2:26">
      <c r="B4077" s="2"/>
      <c r="N4077" s="27"/>
      <c r="R4077" s="15"/>
      <c r="X4077" s="3"/>
      <c r="Z4077" s="28"/>
    </row>
    <row r="4078" spans="2:26">
      <c r="B4078" s="2"/>
      <c r="N4078" s="27"/>
      <c r="R4078" s="15"/>
      <c r="X4078" s="3"/>
      <c r="Z4078" s="28"/>
    </row>
    <row r="4079" spans="2:26">
      <c r="B4079" s="2"/>
      <c r="N4079" s="27"/>
      <c r="R4079" s="15"/>
      <c r="X4079" s="3"/>
      <c r="Z4079" s="28"/>
    </row>
    <row r="4080" spans="2:26">
      <c r="B4080" s="2"/>
      <c r="N4080" s="27"/>
      <c r="R4080" s="15"/>
      <c r="X4080" s="3"/>
      <c r="Z4080" s="28"/>
    </row>
    <row r="4081" spans="2:26">
      <c r="B4081" s="2"/>
      <c r="N4081" s="27"/>
      <c r="R4081" s="15"/>
      <c r="X4081" s="3"/>
      <c r="Z4081" s="28"/>
    </row>
    <row r="4082" spans="2:26">
      <c r="B4082" s="2"/>
      <c r="N4082" s="27"/>
      <c r="R4082" s="15"/>
      <c r="X4082" s="3"/>
      <c r="Z4082" s="28"/>
    </row>
    <row r="4083" spans="2:26">
      <c r="B4083" s="2"/>
      <c r="N4083" s="27"/>
      <c r="R4083" s="15"/>
      <c r="X4083" s="3"/>
      <c r="Z4083" s="28"/>
    </row>
    <row r="4084" spans="2:26">
      <c r="B4084" s="2"/>
      <c r="N4084" s="27"/>
      <c r="R4084" s="15"/>
      <c r="X4084" s="3"/>
      <c r="Z4084" s="28"/>
    </row>
    <row r="4085" spans="2:26">
      <c r="B4085" s="2"/>
      <c r="N4085" s="27"/>
      <c r="R4085" s="15"/>
      <c r="X4085" s="3"/>
      <c r="Z4085" s="28"/>
    </row>
    <row r="4086" spans="2:26">
      <c r="B4086" s="2"/>
      <c r="N4086" s="27"/>
      <c r="R4086" s="15"/>
      <c r="X4086" s="3"/>
      <c r="Z4086" s="28"/>
    </row>
    <row r="4087" spans="2:26">
      <c r="B4087" s="2"/>
      <c r="N4087" s="27"/>
      <c r="R4087" s="15"/>
      <c r="X4087" s="3"/>
      <c r="Z4087" s="28"/>
    </row>
    <row r="4088" spans="2:26">
      <c r="B4088" s="2"/>
      <c r="N4088" s="27"/>
      <c r="R4088" s="15"/>
      <c r="X4088" s="3"/>
      <c r="Z4088" s="28"/>
    </row>
    <row r="4089" spans="2:26">
      <c r="B4089" s="2"/>
      <c r="N4089" s="27"/>
      <c r="R4089" s="15"/>
      <c r="X4089" s="3"/>
      <c r="Z4089" s="28"/>
    </row>
    <row r="4090" spans="2:26">
      <c r="B4090" s="2"/>
      <c r="N4090" s="27"/>
      <c r="R4090" s="15"/>
      <c r="X4090" s="3"/>
      <c r="Z4090" s="28"/>
    </row>
    <row r="4091" spans="2:26">
      <c r="B4091" s="2"/>
      <c r="N4091" s="27"/>
      <c r="R4091" s="15"/>
      <c r="X4091" s="3"/>
      <c r="Z4091" s="28"/>
    </row>
    <row r="4092" spans="2:26">
      <c r="B4092" s="2"/>
      <c r="N4092" s="27"/>
      <c r="R4092" s="15"/>
      <c r="X4092" s="3"/>
      <c r="Z4092" s="28"/>
    </row>
    <row r="4093" spans="2:26">
      <c r="B4093" s="2"/>
      <c r="N4093" s="27"/>
      <c r="R4093" s="15"/>
      <c r="X4093" s="3"/>
      <c r="Z4093" s="28"/>
    </row>
    <row r="4094" spans="2:26">
      <c r="B4094" s="2"/>
      <c r="N4094" s="27"/>
      <c r="R4094" s="15"/>
      <c r="X4094" s="3"/>
      <c r="Z4094" s="28"/>
    </row>
    <row r="4095" spans="2:26">
      <c r="B4095" s="2"/>
      <c r="N4095" s="27"/>
      <c r="R4095" s="15"/>
      <c r="X4095" s="3"/>
      <c r="Z4095" s="28"/>
    </row>
    <row r="4096" spans="2:26">
      <c r="B4096" s="2"/>
      <c r="N4096" s="27"/>
      <c r="R4096" s="15"/>
      <c r="X4096" s="3"/>
      <c r="Z4096" s="28"/>
    </row>
    <row r="4097" spans="2:26">
      <c r="B4097" s="2"/>
      <c r="N4097" s="27"/>
      <c r="R4097" s="15"/>
      <c r="X4097" s="3"/>
      <c r="Z4097" s="28"/>
    </row>
    <row r="4098" spans="2:26">
      <c r="B4098" s="2"/>
      <c r="N4098" s="27"/>
      <c r="R4098" s="15"/>
      <c r="X4098" s="3"/>
      <c r="Z4098" s="28"/>
    </row>
    <row r="4099" spans="2:26">
      <c r="B4099" s="2"/>
      <c r="N4099" s="27"/>
      <c r="R4099" s="15"/>
      <c r="X4099" s="3"/>
      <c r="Z4099" s="28"/>
    </row>
    <row r="4100" spans="2:26">
      <c r="B4100" s="2"/>
      <c r="N4100" s="27"/>
      <c r="R4100" s="15"/>
      <c r="X4100" s="3"/>
      <c r="Z4100" s="28"/>
    </row>
    <row r="4101" spans="2:26">
      <c r="B4101" s="2"/>
      <c r="N4101" s="27"/>
      <c r="R4101" s="15"/>
      <c r="X4101" s="3"/>
      <c r="Z4101" s="28"/>
    </row>
    <row r="4102" spans="2:26">
      <c r="B4102" s="2"/>
      <c r="N4102" s="27"/>
      <c r="R4102" s="15"/>
      <c r="X4102" s="3"/>
      <c r="Z4102" s="28"/>
    </row>
    <row r="4103" spans="2:26">
      <c r="B4103" s="2"/>
      <c r="N4103" s="27"/>
      <c r="R4103" s="15"/>
      <c r="X4103" s="3"/>
      <c r="Z4103" s="28"/>
    </row>
    <row r="4104" spans="2:26">
      <c r="B4104" s="2"/>
      <c r="N4104" s="27"/>
      <c r="R4104" s="15"/>
      <c r="X4104" s="3"/>
      <c r="Z4104" s="28"/>
    </row>
    <row r="4105" spans="2:26">
      <c r="B4105" s="2"/>
      <c r="N4105" s="27"/>
      <c r="R4105" s="15"/>
      <c r="X4105" s="3"/>
      <c r="Z4105" s="28"/>
    </row>
    <row r="4106" spans="2:26">
      <c r="B4106" s="2"/>
      <c r="N4106" s="27"/>
      <c r="R4106" s="15"/>
      <c r="X4106" s="3"/>
      <c r="Z4106" s="28"/>
    </row>
    <row r="4107" spans="2:26">
      <c r="B4107" s="2"/>
      <c r="N4107" s="27"/>
      <c r="R4107" s="15"/>
      <c r="X4107" s="3"/>
      <c r="Z4107" s="28"/>
    </row>
    <row r="4108" spans="2:26">
      <c r="B4108" s="2"/>
      <c r="N4108" s="27"/>
      <c r="R4108" s="15"/>
      <c r="X4108" s="3"/>
      <c r="Z4108" s="28"/>
    </row>
    <row r="4109" spans="2:26">
      <c r="B4109" s="2"/>
      <c r="N4109" s="27"/>
      <c r="R4109" s="15"/>
      <c r="X4109" s="3"/>
      <c r="Z4109" s="28"/>
    </row>
    <row r="4110" spans="2:26">
      <c r="B4110" s="2"/>
      <c r="N4110" s="27"/>
      <c r="R4110" s="15"/>
      <c r="X4110" s="3"/>
      <c r="Z4110" s="28"/>
    </row>
    <row r="4111" spans="2:26">
      <c r="B4111" s="2"/>
      <c r="N4111" s="27"/>
      <c r="R4111" s="15"/>
      <c r="X4111" s="3"/>
      <c r="Z4111" s="28"/>
    </row>
    <row r="4112" spans="2:26">
      <c r="B4112" s="2"/>
      <c r="N4112" s="27"/>
      <c r="R4112" s="15"/>
      <c r="X4112" s="3"/>
      <c r="Z4112" s="28"/>
    </row>
    <row r="4113" spans="2:26">
      <c r="B4113" s="2"/>
      <c r="N4113" s="27"/>
      <c r="R4113" s="15"/>
      <c r="X4113" s="3"/>
      <c r="Z4113" s="28"/>
    </row>
    <row r="4114" spans="2:26">
      <c r="B4114" s="2"/>
      <c r="N4114" s="27"/>
      <c r="R4114" s="15"/>
      <c r="X4114" s="3"/>
      <c r="Z4114" s="28"/>
    </row>
    <row r="4115" spans="2:26">
      <c r="B4115" s="2"/>
      <c r="N4115" s="27"/>
      <c r="R4115" s="15"/>
      <c r="X4115" s="3"/>
      <c r="Z4115" s="28"/>
    </row>
    <row r="4116" spans="2:26">
      <c r="B4116" s="2"/>
      <c r="N4116" s="27"/>
      <c r="R4116" s="15"/>
      <c r="X4116" s="3"/>
      <c r="Z4116" s="28"/>
    </row>
    <row r="4117" spans="2:26">
      <c r="B4117" s="2"/>
      <c r="N4117" s="27"/>
      <c r="R4117" s="15"/>
      <c r="X4117" s="3"/>
      <c r="Z4117" s="28"/>
    </row>
    <row r="4118" spans="2:26">
      <c r="B4118" s="2"/>
      <c r="N4118" s="27"/>
      <c r="R4118" s="15"/>
      <c r="X4118" s="3"/>
      <c r="Z4118" s="28"/>
    </row>
    <row r="4119" spans="2:26">
      <c r="B4119" s="2"/>
      <c r="N4119" s="27"/>
      <c r="R4119" s="15"/>
      <c r="X4119" s="3"/>
      <c r="Z4119" s="28"/>
    </row>
    <row r="4120" spans="2:26">
      <c r="B4120" s="2"/>
      <c r="N4120" s="27"/>
      <c r="R4120" s="15"/>
      <c r="X4120" s="3"/>
      <c r="Z4120" s="28"/>
    </row>
    <row r="4121" spans="2:26">
      <c r="B4121" s="2"/>
      <c r="N4121" s="27"/>
      <c r="R4121" s="15"/>
      <c r="X4121" s="3"/>
      <c r="Z4121" s="28"/>
    </row>
    <row r="4122" spans="2:26">
      <c r="B4122" s="2"/>
      <c r="N4122" s="27"/>
      <c r="R4122" s="15"/>
      <c r="X4122" s="3"/>
      <c r="Z4122" s="28"/>
    </row>
    <row r="4123" spans="2:26">
      <c r="B4123" s="2"/>
      <c r="N4123" s="27"/>
      <c r="R4123" s="15"/>
      <c r="X4123" s="3"/>
      <c r="Z4123" s="28"/>
    </row>
    <row r="4124" spans="2:26">
      <c r="B4124" s="2"/>
      <c r="N4124" s="27"/>
      <c r="R4124" s="15"/>
      <c r="X4124" s="3"/>
      <c r="Z4124" s="28"/>
    </row>
    <row r="4125" spans="2:26">
      <c r="B4125" s="2"/>
      <c r="N4125" s="27"/>
      <c r="R4125" s="15"/>
      <c r="X4125" s="3"/>
      <c r="Z4125" s="28"/>
    </row>
    <row r="4126" spans="2:26">
      <c r="B4126" s="2"/>
      <c r="N4126" s="27"/>
      <c r="R4126" s="15"/>
      <c r="X4126" s="3"/>
      <c r="Z4126" s="28"/>
    </row>
    <row r="4127" spans="2:26">
      <c r="B4127" s="2"/>
      <c r="N4127" s="27"/>
      <c r="R4127" s="15"/>
      <c r="X4127" s="3"/>
      <c r="Z4127" s="28"/>
    </row>
    <row r="4128" spans="2:26">
      <c r="B4128" s="2"/>
      <c r="N4128" s="27"/>
      <c r="R4128" s="15"/>
      <c r="X4128" s="3"/>
      <c r="Z4128" s="28"/>
    </row>
    <row r="4129" spans="2:26">
      <c r="B4129" s="2"/>
      <c r="N4129" s="27"/>
      <c r="R4129" s="15"/>
      <c r="X4129" s="3"/>
      <c r="Z4129" s="28"/>
    </row>
    <row r="4130" spans="2:26">
      <c r="B4130" s="2"/>
      <c r="N4130" s="27"/>
      <c r="R4130" s="15"/>
      <c r="X4130" s="3"/>
      <c r="Z4130" s="28"/>
    </row>
    <row r="4131" spans="2:26">
      <c r="B4131" s="2"/>
      <c r="N4131" s="27"/>
      <c r="R4131" s="15"/>
      <c r="X4131" s="3"/>
      <c r="Z4131" s="28"/>
    </row>
    <row r="4132" spans="2:26">
      <c r="B4132" s="2"/>
      <c r="N4132" s="27"/>
      <c r="R4132" s="15"/>
      <c r="X4132" s="3"/>
      <c r="Z4132" s="28"/>
    </row>
    <row r="4133" spans="2:26">
      <c r="B4133" s="2"/>
      <c r="N4133" s="27"/>
      <c r="R4133" s="15"/>
      <c r="X4133" s="3"/>
      <c r="Z4133" s="28"/>
    </row>
    <row r="4134" spans="2:26">
      <c r="B4134" s="2"/>
      <c r="N4134" s="27"/>
      <c r="R4134" s="15"/>
      <c r="X4134" s="3"/>
      <c r="Z4134" s="28"/>
    </row>
    <row r="4135" spans="2:26">
      <c r="B4135" s="2"/>
      <c r="N4135" s="27"/>
      <c r="R4135" s="15"/>
      <c r="X4135" s="3"/>
      <c r="Z4135" s="28"/>
    </row>
    <row r="4136" spans="2:26">
      <c r="B4136" s="2"/>
      <c r="N4136" s="27"/>
      <c r="R4136" s="15"/>
      <c r="X4136" s="3"/>
      <c r="Z4136" s="28"/>
    </row>
    <row r="4137" spans="2:26">
      <c r="B4137" s="2"/>
      <c r="N4137" s="27"/>
      <c r="R4137" s="15"/>
      <c r="X4137" s="3"/>
      <c r="Z4137" s="28"/>
    </row>
    <row r="4138" spans="2:26">
      <c r="B4138" s="2"/>
      <c r="N4138" s="27"/>
      <c r="R4138" s="15"/>
      <c r="X4138" s="3"/>
      <c r="Z4138" s="28"/>
    </row>
    <row r="4139" spans="2:26">
      <c r="B4139" s="2"/>
      <c r="N4139" s="27"/>
      <c r="R4139" s="15"/>
      <c r="X4139" s="3"/>
      <c r="Z4139" s="28"/>
    </row>
    <row r="4140" spans="2:26">
      <c r="B4140" s="2"/>
      <c r="N4140" s="27"/>
      <c r="R4140" s="15"/>
      <c r="X4140" s="3"/>
      <c r="Z4140" s="28"/>
    </row>
    <row r="4141" spans="2:26">
      <c r="B4141" s="2"/>
      <c r="N4141" s="27"/>
      <c r="R4141" s="15"/>
      <c r="X4141" s="3"/>
      <c r="Z4141" s="28"/>
    </row>
    <row r="4142" spans="2:26">
      <c r="B4142" s="2"/>
      <c r="N4142" s="27"/>
      <c r="R4142" s="15"/>
      <c r="X4142" s="3"/>
      <c r="Z4142" s="28"/>
    </row>
    <row r="4143" spans="2:26">
      <c r="B4143" s="2"/>
      <c r="N4143" s="27"/>
      <c r="R4143" s="15"/>
      <c r="X4143" s="3"/>
      <c r="Z4143" s="28"/>
    </row>
    <row r="4144" spans="2:26">
      <c r="B4144" s="2"/>
      <c r="N4144" s="27"/>
      <c r="R4144" s="15"/>
      <c r="X4144" s="3"/>
      <c r="Z4144" s="28"/>
    </row>
    <row r="4145" spans="2:26">
      <c r="B4145" s="2"/>
      <c r="N4145" s="27"/>
      <c r="R4145" s="15"/>
      <c r="X4145" s="3"/>
      <c r="Z4145" s="28"/>
    </row>
    <row r="4146" spans="2:26">
      <c r="B4146" s="2"/>
      <c r="N4146" s="27"/>
      <c r="R4146" s="15"/>
      <c r="X4146" s="3"/>
      <c r="Z4146" s="28"/>
    </row>
    <row r="4147" spans="2:26">
      <c r="B4147" s="2"/>
      <c r="N4147" s="27"/>
      <c r="R4147" s="15"/>
      <c r="X4147" s="3"/>
      <c r="Z4147" s="28"/>
    </row>
    <row r="4148" spans="2:26">
      <c r="B4148" s="2"/>
      <c r="N4148" s="27"/>
      <c r="R4148" s="15"/>
      <c r="X4148" s="3"/>
      <c r="Z4148" s="28"/>
    </row>
    <row r="4149" spans="2:26">
      <c r="B4149" s="2"/>
      <c r="N4149" s="27"/>
      <c r="R4149" s="15"/>
      <c r="X4149" s="3"/>
      <c r="Z4149" s="28"/>
    </row>
    <row r="4150" spans="2:26">
      <c r="B4150" s="2"/>
      <c r="N4150" s="27"/>
      <c r="R4150" s="15"/>
      <c r="X4150" s="3"/>
      <c r="Z4150" s="28"/>
    </row>
    <row r="4151" spans="2:26">
      <c r="B4151" s="2"/>
      <c r="N4151" s="27"/>
      <c r="R4151" s="15"/>
      <c r="X4151" s="3"/>
      <c r="Z4151" s="28"/>
    </row>
    <row r="4152" spans="2:26">
      <c r="B4152" s="2"/>
      <c r="N4152" s="27"/>
      <c r="R4152" s="15"/>
      <c r="X4152" s="3"/>
      <c r="Z4152" s="28"/>
    </row>
    <row r="4153" spans="2:26">
      <c r="B4153" s="2"/>
      <c r="N4153" s="27"/>
      <c r="R4153" s="15"/>
      <c r="X4153" s="3"/>
      <c r="Z4153" s="28"/>
    </row>
    <row r="4154" spans="2:26">
      <c r="B4154" s="2"/>
      <c r="N4154" s="27"/>
      <c r="R4154" s="15"/>
      <c r="X4154" s="3"/>
      <c r="Z4154" s="28"/>
    </row>
    <row r="4155" spans="2:26">
      <c r="B4155" s="2"/>
      <c r="N4155" s="27"/>
      <c r="R4155" s="15"/>
      <c r="X4155" s="3"/>
      <c r="Z4155" s="28"/>
    </row>
    <row r="4156" spans="2:26">
      <c r="B4156" s="2"/>
      <c r="N4156" s="27"/>
      <c r="R4156" s="15"/>
      <c r="X4156" s="3"/>
      <c r="Z4156" s="28"/>
    </row>
    <row r="4157" spans="2:26">
      <c r="B4157" s="2"/>
      <c r="N4157" s="27"/>
      <c r="R4157" s="15"/>
      <c r="X4157" s="3"/>
      <c r="Z4157" s="28"/>
    </row>
    <row r="4158" spans="2:26">
      <c r="B4158" s="2"/>
      <c r="N4158" s="27"/>
      <c r="R4158" s="15"/>
      <c r="X4158" s="3"/>
      <c r="Z4158" s="28"/>
    </row>
    <row r="4159" spans="2:26">
      <c r="B4159" s="2"/>
      <c r="N4159" s="27"/>
      <c r="R4159" s="15"/>
      <c r="X4159" s="3"/>
      <c r="Z4159" s="28"/>
    </row>
    <row r="4160" spans="2:26">
      <c r="B4160" s="2"/>
      <c r="N4160" s="27"/>
      <c r="R4160" s="15"/>
      <c r="X4160" s="3"/>
      <c r="Z4160" s="28"/>
    </row>
    <row r="4161" spans="2:26">
      <c r="B4161" s="2"/>
      <c r="N4161" s="27"/>
      <c r="R4161" s="15"/>
      <c r="X4161" s="3"/>
      <c r="Z4161" s="28"/>
    </row>
    <row r="4162" spans="2:26">
      <c r="B4162" s="2"/>
      <c r="N4162" s="27"/>
      <c r="R4162" s="15"/>
      <c r="X4162" s="3"/>
      <c r="Z4162" s="28"/>
    </row>
    <row r="4163" spans="2:26">
      <c r="B4163" s="2"/>
      <c r="N4163" s="27"/>
      <c r="R4163" s="15"/>
      <c r="X4163" s="3"/>
      <c r="Z4163" s="28"/>
    </row>
    <row r="4164" spans="2:26">
      <c r="B4164" s="2"/>
      <c r="N4164" s="27"/>
      <c r="R4164" s="15"/>
      <c r="X4164" s="3"/>
      <c r="Z4164" s="28"/>
    </row>
    <row r="4165" spans="2:26">
      <c r="B4165" s="2"/>
      <c r="N4165" s="27"/>
      <c r="R4165" s="15"/>
      <c r="X4165" s="3"/>
      <c r="Z4165" s="28"/>
    </row>
    <row r="4166" spans="2:26">
      <c r="B4166" s="2"/>
      <c r="N4166" s="27"/>
      <c r="R4166" s="15"/>
      <c r="X4166" s="3"/>
      <c r="Z4166" s="28"/>
    </row>
    <row r="4167" spans="2:26">
      <c r="B4167" s="2"/>
      <c r="N4167" s="27"/>
      <c r="R4167" s="15"/>
      <c r="X4167" s="3"/>
      <c r="Z4167" s="28"/>
    </row>
    <row r="4168" spans="2:26">
      <c r="B4168" s="2"/>
      <c r="N4168" s="27"/>
      <c r="R4168" s="15"/>
      <c r="X4168" s="3"/>
      <c r="Z4168" s="28"/>
    </row>
    <row r="4169" spans="2:26">
      <c r="B4169" s="2"/>
      <c r="N4169" s="27"/>
      <c r="R4169" s="15"/>
      <c r="X4169" s="3"/>
      <c r="Z4169" s="28"/>
    </row>
    <row r="4170" spans="2:26">
      <c r="B4170" s="2"/>
      <c r="N4170" s="27"/>
      <c r="R4170" s="15"/>
      <c r="X4170" s="3"/>
      <c r="Z4170" s="28"/>
    </row>
    <row r="4171" spans="2:26">
      <c r="B4171" s="2"/>
      <c r="N4171" s="27"/>
      <c r="R4171" s="15"/>
      <c r="X4171" s="3"/>
      <c r="Z4171" s="28"/>
    </row>
    <row r="4172" spans="2:26">
      <c r="B4172" s="2"/>
      <c r="N4172" s="27"/>
      <c r="R4172" s="15"/>
      <c r="X4172" s="3"/>
      <c r="Z4172" s="28"/>
    </row>
    <row r="4173" spans="2:26">
      <c r="B4173" s="2"/>
      <c r="N4173" s="27"/>
      <c r="R4173" s="15"/>
      <c r="X4173" s="3"/>
      <c r="Z4173" s="28"/>
    </row>
    <row r="4174" spans="2:26">
      <c r="B4174" s="2"/>
      <c r="N4174" s="27"/>
      <c r="R4174" s="15"/>
      <c r="X4174" s="3"/>
      <c r="Z4174" s="28"/>
    </row>
    <row r="4175" spans="2:26">
      <c r="B4175" s="2"/>
      <c r="N4175" s="27"/>
      <c r="R4175" s="15"/>
      <c r="X4175" s="3"/>
      <c r="Z4175" s="28"/>
    </row>
    <row r="4176" spans="2:26">
      <c r="B4176" s="2"/>
      <c r="N4176" s="27"/>
      <c r="R4176" s="15"/>
      <c r="X4176" s="3"/>
      <c r="Z4176" s="28"/>
    </row>
    <row r="4177" spans="2:26">
      <c r="B4177" s="2"/>
      <c r="N4177" s="27"/>
      <c r="R4177" s="15"/>
      <c r="X4177" s="3"/>
      <c r="Z4177" s="28"/>
    </row>
    <row r="4178" spans="2:26">
      <c r="B4178" s="2"/>
      <c r="N4178" s="27"/>
      <c r="R4178" s="15"/>
      <c r="X4178" s="3"/>
      <c r="Z4178" s="28"/>
    </row>
    <row r="4179" spans="2:26">
      <c r="B4179" s="2"/>
      <c r="N4179" s="27"/>
      <c r="R4179" s="15"/>
      <c r="X4179" s="3"/>
      <c r="Z4179" s="28"/>
    </row>
    <row r="4180" spans="2:26">
      <c r="B4180" s="2"/>
      <c r="N4180" s="27"/>
      <c r="R4180" s="15"/>
      <c r="X4180" s="3"/>
      <c r="Z4180" s="28"/>
    </row>
    <row r="4181" spans="2:26">
      <c r="B4181" s="2"/>
      <c r="N4181" s="27"/>
      <c r="R4181" s="15"/>
      <c r="X4181" s="3"/>
      <c r="Z4181" s="28"/>
    </row>
    <row r="4182" spans="2:26">
      <c r="B4182" s="2"/>
      <c r="N4182" s="27"/>
      <c r="R4182" s="15"/>
      <c r="X4182" s="3"/>
      <c r="Z4182" s="28"/>
    </row>
    <row r="4183" spans="2:26">
      <c r="B4183" s="2"/>
      <c r="N4183" s="27"/>
      <c r="R4183" s="15"/>
      <c r="X4183" s="3"/>
      <c r="Z4183" s="28"/>
    </row>
    <row r="4184" spans="2:26">
      <c r="B4184" s="2"/>
      <c r="N4184" s="27"/>
      <c r="R4184" s="15"/>
      <c r="X4184" s="3"/>
      <c r="Z4184" s="28"/>
    </row>
    <row r="4185" spans="2:26">
      <c r="B4185" s="2"/>
      <c r="N4185" s="27"/>
      <c r="R4185" s="15"/>
      <c r="X4185" s="3"/>
      <c r="Z4185" s="28"/>
    </row>
    <row r="4186" spans="2:26">
      <c r="B4186" s="2"/>
      <c r="N4186" s="27"/>
      <c r="R4186" s="15"/>
      <c r="X4186" s="3"/>
      <c r="Z4186" s="28"/>
    </row>
    <row r="4187" spans="2:26">
      <c r="B4187" s="2"/>
      <c r="N4187" s="27"/>
      <c r="R4187" s="15"/>
      <c r="X4187" s="3"/>
      <c r="Z4187" s="28"/>
    </row>
    <row r="4188" spans="2:26">
      <c r="B4188" s="2"/>
      <c r="N4188" s="27"/>
      <c r="R4188" s="15"/>
      <c r="X4188" s="3"/>
      <c r="Z4188" s="28"/>
    </row>
    <row r="4189" spans="2:26">
      <c r="B4189" s="2"/>
      <c r="N4189" s="27"/>
      <c r="R4189" s="15"/>
      <c r="X4189" s="3"/>
      <c r="Z4189" s="28"/>
    </row>
    <row r="4190" spans="2:26">
      <c r="B4190" s="2"/>
      <c r="N4190" s="27"/>
      <c r="R4190" s="15"/>
      <c r="X4190" s="3"/>
      <c r="Z4190" s="28"/>
    </row>
    <row r="4191" spans="2:26">
      <c r="B4191" s="2"/>
      <c r="N4191" s="27"/>
      <c r="R4191" s="15"/>
      <c r="X4191" s="3"/>
      <c r="Z4191" s="28"/>
    </row>
    <row r="4192" spans="2:26">
      <c r="B4192" s="2"/>
      <c r="N4192" s="27"/>
      <c r="R4192" s="15"/>
      <c r="X4192" s="3"/>
      <c r="Z4192" s="28"/>
    </row>
    <row r="4193" spans="2:26">
      <c r="B4193" s="2"/>
      <c r="N4193" s="27"/>
      <c r="R4193" s="15"/>
      <c r="X4193" s="3"/>
      <c r="Z4193" s="28"/>
    </row>
    <row r="4194" spans="2:26">
      <c r="B4194" s="2"/>
      <c r="N4194" s="27"/>
      <c r="R4194" s="15"/>
      <c r="X4194" s="3"/>
      <c r="Z4194" s="28"/>
    </row>
    <row r="4195" spans="2:26">
      <c r="B4195" s="2"/>
      <c r="N4195" s="27"/>
      <c r="R4195" s="15"/>
      <c r="X4195" s="3"/>
      <c r="Z4195" s="28"/>
    </row>
    <row r="4196" spans="2:26">
      <c r="B4196" s="2"/>
      <c r="N4196" s="27"/>
      <c r="R4196" s="15"/>
      <c r="X4196" s="3"/>
      <c r="Z4196" s="28"/>
    </row>
    <row r="4197" spans="2:26">
      <c r="B4197" s="2"/>
      <c r="N4197" s="27"/>
      <c r="R4197" s="15"/>
      <c r="X4197" s="3"/>
      <c r="Z4197" s="28"/>
    </row>
    <row r="4198" spans="2:26">
      <c r="B4198" s="2"/>
      <c r="N4198" s="27"/>
      <c r="R4198" s="15"/>
      <c r="X4198" s="3"/>
      <c r="Z4198" s="28"/>
    </row>
    <row r="4199" spans="2:26">
      <c r="B4199" s="2"/>
      <c r="N4199" s="27"/>
      <c r="R4199" s="15"/>
      <c r="X4199" s="3"/>
      <c r="Z4199" s="28"/>
    </row>
    <row r="4200" spans="2:26">
      <c r="B4200" s="2"/>
      <c r="N4200" s="27"/>
      <c r="R4200" s="15"/>
      <c r="X4200" s="3"/>
      <c r="Z4200" s="28"/>
    </row>
    <row r="4201" spans="2:26">
      <c r="B4201" s="2"/>
      <c r="N4201" s="27"/>
      <c r="R4201" s="15"/>
      <c r="X4201" s="3"/>
      <c r="Z4201" s="28"/>
    </row>
    <row r="4202" spans="2:26">
      <c r="B4202" s="2"/>
      <c r="N4202" s="27"/>
      <c r="R4202" s="15"/>
      <c r="X4202" s="3"/>
      <c r="Z4202" s="28"/>
    </row>
    <row r="4203" spans="2:26">
      <c r="B4203" s="2"/>
      <c r="N4203" s="27"/>
      <c r="R4203" s="15"/>
      <c r="X4203" s="3"/>
      <c r="Z4203" s="28"/>
    </row>
    <row r="4204" spans="2:26">
      <c r="B4204" s="2"/>
      <c r="N4204" s="27"/>
      <c r="R4204" s="15"/>
      <c r="X4204" s="3"/>
      <c r="Z4204" s="28"/>
    </row>
    <row r="4205" spans="2:26">
      <c r="B4205" s="2"/>
      <c r="N4205" s="27"/>
      <c r="R4205" s="15"/>
      <c r="X4205" s="3"/>
      <c r="Z4205" s="28"/>
    </row>
    <row r="4206" spans="2:26">
      <c r="B4206" s="2"/>
      <c r="N4206" s="27"/>
      <c r="R4206" s="15"/>
      <c r="X4206" s="3"/>
      <c r="Z4206" s="28"/>
    </row>
    <row r="4207" spans="2:26">
      <c r="B4207" s="2"/>
      <c r="N4207" s="27"/>
      <c r="R4207" s="15"/>
      <c r="X4207" s="3"/>
      <c r="Z4207" s="28"/>
    </row>
    <row r="4208" spans="2:26">
      <c r="B4208" s="2"/>
      <c r="N4208" s="27"/>
      <c r="R4208" s="15"/>
      <c r="X4208" s="3"/>
      <c r="Z4208" s="28"/>
    </row>
    <row r="4209" spans="2:26">
      <c r="B4209" s="2"/>
      <c r="N4209" s="27"/>
      <c r="R4209" s="15"/>
      <c r="X4209" s="3"/>
      <c r="Z4209" s="28"/>
    </row>
    <row r="4210" spans="2:26">
      <c r="B4210" s="2"/>
      <c r="N4210" s="27"/>
      <c r="R4210" s="15"/>
      <c r="X4210" s="3"/>
      <c r="Z4210" s="28"/>
    </row>
    <row r="4211" spans="2:26">
      <c r="B4211" s="2"/>
      <c r="N4211" s="27"/>
      <c r="R4211" s="15"/>
      <c r="X4211" s="3"/>
      <c r="Z4211" s="28"/>
    </row>
    <row r="4212" spans="2:26">
      <c r="B4212" s="2"/>
      <c r="N4212" s="27"/>
      <c r="R4212" s="15"/>
      <c r="X4212" s="3"/>
      <c r="Z4212" s="28"/>
    </row>
    <row r="4213" spans="2:26">
      <c r="B4213" s="2"/>
      <c r="N4213" s="27"/>
      <c r="R4213" s="15"/>
      <c r="X4213" s="3"/>
      <c r="Z4213" s="28"/>
    </row>
    <row r="4214" spans="2:26">
      <c r="B4214" s="2"/>
      <c r="N4214" s="27"/>
      <c r="R4214" s="15"/>
      <c r="X4214" s="3"/>
      <c r="Z4214" s="28"/>
    </row>
    <row r="4215" spans="2:26">
      <c r="B4215" s="2"/>
      <c r="N4215" s="27"/>
      <c r="R4215" s="15"/>
      <c r="X4215" s="3"/>
      <c r="Z4215" s="28"/>
    </row>
    <row r="4216" spans="2:26">
      <c r="B4216" s="2"/>
      <c r="N4216" s="27"/>
      <c r="R4216" s="15"/>
      <c r="X4216" s="3"/>
      <c r="Z4216" s="28"/>
    </row>
    <row r="4217" spans="2:26">
      <c r="B4217" s="2"/>
      <c r="N4217" s="27"/>
      <c r="R4217" s="15"/>
      <c r="X4217" s="3"/>
      <c r="Z4217" s="28"/>
    </row>
    <row r="4218" spans="2:26">
      <c r="B4218" s="2"/>
      <c r="N4218" s="27"/>
      <c r="R4218" s="15"/>
      <c r="X4218" s="3"/>
      <c r="Z4218" s="28"/>
    </row>
    <row r="4219" spans="2:26">
      <c r="B4219" s="2"/>
      <c r="N4219" s="27"/>
      <c r="R4219" s="15"/>
      <c r="X4219" s="3"/>
      <c r="Z4219" s="28"/>
    </row>
    <row r="4220" spans="2:26">
      <c r="B4220" s="2"/>
      <c r="N4220" s="27"/>
      <c r="R4220" s="15"/>
      <c r="X4220" s="3"/>
      <c r="Z4220" s="28"/>
    </row>
    <row r="4221" spans="2:26">
      <c r="B4221" s="2"/>
      <c r="N4221" s="27"/>
      <c r="R4221" s="15"/>
      <c r="X4221" s="3"/>
      <c r="Z4221" s="28"/>
    </row>
    <row r="4222" spans="2:26">
      <c r="B4222" s="2"/>
      <c r="N4222" s="27"/>
      <c r="R4222" s="15"/>
      <c r="X4222" s="3"/>
      <c r="Z4222" s="28"/>
    </row>
    <row r="4223" spans="2:26">
      <c r="B4223" s="2"/>
      <c r="N4223" s="27"/>
      <c r="R4223" s="15"/>
      <c r="X4223" s="3"/>
      <c r="Z4223" s="28"/>
    </row>
    <row r="4224" spans="2:26">
      <c r="B4224" s="2"/>
      <c r="N4224" s="27"/>
      <c r="R4224" s="15"/>
      <c r="X4224" s="3"/>
      <c r="Z4224" s="28"/>
    </row>
    <row r="4225" spans="2:26">
      <c r="B4225" s="2"/>
      <c r="N4225" s="27"/>
      <c r="R4225" s="15"/>
      <c r="X4225" s="3"/>
      <c r="Z4225" s="28"/>
    </row>
    <row r="4226" spans="2:26">
      <c r="B4226" s="2"/>
      <c r="N4226" s="27"/>
      <c r="R4226" s="15"/>
      <c r="X4226" s="3"/>
      <c r="Z4226" s="28"/>
    </row>
    <row r="4227" spans="2:26">
      <c r="B4227" s="2"/>
      <c r="N4227" s="27"/>
      <c r="R4227" s="15"/>
      <c r="X4227" s="3"/>
      <c r="Z4227" s="28"/>
    </row>
    <row r="4228" spans="2:26">
      <c r="B4228" s="2"/>
      <c r="N4228" s="27"/>
      <c r="R4228" s="15"/>
      <c r="X4228" s="3"/>
      <c r="Z4228" s="28"/>
    </row>
    <row r="4229" spans="2:26">
      <c r="B4229" s="2"/>
      <c r="N4229" s="27"/>
      <c r="R4229" s="15"/>
      <c r="X4229" s="3"/>
      <c r="Z4229" s="28"/>
    </row>
    <row r="4230" spans="2:26">
      <c r="B4230" s="2"/>
      <c r="N4230" s="27"/>
      <c r="R4230" s="15"/>
      <c r="X4230" s="3"/>
      <c r="Z4230" s="28"/>
    </row>
    <row r="4231" spans="2:26">
      <c r="B4231" s="2"/>
      <c r="N4231" s="27"/>
      <c r="R4231" s="15"/>
      <c r="X4231" s="3"/>
      <c r="Z4231" s="28"/>
    </row>
    <row r="4232" spans="2:26">
      <c r="B4232" s="2"/>
      <c r="N4232" s="27"/>
      <c r="R4232" s="15"/>
      <c r="X4232" s="3"/>
      <c r="Z4232" s="28"/>
    </row>
    <row r="4233" spans="2:26">
      <c r="B4233" s="2"/>
      <c r="N4233" s="27"/>
      <c r="R4233" s="15"/>
      <c r="X4233" s="3"/>
      <c r="Z4233" s="28"/>
    </row>
    <row r="4234" spans="2:26">
      <c r="B4234" s="2"/>
      <c r="N4234" s="27"/>
      <c r="R4234" s="15"/>
      <c r="X4234" s="3"/>
      <c r="Z4234" s="28"/>
    </row>
    <row r="4235" spans="2:26">
      <c r="B4235" s="2"/>
      <c r="N4235" s="27"/>
      <c r="R4235" s="15"/>
      <c r="X4235" s="3"/>
      <c r="Z4235" s="28"/>
    </row>
    <row r="4236" spans="2:26">
      <c r="B4236" s="2"/>
      <c r="N4236" s="27"/>
      <c r="R4236" s="15"/>
      <c r="X4236" s="3"/>
      <c r="Z4236" s="28"/>
    </row>
    <row r="4237" spans="2:26">
      <c r="B4237" s="2"/>
      <c r="N4237" s="27"/>
      <c r="R4237" s="15"/>
      <c r="X4237" s="3"/>
      <c r="Z4237" s="28"/>
    </row>
    <row r="4238" spans="2:26">
      <c r="B4238" s="2"/>
      <c r="N4238" s="27"/>
      <c r="R4238" s="15"/>
      <c r="X4238" s="3"/>
      <c r="Z4238" s="28"/>
    </row>
    <row r="4239" spans="2:26">
      <c r="B4239" s="2"/>
      <c r="N4239" s="27"/>
      <c r="R4239" s="15"/>
      <c r="X4239" s="3"/>
      <c r="Z4239" s="28"/>
    </row>
    <row r="4240" spans="2:26">
      <c r="B4240" s="2"/>
      <c r="N4240" s="27"/>
      <c r="R4240" s="15"/>
      <c r="X4240" s="3"/>
      <c r="Z4240" s="28"/>
    </row>
    <row r="4241" spans="2:26">
      <c r="B4241" s="2"/>
      <c r="N4241" s="27"/>
      <c r="R4241" s="15"/>
      <c r="X4241" s="3"/>
      <c r="Z4241" s="28"/>
    </row>
    <row r="4242" spans="2:26">
      <c r="B4242" s="2"/>
      <c r="N4242" s="27"/>
      <c r="R4242" s="15"/>
      <c r="X4242" s="3"/>
      <c r="Z4242" s="28"/>
    </row>
    <row r="4243" spans="2:26">
      <c r="B4243" s="2"/>
      <c r="N4243" s="27"/>
      <c r="R4243" s="15"/>
      <c r="X4243" s="3"/>
      <c r="Z4243" s="28"/>
    </row>
    <row r="4244" spans="2:26">
      <c r="B4244" s="2"/>
      <c r="N4244" s="27"/>
      <c r="R4244" s="15"/>
      <c r="X4244" s="3"/>
      <c r="Z4244" s="28"/>
    </row>
    <row r="4245" spans="2:26">
      <c r="B4245" s="2"/>
      <c r="N4245" s="27"/>
      <c r="R4245" s="15"/>
      <c r="X4245" s="3"/>
      <c r="Z4245" s="28"/>
    </row>
    <row r="4246" spans="2:26">
      <c r="B4246" s="2"/>
      <c r="N4246" s="27"/>
      <c r="R4246" s="15"/>
      <c r="X4246" s="3"/>
      <c r="Z4246" s="28"/>
    </row>
    <row r="4247" spans="2:26">
      <c r="B4247" s="2"/>
      <c r="N4247" s="27"/>
      <c r="R4247" s="15"/>
      <c r="X4247" s="3"/>
      <c r="Z4247" s="28"/>
    </row>
    <row r="4248" spans="2:26">
      <c r="B4248" s="2"/>
      <c r="N4248" s="27"/>
      <c r="R4248" s="15"/>
      <c r="X4248" s="3"/>
      <c r="Z4248" s="28"/>
    </row>
    <row r="4249" spans="2:26">
      <c r="B4249" s="2"/>
      <c r="N4249" s="27"/>
      <c r="R4249" s="15"/>
      <c r="X4249" s="3"/>
      <c r="Z4249" s="28"/>
    </row>
    <row r="4250" spans="2:26">
      <c r="B4250" s="2"/>
      <c r="N4250" s="27"/>
      <c r="R4250" s="15"/>
      <c r="X4250" s="3"/>
      <c r="Z4250" s="28"/>
    </row>
    <row r="4251" spans="2:26">
      <c r="B4251" s="2"/>
      <c r="N4251" s="27"/>
      <c r="R4251" s="15"/>
      <c r="X4251" s="3"/>
      <c r="Z4251" s="28"/>
    </row>
    <row r="4252" spans="2:26">
      <c r="B4252" s="2"/>
      <c r="N4252" s="27"/>
      <c r="R4252" s="15"/>
      <c r="X4252" s="3"/>
      <c r="Z4252" s="28"/>
    </row>
    <row r="4253" spans="2:26">
      <c r="B4253" s="2"/>
      <c r="N4253" s="27"/>
      <c r="R4253" s="15"/>
      <c r="X4253" s="3"/>
      <c r="Z4253" s="28"/>
    </row>
    <row r="4254" spans="2:26">
      <c r="B4254" s="2"/>
      <c r="N4254" s="27"/>
      <c r="R4254" s="15"/>
      <c r="X4254" s="3"/>
      <c r="Z4254" s="28"/>
    </row>
    <row r="4255" spans="2:26">
      <c r="B4255" s="2"/>
      <c r="N4255" s="27"/>
      <c r="R4255" s="15"/>
      <c r="X4255" s="3"/>
      <c r="Z4255" s="28"/>
    </row>
    <row r="4256" spans="2:26">
      <c r="B4256" s="2"/>
      <c r="N4256" s="27"/>
      <c r="R4256" s="15"/>
      <c r="X4256" s="3"/>
      <c r="Z4256" s="28"/>
    </row>
    <row r="4257" spans="2:26">
      <c r="B4257" s="2"/>
      <c r="N4257" s="27"/>
      <c r="R4257" s="15"/>
      <c r="X4257" s="3"/>
      <c r="Z4257" s="28"/>
    </row>
    <row r="4258" spans="2:26">
      <c r="B4258" s="2"/>
      <c r="N4258" s="27"/>
      <c r="R4258" s="15"/>
      <c r="X4258" s="3"/>
      <c r="Z4258" s="28"/>
    </row>
    <row r="4259" spans="2:26">
      <c r="B4259" s="2"/>
      <c r="N4259" s="27"/>
      <c r="R4259" s="15"/>
      <c r="X4259" s="3"/>
      <c r="Z4259" s="28"/>
    </row>
    <row r="4260" spans="2:26">
      <c r="B4260" s="2"/>
      <c r="N4260" s="27"/>
      <c r="R4260" s="15"/>
      <c r="X4260" s="3"/>
      <c r="Z4260" s="28"/>
    </row>
    <row r="4261" spans="2:26">
      <c r="B4261" s="2"/>
      <c r="N4261" s="27"/>
      <c r="R4261" s="15"/>
      <c r="X4261" s="3"/>
      <c r="Z4261" s="28"/>
    </row>
    <row r="4262" spans="2:26">
      <c r="B4262" s="2"/>
      <c r="N4262" s="27"/>
      <c r="R4262" s="15"/>
      <c r="X4262" s="3"/>
      <c r="Z4262" s="28"/>
    </row>
    <row r="4263" spans="2:26">
      <c r="B4263" s="2"/>
      <c r="N4263" s="27"/>
      <c r="R4263" s="15"/>
      <c r="X4263" s="3"/>
      <c r="Z4263" s="28"/>
    </row>
    <row r="4264" spans="2:26">
      <c r="B4264" s="2"/>
      <c r="N4264" s="27"/>
      <c r="R4264" s="15"/>
      <c r="X4264" s="3"/>
      <c r="Z4264" s="28"/>
    </row>
    <row r="4265" spans="2:26">
      <c r="B4265" s="2"/>
      <c r="N4265" s="27"/>
      <c r="R4265" s="15"/>
      <c r="X4265" s="3"/>
      <c r="Z4265" s="28"/>
    </row>
    <row r="4266" spans="2:26">
      <c r="B4266" s="2"/>
      <c r="N4266" s="27"/>
      <c r="R4266" s="15"/>
      <c r="X4266" s="3"/>
      <c r="Z4266" s="28"/>
    </row>
    <row r="4267" spans="2:26">
      <c r="B4267" s="2"/>
      <c r="N4267" s="27"/>
      <c r="R4267" s="15"/>
      <c r="X4267" s="3"/>
      <c r="Z4267" s="28"/>
    </row>
    <row r="4268" spans="2:26">
      <c r="B4268" s="2"/>
      <c r="N4268" s="27"/>
      <c r="R4268" s="15"/>
      <c r="X4268" s="3"/>
      <c r="Z4268" s="28"/>
    </row>
    <row r="4269" spans="2:26">
      <c r="B4269" s="2"/>
      <c r="N4269" s="27"/>
      <c r="R4269" s="15"/>
      <c r="X4269" s="3"/>
      <c r="Z4269" s="28"/>
    </row>
    <row r="4270" spans="2:26">
      <c r="B4270" s="2"/>
      <c r="N4270" s="27"/>
      <c r="R4270" s="15"/>
      <c r="X4270" s="3"/>
      <c r="Z4270" s="28"/>
    </row>
    <row r="4271" spans="2:26">
      <c r="B4271" s="2"/>
      <c r="N4271" s="27"/>
      <c r="R4271" s="15"/>
      <c r="X4271" s="3"/>
      <c r="Z4271" s="28"/>
    </row>
    <row r="4272" spans="2:26">
      <c r="B4272" s="2"/>
      <c r="N4272" s="27"/>
      <c r="R4272" s="15"/>
      <c r="X4272" s="3"/>
      <c r="Z4272" s="28"/>
    </row>
    <row r="4273" spans="2:26">
      <c r="B4273" s="2"/>
      <c r="N4273" s="27"/>
      <c r="R4273" s="15"/>
      <c r="X4273" s="3"/>
      <c r="Z4273" s="28"/>
    </row>
    <row r="4274" spans="2:26">
      <c r="B4274" s="2"/>
      <c r="N4274" s="27"/>
      <c r="R4274" s="15"/>
      <c r="X4274" s="3"/>
      <c r="Z4274" s="28"/>
    </row>
    <row r="4275" spans="2:26">
      <c r="B4275" s="2"/>
      <c r="N4275" s="27"/>
      <c r="R4275" s="15"/>
      <c r="X4275" s="3"/>
      <c r="Z4275" s="28"/>
    </row>
    <row r="4276" spans="2:26">
      <c r="B4276" s="2"/>
      <c r="N4276" s="27"/>
      <c r="R4276" s="15"/>
      <c r="X4276" s="3"/>
      <c r="Z4276" s="28"/>
    </row>
    <row r="4277" spans="2:26">
      <c r="B4277" s="2"/>
      <c r="N4277" s="27"/>
      <c r="R4277" s="15"/>
      <c r="X4277" s="3"/>
      <c r="Z4277" s="28"/>
    </row>
    <row r="4278" spans="2:26">
      <c r="B4278" s="2"/>
      <c r="N4278" s="27"/>
      <c r="R4278" s="15"/>
      <c r="X4278" s="3"/>
      <c r="Z4278" s="28"/>
    </row>
    <row r="4279" spans="2:26">
      <c r="B4279" s="2"/>
      <c r="N4279" s="27"/>
      <c r="R4279" s="15"/>
      <c r="X4279" s="3"/>
      <c r="Z4279" s="28"/>
    </row>
    <row r="4280" spans="2:26">
      <c r="B4280" s="2"/>
      <c r="N4280" s="27"/>
      <c r="R4280" s="15"/>
      <c r="X4280" s="3"/>
      <c r="Z4280" s="28"/>
    </row>
    <row r="4281" spans="2:26">
      <c r="B4281" s="2"/>
      <c r="N4281" s="27"/>
      <c r="R4281" s="15"/>
      <c r="X4281" s="3"/>
      <c r="Z4281" s="28"/>
    </row>
    <row r="4282" spans="2:26">
      <c r="B4282" s="2"/>
      <c r="N4282" s="27"/>
      <c r="R4282" s="15"/>
      <c r="X4282" s="3"/>
      <c r="Z4282" s="28"/>
    </row>
    <row r="4283" spans="2:26">
      <c r="B4283" s="2"/>
      <c r="N4283" s="27"/>
      <c r="R4283" s="15"/>
      <c r="X4283" s="3"/>
      <c r="Z4283" s="28"/>
    </row>
    <row r="4284" spans="2:26">
      <c r="B4284" s="2"/>
      <c r="N4284" s="27"/>
      <c r="R4284" s="15"/>
      <c r="X4284" s="3"/>
      <c r="Z4284" s="28"/>
    </row>
    <row r="4285" spans="2:26">
      <c r="B4285" s="2"/>
      <c r="N4285" s="27"/>
      <c r="R4285" s="15"/>
      <c r="X4285" s="3"/>
      <c r="Z4285" s="28"/>
    </row>
    <row r="4286" spans="2:26">
      <c r="B4286" s="2"/>
      <c r="N4286" s="27"/>
      <c r="R4286" s="15"/>
      <c r="X4286" s="3"/>
      <c r="Z4286" s="28"/>
    </row>
    <row r="4287" spans="2:26">
      <c r="B4287" s="2"/>
      <c r="N4287" s="27"/>
      <c r="R4287" s="15"/>
      <c r="X4287" s="3"/>
      <c r="Z4287" s="28"/>
    </row>
    <row r="4288" spans="2:26">
      <c r="B4288" s="2"/>
      <c r="N4288" s="27"/>
      <c r="R4288" s="15"/>
      <c r="X4288" s="3"/>
      <c r="Z4288" s="28"/>
    </row>
    <row r="4289" spans="2:26">
      <c r="B4289" s="2"/>
      <c r="N4289" s="27"/>
      <c r="R4289" s="15"/>
      <c r="X4289" s="3"/>
      <c r="Z4289" s="28"/>
    </row>
    <row r="4290" spans="2:26">
      <c r="B4290" s="2"/>
      <c r="N4290" s="27"/>
      <c r="R4290" s="15"/>
      <c r="X4290" s="3"/>
      <c r="Z4290" s="28"/>
    </row>
    <row r="4291" spans="2:26">
      <c r="B4291" s="2"/>
      <c r="N4291" s="27"/>
      <c r="R4291" s="15"/>
      <c r="X4291" s="3"/>
      <c r="Z4291" s="28"/>
    </row>
    <row r="4292" spans="2:26">
      <c r="B4292" s="2"/>
      <c r="N4292" s="27"/>
      <c r="R4292" s="15"/>
      <c r="X4292" s="3"/>
      <c r="Z4292" s="28"/>
    </row>
    <row r="4293" spans="2:26">
      <c r="B4293" s="2"/>
      <c r="N4293" s="27"/>
      <c r="R4293" s="15"/>
      <c r="X4293" s="3"/>
      <c r="Z4293" s="28"/>
    </row>
    <row r="4294" spans="2:26">
      <c r="B4294" s="2"/>
      <c r="N4294" s="27"/>
      <c r="R4294" s="15"/>
      <c r="X4294" s="3"/>
      <c r="Z4294" s="28"/>
    </row>
    <row r="4295" spans="2:26">
      <c r="B4295" s="2"/>
      <c r="N4295" s="27"/>
      <c r="R4295" s="15"/>
      <c r="X4295" s="3"/>
      <c r="Z4295" s="28"/>
    </row>
    <row r="4296" spans="2:26">
      <c r="B4296" s="2"/>
      <c r="N4296" s="27"/>
      <c r="R4296" s="15"/>
      <c r="X4296" s="3"/>
      <c r="Z4296" s="28"/>
    </row>
    <row r="4297" spans="2:26">
      <c r="B4297" s="2"/>
      <c r="N4297" s="27"/>
      <c r="R4297" s="15"/>
      <c r="X4297" s="3"/>
      <c r="Z4297" s="28"/>
    </row>
    <row r="4298" spans="2:26">
      <c r="B4298" s="2"/>
      <c r="N4298" s="27"/>
      <c r="R4298" s="15"/>
      <c r="X4298" s="3"/>
      <c r="Z4298" s="28"/>
    </row>
    <row r="4299" spans="2:26">
      <c r="B4299" s="2"/>
      <c r="N4299" s="27"/>
      <c r="R4299" s="15"/>
      <c r="X4299" s="3"/>
      <c r="Z4299" s="28"/>
    </row>
    <row r="4300" spans="2:26">
      <c r="B4300" s="2"/>
      <c r="N4300" s="27"/>
      <c r="R4300" s="15"/>
      <c r="X4300" s="3"/>
      <c r="Z4300" s="28"/>
    </row>
    <row r="4301" spans="2:26">
      <c r="B4301" s="2"/>
      <c r="N4301" s="27"/>
      <c r="R4301" s="15"/>
      <c r="X4301" s="3"/>
      <c r="Z4301" s="28"/>
    </row>
    <row r="4302" spans="2:26">
      <c r="B4302" s="2"/>
      <c r="N4302" s="27"/>
      <c r="R4302" s="15"/>
      <c r="X4302" s="3"/>
      <c r="Z4302" s="28"/>
    </row>
    <row r="4303" spans="2:26">
      <c r="B4303" s="2"/>
      <c r="N4303" s="27"/>
      <c r="R4303" s="15"/>
      <c r="X4303" s="3"/>
      <c r="Z4303" s="28"/>
    </row>
    <row r="4304" spans="2:26">
      <c r="B4304" s="2"/>
      <c r="N4304" s="27"/>
      <c r="R4304" s="15"/>
      <c r="X4304" s="3"/>
      <c r="Z4304" s="28"/>
    </row>
    <row r="4305" spans="2:26">
      <c r="B4305" s="2"/>
      <c r="N4305" s="27"/>
      <c r="R4305" s="15"/>
      <c r="X4305" s="3"/>
      <c r="Z4305" s="28"/>
    </row>
    <row r="4306" spans="2:26">
      <c r="B4306" s="2"/>
      <c r="N4306" s="27"/>
      <c r="R4306" s="15"/>
      <c r="X4306" s="3"/>
      <c r="Z4306" s="28"/>
    </row>
    <row r="4307" spans="2:26">
      <c r="B4307" s="2"/>
      <c r="N4307" s="27"/>
      <c r="R4307" s="15"/>
      <c r="X4307" s="3"/>
      <c r="Z4307" s="28"/>
    </row>
    <row r="4308" spans="2:26">
      <c r="B4308" s="2"/>
      <c r="N4308" s="27"/>
      <c r="R4308" s="15"/>
      <c r="X4308" s="3"/>
      <c r="Z4308" s="28"/>
    </row>
    <row r="4309" spans="2:26">
      <c r="B4309" s="2"/>
      <c r="N4309" s="27"/>
      <c r="R4309" s="15"/>
      <c r="X4309" s="3"/>
      <c r="Z4309" s="28"/>
    </row>
    <row r="4310" spans="2:26">
      <c r="B4310" s="2"/>
      <c r="N4310" s="27"/>
      <c r="R4310" s="15"/>
      <c r="X4310" s="3"/>
      <c r="Z4310" s="28"/>
    </row>
    <row r="4311" spans="2:26">
      <c r="B4311" s="2"/>
      <c r="N4311" s="27"/>
      <c r="R4311" s="15"/>
      <c r="X4311" s="3"/>
      <c r="Z4311" s="28"/>
    </row>
    <row r="4312" spans="2:26">
      <c r="B4312" s="2"/>
      <c r="N4312" s="27"/>
      <c r="R4312" s="15"/>
      <c r="X4312" s="3"/>
      <c r="Z4312" s="28"/>
    </row>
    <row r="4313" spans="2:26">
      <c r="B4313" s="2"/>
      <c r="N4313" s="27"/>
      <c r="R4313" s="15"/>
      <c r="X4313" s="3"/>
      <c r="Z4313" s="28"/>
    </row>
    <row r="4314" spans="2:26">
      <c r="B4314" s="2"/>
      <c r="N4314" s="27"/>
      <c r="R4314" s="15"/>
      <c r="X4314" s="3"/>
      <c r="Z4314" s="28"/>
    </row>
    <row r="4315" spans="2:26">
      <c r="B4315" s="2"/>
      <c r="N4315" s="27"/>
      <c r="R4315" s="15"/>
      <c r="X4315" s="3"/>
      <c r="Z4315" s="28"/>
    </row>
    <row r="4316" spans="2:26">
      <c r="B4316" s="2"/>
      <c r="N4316" s="27"/>
      <c r="R4316" s="15"/>
      <c r="X4316" s="3"/>
      <c r="Z4316" s="28"/>
    </row>
    <row r="4317" spans="2:26">
      <c r="B4317" s="2"/>
      <c r="N4317" s="27"/>
      <c r="R4317" s="15"/>
      <c r="X4317" s="3"/>
      <c r="Z4317" s="28"/>
    </row>
    <row r="4318" spans="2:26">
      <c r="B4318" s="2"/>
      <c r="N4318" s="27"/>
      <c r="R4318" s="15"/>
      <c r="X4318" s="3"/>
      <c r="Z4318" s="28"/>
    </row>
    <row r="4319" spans="2:26">
      <c r="B4319" s="2"/>
      <c r="N4319" s="27"/>
      <c r="R4319" s="15"/>
      <c r="X4319" s="3"/>
      <c r="Z4319" s="28"/>
    </row>
    <row r="4320" spans="2:26">
      <c r="B4320" s="2"/>
      <c r="N4320" s="27"/>
      <c r="R4320" s="15"/>
      <c r="X4320" s="3"/>
      <c r="Z4320" s="28"/>
    </row>
    <row r="4321" spans="2:26">
      <c r="B4321" s="2"/>
      <c r="N4321" s="27"/>
      <c r="R4321" s="15"/>
      <c r="X4321" s="3"/>
      <c r="Z4321" s="28"/>
    </row>
    <row r="4322" spans="2:26">
      <c r="B4322" s="2"/>
      <c r="N4322" s="27"/>
      <c r="R4322" s="15"/>
      <c r="X4322" s="3"/>
      <c r="Z4322" s="28"/>
    </row>
    <row r="4323" spans="2:26">
      <c r="B4323" s="2"/>
      <c r="N4323" s="27"/>
      <c r="R4323" s="15"/>
      <c r="X4323" s="3"/>
      <c r="Z4323" s="28"/>
    </row>
    <row r="4324" spans="2:26">
      <c r="B4324" s="2"/>
      <c r="N4324" s="27"/>
      <c r="R4324" s="15"/>
      <c r="X4324" s="3"/>
      <c r="Z4324" s="28"/>
    </row>
    <row r="4325" spans="2:26">
      <c r="B4325" s="2"/>
      <c r="N4325" s="27"/>
      <c r="R4325" s="15"/>
      <c r="X4325" s="3"/>
      <c r="Z4325" s="28"/>
    </row>
    <row r="4326" spans="2:26">
      <c r="B4326" s="2"/>
      <c r="N4326" s="27"/>
      <c r="R4326" s="15"/>
      <c r="X4326" s="3"/>
      <c r="Z4326" s="28"/>
    </row>
    <row r="4327" spans="2:26">
      <c r="B4327" s="2"/>
      <c r="N4327" s="27"/>
      <c r="R4327" s="15"/>
      <c r="X4327" s="3"/>
      <c r="Z4327" s="28"/>
    </row>
    <row r="4328" spans="2:26">
      <c r="B4328" s="2"/>
      <c r="N4328" s="27"/>
      <c r="R4328" s="15"/>
      <c r="X4328" s="3"/>
      <c r="Z4328" s="28"/>
    </row>
    <row r="4329" spans="2:26">
      <c r="B4329" s="2"/>
      <c r="N4329" s="27"/>
      <c r="R4329" s="15"/>
      <c r="X4329" s="3"/>
      <c r="Z4329" s="28"/>
    </row>
    <row r="4330" spans="2:26">
      <c r="B4330" s="2"/>
      <c r="N4330" s="27"/>
      <c r="R4330" s="15"/>
      <c r="X4330" s="3"/>
      <c r="Z4330" s="28"/>
    </row>
    <row r="4331" spans="2:26">
      <c r="B4331" s="2"/>
      <c r="N4331" s="27"/>
      <c r="R4331" s="15"/>
      <c r="X4331" s="3"/>
      <c r="Z4331" s="28"/>
    </row>
    <row r="4332" spans="2:26">
      <c r="B4332" s="2"/>
      <c r="N4332" s="27"/>
      <c r="R4332" s="15"/>
      <c r="X4332" s="3"/>
      <c r="Z4332" s="28"/>
    </row>
    <row r="4333" spans="2:26">
      <c r="B4333" s="2"/>
      <c r="N4333" s="27"/>
      <c r="R4333" s="15"/>
      <c r="X4333" s="3"/>
      <c r="Z4333" s="28"/>
    </row>
    <row r="4334" spans="2:26">
      <c r="B4334" s="2"/>
      <c r="N4334" s="27"/>
      <c r="R4334" s="15"/>
      <c r="X4334" s="3"/>
      <c r="Z4334" s="28"/>
    </row>
    <row r="4335" spans="2:26">
      <c r="B4335" s="2"/>
      <c r="N4335" s="27"/>
      <c r="R4335" s="15"/>
      <c r="X4335" s="3"/>
      <c r="Z4335" s="28"/>
    </row>
    <row r="4336" spans="2:26">
      <c r="B4336" s="2"/>
      <c r="N4336" s="27"/>
      <c r="R4336" s="15"/>
      <c r="X4336" s="3"/>
      <c r="Z4336" s="28"/>
    </row>
    <row r="4337" spans="2:26">
      <c r="B4337" s="2"/>
      <c r="N4337" s="27"/>
      <c r="R4337" s="15"/>
      <c r="X4337" s="3"/>
      <c r="Z4337" s="28"/>
    </row>
    <row r="4338" spans="2:26">
      <c r="B4338" s="2"/>
      <c r="N4338" s="27"/>
      <c r="R4338" s="15"/>
      <c r="X4338" s="3"/>
      <c r="Z4338" s="28"/>
    </row>
    <row r="4339" spans="2:26">
      <c r="B4339" s="2"/>
      <c r="N4339" s="27"/>
      <c r="R4339" s="15"/>
      <c r="X4339" s="3"/>
      <c r="Z4339" s="28"/>
    </row>
    <row r="4340" spans="2:26">
      <c r="B4340" s="2"/>
      <c r="N4340" s="27"/>
      <c r="R4340" s="15"/>
      <c r="X4340" s="3"/>
      <c r="Z4340" s="28"/>
    </row>
    <row r="4341" spans="2:26">
      <c r="B4341" s="2"/>
      <c r="N4341" s="27"/>
      <c r="R4341" s="15"/>
      <c r="X4341" s="3"/>
      <c r="Z4341" s="28"/>
    </row>
    <row r="4342" spans="2:26">
      <c r="B4342" s="2"/>
      <c r="N4342" s="27"/>
      <c r="R4342" s="15"/>
      <c r="X4342" s="3"/>
      <c r="Z4342" s="28"/>
    </row>
    <row r="4343" spans="2:26">
      <c r="B4343" s="2"/>
      <c r="N4343" s="27"/>
      <c r="R4343" s="15"/>
      <c r="X4343" s="3"/>
      <c r="Z4343" s="28"/>
    </row>
    <row r="4344" spans="2:26">
      <c r="B4344" s="2"/>
      <c r="N4344" s="27"/>
      <c r="R4344" s="15"/>
      <c r="X4344" s="3"/>
      <c r="Z4344" s="28"/>
    </row>
    <row r="4345" spans="2:26">
      <c r="B4345" s="2"/>
      <c r="N4345" s="27"/>
      <c r="R4345" s="15"/>
      <c r="X4345" s="3"/>
      <c r="Z4345" s="28"/>
    </row>
    <row r="4346" spans="2:26">
      <c r="B4346" s="2"/>
      <c r="N4346" s="27"/>
      <c r="R4346" s="15"/>
      <c r="X4346" s="3"/>
      <c r="Z4346" s="28"/>
    </row>
    <row r="4347" spans="2:26">
      <c r="B4347" s="2"/>
      <c r="N4347" s="27"/>
      <c r="R4347" s="15"/>
      <c r="X4347" s="3"/>
      <c r="Z4347" s="28"/>
    </row>
    <row r="4348" spans="2:26">
      <c r="B4348" s="2"/>
      <c r="N4348" s="27"/>
      <c r="R4348" s="15"/>
      <c r="X4348" s="3"/>
      <c r="Z4348" s="28"/>
    </row>
    <row r="4349" spans="2:26">
      <c r="B4349" s="2"/>
      <c r="N4349" s="27"/>
      <c r="R4349" s="15"/>
      <c r="X4349" s="3"/>
      <c r="Z4349" s="28"/>
    </row>
    <row r="4350" spans="2:26">
      <c r="B4350" s="2"/>
      <c r="N4350" s="27"/>
      <c r="R4350" s="15"/>
      <c r="X4350" s="3"/>
      <c r="Z4350" s="28"/>
    </row>
    <row r="4351" spans="2:26">
      <c r="B4351" s="2"/>
      <c r="N4351" s="27"/>
      <c r="R4351" s="15"/>
      <c r="X4351" s="3"/>
      <c r="Z4351" s="28"/>
    </row>
    <row r="4352" spans="2:26">
      <c r="B4352" s="2"/>
      <c r="N4352" s="27"/>
      <c r="R4352" s="15"/>
      <c r="X4352" s="3"/>
      <c r="Z4352" s="28"/>
    </row>
    <row r="4353" spans="2:26">
      <c r="B4353" s="2"/>
      <c r="N4353" s="27"/>
      <c r="R4353" s="15"/>
      <c r="X4353" s="3"/>
      <c r="Z4353" s="28"/>
    </row>
    <row r="4354" spans="2:26">
      <c r="B4354" s="2"/>
      <c r="N4354" s="27"/>
      <c r="R4354" s="15"/>
      <c r="X4354" s="3"/>
      <c r="Z4354" s="28"/>
    </row>
    <row r="4355" spans="2:26">
      <c r="B4355" s="2"/>
      <c r="N4355" s="27"/>
      <c r="R4355" s="15"/>
      <c r="X4355" s="3"/>
      <c r="Z4355" s="28"/>
    </row>
    <row r="4356" spans="2:26">
      <c r="B4356" s="2"/>
      <c r="N4356" s="27"/>
      <c r="R4356" s="15"/>
      <c r="X4356" s="3"/>
      <c r="Z4356" s="28"/>
    </row>
    <row r="4357" spans="2:26">
      <c r="B4357" s="2"/>
      <c r="N4357" s="27"/>
      <c r="R4357" s="15"/>
      <c r="X4357" s="3"/>
      <c r="Z4357" s="28"/>
    </row>
    <row r="4358" spans="2:26">
      <c r="B4358" s="2"/>
      <c r="N4358" s="27"/>
      <c r="R4358" s="15"/>
      <c r="X4358" s="3"/>
      <c r="Z4358" s="28"/>
    </row>
    <row r="4359" spans="2:26">
      <c r="B4359" s="2"/>
      <c r="N4359" s="27"/>
      <c r="R4359" s="15"/>
      <c r="X4359" s="3"/>
      <c r="Z4359" s="28"/>
    </row>
    <row r="4360" spans="2:26">
      <c r="B4360" s="2"/>
      <c r="N4360" s="27"/>
      <c r="R4360" s="15"/>
      <c r="X4360" s="3"/>
      <c r="Z4360" s="28"/>
    </row>
    <row r="4361" spans="2:26">
      <c r="B4361" s="2"/>
      <c r="N4361" s="27"/>
      <c r="R4361" s="15"/>
      <c r="X4361" s="3"/>
      <c r="Z4361" s="28"/>
    </row>
    <row r="4362" spans="2:26">
      <c r="B4362" s="2"/>
      <c r="N4362" s="27"/>
      <c r="R4362" s="15"/>
      <c r="X4362" s="3"/>
      <c r="Z4362" s="28"/>
    </row>
    <row r="4363" spans="2:26">
      <c r="B4363" s="2"/>
      <c r="N4363" s="27"/>
      <c r="R4363" s="15"/>
      <c r="X4363" s="3"/>
      <c r="Z4363" s="28"/>
    </row>
    <row r="4364" spans="2:26">
      <c r="B4364" s="2"/>
      <c r="N4364" s="27"/>
      <c r="R4364" s="15"/>
      <c r="X4364" s="3"/>
      <c r="Z4364" s="28"/>
    </row>
    <row r="4365" spans="2:26">
      <c r="B4365" s="2"/>
      <c r="N4365" s="27"/>
      <c r="R4365" s="15"/>
      <c r="X4365" s="3"/>
      <c r="Z4365" s="28"/>
    </row>
    <row r="4366" spans="2:26">
      <c r="B4366" s="2"/>
      <c r="N4366" s="27"/>
      <c r="R4366" s="15"/>
      <c r="X4366" s="3"/>
      <c r="Z4366" s="28"/>
    </row>
    <row r="4367" spans="2:26">
      <c r="B4367" s="2"/>
      <c r="N4367" s="27"/>
      <c r="R4367" s="15"/>
      <c r="X4367" s="3"/>
      <c r="Z4367" s="28"/>
    </row>
    <row r="4368" spans="2:26">
      <c r="B4368" s="2"/>
      <c r="N4368" s="27"/>
      <c r="R4368" s="15"/>
      <c r="X4368" s="3"/>
      <c r="Z4368" s="28"/>
    </row>
    <row r="4369" spans="2:26">
      <c r="B4369" s="2"/>
      <c r="N4369" s="27"/>
      <c r="R4369" s="15"/>
      <c r="X4369" s="3"/>
      <c r="Z4369" s="28"/>
    </row>
    <row r="4370" spans="2:26">
      <c r="B4370" s="2"/>
      <c r="N4370" s="27"/>
      <c r="R4370" s="15"/>
      <c r="X4370" s="3"/>
      <c r="Z4370" s="28"/>
    </row>
    <row r="4371" spans="2:26">
      <c r="B4371" s="2"/>
      <c r="N4371" s="27"/>
      <c r="R4371" s="15"/>
      <c r="X4371" s="3"/>
      <c r="Z4371" s="28"/>
    </row>
    <row r="4372" spans="2:26">
      <c r="B4372" s="2"/>
      <c r="N4372" s="27"/>
      <c r="R4372" s="15"/>
      <c r="X4372" s="3"/>
      <c r="Z4372" s="28"/>
    </row>
    <row r="4373" spans="2:26">
      <c r="B4373" s="2"/>
      <c r="N4373" s="27"/>
      <c r="R4373" s="15"/>
      <c r="X4373" s="3"/>
      <c r="Z4373" s="28"/>
    </row>
    <row r="4374" spans="2:26">
      <c r="B4374" s="2"/>
      <c r="N4374" s="27"/>
      <c r="R4374" s="15"/>
      <c r="X4374" s="3"/>
      <c r="Z4374" s="28"/>
    </row>
    <row r="4375" spans="2:26">
      <c r="B4375" s="2"/>
      <c r="N4375" s="27"/>
      <c r="R4375" s="15"/>
      <c r="X4375" s="3"/>
      <c r="Z4375" s="28"/>
    </row>
    <row r="4376" spans="2:26">
      <c r="B4376" s="2"/>
      <c r="N4376" s="27"/>
      <c r="R4376" s="15"/>
      <c r="X4376" s="3"/>
      <c r="Z4376" s="28"/>
    </row>
    <row r="4377" spans="2:26">
      <c r="B4377" s="2"/>
      <c r="N4377" s="27"/>
      <c r="R4377" s="15"/>
      <c r="X4377" s="3"/>
      <c r="Z4377" s="28"/>
    </row>
    <row r="4378" spans="2:26">
      <c r="B4378" s="2"/>
      <c r="N4378" s="27"/>
      <c r="R4378" s="15"/>
      <c r="X4378" s="3"/>
      <c r="Z4378" s="28"/>
    </row>
    <row r="4379" spans="2:26">
      <c r="B4379" s="2"/>
      <c r="N4379" s="27"/>
      <c r="R4379" s="15"/>
      <c r="X4379" s="3"/>
      <c r="Z4379" s="28"/>
    </row>
    <row r="4380" spans="2:26">
      <c r="B4380" s="2"/>
      <c r="N4380" s="27"/>
      <c r="R4380" s="15"/>
      <c r="X4380" s="3"/>
      <c r="Z4380" s="28"/>
    </row>
    <row r="4381" spans="2:26">
      <c r="B4381" s="2"/>
      <c r="N4381" s="27"/>
      <c r="R4381" s="15"/>
      <c r="X4381" s="3"/>
      <c r="Z4381" s="28"/>
    </row>
    <row r="4382" spans="2:26">
      <c r="B4382" s="2"/>
      <c r="N4382" s="27"/>
      <c r="R4382" s="15"/>
      <c r="X4382" s="3"/>
      <c r="Z4382" s="28"/>
    </row>
    <row r="4383" spans="2:26">
      <c r="B4383" s="2"/>
      <c r="N4383" s="27"/>
      <c r="R4383" s="15"/>
      <c r="X4383" s="3"/>
      <c r="Z4383" s="28"/>
    </row>
    <row r="4384" spans="2:26">
      <c r="B4384" s="2"/>
      <c r="N4384" s="27"/>
      <c r="R4384" s="15"/>
      <c r="X4384" s="3"/>
      <c r="Z4384" s="28"/>
    </row>
    <row r="4385" spans="2:26">
      <c r="B4385" s="2"/>
      <c r="N4385" s="27"/>
      <c r="R4385" s="15"/>
      <c r="X4385" s="3"/>
      <c r="Z4385" s="28"/>
    </row>
    <row r="4386" spans="2:26">
      <c r="B4386" s="2"/>
      <c r="N4386" s="27"/>
      <c r="R4386" s="15"/>
      <c r="X4386" s="3"/>
      <c r="Z4386" s="28"/>
    </row>
    <row r="4387" spans="2:26">
      <c r="B4387" s="2"/>
      <c r="N4387" s="27"/>
      <c r="R4387" s="15"/>
      <c r="X4387" s="3"/>
      <c r="Z4387" s="28"/>
    </row>
    <row r="4388" spans="2:26">
      <c r="B4388" s="2"/>
      <c r="N4388" s="27"/>
      <c r="R4388" s="15"/>
      <c r="X4388" s="3"/>
      <c r="Z4388" s="28"/>
    </row>
    <row r="4389" spans="2:26">
      <c r="B4389" s="2"/>
      <c r="N4389" s="27"/>
      <c r="R4389" s="15"/>
      <c r="X4389" s="3"/>
      <c r="Z4389" s="28"/>
    </row>
    <row r="4390" spans="2:26">
      <c r="B4390" s="2"/>
      <c r="N4390" s="27"/>
      <c r="R4390" s="15"/>
      <c r="X4390" s="3"/>
      <c r="Z4390" s="28"/>
    </row>
    <row r="4391" spans="2:26">
      <c r="B4391" s="2"/>
      <c r="N4391" s="27"/>
      <c r="R4391" s="15"/>
      <c r="X4391" s="3"/>
      <c r="Z4391" s="28"/>
    </row>
    <row r="4392" spans="2:26">
      <c r="B4392" s="2"/>
      <c r="N4392" s="27"/>
      <c r="R4392" s="15"/>
      <c r="X4392" s="3"/>
      <c r="Z4392" s="28"/>
    </row>
    <row r="4393" spans="2:26">
      <c r="B4393" s="2"/>
      <c r="N4393" s="27"/>
      <c r="R4393" s="15"/>
      <c r="X4393" s="3"/>
      <c r="Z4393" s="28"/>
    </row>
    <row r="4394" spans="2:26">
      <c r="B4394" s="2"/>
      <c r="N4394" s="27"/>
      <c r="R4394" s="15"/>
      <c r="X4394" s="3"/>
      <c r="Z4394" s="28"/>
    </row>
    <row r="4395" spans="2:26">
      <c r="B4395" s="2"/>
      <c r="N4395" s="27"/>
      <c r="R4395" s="15"/>
      <c r="X4395" s="3"/>
      <c r="Z4395" s="28"/>
    </row>
    <row r="4396" spans="2:26">
      <c r="B4396" s="2"/>
      <c r="N4396" s="27"/>
      <c r="R4396" s="15"/>
      <c r="X4396" s="3"/>
      <c r="Z4396" s="28"/>
    </row>
    <row r="4397" spans="2:26">
      <c r="B4397" s="2"/>
      <c r="N4397" s="27"/>
      <c r="R4397" s="15"/>
      <c r="X4397" s="3"/>
      <c r="Z4397" s="28"/>
    </row>
    <row r="4398" spans="2:26">
      <c r="B4398" s="2"/>
      <c r="N4398" s="27"/>
      <c r="R4398" s="15"/>
      <c r="X4398" s="3"/>
      <c r="Z4398" s="28"/>
    </row>
    <row r="4399" spans="2:26">
      <c r="B4399" s="2"/>
      <c r="N4399" s="27"/>
      <c r="R4399" s="15"/>
      <c r="X4399" s="3"/>
      <c r="Z4399" s="28"/>
    </row>
    <row r="4400" spans="2:26">
      <c r="B4400" s="2"/>
      <c r="N4400" s="27"/>
      <c r="R4400" s="15"/>
      <c r="X4400" s="3"/>
      <c r="Z4400" s="28"/>
    </row>
    <row r="4401" spans="2:26">
      <c r="B4401" s="2"/>
      <c r="N4401" s="27"/>
      <c r="R4401" s="15"/>
      <c r="X4401" s="3"/>
      <c r="Z4401" s="28"/>
    </row>
    <row r="4402" spans="2:26">
      <c r="B4402" s="2"/>
      <c r="N4402" s="27"/>
      <c r="R4402" s="15"/>
      <c r="X4402" s="3"/>
      <c r="Z4402" s="28"/>
    </row>
    <row r="4403" spans="2:26">
      <c r="B4403" s="2"/>
      <c r="N4403" s="27"/>
      <c r="R4403" s="15"/>
      <c r="X4403" s="3"/>
      <c r="Z4403" s="28"/>
    </row>
    <row r="4404" spans="2:26">
      <c r="B4404" s="2"/>
      <c r="N4404" s="27"/>
      <c r="R4404" s="15"/>
      <c r="X4404" s="3"/>
      <c r="Z4404" s="28"/>
    </row>
    <row r="4405" spans="2:26">
      <c r="B4405" s="2"/>
      <c r="N4405" s="27"/>
      <c r="R4405" s="15"/>
      <c r="X4405" s="3"/>
      <c r="Z4405" s="28"/>
    </row>
    <row r="4406" spans="2:26">
      <c r="B4406" s="2"/>
      <c r="N4406" s="27"/>
      <c r="R4406" s="15"/>
      <c r="X4406" s="3"/>
      <c r="Z4406" s="28"/>
    </row>
    <row r="4407" spans="2:26">
      <c r="B4407" s="2"/>
      <c r="N4407" s="27"/>
      <c r="R4407" s="15"/>
      <c r="X4407" s="3"/>
      <c r="Z4407" s="28"/>
    </row>
    <row r="4408" spans="2:26">
      <c r="B4408" s="2"/>
      <c r="N4408" s="27"/>
      <c r="R4408" s="15"/>
      <c r="X4408" s="3"/>
      <c r="Z4408" s="28"/>
    </row>
    <row r="4409" spans="2:26">
      <c r="B4409" s="2"/>
      <c r="N4409" s="27"/>
      <c r="R4409" s="15"/>
      <c r="X4409" s="3"/>
      <c r="Z4409" s="28"/>
    </row>
    <row r="4410" spans="2:26">
      <c r="B4410" s="2"/>
      <c r="N4410" s="27"/>
      <c r="R4410" s="15"/>
      <c r="X4410" s="3"/>
      <c r="Z4410" s="28"/>
    </row>
    <row r="4411" spans="2:26">
      <c r="B4411" s="2"/>
      <c r="N4411" s="27"/>
      <c r="R4411" s="15"/>
      <c r="X4411" s="3"/>
      <c r="Z4411" s="28"/>
    </row>
    <row r="4412" spans="2:26">
      <c r="B4412" s="2"/>
      <c r="N4412" s="27"/>
      <c r="R4412" s="15"/>
      <c r="X4412" s="3"/>
      <c r="Z4412" s="28"/>
    </row>
    <row r="4413" spans="2:26">
      <c r="B4413" s="2"/>
      <c r="N4413" s="27"/>
      <c r="R4413" s="15"/>
      <c r="X4413" s="3"/>
      <c r="Z4413" s="28"/>
    </row>
    <row r="4414" spans="2:26">
      <c r="B4414" s="2"/>
      <c r="N4414" s="27"/>
      <c r="R4414" s="15"/>
      <c r="X4414" s="3"/>
      <c r="Z4414" s="28"/>
    </row>
    <row r="4415" spans="2:26">
      <c r="B4415" s="2"/>
      <c r="N4415" s="27"/>
      <c r="R4415" s="15"/>
      <c r="X4415" s="3"/>
      <c r="Z4415" s="28"/>
    </row>
    <row r="4416" spans="2:26">
      <c r="B4416" s="2"/>
      <c r="N4416" s="27"/>
      <c r="R4416" s="15"/>
      <c r="X4416" s="3"/>
      <c r="Z4416" s="28"/>
    </row>
    <row r="4417" spans="2:26">
      <c r="B4417" s="2"/>
      <c r="N4417" s="27"/>
      <c r="R4417" s="15"/>
      <c r="X4417" s="3"/>
      <c r="Z4417" s="28"/>
    </row>
    <row r="4418" spans="2:26">
      <c r="B4418" s="2"/>
      <c r="N4418" s="27"/>
      <c r="R4418" s="15"/>
      <c r="X4418" s="3"/>
      <c r="Z4418" s="28"/>
    </row>
    <row r="4419" spans="2:26">
      <c r="B4419" s="2"/>
      <c r="N4419" s="27"/>
      <c r="R4419" s="15"/>
      <c r="X4419" s="3"/>
      <c r="Z4419" s="28"/>
    </row>
    <row r="4420" spans="2:26">
      <c r="B4420" s="2"/>
      <c r="N4420" s="27"/>
      <c r="R4420" s="15"/>
      <c r="X4420" s="3"/>
      <c r="Z4420" s="28"/>
    </row>
    <row r="4421" spans="2:26">
      <c r="B4421" s="2"/>
      <c r="N4421" s="27"/>
      <c r="R4421" s="15"/>
      <c r="X4421" s="3"/>
      <c r="Z4421" s="28"/>
    </row>
    <row r="4422" spans="2:26">
      <c r="B4422" s="2"/>
      <c r="N4422" s="27"/>
      <c r="R4422" s="15"/>
      <c r="X4422" s="3"/>
      <c r="Z4422" s="28"/>
    </row>
    <row r="4423" spans="2:26">
      <c r="B4423" s="2"/>
      <c r="N4423" s="27"/>
      <c r="R4423" s="15"/>
      <c r="X4423" s="3"/>
      <c r="Z4423" s="28"/>
    </row>
    <row r="4424" spans="2:26">
      <c r="B4424" s="2"/>
      <c r="N4424" s="27"/>
      <c r="R4424" s="15"/>
      <c r="X4424" s="3"/>
      <c r="Z4424" s="28"/>
    </row>
    <row r="4425" spans="2:26">
      <c r="B4425" s="2"/>
      <c r="N4425" s="27"/>
      <c r="R4425" s="15"/>
      <c r="X4425" s="3"/>
      <c r="Z4425" s="28"/>
    </row>
    <row r="4426" spans="2:26">
      <c r="B4426" s="2"/>
      <c r="N4426" s="27"/>
      <c r="R4426" s="15"/>
      <c r="X4426" s="3"/>
      <c r="Z4426" s="28"/>
    </row>
    <row r="4427" spans="2:26">
      <c r="B4427" s="2"/>
      <c r="N4427" s="27"/>
      <c r="R4427" s="15"/>
      <c r="X4427" s="3"/>
      <c r="Z4427" s="28"/>
    </row>
    <row r="4428" spans="2:26">
      <c r="B4428" s="2"/>
      <c r="N4428" s="27"/>
      <c r="R4428" s="15"/>
      <c r="X4428" s="3"/>
      <c r="Z4428" s="28"/>
    </row>
    <row r="4429" spans="2:26">
      <c r="B4429" s="2"/>
      <c r="N4429" s="27"/>
      <c r="R4429" s="15"/>
      <c r="X4429" s="3"/>
      <c r="Z4429" s="28"/>
    </row>
    <row r="4430" spans="2:26">
      <c r="B4430" s="2"/>
      <c r="N4430" s="27"/>
      <c r="R4430" s="15"/>
      <c r="X4430" s="3"/>
      <c r="Z4430" s="28"/>
    </row>
    <row r="4431" spans="2:26">
      <c r="B4431" s="2"/>
      <c r="N4431" s="27"/>
      <c r="R4431" s="15"/>
      <c r="X4431" s="3"/>
      <c r="Z4431" s="28"/>
    </row>
    <row r="4432" spans="2:26">
      <c r="B4432" s="2"/>
      <c r="N4432" s="27"/>
      <c r="R4432" s="15"/>
      <c r="X4432" s="3"/>
      <c r="Z4432" s="28"/>
    </row>
    <row r="4433" spans="2:26">
      <c r="B4433" s="2"/>
      <c r="N4433" s="27"/>
      <c r="R4433" s="15"/>
      <c r="X4433" s="3"/>
      <c r="Z4433" s="28"/>
    </row>
    <row r="4434" spans="2:26">
      <c r="B4434" s="2"/>
      <c r="N4434" s="27"/>
      <c r="R4434" s="15"/>
      <c r="X4434" s="3"/>
      <c r="Z4434" s="28"/>
    </row>
    <row r="4435" spans="2:26">
      <c r="B4435" s="2"/>
      <c r="N4435" s="27"/>
      <c r="R4435" s="15"/>
      <c r="X4435" s="3"/>
      <c r="Z4435" s="28"/>
    </row>
    <row r="4436" spans="2:26">
      <c r="B4436" s="2"/>
      <c r="N4436" s="27"/>
      <c r="R4436" s="15"/>
      <c r="X4436" s="3"/>
      <c r="Z4436" s="28"/>
    </row>
    <row r="4437" spans="2:26">
      <c r="B4437" s="2"/>
      <c r="N4437" s="27"/>
      <c r="R4437" s="15"/>
      <c r="X4437" s="3"/>
      <c r="Z4437" s="28"/>
    </row>
    <row r="4438" spans="2:26">
      <c r="B4438" s="2"/>
      <c r="N4438" s="27"/>
      <c r="R4438" s="15"/>
      <c r="X4438" s="3"/>
      <c r="Z4438" s="28"/>
    </row>
    <row r="4439" spans="2:26">
      <c r="B4439" s="2"/>
      <c r="N4439" s="27"/>
      <c r="R4439" s="15"/>
      <c r="X4439" s="3"/>
      <c r="Z4439" s="28"/>
    </row>
    <row r="4440" spans="2:26">
      <c r="B4440" s="2"/>
      <c r="N4440" s="27"/>
      <c r="R4440" s="15"/>
      <c r="X4440" s="3"/>
      <c r="Z4440" s="28"/>
    </row>
    <row r="4441" spans="2:26">
      <c r="B4441" s="2"/>
      <c r="N4441" s="27"/>
      <c r="R4441" s="15"/>
      <c r="X4441" s="3"/>
      <c r="Z4441" s="28"/>
    </row>
    <row r="4442" spans="2:26">
      <c r="B4442" s="2"/>
      <c r="N4442" s="27"/>
      <c r="R4442" s="15"/>
      <c r="X4442" s="3"/>
      <c r="Z4442" s="28"/>
    </row>
    <row r="4443" spans="2:26">
      <c r="B4443" s="2"/>
      <c r="N4443" s="27"/>
      <c r="R4443" s="15"/>
      <c r="X4443" s="3"/>
      <c r="Z4443" s="28"/>
    </row>
    <row r="4444" spans="2:26">
      <c r="B4444" s="2"/>
      <c r="N4444" s="27"/>
      <c r="R4444" s="15"/>
      <c r="X4444" s="3"/>
      <c r="Z4444" s="28"/>
    </row>
    <row r="4445" spans="2:26">
      <c r="B4445" s="2"/>
      <c r="N4445" s="27"/>
      <c r="R4445" s="15"/>
      <c r="X4445" s="3"/>
      <c r="Z4445" s="28"/>
    </row>
    <row r="4446" spans="2:26">
      <c r="B4446" s="2"/>
      <c r="N4446" s="27"/>
      <c r="R4446" s="15"/>
      <c r="X4446" s="3"/>
      <c r="Z4446" s="28"/>
    </row>
    <row r="4447" spans="2:26">
      <c r="B4447" s="2"/>
      <c r="N4447" s="27"/>
      <c r="R4447" s="15"/>
      <c r="X4447" s="3"/>
      <c r="Z4447" s="28"/>
    </row>
    <row r="4448" spans="2:26">
      <c r="B4448" s="2"/>
      <c r="N4448" s="27"/>
      <c r="R4448" s="15"/>
      <c r="X4448" s="3"/>
      <c r="Z4448" s="28"/>
    </row>
    <row r="4449" spans="2:26">
      <c r="B4449" s="2"/>
      <c r="N4449" s="27"/>
      <c r="R4449" s="15"/>
      <c r="X4449" s="3"/>
      <c r="Z4449" s="28"/>
    </row>
    <row r="4450" spans="2:26">
      <c r="B4450" s="2"/>
      <c r="N4450" s="27"/>
      <c r="R4450" s="15"/>
      <c r="X4450" s="3"/>
      <c r="Z4450" s="28"/>
    </row>
    <row r="4451" spans="2:26">
      <c r="B4451" s="2"/>
      <c r="N4451" s="27"/>
      <c r="R4451" s="15"/>
      <c r="X4451" s="3"/>
      <c r="Z4451" s="28"/>
    </row>
    <row r="4452" spans="2:26">
      <c r="B4452" s="2"/>
      <c r="N4452" s="27"/>
      <c r="R4452" s="15"/>
      <c r="X4452" s="3"/>
      <c r="Z4452" s="28"/>
    </row>
    <row r="4453" spans="2:26">
      <c r="B4453" s="2"/>
      <c r="N4453" s="27"/>
      <c r="R4453" s="15"/>
      <c r="X4453" s="3"/>
      <c r="Z4453" s="28"/>
    </row>
    <row r="4454" spans="2:26">
      <c r="B4454" s="2"/>
      <c r="N4454" s="27"/>
      <c r="R4454" s="15"/>
      <c r="X4454" s="3"/>
      <c r="Z4454" s="28"/>
    </row>
    <row r="4455" spans="2:26">
      <c r="B4455" s="2"/>
      <c r="N4455" s="27"/>
      <c r="R4455" s="15"/>
      <c r="X4455" s="3"/>
      <c r="Z4455" s="28"/>
    </row>
    <row r="4456" spans="2:26">
      <c r="B4456" s="2"/>
      <c r="N4456" s="27"/>
      <c r="R4456" s="15"/>
      <c r="X4456" s="3"/>
      <c r="Z4456" s="28"/>
    </row>
    <row r="4457" spans="2:26">
      <c r="B4457" s="2"/>
      <c r="N4457" s="27"/>
      <c r="R4457" s="15"/>
      <c r="X4457" s="3"/>
      <c r="Z4457" s="28"/>
    </row>
    <row r="4458" spans="2:26">
      <c r="B4458" s="2"/>
      <c r="N4458" s="27"/>
      <c r="R4458" s="15"/>
      <c r="X4458" s="3"/>
      <c r="Z4458" s="28"/>
    </row>
    <row r="4459" spans="2:26">
      <c r="B4459" s="2"/>
      <c r="N4459" s="27"/>
      <c r="R4459" s="15"/>
      <c r="X4459" s="3"/>
      <c r="Z4459" s="28"/>
    </row>
    <row r="4460" spans="2:26">
      <c r="B4460" s="2"/>
      <c r="N4460" s="27"/>
      <c r="R4460" s="15"/>
      <c r="X4460" s="3"/>
      <c r="Z4460" s="28"/>
    </row>
    <row r="4461" spans="2:26">
      <c r="B4461" s="2"/>
      <c r="N4461" s="27"/>
      <c r="R4461" s="15"/>
      <c r="X4461" s="3"/>
      <c r="Z4461" s="28"/>
    </row>
    <row r="4462" spans="2:26">
      <c r="B4462" s="2"/>
      <c r="N4462" s="27"/>
      <c r="R4462" s="15"/>
      <c r="X4462" s="3"/>
      <c r="Z4462" s="28"/>
    </row>
    <row r="4463" spans="2:26">
      <c r="B4463" s="2"/>
      <c r="N4463" s="27"/>
      <c r="R4463" s="15"/>
      <c r="X4463" s="3"/>
      <c r="Z4463" s="28"/>
    </row>
    <row r="4464" spans="2:26">
      <c r="B4464" s="2"/>
      <c r="N4464" s="27"/>
      <c r="R4464" s="15"/>
      <c r="X4464" s="3"/>
      <c r="Z4464" s="28"/>
    </row>
    <row r="4465" spans="2:26">
      <c r="B4465" s="2"/>
      <c r="N4465" s="27"/>
      <c r="R4465" s="15"/>
      <c r="X4465" s="3"/>
      <c r="Z4465" s="28"/>
    </row>
    <row r="4466" spans="2:26">
      <c r="B4466" s="2"/>
      <c r="N4466" s="27"/>
      <c r="R4466" s="15"/>
      <c r="X4466" s="3"/>
      <c r="Z4466" s="28"/>
    </row>
    <row r="4467" spans="2:26">
      <c r="B4467" s="2"/>
      <c r="N4467" s="27"/>
      <c r="R4467" s="15"/>
      <c r="X4467" s="3"/>
      <c r="Z4467" s="28"/>
    </row>
    <row r="4468" spans="2:26">
      <c r="B4468" s="2"/>
      <c r="N4468" s="27"/>
      <c r="R4468" s="15"/>
      <c r="X4468" s="3"/>
      <c r="Z4468" s="28"/>
    </row>
    <row r="4469" spans="2:26">
      <c r="B4469" s="2"/>
      <c r="N4469" s="27"/>
      <c r="R4469" s="15"/>
      <c r="X4469" s="3"/>
      <c r="Z4469" s="28"/>
    </row>
    <row r="4470" spans="2:26">
      <c r="B4470" s="2"/>
      <c r="N4470" s="27"/>
      <c r="R4470" s="15"/>
      <c r="X4470" s="3"/>
      <c r="Z4470" s="28"/>
    </row>
    <row r="4471" spans="2:26">
      <c r="B4471" s="2"/>
      <c r="N4471" s="27"/>
      <c r="R4471" s="15"/>
      <c r="X4471" s="3"/>
      <c r="Z4471" s="28"/>
    </row>
    <row r="4472" spans="2:26">
      <c r="B4472" s="2"/>
      <c r="N4472" s="27"/>
      <c r="R4472" s="15"/>
      <c r="X4472" s="3"/>
      <c r="Z4472" s="28"/>
    </row>
    <row r="4473" spans="2:26">
      <c r="B4473" s="2"/>
      <c r="N4473" s="27"/>
      <c r="R4473" s="15"/>
      <c r="X4473" s="3"/>
      <c r="Z4473" s="28"/>
    </row>
    <row r="4474" spans="2:26">
      <c r="B4474" s="2"/>
      <c r="N4474" s="27"/>
      <c r="R4474" s="15"/>
      <c r="X4474" s="3"/>
      <c r="Z4474" s="28"/>
    </row>
    <row r="4475" spans="2:26">
      <c r="B4475" s="2"/>
      <c r="N4475" s="27"/>
      <c r="R4475" s="15"/>
      <c r="X4475" s="3"/>
      <c r="Z4475" s="28"/>
    </row>
    <row r="4476" spans="2:26">
      <c r="B4476" s="2"/>
      <c r="N4476" s="27"/>
      <c r="R4476" s="15"/>
      <c r="X4476" s="3"/>
      <c r="Z4476" s="28"/>
    </row>
    <row r="4477" spans="2:26">
      <c r="B4477" s="2"/>
      <c r="N4477" s="27"/>
      <c r="R4477" s="15"/>
      <c r="X4477" s="3"/>
      <c r="Z4477" s="28"/>
    </row>
    <row r="4478" spans="2:26">
      <c r="B4478" s="2"/>
      <c r="N4478" s="27"/>
      <c r="R4478" s="15"/>
      <c r="X4478" s="3"/>
      <c r="Z4478" s="28"/>
    </row>
    <row r="4479" spans="2:26">
      <c r="B4479" s="2"/>
      <c r="N4479" s="27"/>
      <c r="R4479" s="15"/>
      <c r="X4479" s="3"/>
      <c r="Z4479" s="28"/>
    </row>
    <row r="4480" spans="2:26">
      <c r="B4480" s="2"/>
      <c r="N4480" s="27"/>
      <c r="R4480" s="15"/>
      <c r="X4480" s="3"/>
      <c r="Z4480" s="28"/>
    </row>
    <row r="4481" spans="2:26">
      <c r="B4481" s="2"/>
      <c r="N4481" s="27"/>
      <c r="R4481" s="15"/>
      <c r="X4481" s="3"/>
      <c r="Z4481" s="28"/>
    </row>
    <row r="4482" spans="2:26">
      <c r="B4482" s="2"/>
      <c r="N4482" s="27"/>
      <c r="R4482" s="15"/>
      <c r="X4482" s="3"/>
      <c r="Z4482" s="28"/>
    </row>
    <row r="4483" spans="2:26">
      <c r="B4483" s="2"/>
      <c r="N4483" s="27"/>
      <c r="R4483" s="15"/>
      <c r="X4483" s="3"/>
      <c r="Z4483" s="28"/>
    </row>
    <row r="4484" spans="2:26">
      <c r="B4484" s="2"/>
      <c r="N4484" s="27"/>
      <c r="R4484" s="15"/>
      <c r="X4484" s="3"/>
      <c r="Z4484" s="28"/>
    </row>
    <row r="4485" spans="2:26">
      <c r="B4485" s="2"/>
      <c r="N4485" s="27"/>
      <c r="R4485" s="15"/>
      <c r="X4485" s="3"/>
      <c r="Z4485" s="28"/>
    </row>
    <row r="4486" spans="2:26">
      <c r="B4486" s="2"/>
      <c r="N4486" s="27"/>
      <c r="R4486" s="15"/>
      <c r="X4486" s="3"/>
      <c r="Z4486" s="28"/>
    </row>
    <row r="4487" spans="2:26">
      <c r="B4487" s="2"/>
      <c r="N4487" s="27"/>
      <c r="R4487" s="15"/>
      <c r="X4487" s="3"/>
      <c r="Z4487" s="28"/>
    </row>
    <row r="4488" spans="2:26">
      <c r="B4488" s="2"/>
      <c r="N4488" s="27"/>
      <c r="R4488" s="15"/>
      <c r="X4488" s="3"/>
      <c r="Z4488" s="28"/>
    </row>
    <row r="4489" spans="2:26">
      <c r="B4489" s="2"/>
      <c r="N4489" s="27"/>
      <c r="R4489" s="15"/>
      <c r="X4489" s="3"/>
      <c r="Z4489" s="28"/>
    </row>
    <row r="4490" spans="2:26">
      <c r="B4490" s="2"/>
      <c r="N4490" s="27"/>
      <c r="R4490" s="15"/>
      <c r="X4490" s="3"/>
      <c r="Z4490" s="28"/>
    </row>
    <row r="4491" spans="2:26">
      <c r="B4491" s="2"/>
      <c r="N4491" s="27"/>
      <c r="R4491" s="15"/>
      <c r="X4491" s="3"/>
      <c r="Z4491" s="28"/>
    </row>
    <row r="4492" spans="2:26">
      <c r="B4492" s="2"/>
      <c r="N4492" s="27"/>
      <c r="R4492" s="15"/>
      <c r="X4492" s="3"/>
      <c r="Z4492" s="28"/>
    </row>
    <row r="4493" spans="2:26">
      <c r="B4493" s="2"/>
      <c r="N4493" s="27"/>
      <c r="R4493" s="15"/>
      <c r="X4493" s="3"/>
      <c r="Z4493" s="28"/>
    </row>
    <row r="4494" spans="2:26">
      <c r="B4494" s="2"/>
      <c r="N4494" s="27"/>
      <c r="R4494" s="15"/>
      <c r="X4494" s="3"/>
      <c r="Z4494" s="28"/>
    </row>
    <row r="4495" spans="2:26">
      <c r="B4495" s="2"/>
      <c r="N4495" s="27"/>
      <c r="R4495" s="15"/>
      <c r="X4495" s="3"/>
      <c r="Z4495" s="28"/>
    </row>
    <row r="4496" spans="2:26">
      <c r="B4496" s="2"/>
      <c r="N4496" s="27"/>
      <c r="R4496" s="15"/>
      <c r="X4496" s="3"/>
      <c r="Z4496" s="28"/>
    </row>
    <row r="4497" spans="2:26">
      <c r="B4497" s="2"/>
      <c r="N4497" s="27"/>
      <c r="R4497" s="15"/>
      <c r="X4497" s="3"/>
      <c r="Z4497" s="28"/>
    </row>
    <row r="4498" spans="2:26">
      <c r="B4498" s="2"/>
      <c r="N4498" s="27"/>
      <c r="R4498" s="15"/>
      <c r="X4498" s="3"/>
      <c r="Z4498" s="28"/>
    </row>
    <row r="4499" spans="2:26">
      <c r="B4499" s="2"/>
      <c r="N4499" s="27"/>
      <c r="R4499" s="15"/>
      <c r="X4499" s="3"/>
      <c r="Z4499" s="28"/>
    </row>
    <row r="4500" spans="2:26">
      <c r="B4500" s="2"/>
      <c r="N4500" s="27"/>
      <c r="R4500" s="15"/>
      <c r="X4500" s="3"/>
      <c r="Z4500" s="28"/>
    </row>
    <row r="4501" spans="2:26">
      <c r="B4501" s="2"/>
      <c r="N4501" s="27"/>
      <c r="R4501" s="15"/>
      <c r="X4501" s="3"/>
      <c r="Z4501" s="28"/>
    </row>
    <row r="4502" spans="2:26">
      <c r="B4502" s="2"/>
      <c r="N4502" s="27"/>
      <c r="R4502" s="15"/>
      <c r="X4502" s="3"/>
      <c r="Z4502" s="28"/>
    </row>
    <row r="4503" spans="2:26">
      <c r="B4503" s="2"/>
      <c r="N4503" s="27"/>
      <c r="R4503" s="15"/>
      <c r="X4503" s="3"/>
      <c r="Z4503" s="28"/>
    </row>
    <row r="4504" spans="2:26">
      <c r="B4504" s="2"/>
      <c r="N4504" s="27"/>
      <c r="R4504" s="15"/>
      <c r="X4504" s="3"/>
      <c r="Z4504" s="28"/>
    </row>
    <row r="4505" spans="2:26">
      <c r="B4505" s="2"/>
      <c r="N4505" s="27"/>
      <c r="R4505" s="15"/>
      <c r="X4505" s="3"/>
      <c r="Z4505" s="28"/>
    </row>
    <row r="4506" spans="2:26">
      <c r="B4506" s="2"/>
      <c r="N4506" s="27"/>
      <c r="R4506" s="15"/>
      <c r="X4506" s="3"/>
      <c r="Z4506" s="28"/>
    </row>
    <row r="4507" spans="2:26">
      <c r="B4507" s="2"/>
      <c r="N4507" s="27"/>
      <c r="R4507" s="15"/>
      <c r="X4507" s="3"/>
      <c r="Z4507" s="28"/>
    </row>
    <row r="4508" spans="2:26">
      <c r="B4508" s="2"/>
      <c r="N4508" s="27"/>
      <c r="R4508" s="15"/>
      <c r="X4508" s="3"/>
      <c r="Z4508" s="28"/>
    </row>
    <row r="4509" spans="2:26">
      <c r="B4509" s="2"/>
      <c r="N4509" s="27"/>
      <c r="R4509" s="15"/>
      <c r="X4509" s="3"/>
      <c r="Z4509" s="28"/>
    </row>
    <row r="4510" spans="2:26">
      <c r="B4510" s="2"/>
      <c r="N4510" s="27"/>
      <c r="R4510" s="15"/>
      <c r="X4510" s="3"/>
      <c r="Z4510" s="28"/>
    </row>
    <row r="4511" spans="2:26">
      <c r="B4511" s="2"/>
      <c r="N4511" s="27"/>
      <c r="R4511" s="15"/>
      <c r="X4511" s="3"/>
      <c r="Z4511" s="28"/>
    </row>
    <row r="4512" spans="2:26">
      <c r="B4512" s="2"/>
      <c r="N4512" s="27"/>
      <c r="R4512" s="15"/>
      <c r="X4512" s="3"/>
      <c r="Z4512" s="28"/>
    </row>
    <row r="4513" spans="2:26">
      <c r="B4513" s="2"/>
      <c r="N4513" s="27"/>
      <c r="R4513" s="15"/>
      <c r="X4513" s="3"/>
      <c r="Z4513" s="28"/>
    </row>
    <row r="4514" spans="2:26">
      <c r="B4514" s="2"/>
      <c r="N4514" s="27"/>
      <c r="R4514" s="15"/>
      <c r="X4514" s="3"/>
      <c r="Z4514" s="28"/>
    </row>
    <row r="4515" spans="2:26">
      <c r="B4515" s="2"/>
      <c r="N4515" s="27"/>
      <c r="R4515" s="15"/>
      <c r="X4515" s="3"/>
      <c r="Z4515" s="28"/>
    </row>
    <row r="4516" spans="2:26">
      <c r="B4516" s="2"/>
      <c r="N4516" s="27"/>
      <c r="R4516" s="15"/>
      <c r="X4516" s="3"/>
      <c r="Z4516" s="28"/>
    </row>
    <row r="4517" spans="2:26">
      <c r="B4517" s="2"/>
      <c r="N4517" s="27"/>
      <c r="R4517" s="15"/>
      <c r="X4517" s="3"/>
      <c r="Z4517" s="28"/>
    </row>
    <row r="4518" spans="2:26">
      <c r="B4518" s="2"/>
      <c r="N4518" s="27"/>
      <c r="R4518" s="15"/>
      <c r="X4518" s="3"/>
      <c r="Z4518" s="28"/>
    </row>
    <row r="4519" spans="2:26">
      <c r="B4519" s="2"/>
      <c r="N4519" s="27"/>
      <c r="R4519" s="15"/>
      <c r="X4519" s="3"/>
      <c r="Z4519" s="28"/>
    </row>
    <row r="4520" spans="2:26">
      <c r="B4520" s="2"/>
      <c r="N4520" s="27"/>
      <c r="R4520" s="15"/>
      <c r="X4520" s="3"/>
      <c r="Z4520" s="28"/>
    </row>
    <row r="4521" spans="2:26">
      <c r="B4521" s="2"/>
      <c r="N4521" s="27"/>
      <c r="R4521" s="15"/>
      <c r="X4521" s="3"/>
      <c r="Z4521" s="28"/>
    </row>
    <row r="4522" spans="2:26">
      <c r="B4522" s="2"/>
      <c r="N4522" s="27"/>
      <c r="R4522" s="15"/>
      <c r="X4522" s="3"/>
      <c r="Z4522" s="28"/>
    </row>
    <row r="4523" spans="2:26">
      <c r="B4523" s="2"/>
      <c r="N4523" s="27"/>
      <c r="R4523" s="15"/>
      <c r="X4523" s="3"/>
      <c r="Z4523" s="28"/>
    </row>
    <row r="4524" spans="2:26">
      <c r="B4524" s="2"/>
      <c r="N4524" s="27"/>
      <c r="R4524" s="15"/>
      <c r="X4524" s="3"/>
      <c r="Z4524" s="28"/>
    </row>
    <row r="4525" spans="2:26">
      <c r="B4525" s="2"/>
      <c r="N4525" s="27"/>
      <c r="R4525" s="15"/>
      <c r="X4525" s="3"/>
      <c r="Z4525" s="28"/>
    </row>
    <row r="4526" spans="2:26">
      <c r="B4526" s="2"/>
      <c r="N4526" s="27"/>
      <c r="R4526" s="15"/>
      <c r="X4526" s="3"/>
      <c r="Z4526" s="28"/>
    </row>
    <row r="4527" spans="2:26">
      <c r="B4527" s="2"/>
      <c r="N4527" s="27"/>
      <c r="R4527" s="15"/>
      <c r="X4527" s="3"/>
      <c r="Z4527" s="28"/>
    </row>
    <row r="4528" spans="2:26">
      <c r="B4528" s="2"/>
      <c r="N4528" s="27"/>
      <c r="R4528" s="15"/>
      <c r="X4528" s="3"/>
      <c r="Z4528" s="28"/>
    </row>
    <row r="4529" spans="2:26">
      <c r="B4529" s="2"/>
      <c r="N4529" s="27"/>
      <c r="R4529" s="15"/>
      <c r="X4529" s="3"/>
      <c r="Z4529" s="28"/>
    </row>
    <row r="4530" spans="2:26">
      <c r="B4530" s="2"/>
      <c r="N4530" s="27"/>
      <c r="R4530" s="15"/>
      <c r="X4530" s="3"/>
      <c r="Z4530" s="28"/>
    </row>
    <row r="4531" spans="2:26">
      <c r="B4531" s="2"/>
      <c r="N4531" s="27"/>
      <c r="R4531" s="15"/>
      <c r="X4531" s="3"/>
      <c r="Z4531" s="28"/>
    </row>
    <row r="4532" spans="2:26">
      <c r="B4532" s="2"/>
      <c r="N4532" s="27"/>
      <c r="R4532" s="15"/>
      <c r="X4532" s="3"/>
      <c r="Z4532" s="28"/>
    </row>
    <row r="4533" spans="2:26">
      <c r="B4533" s="2"/>
      <c r="N4533" s="27"/>
      <c r="R4533" s="15"/>
      <c r="X4533" s="3"/>
      <c r="Z4533" s="28"/>
    </row>
    <row r="4534" spans="2:26">
      <c r="B4534" s="2"/>
      <c r="N4534" s="27"/>
      <c r="R4534" s="15"/>
      <c r="X4534" s="3"/>
      <c r="Z4534" s="28"/>
    </row>
    <row r="4535" spans="2:26">
      <c r="B4535" s="2"/>
      <c r="N4535" s="27"/>
      <c r="R4535" s="15"/>
      <c r="X4535" s="3"/>
      <c r="Z4535" s="28"/>
    </row>
    <row r="4536" spans="2:26">
      <c r="B4536" s="2"/>
      <c r="N4536" s="27"/>
      <c r="R4536" s="15"/>
      <c r="X4536" s="3"/>
      <c r="Z4536" s="28"/>
    </row>
    <row r="4537" spans="2:26">
      <c r="B4537" s="2"/>
      <c r="N4537" s="27"/>
      <c r="R4537" s="15"/>
      <c r="X4537" s="3"/>
      <c r="Z4537" s="28"/>
    </row>
    <row r="4538" spans="2:26">
      <c r="B4538" s="2"/>
      <c r="N4538" s="27"/>
      <c r="R4538" s="15"/>
      <c r="X4538" s="3"/>
      <c r="Z4538" s="28"/>
    </row>
    <row r="4539" spans="2:26">
      <c r="B4539" s="2"/>
      <c r="N4539" s="27"/>
      <c r="R4539" s="15"/>
      <c r="X4539" s="3"/>
      <c r="Z4539" s="28"/>
    </row>
    <row r="4540" spans="2:26">
      <c r="B4540" s="2"/>
      <c r="N4540" s="27"/>
      <c r="R4540" s="15"/>
      <c r="X4540" s="3"/>
      <c r="Z4540" s="28"/>
    </row>
    <row r="4541" spans="2:26">
      <c r="B4541" s="2"/>
      <c r="N4541" s="27"/>
      <c r="R4541" s="15"/>
      <c r="X4541" s="3"/>
      <c r="Z4541" s="28"/>
    </row>
    <row r="4542" spans="2:26">
      <c r="B4542" s="2"/>
      <c r="N4542" s="27"/>
      <c r="R4542" s="15"/>
      <c r="X4542" s="3"/>
      <c r="Z4542" s="28"/>
    </row>
    <row r="4543" spans="2:26">
      <c r="B4543" s="2"/>
      <c r="N4543" s="27"/>
      <c r="R4543" s="15"/>
      <c r="X4543" s="3"/>
      <c r="Z4543" s="28"/>
    </row>
    <row r="4544" spans="2:26">
      <c r="B4544" s="2"/>
      <c r="N4544" s="27"/>
      <c r="R4544" s="15"/>
      <c r="X4544" s="3"/>
      <c r="Z4544" s="28"/>
    </row>
    <row r="4545" spans="2:26">
      <c r="B4545" s="2"/>
      <c r="N4545" s="27"/>
      <c r="R4545" s="15"/>
      <c r="X4545" s="3"/>
      <c r="Z4545" s="28"/>
    </row>
    <row r="4546" spans="2:26">
      <c r="B4546" s="2"/>
      <c r="N4546" s="27"/>
      <c r="R4546" s="15"/>
      <c r="X4546" s="3"/>
      <c r="Z4546" s="28"/>
    </row>
    <row r="4547" spans="2:26">
      <c r="B4547" s="2"/>
      <c r="N4547" s="27"/>
      <c r="R4547" s="15"/>
      <c r="X4547" s="3"/>
      <c r="Z4547" s="28"/>
    </row>
    <row r="4548" spans="2:26">
      <c r="B4548" s="2"/>
      <c r="N4548" s="27"/>
      <c r="R4548" s="15"/>
      <c r="X4548" s="3"/>
      <c r="Z4548" s="28"/>
    </row>
    <row r="4549" spans="2:26">
      <c r="B4549" s="2"/>
      <c r="N4549" s="27"/>
      <c r="R4549" s="15"/>
      <c r="X4549" s="3"/>
      <c r="Z4549" s="28"/>
    </row>
    <row r="4550" spans="2:26">
      <c r="B4550" s="2"/>
      <c r="N4550" s="27"/>
      <c r="R4550" s="15"/>
      <c r="X4550" s="3"/>
      <c r="Z4550" s="28"/>
    </row>
    <row r="4551" spans="2:26">
      <c r="B4551" s="2"/>
      <c r="N4551" s="27"/>
      <c r="R4551" s="15"/>
      <c r="X4551" s="3"/>
      <c r="Z4551" s="28"/>
    </row>
    <row r="4552" spans="2:26">
      <c r="B4552" s="2"/>
      <c r="N4552" s="27"/>
      <c r="R4552" s="15"/>
      <c r="X4552" s="3"/>
      <c r="Z4552" s="28"/>
    </row>
    <row r="4553" spans="2:26">
      <c r="B4553" s="2"/>
      <c r="N4553" s="27"/>
      <c r="R4553" s="15"/>
      <c r="X4553" s="3"/>
      <c r="Z4553" s="28"/>
    </row>
    <row r="4554" spans="2:26">
      <c r="B4554" s="2"/>
      <c r="N4554" s="27"/>
      <c r="R4554" s="15"/>
      <c r="X4554" s="3"/>
      <c r="Z4554" s="28"/>
    </row>
    <row r="4555" spans="2:26">
      <c r="B4555" s="2"/>
      <c r="N4555" s="27"/>
      <c r="R4555" s="15"/>
      <c r="X4555" s="3"/>
      <c r="Z4555" s="28"/>
    </row>
    <row r="4556" spans="2:26">
      <c r="B4556" s="2"/>
      <c r="N4556" s="27"/>
      <c r="R4556" s="15"/>
      <c r="X4556" s="3"/>
      <c r="Z4556" s="28"/>
    </row>
    <row r="4557" spans="2:26">
      <c r="B4557" s="2"/>
      <c r="N4557" s="27"/>
      <c r="R4557" s="15"/>
      <c r="X4557" s="3"/>
      <c r="Z4557" s="28"/>
    </row>
    <row r="4558" spans="2:26">
      <c r="B4558" s="2"/>
      <c r="N4558" s="27"/>
      <c r="R4558" s="15"/>
      <c r="X4558" s="3"/>
      <c r="Z4558" s="28"/>
    </row>
    <row r="4559" spans="2:26">
      <c r="B4559" s="2"/>
      <c r="N4559" s="27"/>
      <c r="R4559" s="15"/>
      <c r="X4559" s="3"/>
      <c r="Z4559" s="28"/>
    </row>
    <row r="4560" spans="2:26">
      <c r="B4560" s="2"/>
      <c r="N4560" s="27"/>
      <c r="R4560" s="15"/>
      <c r="X4560" s="3"/>
      <c r="Z4560" s="28"/>
    </row>
    <row r="4561" spans="2:26">
      <c r="B4561" s="2"/>
      <c r="N4561" s="27"/>
      <c r="R4561" s="15"/>
      <c r="X4561" s="3"/>
      <c r="Z4561" s="28"/>
    </row>
    <row r="4562" spans="2:26">
      <c r="B4562" s="2"/>
      <c r="N4562" s="27"/>
      <c r="R4562" s="15"/>
      <c r="X4562" s="3"/>
      <c r="Z4562" s="28"/>
    </row>
    <row r="4563" spans="2:26">
      <c r="B4563" s="2"/>
      <c r="N4563" s="27"/>
      <c r="R4563" s="15"/>
      <c r="X4563" s="3"/>
      <c r="Z4563" s="28"/>
    </row>
    <row r="4564" spans="2:26">
      <c r="B4564" s="2"/>
      <c r="N4564" s="27"/>
      <c r="R4564" s="15"/>
      <c r="X4564" s="3"/>
      <c r="Z4564" s="28"/>
    </row>
    <row r="4565" spans="2:26">
      <c r="B4565" s="2"/>
      <c r="N4565" s="27"/>
      <c r="R4565" s="15"/>
      <c r="X4565" s="3"/>
      <c r="Z4565" s="28"/>
    </row>
    <row r="4566" spans="2:26">
      <c r="B4566" s="2"/>
      <c r="N4566" s="27"/>
      <c r="R4566" s="15"/>
      <c r="X4566" s="3"/>
      <c r="Z4566" s="28"/>
    </row>
    <row r="4567" spans="2:26">
      <c r="B4567" s="2"/>
      <c r="N4567" s="27"/>
      <c r="R4567" s="15"/>
      <c r="X4567" s="3"/>
      <c r="Z4567" s="28"/>
    </row>
    <row r="4568" spans="2:26">
      <c r="B4568" s="2"/>
      <c r="N4568" s="27"/>
      <c r="R4568" s="15"/>
      <c r="X4568" s="3"/>
      <c r="Z4568" s="28"/>
    </row>
    <row r="4569" spans="2:26">
      <c r="B4569" s="2"/>
      <c r="N4569" s="27"/>
      <c r="R4569" s="15"/>
      <c r="X4569" s="3"/>
      <c r="Z4569" s="28"/>
    </row>
    <row r="4570" spans="2:26">
      <c r="B4570" s="2"/>
      <c r="N4570" s="27"/>
      <c r="R4570" s="15"/>
      <c r="X4570" s="3"/>
      <c r="Z4570" s="28"/>
    </row>
    <row r="4571" spans="2:26">
      <c r="B4571" s="2"/>
      <c r="N4571" s="27"/>
      <c r="R4571" s="15"/>
      <c r="X4571" s="3"/>
      <c r="Z4571" s="28"/>
    </row>
    <row r="4572" spans="2:26">
      <c r="B4572" s="2"/>
      <c r="N4572" s="27"/>
      <c r="R4572" s="15"/>
      <c r="X4572" s="3"/>
      <c r="Z4572" s="28"/>
    </row>
    <row r="4573" spans="2:26">
      <c r="B4573" s="2"/>
      <c r="N4573" s="27"/>
      <c r="R4573" s="15"/>
      <c r="X4573" s="3"/>
      <c r="Z4573" s="28"/>
    </row>
    <row r="4574" spans="2:26">
      <c r="B4574" s="2"/>
      <c r="N4574" s="27"/>
      <c r="R4574" s="15"/>
      <c r="X4574" s="3"/>
      <c r="Z4574" s="28"/>
    </row>
    <row r="4575" spans="2:26">
      <c r="B4575" s="2"/>
      <c r="N4575" s="27"/>
      <c r="R4575" s="15"/>
      <c r="X4575" s="3"/>
      <c r="Z4575" s="28"/>
    </row>
    <row r="4576" spans="2:26">
      <c r="B4576" s="2"/>
      <c r="N4576" s="27"/>
      <c r="R4576" s="15"/>
      <c r="X4576" s="3"/>
      <c r="Z4576" s="28"/>
    </row>
    <row r="4577" spans="2:26">
      <c r="B4577" s="2"/>
      <c r="N4577" s="27"/>
      <c r="R4577" s="15"/>
      <c r="X4577" s="3"/>
      <c r="Z4577" s="28"/>
    </row>
    <row r="4578" spans="2:26">
      <c r="B4578" s="2"/>
      <c r="N4578" s="27"/>
      <c r="R4578" s="15"/>
      <c r="X4578" s="3"/>
      <c r="Z4578" s="28"/>
    </row>
    <row r="4579" spans="2:26">
      <c r="B4579" s="2"/>
      <c r="N4579" s="27"/>
      <c r="R4579" s="15"/>
      <c r="X4579" s="3"/>
      <c r="Z4579" s="28"/>
    </row>
    <row r="4580" spans="2:26">
      <c r="B4580" s="2"/>
      <c r="N4580" s="27"/>
      <c r="R4580" s="15"/>
      <c r="X4580" s="3"/>
      <c r="Z4580" s="28"/>
    </row>
    <row r="4581" spans="2:26">
      <c r="B4581" s="2"/>
      <c r="N4581" s="27"/>
      <c r="R4581" s="15"/>
      <c r="X4581" s="3"/>
      <c r="Z4581" s="28"/>
    </row>
    <row r="4582" spans="2:26">
      <c r="B4582" s="2"/>
      <c r="N4582" s="27"/>
      <c r="R4582" s="15"/>
      <c r="X4582" s="3"/>
      <c r="Z4582" s="28"/>
    </row>
    <row r="4583" spans="2:26">
      <c r="B4583" s="2"/>
      <c r="N4583" s="27"/>
      <c r="R4583" s="15"/>
      <c r="X4583" s="3"/>
      <c r="Z4583" s="28"/>
    </row>
    <row r="4584" spans="2:26">
      <c r="B4584" s="2"/>
      <c r="N4584" s="27"/>
      <c r="R4584" s="15"/>
      <c r="X4584" s="3"/>
      <c r="Z4584" s="28"/>
    </row>
    <row r="4585" spans="2:26">
      <c r="B4585" s="2"/>
      <c r="N4585" s="27"/>
      <c r="R4585" s="15"/>
      <c r="X4585" s="3"/>
      <c r="Z4585" s="28"/>
    </row>
    <row r="4586" spans="2:26">
      <c r="B4586" s="2"/>
      <c r="N4586" s="27"/>
      <c r="R4586" s="15"/>
      <c r="X4586" s="3"/>
      <c r="Z4586" s="28"/>
    </row>
    <row r="4587" spans="2:26">
      <c r="B4587" s="2"/>
      <c r="N4587" s="27"/>
      <c r="R4587" s="15"/>
      <c r="X4587" s="3"/>
      <c r="Z4587" s="28"/>
    </row>
    <row r="4588" spans="2:26">
      <c r="B4588" s="2"/>
      <c r="N4588" s="27"/>
      <c r="R4588" s="15"/>
      <c r="X4588" s="3"/>
      <c r="Z4588" s="28"/>
    </row>
    <row r="4589" spans="2:26">
      <c r="B4589" s="2"/>
      <c r="N4589" s="27"/>
      <c r="R4589" s="15"/>
      <c r="X4589" s="3"/>
      <c r="Z4589" s="28"/>
    </row>
    <row r="4590" spans="2:26">
      <c r="B4590" s="2"/>
      <c r="N4590" s="27"/>
      <c r="R4590" s="15"/>
      <c r="X4590" s="3"/>
      <c r="Z4590" s="28"/>
    </row>
    <row r="4591" spans="2:26">
      <c r="B4591" s="2"/>
      <c r="N4591" s="27"/>
      <c r="R4591" s="15"/>
      <c r="X4591" s="3"/>
      <c r="Z4591" s="28"/>
    </row>
    <row r="4592" spans="2:26">
      <c r="B4592" s="2"/>
      <c r="N4592" s="27"/>
      <c r="R4592" s="15"/>
      <c r="X4592" s="3"/>
      <c r="Z4592" s="28"/>
    </row>
    <row r="4593" spans="2:26">
      <c r="B4593" s="2"/>
      <c r="N4593" s="27"/>
      <c r="R4593" s="15"/>
      <c r="X4593" s="3"/>
      <c r="Z4593" s="28"/>
    </row>
    <row r="4594" spans="2:26">
      <c r="B4594" s="2"/>
      <c r="N4594" s="27"/>
      <c r="R4594" s="15"/>
      <c r="X4594" s="3"/>
      <c r="Z4594" s="28"/>
    </row>
    <row r="4595" spans="2:26">
      <c r="B4595" s="2"/>
      <c r="N4595" s="27"/>
      <c r="R4595" s="15"/>
      <c r="X4595" s="3"/>
      <c r="Z4595" s="28"/>
    </row>
    <row r="4596" spans="2:26">
      <c r="B4596" s="2"/>
      <c r="N4596" s="27"/>
      <c r="R4596" s="15"/>
      <c r="X4596" s="3"/>
      <c r="Z4596" s="28"/>
    </row>
    <row r="4597" spans="2:26">
      <c r="B4597" s="2"/>
      <c r="N4597" s="27"/>
      <c r="R4597" s="15"/>
      <c r="X4597" s="3"/>
      <c r="Z4597" s="28"/>
    </row>
    <row r="4598" spans="2:26">
      <c r="B4598" s="2"/>
      <c r="N4598" s="27"/>
      <c r="R4598" s="15"/>
      <c r="X4598" s="3"/>
      <c r="Z4598" s="28"/>
    </row>
    <row r="4599" spans="2:26">
      <c r="B4599" s="2"/>
      <c r="N4599" s="27"/>
      <c r="R4599" s="15"/>
      <c r="X4599" s="3"/>
      <c r="Z4599" s="28"/>
    </row>
    <row r="4600" spans="2:26">
      <c r="B4600" s="2"/>
      <c r="N4600" s="27"/>
      <c r="R4600" s="15"/>
      <c r="X4600" s="3"/>
      <c r="Z4600" s="28"/>
    </row>
    <row r="4601" spans="2:26">
      <c r="B4601" s="2"/>
      <c r="N4601" s="27"/>
      <c r="R4601" s="15"/>
      <c r="X4601" s="3"/>
      <c r="Z4601" s="28"/>
    </row>
    <row r="4602" spans="2:26">
      <c r="B4602" s="2"/>
      <c r="N4602" s="27"/>
      <c r="R4602" s="15"/>
      <c r="X4602" s="3"/>
      <c r="Z4602" s="28"/>
    </row>
    <row r="4603" spans="2:26">
      <c r="B4603" s="2"/>
      <c r="N4603" s="27"/>
      <c r="R4603" s="15"/>
      <c r="X4603" s="3"/>
      <c r="Z4603" s="28"/>
    </row>
    <row r="4604" spans="2:26">
      <c r="B4604" s="2"/>
      <c r="N4604" s="27"/>
      <c r="R4604" s="15"/>
      <c r="X4604" s="3"/>
      <c r="Z4604" s="28"/>
    </row>
    <row r="4605" spans="2:26">
      <c r="B4605" s="2"/>
      <c r="N4605" s="27"/>
      <c r="R4605" s="15"/>
      <c r="X4605" s="3"/>
      <c r="Z4605" s="28"/>
    </row>
    <row r="4606" spans="2:26">
      <c r="B4606" s="2"/>
      <c r="N4606" s="27"/>
      <c r="R4606" s="15"/>
      <c r="X4606" s="3"/>
      <c r="Z4606" s="28"/>
    </row>
    <row r="4607" spans="2:26">
      <c r="B4607" s="2"/>
      <c r="N4607" s="27"/>
      <c r="R4607" s="15"/>
      <c r="X4607" s="3"/>
      <c r="Z4607" s="28"/>
    </row>
    <row r="4608" spans="2:26">
      <c r="B4608" s="2"/>
      <c r="N4608" s="27"/>
      <c r="R4608" s="15"/>
      <c r="X4608" s="3"/>
      <c r="Z4608" s="28"/>
    </row>
    <row r="4609" spans="2:26">
      <c r="B4609" s="2"/>
      <c r="N4609" s="27"/>
      <c r="R4609" s="15"/>
      <c r="X4609" s="3"/>
      <c r="Z4609" s="28"/>
    </row>
    <row r="4610" spans="2:26">
      <c r="B4610" s="2"/>
      <c r="N4610" s="27"/>
      <c r="R4610" s="15"/>
      <c r="X4610" s="3"/>
      <c r="Z4610" s="28"/>
    </row>
    <row r="4611" spans="2:26">
      <c r="B4611" s="2"/>
      <c r="N4611" s="27"/>
      <c r="R4611" s="15"/>
      <c r="X4611" s="3"/>
      <c r="Z4611" s="28"/>
    </row>
    <row r="4612" spans="2:26">
      <c r="B4612" s="2"/>
      <c r="N4612" s="27"/>
      <c r="R4612" s="15"/>
      <c r="X4612" s="3"/>
      <c r="Z4612" s="28"/>
    </row>
    <row r="4613" spans="2:26">
      <c r="B4613" s="2"/>
      <c r="N4613" s="27"/>
      <c r="R4613" s="15"/>
      <c r="X4613" s="3"/>
      <c r="Z4613" s="28"/>
    </row>
    <row r="4614" spans="2:26">
      <c r="B4614" s="2"/>
      <c r="N4614" s="27"/>
      <c r="R4614" s="15"/>
      <c r="X4614" s="3"/>
      <c r="Z4614" s="28"/>
    </row>
    <row r="4615" spans="2:26">
      <c r="B4615" s="2"/>
      <c r="N4615" s="27"/>
      <c r="R4615" s="15"/>
      <c r="X4615" s="3"/>
      <c r="Z4615" s="28"/>
    </row>
    <row r="4616" spans="2:26">
      <c r="B4616" s="2"/>
      <c r="N4616" s="27"/>
      <c r="R4616" s="15"/>
      <c r="X4616" s="3"/>
      <c r="Z4616" s="28"/>
    </row>
    <row r="4617" spans="2:26">
      <c r="B4617" s="2"/>
      <c r="N4617" s="27"/>
      <c r="R4617" s="15"/>
      <c r="X4617" s="3"/>
      <c r="Z4617" s="28"/>
    </row>
    <row r="4618" spans="2:26">
      <c r="B4618" s="2"/>
      <c r="N4618" s="27"/>
      <c r="R4618" s="15"/>
      <c r="X4618" s="3"/>
      <c r="Z4618" s="28"/>
    </row>
    <row r="4619" spans="2:26">
      <c r="B4619" s="2"/>
      <c r="N4619" s="27"/>
      <c r="R4619" s="15"/>
      <c r="X4619" s="3"/>
      <c r="Z4619" s="28"/>
    </row>
    <row r="4620" spans="2:26">
      <c r="B4620" s="2"/>
      <c r="N4620" s="27"/>
      <c r="R4620" s="15"/>
      <c r="X4620" s="3"/>
      <c r="Z4620" s="28"/>
    </row>
    <row r="4621" spans="2:26">
      <c r="B4621" s="2"/>
      <c r="N4621" s="27"/>
      <c r="R4621" s="15"/>
      <c r="X4621" s="3"/>
      <c r="Z4621" s="28"/>
    </row>
    <row r="4622" spans="2:26">
      <c r="B4622" s="2"/>
      <c r="N4622" s="27"/>
      <c r="R4622" s="15"/>
      <c r="X4622" s="3"/>
      <c r="Z4622" s="28"/>
    </row>
    <row r="4623" spans="2:26">
      <c r="B4623" s="2"/>
      <c r="N4623" s="27"/>
      <c r="R4623" s="15"/>
      <c r="X4623" s="3"/>
      <c r="Z4623" s="28"/>
    </row>
    <row r="4624" spans="2:26">
      <c r="B4624" s="2"/>
      <c r="N4624" s="27"/>
      <c r="R4624" s="15"/>
      <c r="X4624" s="3"/>
      <c r="Z4624" s="28"/>
    </row>
    <row r="4625" spans="2:26">
      <c r="B4625" s="2"/>
      <c r="N4625" s="27"/>
      <c r="R4625" s="15"/>
      <c r="X4625" s="3"/>
      <c r="Z4625" s="28"/>
    </row>
    <row r="4626" spans="2:26">
      <c r="B4626" s="2"/>
      <c r="N4626" s="27"/>
      <c r="R4626" s="15"/>
      <c r="X4626" s="3"/>
      <c r="Z4626" s="28"/>
    </row>
    <row r="4627" spans="2:26">
      <c r="B4627" s="2"/>
      <c r="N4627" s="27"/>
      <c r="R4627" s="15"/>
      <c r="X4627" s="3"/>
      <c r="Z4627" s="28"/>
    </row>
    <row r="4628" spans="2:26">
      <c r="B4628" s="2"/>
      <c r="N4628" s="27"/>
      <c r="R4628" s="15"/>
      <c r="X4628" s="3"/>
      <c r="Z4628" s="28"/>
    </row>
    <row r="4629" spans="2:26">
      <c r="B4629" s="2"/>
      <c r="N4629" s="27"/>
      <c r="R4629" s="15"/>
      <c r="X4629" s="3"/>
      <c r="Z4629" s="28"/>
    </row>
    <row r="4630" spans="2:26">
      <c r="B4630" s="2"/>
      <c r="N4630" s="27"/>
      <c r="R4630" s="15"/>
      <c r="X4630" s="3"/>
      <c r="Z4630" s="28"/>
    </row>
    <row r="4631" spans="2:26">
      <c r="B4631" s="2"/>
      <c r="N4631" s="27"/>
      <c r="R4631" s="15"/>
      <c r="X4631" s="3"/>
      <c r="Z4631" s="28"/>
    </row>
    <row r="4632" spans="2:26">
      <c r="B4632" s="2"/>
      <c r="N4632" s="27"/>
      <c r="R4632" s="15"/>
      <c r="X4632" s="3"/>
      <c r="Z4632" s="28"/>
    </row>
    <row r="4633" spans="2:26">
      <c r="B4633" s="2"/>
      <c r="N4633" s="27"/>
      <c r="R4633" s="15"/>
      <c r="X4633" s="3"/>
      <c r="Z4633" s="28"/>
    </row>
    <row r="4634" spans="2:26">
      <c r="B4634" s="2"/>
      <c r="N4634" s="27"/>
      <c r="R4634" s="15"/>
      <c r="X4634" s="3"/>
      <c r="Z4634" s="28"/>
    </row>
    <row r="4635" spans="2:26">
      <c r="B4635" s="2"/>
      <c r="N4635" s="27"/>
      <c r="R4635" s="15"/>
      <c r="X4635" s="3"/>
      <c r="Z4635" s="28"/>
    </row>
    <row r="4636" spans="2:26">
      <c r="B4636" s="2"/>
      <c r="N4636" s="27"/>
      <c r="R4636" s="15"/>
      <c r="X4636" s="3"/>
      <c r="Z4636" s="28"/>
    </row>
    <row r="4637" spans="2:26">
      <c r="B4637" s="2"/>
      <c r="N4637" s="27"/>
      <c r="R4637" s="15"/>
      <c r="X4637" s="3"/>
      <c r="Z4637" s="28"/>
    </row>
    <row r="4638" spans="2:26">
      <c r="B4638" s="2"/>
      <c r="N4638" s="27"/>
      <c r="R4638" s="15"/>
      <c r="X4638" s="3"/>
      <c r="Z4638" s="28"/>
    </row>
    <row r="4639" spans="2:26">
      <c r="B4639" s="2"/>
      <c r="N4639" s="27"/>
      <c r="R4639" s="15"/>
      <c r="X4639" s="3"/>
      <c r="Z4639" s="28"/>
    </row>
    <row r="4640" spans="2:26">
      <c r="B4640" s="2"/>
      <c r="N4640" s="27"/>
      <c r="R4640" s="15"/>
      <c r="X4640" s="3"/>
      <c r="Z4640" s="28"/>
    </row>
    <row r="4641" spans="2:26">
      <c r="B4641" s="2"/>
      <c r="N4641" s="27"/>
      <c r="R4641" s="15"/>
      <c r="X4641" s="3"/>
      <c r="Z4641" s="28"/>
    </row>
    <row r="4642" spans="2:26">
      <c r="B4642" s="2"/>
      <c r="N4642" s="27"/>
      <c r="R4642" s="15"/>
      <c r="X4642" s="3"/>
      <c r="Z4642" s="28"/>
    </row>
    <row r="4643" spans="2:26">
      <c r="B4643" s="2"/>
      <c r="N4643" s="27"/>
      <c r="R4643" s="15"/>
      <c r="X4643" s="3"/>
      <c r="Z4643" s="28"/>
    </row>
    <row r="4644" spans="2:26">
      <c r="B4644" s="2"/>
      <c r="N4644" s="27"/>
      <c r="R4644" s="15"/>
      <c r="X4644" s="3"/>
      <c r="Z4644" s="28"/>
    </row>
    <row r="4645" spans="2:26">
      <c r="B4645" s="2"/>
      <c r="N4645" s="27"/>
      <c r="R4645" s="15"/>
      <c r="X4645" s="3"/>
      <c r="Z4645" s="28"/>
    </row>
    <row r="4646" spans="2:26">
      <c r="B4646" s="2"/>
      <c r="N4646" s="27"/>
      <c r="R4646" s="15"/>
      <c r="X4646" s="3"/>
      <c r="Z4646" s="28"/>
    </row>
    <row r="4647" spans="2:26">
      <c r="B4647" s="2"/>
      <c r="N4647" s="27"/>
      <c r="R4647" s="15"/>
      <c r="X4647" s="3"/>
      <c r="Z4647" s="28"/>
    </row>
    <row r="4648" spans="2:26">
      <c r="B4648" s="2"/>
      <c r="N4648" s="27"/>
      <c r="R4648" s="15"/>
      <c r="X4648" s="3"/>
      <c r="Z4648" s="28"/>
    </row>
    <row r="4649" spans="2:26">
      <c r="B4649" s="2"/>
      <c r="N4649" s="27"/>
      <c r="R4649" s="15"/>
      <c r="X4649" s="3"/>
      <c r="Z4649" s="28"/>
    </row>
    <row r="4650" spans="2:26">
      <c r="B4650" s="2"/>
      <c r="N4650" s="27"/>
      <c r="R4650" s="15"/>
      <c r="X4650" s="3"/>
      <c r="Z4650" s="28"/>
    </row>
    <row r="4651" spans="2:26">
      <c r="B4651" s="2"/>
      <c r="N4651" s="27"/>
      <c r="R4651" s="15"/>
      <c r="X4651" s="3"/>
      <c r="Z4651" s="28"/>
    </row>
    <row r="4652" spans="2:26">
      <c r="B4652" s="2"/>
      <c r="N4652" s="27"/>
      <c r="R4652" s="15"/>
      <c r="X4652" s="3"/>
      <c r="Z4652" s="28"/>
    </row>
    <row r="4653" spans="2:26">
      <c r="B4653" s="2"/>
      <c r="N4653" s="27"/>
      <c r="R4653" s="15"/>
      <c r="X4653" s="3"/>
      <c r="Z4653" s="28"/>
    </row>
    <row r="4654" spans="2:26">
      <c r="B4654" s="2"/>
      <c r="N4654" s="27"/>
      <c r="R4654" s="15"/>
      <c r="X4654" s="3"/>
      <c r="Z4654" s="28"/>
    </row>
    <row r="4655" spans="2:26">
      <c r="B4655" s="2"/>
      <c r="N4655" s="27"/>
      <c r="R4655" s="15"/>
      <c r="X4655" s="3"/>
      <c r="Z4655" s="28"/>
    </row>
    <row r="4656" spans="2:26">
      <c r="B4656" s="2"/>
      <c r="N4656" s="27"/>
      <c r="R4656" s="15"/>
      <c r="X4656" s="3"/>
      <c r="Z4656" s="28"/>
    </row>
    <row r="4657" spans="2:26">
      <c r="B4657" s="2"/>
      <c r="N4657" s="27"/>
      <c r="R4657" s="15"/>
      <c r="X4657" s="3"/>
      <c r="Z4657" s="28"/>
    </row>
    <row r="4658" spans="2:26">
      <c r="B4658" s="2"/>
      <c r="N4658" s="27"/>
      <c r="R4658" s="15"/>
      <c r="X4658" s="3"/>
      <c r="Z4658" s="28"/>
    </row>
    <row r="4659" spans="2:26">
      <c r="B4659" s="2"/>
      <c r="N4659" s="27"/>
      <c r="R4659" s="15"/>
      <c r="X4659" s="3"/>
      <c r="Z4659" s="28"/>
    </row>
    <row r="4660" spans="2:26">
      <c r="B4660" s="2"/>
      <c r="N4660" s="27"/>
      <c r="R4660" s="15"/>
      <c r="X4660" s="3"/>
      <c r="Z4660" s="28"/>
    </row>
    <row r="4661" spans="2:26">
      <c r="B4661" s="2"/>
      <c r="N4661" s="27"/>
      <c r="R4661" s="15"/>
      <c r="X4661" s="3"/>
      <c r="Z4661" s="28"/>
    </row>
    <row r="4662" spans="2:26">
      <c r="B4662" s="2"/>
      <c r="N4662" s="27"/>
      <c r="R4662" s="15"/>
      <c r="X4662" s="3"/>
      <c r="Z4662" s="28"/>
    </row>
    <row r="4663" spans="2:26">
      <c r="B4663" s="2"/>
      <c r="N4663" s="27"/>
      <c r="R4663" s="15"/>
      <c r="X4663" s="3"/>
      <c r="Z4663" s="28"/>
    </row>
    <row r="4664" spans="2:26">
      <c r="B4664" s="2"/>
      <c r="N4664" s="27"/>
      <c r="R4664" s="15"/>
      <c r="X4664" s="3"/>
      <c r="Z4664" s="28"/>
    </row>
    <row r="4665" spans="2:26">
      <c r="B4665" s="2"/>
      <c r="N4665" s="27"/>
      <c r="R4665" s="15"/>
      <c r="X4665" s="3"/>
      <c r="Z4665" s="28"/>
    </row>
    <row r="4666" spans="2:26">
      <c r="B4666" s="2"/>
      <c r="N4666" s="27"/>
      <c r="R4666" s="15"/>
      <c r="X4666" s="3"/>
      <c r="Z4666" s="28"/>
    </row>
    <row r="4667" spans="2:26">
      <c r="B4667" s="2"/>
      <c r="N4667" s="27"/>
      <c r="R4667" s="15"/>
      <c r="X4667" s="3"/>
      <c r="Z4667" s="28"/>
    </row>
    <row r="4668" spans="2:26">
      <c r="B4668" s="2"/>
      <c r="N4668" s="27"/>
      <c r="R4668" s="15"/>
      <c r="X4668" s="3"/>
      <c r="Z4668" s="28"/>
    </row>
    <row r="4669" spans="2:26">
      <c r="B4669" s="2"/>
      <c r="N4669" s="27"/>
      <c r="R4669" s="15"/>
      <c r="X4669" s="3"/>
      <c r="Z4669" s="28"/>
    </row>
    <row r="4670" spans="2:26">
      <c r="B4670" s="2"/>
      <c r="N4670" s="27"/>
      <c r="R4670" s="15"/>
      <c r="X4670" s="3"/>
      <c r="Z4670" s="28"/>
    </row>
    <row r="4671" spans="2:26">
      <c r="B4671" s="2"/>
      <c r="N4671" s="27"/>
      <c r="R4671" s="15"/>
      <c r="X4671" s="3"/>
      <c r="Z4671" s="28"/>
    </row>
    <row r="4672" spans="2:26">
      <c r="B4672" s="2"/>
      <c r="N4672" s="27"/>
      <c r="R4672" s="15"/>
      <c r="X4672" s="3"/>
      <c r="Z4672" s="28"/>
    </row>
    <row r="4673" spans="2:26">
      <c r="B4673" s="2"/>
      <c r="N4673" s="27"/>
      <c r="R4673" s="15"/>
      <c r="X4673" s="3"/>
      <c r="Z4673" s="28"/>
    </row>
    <row r="4674" spans="2:26">
      <c r="B4674" s="2"/>
      <c r="N4674" s="27"/>
      <c r="R4674" s="15"/>
      <c r="X4674" s="3"/>
      <c r="Z4674" s="28"/>
    </row>
    <row r="4675" spans="2:26">
      <c r="B4675" s="2"/>
      <c r="N4675" s="27"/>
      <c r="R4675" s="15"/>
      <c r="X4675" s="3"/>
      <c r="Z4675" s="28"/>
    </row>
    <row r="4676" spans="2:26">
      <c r="B4676" s="2"/>
      <c r="N4676" s="27"/>
      <c r="R4676" s="15"/>
      <c r="X4676" s="3"/>
      <c r="Z4676" s="28"/>
    </row>
    <row r="4677" spans="2:26">
      <c r="B4677" s="2"/>
      <c r="N4677" s="27"/>
      <c r="R4677" s="15"/>
      <c r="X4677" s="3"/>
      <c r="Z4677" s="28"/>
    </row>
    <row r="4678" spans="2:26">
      <c r="B4678" s="2"/>
      <c r="N4678" s="27"/>
      <c r="R4678" s="15"/>
      <c r="X4678" s="3"/>
      <c r="Z4678" s="28"/>
    </row>
    <row r="4679" spans="2:26">
      <c r="B4679" s="2"/>
      <c r="N4679" s="27"/>
      <c r="R4679" s="15"/>
      <c r="X4679" s="3"/>
      <c r="Z4679" s="28"/>
    </row>
    <row r="4680" spans="2:26">
      <c r="B4680" s="2"/>
      <c r="N4680" s="27"/>
      <c r="R4680" s="15"/>
      <c r="X4680" s="3"/>
      <c r="Z4680" s="28"/>
    </row>
    <row r="4681" spans="2:26">
      <c r="B4681" s="2"/>
      <c r="N4681" s="27"/>
      <c r="R4681" s="15"/>
      <c r="X4681" s="3"/>
      <c r="Z4681" s="28"/>
    </row>
    <row r="4682" spans="2:26">
      <c r="B4682" s="2"/>
      <c r="N4682" s="27"/>
      <c r="R4682" s="15"/>
      <c r="X4682" s="3"/>
      <c r="Z4682" s="28"/>
    </row>
    <row r="4683" spans="2:26">
      <c r="B4683" s="2"/>
      <c r="N4683" s="27"/>
      <c r="R4683" s="15"/>
      <c r="X4683" s="3"/>
      <c r="Z4683" s="28"/>
    </row>
    <row r="4684" spans="2:26">
      <c r="B4684" s="2"/>
      <c r="N4684" s="27"/>
      <c r="R4684" s="15"/>
      <c r="X4684" s="3"/>
      <c r="Z4684" s="28"/>
    </row>
    <row r="4685" spans="2:26">
      <c r="B4685" s="2"/>
      <c r="N4685" s="27"/>
      <c r="R4685" s="15"/>
      <c r="X4685" s="3"/>
      <c r="Z4685" s="28"/>
    </row>
    <row r="4686" spans="2:26">
      <c r="B4686" s="2"/>
      <c r="N4686" s="27"/>
      <c r="R4686" s="15"/>
      <c r="X4686" s="3"/>
      <c r="Z4686" s="28"/>
    </row>
    <row r="4687" spans="2:26">
      <c r="B4687" s="2"/>
      <c r="N4687" s="27"/>
      <c r="R4687" s="15"/>
      <c r="X4687" s="3"/>
      <c r="Z4687" s="28"/>
    </row>
    <row r="4688" spans="2:26">
      <c r="B4688" s="2"/>
      <c r="N4688" s="27"/>
      <c r="R4688" s="15"/>
      <c r="X4688" s="3"/>
      <c r="Z4688" s="28"/>
    </row>
    <row r="4689" spans="2:26">
      <c r="B4689" s="2"/>
      <c r="N4689" s="27"/>
      <c r="R4689" s="15"/>
      <c r="X4689" s="3"/>
      <c r="Z4689" s="28"/>
    </row>
    <row r="4690" spans="2:26">
      <c r="B4690" s="2"/>
      <c r="N4690" s="27"/>
      <c r="R4690" s="15"/>
      <c r="X4690" s="3"/>
      <c r="Z4690" s="28"/>
    </row>
    <row r="4691" spans="2:26">
      <c r="B4691" s="2"/>
      <c r="N4691" s="27"/>
      <c r="R4691" s="15"/>
      <c r="X4691" s="3"/>
      <c r="Z4691" s="28"/>
    </row>
    <row r="4692" spans="2:26">
      <c r="B4692" s="2"/>
      <c r="N4692" s="27"/>
      <c r="R4692" s="15"/>
      <c r="X4692" s="3"/>
      <c r="Z4692" s="28"/>
    </row>
    <row r="4693" spans="2:26">
      <c r="B4693" s="2"/>
      <c r="N4693" s="27"/>
      <c r="R4693" s="15"/>
      <c r="X4693" s="3"/>
      <c r="Z4693" s="28"/>
    </row>
    <row r="4694" spans="2:26">
      <c r="B4694" s="2"/>
      <c r="N4694" s="27"/>
      <c r="R4694" s="15"/>
      <c r="X4694" s="3"/>
      <c r="Z4694" s="28"/>
    </row>
    <row r="4695" spans="2:26">
      <c r="B4695" s="2"/>
      <c r="N4695" s="27"/>
      <c r="R4695" s="15"/>
      <c r="X4695" s="3"/>
      <c r="Z4695" s="28"/>
    </row>
    <row r="4696" spans="2:26">
      <c r="B4696" s="2"/>
      <c r="N4696" s="27"/>
      <c r="R4696" s="15"/>
      <c r="X4696" s="3"/>
      <c r="Z4696" s="28"/>
    </row>
    <row r="4697" spans="2:26">
      <c r="B4697" s="2"/>
      <c r="N4697" s="27"/>
      <c r="R4697" s="15"/>
      <c r="X4697" s="3"/>
      <c r="Z4697" s="28"/>
    </row>
    <row r="4698" spans="2:26">
      <c r="B4698" s="2"/>
      <c r="N4698" s="27"/>
      <c r="R4698" s="15"/>
      <c r="X4698" s="3"/>
      <c r="Z4698" s="28"/>
    </row>
    <row r="4699" spans="2:26">
      <c r="B4699" s="2"/>
      <c r="N4699" s="27"/>
      <c r="R4699" s="15"/>
      <c r="X4699" s="3"/>
      <c r="Z4699" s="28"/>
    </row>
    <row r="4700" spans="2:26">
      <c r="B4700" s="2"/>
      <c r="N4700" s="27"/>
      <c r="R4700" s="15"/>
      <c r="X4700" s="3"/>
      <c r="Z4700" s="28"/>
    </row>
    <row r="4701" spans="2:26">
      <c r="B4701" s="2"/>
      <c r="N4701" s="27"/>
      <c r="R4701" s="15"/>
      <c r="X4701" s="3"/>
      <c r="Z4701" s="28"/>
    </row>
    <row r="4702" spans="2:26">
      <c r="B4702" s="2"/>
      <c r="N4702" s="27"/>
      <c r="R4702" s="15"/>
      <c r="X4702" s="3"/>
      <c r="Z4702" s="28"/>
    </row>
    <row r="4703" spans="2:26">
      <c r="B4703" s="2"/>
      <c r="N4703" s="27"/>
      <c r="R4703" s="15"/>
      <c r="X4703" s="3"/>
      <c r="Z4703" s="28"/>
    </row>
    <row r="4704" spans="2:26">
      <c r="B4704" s="2"/>
      <c r="N4704" s="27"/>
      <c r="R4704" s="15"/>
      <c r="X4704" s="3"/>
      <c r="Z4704" s="28"/>
    </row>
    <row r="4705" spans="2:26">
      <c r="B4705" s="2"/>
      <c r="N4705" s="27"/>
      <c r="R4705" s="15"/>
      <c r="X4705" s="3"/>
      <c r="Z4705" s="28"/>
    </row>
    <row r="4706" spans="2:26">
      <c r="B4706" s="2"/>
      <c r="N4706" s="27"/>
      <c r="R4706" s="15"/>
      <c r="X4706" s="3"/>
      <c r="Z4706" s="28"/>
    </row>
    <row r="4707" spans="2:26">
      <c r="B4707" s="2"/>
      <c r="N4707" s="27"/>
      <c r="R4707" s="15"/>
      <c r="X4707" s="3"/>
      <c r="Z4707" s="28"/>
    </row>
    <row r="4708" spans="2:26">
      <c r="B4708" s="2"/>
      <c r="N4708" s="27"/>
      <c r="R4708" s="15"/>
      <c r="X4708" s="3"/>
      <c r="Z4708" s="28"/>
    </row>
    <row r="4709" spans="2:26">
      <c r="B4709" s="2"/>
      <c r="N4709" s="27"/>
      <c r="R4709" s="15"/>
      <c r="X4709" s="3"/>
      <c r="Z4709" s="28"/>
    </row>
    <row r="4710" spans="2:26">
      <c r="B4710" s="2"/>
      <c r="N4710" s="27"/>
      <c r="R4710" s="15"/>
      <c r="X4710" s="3"/>
      <c r="Z4710" s="28"/>
    </row>
    <row r="4711" spans="2:26">
      <c r="B4711" s="2"/>
      <c r="N4711" s="27"/>
      <c r="R4711" s="15"/>
      <c r="X4711" s="3"/>
      <c r="Z4711" s="28"/>
    </row>
    <row r="4712" spans="2:26">
      <c r="B4712" s="2"/>
      <c r="N4712" s="27"/>
      <c r="R4712" s="15"/>
      <c r="X4712" s="3"/>
      <c r="Z4712" s="28"/>
    </row>
    <row r="4713" spans="2:26">
      <c r="B4713" s="2"/>
      <c r="N4713" s="27"/>
      <c r="R4713" s="15"/>
      <c r="X4713" s="3"/>
      <c r="Z4713" s="28"/>
    </row>
    <row r="4714" spans="2:26">
      <c r="B4714" s="2"/>
      <c r="N4714" s="27"/>
      <c r="R4714" s="15"/>
      <c r="X4714" s="3"/>
      <c r="Z4714" s="28"/>
    </row>
    <row r="4715" spans="2:26">
      <c r="B4715" s="2"/>
      <c r="N4715" s="27"/>
      <c r="R4715" s="15"/>
      <c r="X4715" s="3"/>
      <c r="Z4715" s="28"/>
    </row>
    <row r="4716" spans="2:26">
      <c r="B4716" s="2"/>
      <c r="N4716" s="27"/>
      <c r="R4716" s="15"/>
      <c r="X4716" s="3"/>
      <c r="Z4716" s="28"/>
    </row>
    <row r="4717" spans="2:26">
      <c r="B4717" s="2"/>
      <c r="N4717" s="27"/>
      <c r="R4717" s="15"/>
      <c r="X4717" s="3"/>
      <c r="Z4717" s="28"/>
    </row>
    <row r="4718" spans="2:26">
      <c r="B4718" s="2"/>
      <c r="N4718" s="27"/>
      <c r="R4718" s="15"/>
      <c r="X4718" s="3"/>
      <c r="Z4718" s="28"/>
    </row>
    <row r="4719" spans="2:26">
      <c r="B4719" s="2"/>
      <c r="N4719" s="27"/>
      <c r="R4719" s="15"/>
      <c r="X4719" s="3"/>
      <c r="Z4719" s="28"/>
    </row>
    <row r="4720" spans="2:26">
      <c r="B4720" s="2"/>
      <c r="N4720" s="27"/>
      <c r="R4720" s="15"/>
      <c r="X4720" s="3"/>
      <c r="Z4720" s="28"/>
    </row>
    <row r="4721" spans="2:26">
      <c r="B4721" s="2"/>
      <c r="N4721" s="27"/>
      <c r="R4721" s="15"/>
      <c r="X4721" s="3"/>
      <c r="Z4721" s="28"/>
    </row>
    <row r="4722" spans="2:26">
      <c r="B4722" s="2"/>
      <c r="N4722" s="27"/>
      <c r="R4722" s="15"/>
      <c r="X4722" s="3"/>
      <c r="Z4722" s="28"/>
    </row>
    <row r="4723" spans="2:26">
      <c r="B4723" s="2"/>
      <c r="N4723" s="27"/>
      <c r="R4723" s="15"/>
      <c r="X4723" s="3"/>
      <c r="Z4723" s="28"/>
    </row>
    <row r="4724" spans="2:26">
      <c r="B4724" s="2"/>
      <c r="N4724" s="27"/>
      <c r="R4724" s="15"/>
      <c r="X4724" s="3"/>
      <c r="Z4724" s="28"/>
    </row>
    <row r="4725" spans="2:26">
      <c r="B4725" s="2"/>
      <c r="N4725" s="27"/>
      <c r="R4725" s="15"/>
      <c r="X4725" s="3"/>
      <c r="Z4725" s="28"/>
    </row>
    <row r="4726" spans="2:26">
      <c r="B4726" s="2"/>
      <c r="N4726" s="27"/>
      <c r="R4726" s="15"/>
      <c r="X4726" s="3"/>
      <c r="Z4726" s="28"/>
    </row>
    <row r="4727" spans="2:26">
      <c r="B4727" s="2"/>
      <c r="N4727" s="27"/>
      <c r="R4727" s="15"/>
      <c r="X4727" s="3"/>
      <c r="Z4727" s="28"/>
    </row>
    <row r="4728" spans="2:26">
      <c r="B4728" s="2"/>
      <c r="N4728" s="27"/>
      <c r="R4728" s="15"/>
      <c r="X4728" s="3"/>
      <c r="Z4728" s="28"/>
    </row>
    <row r="4729" spans="2:26">
      <c r="B4729" s="2"/>
      <c r="N4729" s="27"/>
      <c r="R4729" s="15"/>
      <c r="X4729" s="3"/>
      <c r="Z4729" s="28"/>
    </row>
    <row r="4730" spans="2:26">
      <c r="B4730" s="2"/>
      <c r="N4730" s="27"/>
      <c r="R4730" s="15"/>
      <c r="X4730" s="3"/>
      <c r="Z4730" s="28"/>
    </row>
    <row r="4731" spans="2:26">
      <c r="B4731" s="2"/>
      <c r="N4731" s="27"/>
      <c r="R4731" s="15"/>
      <c r="X4731" s="3"/>
      <c r="Z4731" s="28"/>
    </row>
    <row r="4732" spans="2:26">
      <c r="B4732" s="2"/>
      <c r="N4732" s="27"/>
      <c r="R4732" s="15"/>
      <c r="X4732" s="3"/>
      <c r="Z4732" s="28"/>
    </row>
    <row r="4733" spans="2:26">
      <c r="B4733" s="2"/>
      <c r="N4733" s="27"/>
      <c r="R4733" s="15"/>
      <c r="X4733" s="3"/>
      <c r="Z4733" s="28"/>
    </row>
    <row r="4734" spans="2:26">
      <c r="B4734" s="2"/>
      <c r="N4734" s="27"/>
      <c r="R4734" s="15"/>
      <c r="X4734" s="3"/>
      <c r="Z4734" s="28"/>
    </row>
    <row r="4735" spans="2:26">
      <c r="B4735" s="2"/>
      <c r="N4735" s="27"/>
      <c r="R4735" s="15"/>
      <c r="X4735" s="3"/>
      <c r="Z4735" s="28"/>
    </row>
    <row r="4736" spans="2:26">
      <c r="B4736" s="2"/>
      <c r="N4736" s="27"/>
      <c r="R4736" s="15"/>
      <c r="X4736" s="3"/>
      <c r="Z4736" s="28"/>
    </row>
    <row r="4737" spans="2:26">
      <c r="B4737" s="2"/>
      <c r="N4737" s="27"/>
      <c r="R4737" s="15"/>
      <c r="X4737" s="3"/>
      <c r="Z4737" s="28"/>
    </row>
    <row r="4738" spans="2:26">
      <c r="B4738" s="2"/>
      <c r="N4738" s="27"/>
      <c r="R4738" s="15"/>
      <c r="X4738" s="3"/>
      <c r="Z4738" s="28"/>
    </row>
    <row r="4739" spans="2:26">
      <c r="B4739" s="2"/>
      <c r="N4739" s="27"/>
      <c r="R4739" s="15"/>
      <c r="X4739" s="3"/>
      <c r="Z4739" s="28"/>
    </row>
    <row r="4740" spans="2:26">
      <c r="B4740" s="2"/>
      <c r="N4740" s="27"/>
      <c r="R4740" s="15"/>
      <c r="X4740" s="3"/>
      <c r="Z4740" s="28"/>
    </row>
    <row r="4741" spans="2:26">
      <c r="B4741" s="2"/>
      <c r="N4741" s="27"/>
      <c r="R4741" s="15"/>
      <c r="X4741" s="3"/>
      <c r="Z4741" s="28"/>
    </row>
    <row r="4742" spans="2:26">
      <c r="B4742" s="2"/>
      <c r="N4742" s="27"/>
      <c r="R4742" s="15"/>
      <c r="X4742" s="3"/>
      <c r="Z4742" s="28"/>
    </row>
    <row r="4743" spans="2:26">
      <c r="B4743" s="2"/>
      <c r="N4743" s="27"/>
      <c r="R4743" s="15"/>
      <c r="X4743" s="3"/>
      <c r="Z4743" s="28"/>
    </row>
    <row r="4744" spans="2:26">
      <c r="B4744" s="2"/>
      <c r="N4744" s="27"/>
      <c r="R4744" s="15"/>
      <c r="X4744" s="3"/>
      <c r="Z4744" s="28"/>
    </row>
    <row r="4745" spans="2:26">
      <c r="B4745" s="2"/>
      <c r="N4745" s="27"/>
      <c r="R4745" s="15"/>
      <c r="X4745" s="3"/>
      <c r="Z4745" s="28"/>
    </row>
    <row r="4746" spans="2:26">
      <c r="B4746" s="2"/>
      <c r="N4746" s="27"/>
      <c r="R4746" s="15"/>
      <c r="X4746" s="3"/>
      <c r="Z4746" s="28"/>
    </row>
    <row r="4747" spans="2:26">
      <c r="B4747" s="2"/>
      <c r="N4747" s="27"/>
      <c r="R4747" s="15"/>
      <c r="X4747" s="3"/>
      <c r="Z4747" s="28"/>
    </row>
    <row r="4748" spans="2:26">
      <c r="B4748" s="2"/>
      <c r="N4748" s="27"/>
      <c r="R4748" s="15"/>
      <c r="X4748" s="3"/>
      <c r="Z4748" s="28"/>
    </row>
    <row r="4749" spans="2:26">
      <c r="B4749" s="2"/>
      <c r="N4749" s="27"/>
      <c r="R4749" s="15"/>
      <c r="X4749" s="3"/>
      <c r="Z4749" s="28"/>
    </row>
    <row r="4750" spans="2:26">
      <c r="B4750" s="2"/>
      <c r="N4750" s="27"/>
      <c r="R4750" s="15"/>
      <c r="X4750" s="3"/>
      <c r="Z4750" s="28"/>
    </row>
    <row r="4751" spans="2:26">
      <c r="B4751" s="2"/>
      <c r="N4751" s="27"/>
      <c r="R4751" s="15"/>
      <c r="X4751" s="3"/>
      <c r="Z4751" s="28"/>
    </row>
    <row r="4752" spans="2:26">
      <c r="B4752" s="2"/>
      <c r="N4752" s="27"/>
      <c r="R4752" s="15"/>
      <c r="X4752" s="3"/>
      <c r="Z4752" s="28"/>
    </row>
    <row r="4753" spans="2:26">
      <c r="B4753" s="2"/>
      <c r="N4753" s="27"/>
      <c r="R4753" s="15"/>
      <c r="X4753" s="3"/>
      <c r="Z4753" s="28"/>
    </row>
    <row r="4754" spans="2:26">
      <c r="B4754" s="2"/>
      <c r="N4754" s="27"/>
      <c r="R4754" s="15"/>
      <c r="X4754" s="3"/>
      <c r="Z4754" s="28"/>
    </row>
    <row r="4755" spans="2:26">
      <c r="B4755" s="2"/>
      <c r="N4755" s="27"/>
      <c r="R4755" s="15"/>
      <c r="X4755" s="3"/>
      <c r="Z4755" s="28"/>
    </row>
    <row r="4756" spans="2:26">
      <c r="B4756" s="2"/>
      <c r="N4756" s="27"/>
      <c r="R4756" s="15"/>
      <c r="X4756" s="3"/>
      <c r="Z4756" s="28"/>
    </row>
    <row r="4757" spans="2:26">
      <c r="B4757" s="2"/>
      <c r="N4757" s="27"/>
      <c r="R4757" s="15"/>
      <c r="X4757" s="3"/>
      <c r="Z4757" s="28"/>
    </row>
    <row r="4758" spans="2:26">
      <c r="B4758" s="2"/>
      <c r="N4758" s="27"/>
      <c r="R4758" s="15"/>
      <c r="X4758" s="3"/>
      <c r="Z4758" s="28"/>
    </row>
    <row r="4759" spans="2:26">
      <c r="B4759" s="2"/>
      <c r="N4759" s="27"/>
      <c r="R4759" s="15"/>
      <c r="X4759" s="3"/>
      <c r="Z4759" s="28"/>
    </row>
    <row r="4760" spans="2:26">
      <c r="B4760" s="2"/>
      <c r="N4760" s="27"/>
      <c r="R4760" s="15"/>
      <c r="X4760" s="3"/>
      <c r="Z4760" s="28"/>
    </row>
    <row r="4761" spans="2:26">
      <c r="B4761" s="2"/>
      <c r="N4761" s="27"/>
      <c r="R4761" s="15"/>
      <c r="X4761" s="3"/>
      <c r="Z4761" s="28"/>
    </row>
    <row r="4762" spans="2:26">
      <c r="B4762" s="2"/>
      <c r="N4762" s="27"/>
      <c r="R4762" s="15"/>
      <c r="X4762" s="3"/>
      <c r="Z4762" s="28"/>
    </row>
    <row r="4763" spans="2:26">
      <c r="B4763" s="2"/>
      <c r="N4763" s="27"/>
      <c r="R4763" s="15"/>
      <c r="X4763" s="3"/>
      <c r="Z4763" s="28"/>
    </row>
    <row r="4764" spans="2:26">
      <c r="B4764" s="2"/>
      <c r="N4764" s="27"/>
      <c r="R4764" s="15"/>
      <c r="X4764" s="3"/>
      <c r="Z4764" s="28"/>
    </row>
    <row r="4765" spans="2:26">
      <c r="B4765" s="2"/>
      <c r="N4765" s="27"/>
      <c r="R4765" s="15"/>
      <c r="X4765" s="3"/>
      <c r="Z4765" s="28"/>
    </row>
    <row r="4766" spans="2:26">
      <c r="B4766" s="2"/>
      <c r="N4766" s="27"/>
      <c r="R4766" s="15"/>
      <c r="X4766" s="3"/>
      <c r="Z4766" s="28"/>
    </row>
    <row r="4767" spans="2:26">
      <c r="B4767" s="2"/>
      <c r="N4767" s="27"/>
      <c r="R4767" s="15"/>
      <c r="X4767" s="3"/>
      <c r="Z4767" s="28"/>
    </row>
    <row r="4768" spans="2:26">
      <c r="B4768" s="2"/>
      <c r="N4768" s="27"/>
      <c r="R4768" s="15"/>
      <c r="X4768" s="3"/>
      <c r="Z4768" s="28"/>
    </row>
    <row r="4769" spans="2:26">
      <c r="B4769" s="2"/>
      <c r="N4769" s="27"/>
      <c r="R4769" s="15"/>
      <c r="X4769" s="3"/>
      <c r="Z4769" s="28"/>
    </row>
    <row r="4770" spans="2:26">
      <c r="B4770" s="2"/>
      <c r="N4770" s="27"/>
      <c r="R4770" s="15"/>
      <c r="X4770" s="3"/>
      <c r="Z4770" s="28"/>
    </row>
    <row r="4771" spans="2:26">
      <c r="B4771" s="2"/>
      <c r="N4771" s="27"/>
      <c r="R4771" s="15"/>
      <c r="X4771" s="3"/>
      <c r="Z4771" s="28"/>
    </row>
    <row r="4772" spans="2:26">
      <c r="B4772" s="2"/>
      <c r="N4772" s="27"/>
      <c r="R4772" s="15"/>
      <c r="X4772" s="3"/>
      <c r="Z4772" s="28"/>
    </row>
    <row r="4773" spans="2:26">
      <c r="B4773" s="2"/>
      <c r="N4773" s="27"/>
      <c r="R4773" s="15"/>
      <c r="X4773" s="3"/>
      <c r="Z4773" s="28"/>
    </row>
    <row r="4774" spans="2:26">
      <c r="B4774" s="2"/>
      <c r="N4774" s="27"/>
      <c r="R4774" s="15"/>
      <c r="X4774" s="3"/>
      <c r="Z4774" s="28"/>
    </row>
    <row r="4775" spans="2:26">
      <c r="B4775" s="2"/>
      <c r="N4775" s="27"/>
      <c r="R4775" s="15"/>
      <c r="X4775" s="3"/>
      <c r="Z4775" s="28"/>
    </row>
    <row r="4776" spans="2:26">
      <c r="B4776" s="2"/>
      <c r="N4776" s="27"/>
      <c r="R4776" s="15"/>
      <c r="X4776" s="3"/>
      <c r="Z4776" s="28"/>
    </row>
    <row r="4777" spans="2:26">
      <c r="B4777" s="2"/>
      <c r="N4777" s="27"/>
      <c r="R4777" s="15"/>
      <c r="X4777" s="3"/>
      <c r="Z4777" s="28"/>
    </row>
    <row r="4778" spans="2:26">
      <c r="B4778" s="2"/>
      <c r="N4778" s="27"/>
      <c r="R4778" s="15"/>
      <c r="X4778" s="3"/>
      <c r="Z4778" s="28"/>
    </row>
    <row r="4779" spans="2:26">
      <c r="B4779" s="2"/>
      <c r="N4779" s="27"/>
      <c r="R4779" s="15"/>
      <c r="X4779" s="3"/>
      <c r="Z4779" s="28"/>
    </row>
    <row r="4780" spans="2:26">
      <c r="B4780" s="2"/>
      <c r="N4780" s="27"/>
      <c r="R4780" s="15"/>
      <c r="X4780" s="3"/>
      <c r="Z4780" s="28"/>
    </row>
    <row r="4781" spans="2:26">
      <c r="B4781" s="2"/>
      <c r="N4781" s="27"/>
      <c r="R4781" s="15"/>
      <c r="X4781" s="3"/>
      <c r="Z4781" s="28"/>
    </row>
    <row r="4782" spans="2:26">
      <c r="B4782" s="2"/>
      <c r="N4782" s="27"/>
      <c r="R4782" s="15"/>
      <c r="X4782" s="3"/>
      <c r="Z4782" s="28"/>
    </row>
    <row r="4783" spans="2:26">
      <c r="B4783" s="2"/>
      <c r="N4783" s="27"/>
      <c r="R4783" s="15"/>
      <c r="X4783" s="3"/>
      <c r="Z4783" s="28"/>
    </row>
    <row r="4784" spans="2:26">
      <c r="B4784" s="2"/>
      <c r="N4784" s="27"/>
      <c r="R4784" s="15"/>
      <c r="X4784" s="3"/>
      <c r="Z4784" s="28"/>
    </row>
    <row r="4785" spans="2:26">
      <c r="B4785" s="2"/>
      <c r="N4785" s="27"/>
      <c r="R4785" s="15"/>
      <c r="X4785" s="3"/>
      <c r="Z4785" s="28"/>
    </row>
    <row r="4786" spans="2:26">
      <c r="B4786" s="2"/>
      <c r="N4786" s="27"/>
      <c r="R4786" s="15"/>
      <c r="X4786" s="3"/>
      <c r="Z4786" s="28"/>
    </row>
    <row r="4787" spans="2:26">
      <c r="B4787" s="2"/>
      <c r="N4787" s="27"/>
      <c r="R4787" s="15"/>
      <c r="X4787" s="3"/>
      <c r="Z4787" s="28"/>
    </row>
    <row r="4788" spans="2:26">
      <c r="B4788" s="2"/>
      <c r="N4788" s="27"/>
      <c r="R4788" s="15"/>
      <c r="X4788" s="3"/>
      <c r="Z4788" s="28"/>
    </row>
    <row r="4789" spans="2:26">
      <c r="B4789" s="2"/>
      <c r="N4789" s="27"/>
      <c r="R4789" s="15"/>
      <c r="X4789" s="3"/>
      <c r="Z4789" s="28"/>
    </row>
    <row r="4790" spans="2:26">
      <c r="B4790" s="2"/>
      <c r="N4790" s="27"/>
      <c r="R4790" s="15"/>
      <c r="X4790" s="3"/>
      <c r="Z4790" s="28"/>
    </row>
    <row r="4791" spans="2:26">
      <c r="B4791" s="2"/>
      <c r="N4791" s="27"/>
      <c r="R4791" s="15"/>
      <c r="X4791" s="3"/>
      <c r="Z4791" s="28"/>
    </row>
    <row r="4792" spans="2:26">
      <c r="B4792" s="2"/>
      <c r="N4792" s="27"/>
      <c r="R4792" s="15"/>
      <c r="X4792" s="3"/>
      <c r="Z4792" s="28"/>
    </row>
    <row r="4793" spans="2:26">
      <c r="B4793" s="2"/>
      <c r="N4793" s="27"/>
      <c r="R4793" s="15"/>
      <c r="X4793" s="3"/>
      <c r="Z4793" s="28"/>
    </row>
    <row r="4794" spans="2:26">
      <c r="B4794" s="2"/>
      <c r="N4794" s="27"/>
      <c r="R4794" s="15"/>
      <c r="X4794" s="3"/>
      <c r="Z4794" s="28"/>
    </row>
    <row r="4795" spans="2:26">
      <c r="B4795" s="2"/>
      <c r="N4795" s="27"/>
      <c r="R4795" s="15"/>
      <c r="X4795" s="3"/>
      <c r="Z4795" s="28"/>
    </row>
    <row r="4796" spans="2:26">
      <c r="B4796" s="2"/>
      <c r="N4796" s="27"/>
      <c r="R4796" s="15"/>
      <c r="X4796" s="3"/>
      <c r="Z4796" s="28"/>
    </row>
    <row r="4797" spans="2:26">
      <c r="B4797" s="2"/>
      <c r="N4797" s="27"/>
      <c r="R4797" s="15"/>
      <c r="X4797" s="3"/>
      <c r="Z4797" s="28"/>
    </row>
    <row r="4798" spans="2:26">
      <c r="B4798" s="2"/>
      <c r="N4798" s="27"/>
      <c r="R4798" s="15"/>
      <c r="X4798" s="3"/>
      <c r="Z4798" s="28"/>
    </row>
    <row r="4799" spans="2:26">
      <c r="B4799" s="2"/>
      <c r="N4799" s="27"/>
      <c r="R4799" s="15"/>
      <c r="X4799" s="3"/>
      <c r="Z4799" s="28"/>
    </row>
    <row r="4800" spans="2:26">
      <c r="B4800" s="2"/>
      <c r="N4800" s="27"/>
      <c r="R4800" s="15"/>
      <c r="X4800" s="3"/>
      <c r="Z4800" s="28"/>
    </row>
    <row r="4801" spans="2:26">
      <c r="B4801" s="2"/>
      <c r="N4801" s="27"/>
      <c r="R4801" s="15"/>
      <c r="X4801" s="3"/>
      <c r="Z4801" s="28"/>
    </row>
    <row r="4802" spans="2:26">
      <c r="B4802" s="2"/>
      <c r="N4802" s="27"/>
      <c r="R4802" s="15"/>
      <c r="X4802" s="3"/>
      <c r="Z4802" s="28"/>
    </row>
    <row r="4803" spans="2:26">
      <c r="B4803" s="2"/>
      <c r="N4803" s="27"/>
      <c r="R4803" s="15"/>
      <c r="X4803" s="3"/>
      <c r="Z4803" s="28"/>
    </row>
    <row r="4804" spans="2:26">
      <c r="B4804" s="2"/>
      <c r="N4804" s="27"/>
      <c r="R4804" s="15"/>
      <c r="X4804" s="3"/>
      <c r="Z4804" s="28"/>
    </row>
    <row r="4805" spans="2:26">
      <c r="B4805" s="2"/>
      <c r="N4805" s="27"/>
      <c r="R4805" s="15"/>
      <c r="X4805" s="3"/>
      <c r="Z4805" s="28"/>
    </row>
    <row r="4806" spans="2:26">
      <c r="B4806" s="2"/>
      <c r="N4806" s="27"/>
      <c r="R4806" s="15"/>
      <c r="X4806" s="3"/>
      <c r="Z4806" s="28"/>
    </row>
    <row r="4807" spans="2:26">
      <c r="B4807" s="2"/>
      <c r="N4807" s="27"/>
      <c r="R4807" s="15"/>
      <c r="X4807" s="3"/>
      <c r="Z4807" s="28"/>
    </row>
    <row r="4808" spans="2:26">
      <c r="B4808" s="2"/>
      <c r="N4808" s="27"/>
      <c r="R4808" s="15"/>
      <c r="X4808" s="3"/>
      <c r="Z4808" s="28"/>
    </row>
    <row r="4809" spans="2:26">
      <c r="B4809" s="2"/>
      <c r="N4809" s="27"/>
      <c r="R4809" s="15"/>
      <c r="X4809" s="3"/>
      <c r="Z4809" s="28"/>
    </row>
    <row r="4810" spans="2:26">
      <c r="B4810" s="2"/>
      <c r="N4810" s="27"/>
      <c r="R4810" s="15"/>
      <c r="X4810" s="3"/>
      <c r="Z4810" s="28"/>
    </row>
    <row r="4811" spans="2:26">
      <c r="B4811" s="2"/>
      <c r="N4811" s="27"/>
      <c r="R4811" s="15"/>
      <c r="X4811" s="3"/>
      <c r="Z4811" s="28"/>
    </row>
    <row r="4812" spans="2:26">
      <c r="B4812" s="2"/>
      <c r="N4812" s="27"/>
      <c r="R4812" s="15"/>
      <c r="X4812" s="3"/>
      <c r="Z4812" s="28"/>
    </row>
    <row r="4813" spans="2:26">
      <c r="B4813" s="2"/>
      <c r="N4813" s="27"/>
      <c r="R4813" s="15"/>
      <c r="X4813" s="3"/>
      <c r="Z4813" s="28"/>
    </row>
    <row r="4814" spans="2:26">
      <c r="B4814" s="2"/>
      <c r="N4814" s="27"/>
      <c r="R4814" s="15"/>
      <c r="X4814" s="3"/>
      <c r="Z4814" s="28"/>
    </row>
    <row r="4815" spans="2:26">
      <c r="B4815" s="2"/>
      <c r="N4815" s="27"/>
      <c r="R4815" s="15"/>
      <c r="X4815" s="3"/>
      <c r="Z4815" s="28"/>
    </row>
    <row r="4816" spans="2:26">
      <c r="B4816" s="2"/>
      <c r="N4816" s="27"/>
      <c r="R4816" s="15"/>
      <c r="X4816" s="3"/>
      <c r="Z4816" s="28"/>
    </row>
    <row r="4817" spans="2:26">
      <c r="B4817" s="2"/>
      <c r="N4817" s="27"/>
      <c r="R4817" s="15"/>
      <c r="X4817" s="3"/>
      <c r="Z4817" s="28"/>
    </row>
    <row r="4818" spans="2:26">
      <c r="B4818" s="2"/>
      <c r="N4818" s="27"/>
      <c r="R4818" s="15"/>
      <c r="X4818" s="3"/>
      <c r="Z4818" s="28"/>
    </row>
    <row r="4819" spans="2:26">
      <c r="B4819" s="2"/>
      <c r="N4819" s="27"/>
      <c r="R4819" s="15"/>
      <c r="X4819" s="3"/>
      <c r="Z4819" s="28"/>
    </row>
    <row r="4820" spans="2:26">
      <c r="B4820" s="2"/>
      <c r="N4820" s="27"/>
      <c r="R4820" s="15"/>
      <c r="X4820" s="3"/>
      <c r="Z4820" s="28"/>
    </row>
    <row r="4821" spans="2:26">
      <c r="B4821" s="2"/>
      <c r="N4821" s="27"/>
      <c r="R4821" s="15"/>
      <c r="X4821" s="3"/>
      <c r="Z4821" s="28"/>
    </row>
    <row r="4822" spans="2:26">
      <c r="B4822" s="2"/>
      <c r="N4822" s="27"/>
      <c r="R4822" s="15"/>
      <c r="X4822" s="3"/>
      <c r="Z4822" s="28"/>
    </row>
    <row r="4823" spans="2:26">
      <c r="B4823" s="2"/>
      <c r="N4823" s="27"/>
      <c r="R4823" s="15"/>
      <c r="X4823" s="3"/>
      <c r="Z4823" s="28"/>
    </row>
    <row r="4824" spans="2:26">
      <c r="B4824" s="2"/>
      <c r="N4824" s="27"/>
      <c r="R4824" s="15"/>
      <c r="X4824" s="3"/>
      <c r="Z4824" s="28"/>
    </row>
    <row r="4825" spans="2:26">
      <c r="B4825" s="2"/>
      <c r="N4825" s="27"/>
      <c r="R4825" s="15"/>
      <c r="X4825" s="3"/>
      <c r="Z4825" s="28"/>
    </row>
    <row r="4826" spans="2:26">
      <c r="B4826" s="2"/>
      <c r="N4826" s="27"/>
      <c r="R4826" s="15"/>
      <c r="X4826" s="3"/>
      <c r="Z4826" s="28"/>
    </row>
    <row r="4827" spans="2:26">
      <c r="B4827" s="2"/>
      <c r="N4827" s="27"/>
      <c r="R4827" s="15"/>
      <c r="X4827" s="3"/>
      <c r="Z4827" s="28"/>
    </row>
    <row r="4828" spans="2:26">
      <c r="B4828" s="2"/>
      <c r="N4828" s="27"/>
      <c r="R4828" s="15"/>
      <c r="X4828" s="3"/>
      <c r="Z4828" s="28"/>
    </row>
    <row r="4829" spans="2:26">
      <c r="B4829" s="2"/>
      <c r="N4829" s="27"/>
      <c r="R4829" s="15"/>
      <c r="X4829" s="3"/>
      <c r="Z4829" s="28"/>
    </row>
    <row r="4830" spans="2:26">
      <c r="B4830" s="2"/>
      <c r="N4830" s="27"/>
      <c r="R4830" s="15"/>
      <c r="X4830" s="3"/>
      <c r="Z4830" s="28"/>
    </row>
    <row r="4831" spans="2:26">
      <c r="B4831" s="2"/>
      <c r="N4831" s="27"/>
      <c r="R4831" s="15"/>
      <c r="X4831" s="3"/>
      <c r="Z4831" s="28"/>
    </row>
    <row r="4832" spans="2:26">
      <c r="B4832" s="2"/>
      <c r="N4832" s="27"/>
      <c r="R4832" s="15"/>
      <c r="X4832" s="3"/>
      <c r="Z4832" s="28"/>
    </row>
    <row r="4833" spans="2:26">
      <c r="B4833" s="2"/>
      <c r="N4833" s="27"/>
      <c r="R4833" s="15"/>
      <c r="X4833" s="3"/>
      <c r="Z4833" s="28"/>
    </row>
    <row r="4834" spans="2:26">
      <c r="B4834" s="2"/>
      <c r="N4834" s="27"/>
      <c r="R4834" s="15"/>
      <c r="X4834" s="3"/>
      <c r="Z4834" s="28"/>
    </row>
    <row r="4835" spans="2:26">
      <c r="B4835" s="2"/>
      <c r="N4835" s="27"/>
      <c r="R4835" s="15"/>
      <c r="X4835" s="3"/>
      <c r="Z4835" s="28"/>
    </row>
    <row r="4836" spans="2:26">
      <c r="B4836" s="2"/>
      <c r="N4836" s="27"/>
      <c r="R4836" s="15"/>
      <c r="X4836" s="3"/>
      <c r="Z4836" s="28"/>
    </row>
    <row r="4837" spans="2:26">
      <c r="B4837" s="2"/>
      <c r="N4837" s="27"/>
      <c r="R4837" s="15"/>
      <c r="X4837" s="3"/>
      <c r="Z4837" s="28"/>
    </row>
    <row r="4838" spans="2:26">
      <c r="B4838" s="2"/>
      <c r="N4838" s="27"/>
      <c r="R4838" s="15"/>
      <c r="X4838" s="3"/>
      <c r="Z4838" s="28"/>
    </row>
    <row r="4839" spans="2:26">
      <c r="B4839" s="2"/>
      <c r="N4839" s="27"/>
      <c r="R4839" s="15"/>
      <c r="X4839" s="3"/>
      <c r="Z4839" s="28"/>
    </row>
    <row r="4840" spans="2:26">
      <c r="B4840" s="2"/>
      <c r="N4840" s="27"/>
      <c r="R4840" s="15"/>
      <c r="X4840" s="3"/>
      <c r="Z4840" s="28"/>
    </row>
    <row r="4841" spans="2:26">
      <c r="B4841" s="2"/>
      <c r="N4841" s="27"/>
      <c r="R4841" s="15"/>
      <c r="X4841" s="3"/>
      <c r="Z4841" s="28"/>
    </row>
    <row r="4842" spans="2:26">
      <c r="B4842" s="2"/>
      <c r="N4842" s="27"/>
      <c r="R4842" s="15"/>
      <c r="X4842" s="3"/>
      <c r="Z4842" s="28"/>
    </row>
    <row r="4843" spans="2:26">
      <c r="B4843" s="2"/>
      <c r="N4843" s="27"/>
      <c r="R4843" s="15"/>
      <c r="X4843" s="3"/>
      <c r="Z4843" s="28"/>
    </row>
    <row r="4844" spans="2:26">
      <c r="B4844" s="2"/>
      <c r="N4844" s="27"/>
      <c r="R4844" s="15"/>
      <c r="X4844" s="3"/>
      <c r="Z4844" s="28"/>
    </row>
    <row r="4845" spans="2:26">
      <c r="B4845" s="2"/>
      <c r="N4845" s="27"/>
      <c r="R4845" s="15"/>
      <c r="X4845" s="3"/>
      <c r="Z4845" s="28"/>
    </row>
    <row r="4846" spans="2:26">
      <c r="B4846" s="2"/>
      <c r="N4846" s="27"/>
      <c r="R4846" s="15"/>
      <c r="X4846" s="3"/>
      <c r="Z4846" s="28"/>
    </row>
    <row r="4847" spans="2:26">
      <c r="B4847" s="2"/>
      <c r="N4847" s="27"/>
      <c r="R4847" s="15"/>
      <c r="X4847" s="3"/>
      <c r="Z4847" s="28"/>
    </row>
    <row r="4848" spans="2:26">
      <c r="B4848" s="2"/>
      <c r="N4848" s="27"/>
      <c r="R4848" s="15"/>
      <c r="X4848" s="3"/>
      <c r="Z4848" s="28"/>
    </row>
    <row r="4849" spans="2:26">
      <c r="B4849" s="2"/>
      <c r="N4849" s="27"/>
      <c r="R4849" s="15"/>
      <c r="X4849" s="3"/>
      <c r="Z4849" s="28"/>
    </row>
    <row r="4850" spans="2:26">
      <c r="B4850" s="2"/>
      <c r="N4850" s="27"/>
      <c r="R4850" s="15"/>
      <c r="X4850" s="3"/>
      <c r="Z4850" s="28"/>
    </row>
    <row r="4851" spans="2:26">
      <c r="B4851" s="2"/>
      <c r="N4851" s="27"/>
      <c r="R4851" s="15"/>
      <c r="X4851" s="3"/>
      <c r="Z4851" s="28"/>
    </row>
    <row r="4852" spans="2:26">
      <c r="B4852" s="2"/>
      <c r="N4852" s="27"/>
      <c r="R4852" s="15"/>
      <c r="X4852" s="3"/>
      <c r="Z4852" s="28"/>
    </row>
    <row r="4853" spans="2:26">
      <c r="B4853" s="2"/>
      <c r="N4853" s="27"/>
      <c r="R4853" s="15"/>
      <c r="X4853" s="3"/>
      <c r="Z4853" s="28"/>
    </row>
    <row r="4854" spans="2:26">
      <c r="B4854" s="2"/>
      <c r="N4854" s="27"/>
      <c r="R4854" s="15"/>
      <c r="X4854" s="3"/>
      <c r="Z4854" s="28"/>
    </row>
    <row r="4855" spans="2:26">
      <c r="B4855" s="2"/>
      <c r="N4855" s="27"/>
      <c r="R4855" s="15"/>
      <c r="X4855" s="3"/>
      <c r="Z4855" s="28"/>
    </row>
    <row r="4856" spans="2:26">
      <c r="B4856" s="2"/>
      <c r="N4856" s="27"/>
      <c r="R4856" s="15"/>
      <c r="X4856" s="3"/>
      <c r="Z4856" s="28"/>
    </row>
    <row r="4857" spans="2:26">
      <c r="B4857" s="2"/>
      <c r="N4857" s="27"/>
      <c r="R4857" s="15"/>
      <c r="X4857" s="3"/>
      <c r="Z4857" s="28"/>
    </row>
    <row r="4858" spans="2:26">
      <c r="B4858" s="2"/>
      <c r="N4858" s="27"/>
      <c r="R4858" s="15"/>
      <c r="X4858" s="3"/>
      <c r="Z4858" s="28"/>
    </row>
    <row r="4859" spans="2:26">
      <c r="B4859" s="2"/>
      <c r="N4859" s="27"/>
      <c r="R4859" s="15"/>
      <c r="X4859" s="3"/>
      <c r="Z4859" s="28"/>
    </row>
    <row r="4860" spans="2:26">
      <c r="B4860" s="2"/>
      <c r="N4860" s="27"/>
      <c r="R4860" s="15"/>
      <c r="X4860" s="3"/>
      <c r="Z4860" s="28"/>
    </row>
    <row r="4861" spans="2:26">
      <c r="B4861" s="2"/>
      <c r="N4861" s="27"/>
      <c r="R4861" s="15"/>
      <c r="X4861" s="3"/>
      <c r="Z4861" s="28"/>
    </row>
    <row r="4862" spans="2:26">
      <c r="B4862" s="2"/>
      <c r="N4862" s="27"/>
      <c r="R4862" s="15"/>
      <c r="X4862" s="3"/>
      <c r="Z4862" s="28"/>
    </row>
    <row r="4863" spans="2:26">
      <c r="B4863" s="2"/>
      <c r="N4863" s="27"/>
      <c r="R4863" s="15"/>
      <c r="X4863" s="3"/>
      <c r="Z4863" s="28"/>
    </row>
    <row r="4864" spans="2:26">
      <c r="B4864" s="2"/>
      <c r="N4864" s="27"/>
      <c r="R4864" s="15"/>
      <c r="X4864" s="3"/>
      <c r="Z4864" s="28"/>
    </row>
    <row r="4865" spans="2:26">
      <c r="B4865" s="2"/>
      <c r="N4865" s="27"/>
      <c r="R4865" s="15"/>
      <c r="X4865" s="3"/>
      <c r="Z4865" s="28"/>
    </row>
    <row r="4866" spans="2:26">
      <c r="B4866" s="2"/>
      <c r="N4866" s="27"/>
      <c r="R4866" s="15"/>
      <c r="X4866" s="3"/>
      <c r="Z4866" s="28"/>
    </row>
    <row r="4867" spans="2:26">
      <c r="B4867" s="2"/>
      <c r="N4867" s="27"/>
      <c r="R4867" s="15"/>
      <c r="X4867" s="3"/>
      <c r="Z4867" s="28"/>
    </row>
    <row r="4868" spans="2:26">
      <c r="B4868" s="2"/>
      <c r="N4868" s="27"/>
      <c r="R4868" s="15"/>
      <c r="X4868" s="3"/>
      <c r="Z4868" s="28"/>
    </row>
    <row r="4869" spans="2:26">
      <c r="B4869" s="2"/>
      <c r="N4869" s="27"/>
      <c r="R4869" s="15"/>
      <c r="X4869" s="3"/>
      <c r="Z4869" s="28"/>
    </row>
    <row r="4870" spans="2:26">
      <c r="B4870" s="2"/>
      <c r="N4870" s="27"/>
      <c r="R4870" s="15"/>
      <c r="X4870" s="3"/>
      <c r="Z4870" s="28"/>
    </row>
    <row r="4871" spans="2:26">
      <c r="B4871" s="2"/>
      <c r="N4871" s="27"/>
      <c r="R4871" s="15"/>
      <c r="X4871" s="3"/>
      <c r="Z4871" s="28"/>
    </row>
    <row r="4872" spans="2:26">
      <c r="B4872" s="2"/>
      <c r="N4872" s="27"/>
      <c r="R4872" s="15"/>
      <c r="X4872" s="3"/>
      <c r="Z4872" s="28"/>
    </row>
    <row r="4873" spans="2:26">
      <c r="B4873" s="2"/>
      <c r="N4873" s="27"/>
      <c r="R4873" s="15"/>
      <c r="X4873" s="3"/>
      <c r="Z4873" s="28"/>
    </row>
    <row r="4874" spans="2:26">
      <c r="B4874" s="2"/>
      <c r="N4874" s="27"/>
      <c r="R4874" s="15"/>
      <c r="X4874" s="3"/>
      <c r="Z4874" s="28"/>
    </row>
    <row r="4875" spans="2:26">
      <c r="B4875" s="2"/>
      <c r="N4875" s="27"/>
      <c r="R4875" s="15"/>
      <c r="X4875" s="3"/>
      <c r="Z4875" s="28"/>
    </row>
    <row r="4876" spans="2:26">
      <c r="B4876" s="2"/>
      <c r="N4876" s="27"/>
      <c r="R4876" s="15"/>
      <c r="X4876" s="3"/>
      <c r="Z4876" s="28"/>
    </row>
    <row r="4877" spans="2:26">
      <c r="B4877" s="2"/>
      <c r="N4877" s="27"/>
      <c r="R4877" s="15"/>
      <c r="X4877" s="3"/>
      <c r="Z4877" s="28"/>
    </row>
    <row r="4878" spans="2:26">
      <c r="B4878" s="2"/>
      <c r="N4878" s="27"/>
      <c r="R4878" s="15"/>
      <c r="X4878" s="3"/>
      <c r="Z4878" s="28"/>
    </row>
    <row r="4879" spans="2:26">
      <c r="B4879" s="2"/>
      <c r="N4879" s="27"/>
      <c r="R4879" s="15"/>
      <c r="X4879" s="3"/>
      <c r="Z4879" s="28"/>
    </row>
    <row r="4880" spans="2:26">
      <c r="B4880" s="2"/>
      <c r="N4880" s="27"/>
      <c r="R4880" s="15"/>
      <c r="X4880" s="3"/>
      <c r="Z4880" s="28"/>
    </row>
    <row r="4881" spans="2:26">
      <c r="B4881" s="2"/>
      <c r="N4881" s="27"/>
      <c r="R4881" s="15"/>
      <c r="X4881" s="3"/>
      <c r="Z4881" s="28"/>
    </row>
    <row r="4882" spans="2:26">
      <c r="B4882" s="2"/>
      <c r="N4882" s="27"/>
      <c r="R4882" s="15"/>
      <c r="X4882" s="3"/>
      <c r="Z4882" s="28"/>
    </row>
    <row r="4883" spans="2:26">
      <c r="B4883" s="2"/>
      <c r="N4883" s="27"/>
      <c r="R4883" s="15"/>
      <c r="X4883" s="3"/>
      <c r="Z4883" s="28"/>
    </row>
    <row r="4884" spans="2:26">
      <c r="B4884" s="2"/>
      <c r="N4884" s="27"/>
      <c r="R4884" s="15"/>
      <c r="X4884" s="3"/>
      <c r="Z4884" s="28"/>
    </row>
    <row r="4885" spans="2:26">
      <c r="B4885" s="2"/>
      <c r="N4885" s="27"/>
      <c r="R4885" s="15"/>
      <c r="X4885" s="3"/>
      <c r="Z4885" s="28"/>
    </row>
    <row r="4886" spans="2:26">
      <c r="B4886" s="2"/>
      <c r="N4886" s="27"/>
      <c r="R4886" s="15"/>
      <c r="X4886" s="3"/>
      <c r="Z4886" s="28"/>
    </row>
    <row r="4887" spans="2:26">
      <c r="B4887" s="2"/>
      <c r="N4887" s="27"/>
      <c r="R4887" s="15"/>
      <c r="X4887" s="3"/>
      <c r="Z4887" s="28"/>
    </row>
    <row r="4888" spans="2:26">
      <c r="B4888" s="2"/>
      <c r="N4888" s="27"/>
      <c r="R4888" s="15"/>
      <c r="X4888" s="3"/>
      <c r="Z4888" s="28"/>
    </row>
    <row r="4889" spans="2:26">
      <c r="B4889" s="2"/>
      <c r="N4889" s="27"/>
      <c r="R4889" s="15"/>
      <c r="X4889" s="3"/>
      <c r="Z4889" s="28"/>
    </row>
    <row r="4890" spans="2:26">
      <c r="B4890" s="2"/>
      <c r="N4890" s="27"/>
      <c r="R4890" s="15"/>
      <c r="X4890" s="3"/>
      <c r="Z4890" s="28"/>
    </row>
    <row r="4891" spans="2:26">
      <c r="B4891" s="2"/>
      <c r="N4891" s="27"/>
      <c r="R4891" s="15"/>
      <c r="X4891" s="3"/>
      <c r="Z4891" s="28"/>
    </row>
    <row r="4892" spans="2:26">
      <c r="B4892" s="2"/>
      <c r="N4892" s="27"/>
      <c r="R4892" s="15"/>
      <c r="X4892" s="3"/>
      <c r="Z4892" s="28"/>
    </row>
    <row r="4893" spans="2:26">
      <c r="B4893" s="2"/>
      <c r="N4893" s="27"/>
      <c r="R4893" s="15"/>
      <c r="X4893" s="3"/>
      <c r="Z4893" s="28"/>
    </row>
    <row r="4894" spans="2:26">
      <c r="B4894" s="2"/>
      <c r="N4894" s="27"/>
      <c r="R4894" s="15"/>
      <c r="X4894" s="3"/>
      <c r="Z4894" s="28"/>
    </row>
    <row r="4895" spans="2:26">
      <c r="B4895" s="2"/>
      <c r="N4895" s="27"/>
      <c r="R4895" s="15"/>
      <c r="X4895" s="3"/>
      <c r="Z4895" s="28"/>
    </row>
    <row r="4896" spans="2:26">
      <c r="B4896" s="2"/>
      <c r="N4896" s="27"/>
      <c r="R4896" s="15"/>
      <c r="X4896" s="3"/>
      <c r="Z4896" s="28"/>
    </row>
    <row r="4897" spans="2:26">
      <c r="B4897" s="2"/>
      <c r="N4897" s="27"/>
      <c r="R4897" s="15"/>
      <c r="X4897" s="3"/>
      <c r="Z4897" s="28"/>
    </row>
    <row r="4898" spans="2:26">
      <c r="B4898" s="2"/>
      <c r="N4898" s="27"/>
      <c r="R4898" s="15"/>
      <c r="X4898" s="3"/>
      <c r="Z4898" s="28"/>
    </row>
    <row r="4899" spans="2:26">
      <c r="B4899" s="2"/>
      <c r="N4899" s="27"/>
      <c r="R4899" s="15"/>
      <c r="X4899" s="3"/>
      <c r="Z4899" s="28"/>
    </row>
    <row r="4900" spans="2:26">
      <c r="B4900" s="2"/>
      <c r="N4900" s="27"/>
      <c r="R4900" s="15"/>
      <c r="X4900" s="3"/>
      <c r="Z4900" s="28"/>
    </row>
    <row r="4901" spans="2:26">
      <c r="B4901" s="2"/>
      <c r="N4901" s="27"/>
      <c r="R4901" s="15"/>
      <c r="X4901" s="3"/>
      <c r="Z4901" s="28"/>
    </row>
    <row r="4902" spans="2:26">
      <c r="B4902" s="2"/>
      <c r="N4902" s="27"/>
      <c r="R4902" s="15"/>
      <c r="X4902" s="3"/>
      <c r="Z4902" s="28"/>
    </row>
    <row r="4903" spans="2:26">
      <c r="B4903" s="2"/>
      <c r="N4903" s="27"/>
      <c r="R4903" s="15"/>
      <c r="X4903" s="3"/>
      <c r="Z4903" s="28"/>
    </row>
    <row r="4904" spans="2:26">
      <c r="B4904" s="2"/>
      <c r="N4904" s="27"/>
      <c r="R4904" s="15"/>
      <c r="X4904" s="3"/>
      <c r="Z4904" s="28"/>
    </row>
    <row r="4905" spans="2:26">
      <c r="B4905" s="2"/>
      <c r="N4905" s="27"/>
      <c r="R4905" s="15"/>
      <c r="X4905" s="3"/>
      <c r="Z4905" s="28"/>
    </row>
    <row r="4906" spans="2:26">
      <c r="B4906" s="2"/>
      <c r="N4906" s="27"/>
      <c r="R4906" s="15"/>
      <c r="X4906" s="3"/>
      <c r="Z4906" s="28"/>
    </row>
    <row r="4907" spans="2:26">
      <c r="B4907" s="2"/>
      <c r="N4907" s="27"/>
      <c r="R4907" s="15"/>
      <c r="X4907" s="3"/>
      <c r="Z4907" s="28"/>
    </row>
    <row r="4908" spans="2:26">
      <c r="B4908" s="2"/>
      <c r="N4908" s="27"/>
      <c r="R4908" s="15"/>
      <c r="X4908" s="3"/>
      <c r="Z4908" s="28"/>
    </row>
    <row r="4909" spans="2:26">
      <c r="B4909" s="2"/>
      <c r="N4909" s="27"/>
      <c r="R4909" s="15"/>
      <c r="X4909" s="3"/>
      <c r="Z4909" s="28"/>
    </row>
    <row r="4910" spans="2:26">
      <c r="B4910" s="2"/>
      <c r="N4910" s="27"/>
      <c r="R4910" s="15"/>
      <c r="X4910" s="3"/>
      <c r="Z4910" s="28"/>
    </row>
    <row r="4911" spans="2:26">
      <c r="B4911" s="2"/>
      <c r="N4911" s="27"/>
      <c r="R4911" s="15"/>
      <c r="X4911" s="3"/>
      <c r="Z4911" s="28"/>
    </row>
    <row r="4912" spans="2:26">
      <c r="B4912" s="2"/>
      <c r="N4912" s="27"/>
      <c r="R4912" s="15"/>
      <c r="X4912" s="3"/>
      <c r="Z4912" s="28"/>
    </row>
    <row r="4913" spans="2:26">
      <c r="B4913" s="2"/>
      <c r="N4913" s="27"/>
      <c r="R4913" s="15"/>
      <c r="X4913" s="3"/>
      <c r="Z4913" s="28"/>
    </row>
    <row r="4914" spans="2:26">
      <c r="B4914" s="2"/>
      <c r="N4914" s="27"/>
      <c r="R4914" s="15"/>
      <c r="X4914" s="3"/>
      <c r="Z4914" s="28"/>
    </row>
    <row r="4915" spans="2:26">
      <c r="B4915" s="2"/>
      <c r="N4915" s="27"/>
      <c r="R4915" s="15"/>
      <c r="X4915" s="3"/>
      <c r="Z4915" s="28"/>
    </row>
    <row r="4916" spans="2:26">
      <c r="B4916" s="2"/>
      <c r="N4916" s="27"/>
      <c r="R4916" s="15"/>
      <c r="X4916" s="3"/>
      <c r="Z4916" s="28"/>
    </row>
    <row r="4917" spans="2:26">
      <c r="B4917" s="2"/>
      <c r="N4917" s="27"/>
      <c r="R4917" s="15"/>
      <c r="X4917" s="3"/>
      <c r="Z4917" s="28"/>
    </row>
    <row r="4918" spans="2:26">
      <c r="B4918" s="2"/>
      <c r="N4918" s="27"/>
      <c r="R4918" s="15"/>
      <c r="X4918" s="3"/>
      <c r="Z4918" s="28"/>
    </row>
    <row r="4919" spans="2:26">
      <c r="B4919" s="2"/>
      <c r="N4919" s="27"/>
      <c r="R4919" s="15"/>
      <c r="X4919" s="3"/>
      <c r="Z4919" s="28"/>
    </row>
    <row r="4920" spans="2:26">
      <c r="B4920" s="2"/>
      <c r="N4920" s="27"/>
      <c r="R4920" s="15"/>
      <c r="X4920" s="3"/>
      <c r="Z4920" s="28"/>
    </row>
    <row r="4921" spans="2:26">
      <c r="B4921" s="2"/>
      <c r="N4921" s="27"/>
      <c r="R4921" s="15"/>
      <c r="X4921" s="3"/>
      <c r="Z4921" s="28"/>
    </row>
    <row r="4922" spans="2:26">
      <c r="B4922" s="2"/>
      <c r="N4922" s="27"/>
      <c r="R4922" s="15"/>
      <c r="X4922" s="3"/>
      <c r="Z4922" s="28"/>
    </row>
    <row r="4923" spans="2:26">
      <c r="B4923" s="2"/>
      <c r="N4923" s="27"/>
      <c r="R4923" s="15"/>
      <c r="X4923" s="3"/>
      <c r="Z4923" s="28"/>
    </row>
    <row r="4924" spans="2:26">
      <c r="B4924" s="2"/>
      <c r="N4924" s="27"/>
      <c r="R4924" s="15"/>
      <c r="X4924" s="3"/>
      <c r="Z4924" s="28"/>
    </row>
    <row r="4925" spans="2:26">
      <c r="B4925" s="2"/>
      <c r="N4925" s="27"/>
      <c r="R4925" s="15"/>
      <c r="X4925" s="3"/>
      <c r="Z4925" s="28"/>
    </row>
    <row r="4926" spans="2:26">
      <c r="B4926" s="2"/>
      <c r="N4926" s="27"/>
      <c r="R4926" s="15"/>
      <c r="X4926" s="3"/>
      <c r="Z4926" s="28"/>
    </row>
    <row r="4927" spans="2:26">
      <c r="B4927" s="2"/>
      <c r="N4927" s="27"/>
      <c r="R4927" s="15"/>
      <c r="X4927" s="3"/>
      <c r="Z4927" s="28"/>
    </row>
    <row r="4928" spans="2:26">
      <c r="B4928" s="2"/>
      <c r="N4928" s="27"/>
      <c r="R4928" s="15"/>
      <c r="X4928" s="3"/>
      <c r="Z4928" s="28"/>
    </row>
    <row r="4929" spans="2:26">
      <c r="B4929" s="2"/>
      <c r="N4929" s="27"/>
      <c r="R4929" s="15"/>
      <c r="X4929" s="3"/>
      <c r="Z4929" s="28"/>
    </row>
    <row r="4930" spans="2:26">
      <c r="B4930" s="2"/>
      <c r="N4930" s="27"/>
      <c r="R4930" s="15"/>
      <c r="X4930" s="3"/>
      <c r="Z4930" s="28"/>
    </row>
    <row r="4931" spans="2:26">
      <c r="B4931" s="2"/>
      <c r="N4931" s="27"/>
      <c r="R4931" s="15"/>
      <c r="X4931" s="3"/>
      <c r="Z4931" s="28"/>
    </row>
    <row r="4932" spans="2:26">
      <c r="B4932" s="2"/>
      <c r="N4932" s="27"/>
      <c r="R4932" s="15"/>
      <c r="X4932" s="3"/>
      <c r="Z4932" s="28"/>
    </row>
    <row r="4933" spans="2:26">
      <c r="B4933" s="2"/>
      <c r="N4933" s="27"/>
      <c r="R4933" s="15"/>
      <c r="X4933" s="3"/>
      <c r="Z4933" s="28"/>
    </row>
    <row r="4934" spans="2:26">
      <c r="B4934" s="2"/>
      <c r="N4934" s="27"/>
      <c r="R4934" s="15"/>
      <c r="X4934" s="3"/>
      <c r="Z4934" s="28"/>
    </row>
    <row r="4935" spans="2:26">
      <c r="B4935" s="2"/>
      <c r="N4935" s="27"/>
      <c r="R4935" s="15"/>
      <c r="X4935" s="3"/>
      <c r="Z4935" s="28"/>
    </row>
    <row r="4936" spans="2:26">
      <c r="B4936" s="2"/>
      <c r="N4936" s="27"/>
      <c r="R4936" s="15"/>
      <c r="X4936" s="3"/>
      <c r="Z4936" s="28"/>
    </row>
    <row r="4937" spans="2:26">
      <c r="B4937" s="2"/>
      <c r="N4937" s="27"/>
      <c r="R4937" s="15"/>
      <c r="X4937" s="3"/>
      <c r="Z4937" s="28"/>
    </row>
    <row r="4938" spans="2:26">
      <c r="B4938" s="2"/>
      <c r="N4938" s="27"/>
      <c r="R4938" s="15"/>
      <c r="X4938" s="3"/>
      <c r="Z4938" s="28"/>
    </row>
    <row r="4939" spans="2:26">
      <c r="B4939" s="2"/>
      <c r="N4939" s="27"/>
      <c r="R4939" s="15"/>
      <c r="X4939" s="3"/>
      <c r="Z4939" s="28"/>
    </row>
    <row r="4940" spans="2:26">
      <c r="B4940" s="2"/>
      <c r="N4940" s="27"/>
      <c r="R4940" s="15"/>
      <c r="X4940" s="3"/>
      <c r="Z4940" s="28"/>
    </row>
    <row r="4941" spans="2:26">
      <c r="B4941" s="2"/>
      <c r="N4941" s="27"/>
      <c r="R4941" s="15"/>
      <c r="X4941" s="3"/>
      <c r="Z4941" s="28"/>
    </row>
    <row r="4942" spans="2:26">
      <c r="B4942" s="2"/>
      <c r="N4942" s="27"/>
      <c r="R4942" s="15"/>
      <c r="X4942" s="3"/>
      <c r="Z4942" s="28"/>
    </row>
    <row r="4943" spans="2:26">
      <c r="B4943" s="2"/>
      <c r="N4943" s="27"/>
      <c r="R4943" s="15"/>
      <c r="X4943" s="3"/>
      <c r="Z4943" s="28"/>
    </row>
    <row r="4944" spans="2:26">
      <c r="B4944" s="2"/>
      <c r="N4944" s="27"/>
      <c r="R4944" s="15"/>
      <c r="X4944" s="3"/>
      <c r="Z4944" s="28"/>
    </row>
    <row r="4945" spans="2:26">
      <c r="B4945" s="2"/>
      <c r="N4945" s="27"/>
      <c r="R4945" s="15"/>
      <c r="X4945" s="3"/>
      <c r="Z4945" s="28"/>
    </row>
    <row r="4946" spans="2:26">
      <c r="B4946" s="2"/>
      <c r="N4946" s="27"/>
      <c r="R4946" s="15"/>
      <c r="X4946" s="3"/>
      <c r="Z4946" s="28"/>
    </row>
    <row r="4947" spans="2:26">
      <c r="B4947" s="2"/>
      <c r="N4947" s="27"/>
      <c r="R4947" s="15"/>
      <c r="X4947" s="3"/>
      <c r="Z4947" s="28"/>
    </row>
    <row r="4948" spans="2:26">
      <c r="B4948" s="2"/>
      <c r="N4948" s="27"/>
      <c r="R4948" s="15"/>
      <c r="X4948" s="3"/>
      <c r="Z4948" s="28"/>
    </row>
    <row r="4949" spans="2:26">
      <c r="B4949" s="2"/>
      <c r="N4949" s="27"/>
      <c r="R4949" s="15"/>
      <c r="X4949" s="3"/>
      <c r="Z4949" s="28"/>
    </row>
    <row r="4950" spans="2:26">
      <c r="B4950" s="2"/>
      <c r="N4950" s="27"/>
      <c r="R4950" s="15"/>
      <c r="X4950" s="3"/>
      <c r="Z4950" s="28"/>
    </row>
    <row r="4951" spans="2:26">
      <c r="B4951" s="2"/>
      <c r="N4951" s="27"/>
      <c r="R4951" s="15"/>
      <c r="X4951" s="3"/>
      <c r="Z4951" s="28"/>
    </row>
    <row r="4952" spans="2:26">
      <c r="B4952" s="2"/>
      <c r="N4952" s="27"/>
      <c r="R4952" s="15"/>
      <c r="X4952" s="3"/>
      <c r="Z4952" s="28"/>
    </row>
    <row r="4953" spans="2:26">
      <c r="B4953" s="2"/>
      <c r="N4953" s="27"/>
      <c r="R4953" s="15"/>
      <c r="X4953" s="3"/>
      <c r="Z4953" s="28"/>
    </row>
    <row r="4954" spans="2:26">
      <c r="B4954" s="2"/>
      <c r="N4954" s="27"/>
      <c r="R4954" s="15"/>
      <c r="X4954" s="3"/>
      <c r="Z4954" s="28"/>
    </row>
    <row r="4955" spans="2:26">
      <c r="B4955" s="2"/>
      <c r="N4955" s="27"/>
      <c r="R4955" s="15"/>
      <c r="X4955" s="3"/>
      <c r="Z4955" s="28"/>
    </row>
    <row r="4956" spans="2:26">
      <c r="B4956" s="2"/>
      <c r="N4956" s="27"/>
      <c r="R4956" s="15"/>
      <c r="X4956" s="3"/>
      <c r="Z4956" s="28"/>
    </row>
    <row r="4957" spans="2:26">
      <c r="B4957" s="2"/>
      <c r="N4957" s="27"/>
      <c r="R4957" s="15"/>
      <c r="X4957" s="3"/>
      <c r="Z4957" s="28"/>
    </row>
    <row r="4958" spans="2:26">
      <c r="B4958" s="2"/>
      <c r="N4958" s="27"/>
      <c r="R4958" s="15"/>
      <c r="X4958" s="3"/>
      <c r="Z4958" s="28"/>
    </row>
    <row r="4959" spans="2:26">
      <c r="B4959" s="2"/>
      <c r="N4959" s="27"/>
      <c r="R4959" s="15"/>
      <c r="X4959" s="3"/>
      <c r="Z4959" s="28"/>
    </row>
    <row r="4960" spans="2:26">
      <c r="B4960" s="2"/>
      <c r="N4960" s="27"/>
      <c r="R4960" s="15"/>
      <c r="X4960" s="3"/>
      <c r="Z4960" s="28"/>
    </row>
    <row r="4961" spans="2:26">
      <c r="B4961" s="2"/>
      <c r="N4961" s="27"/>
      <c r="R4961" s="15"/>
      <c r="X4961" s="3"/>
      <c r="Z4961" s="28"/>
    </row>
    <row r="4962" spans="2:26">
      <c r="B4962" s="2"/>
      <c r="N4962" s="27"/>
      <c r="R4962" s="15"/>
      <c r="X4962" s="3"/>
      <c r="Z4962" s="28"/>
    </row>
    <row r="4963" spans="2:26">
      <c r="B4963" s="2"/>
      <c r="N4963" s="27"/>
      <c r="R4963" s="15"/>
      <c r="X4963" s="3"/>
      <c r="Z4963" s="28"/>
    </row>
    <row r="4964" spans="2:26">
      <c r="B4964" s="2"/>
      <c r="N4964" s="27"/>
      <c r="R4964" s="15"/>
      <c r="X4964" s="3"/>
      <c r="Z4964" s="28"/>
    </row>
    <row r="4965" spans="2:26">
      <c r="B4965" s="2"/>
      <c r="N4965" s="27"/>
      <c r="R4965" s="15"/>
      <c r="X4965" s="3"/>
      <c r="Z4965" s="28"/>
    </row>
    <row r="4966" spans="2:26">
      <c r="B4966" s="2"/>
      <c r="N4966" s="27"/>
      <c r="R4966" s="15"/>
      <c r="X4966" s="3"/>
      <c r="Z4966" s="28"/>
    </row>
    <row r="4967" spans="2:26">
      <c r="B4967" s="2"/>
      <c r="N4967" s="27"/>
      <c r="R4967" s="15"/>
      <c r="X4967" s="3"/>
      <c r="Z4967" s="28"/>
    </row>
    <row r="4968" spans="2:26">
      <c r="B4968" s="2"/>
      <c r="N4968" s="27"/>
      <c r="R4968" s="15"/>
      <c r="X4968" s="3"/>
      <c r="Z4968" s="28"/>
    </row>
    <row r="4969" spans="2:26">
      <c r="B4969" s="2"/>
      <c r="N4969" s="27"/>
      <c r="R4969" s="15"/>
      <c r="X4969" s="3"/>
      <c r="Z4969" s="28"/>
    </row>
    <row r="4970" spans="2:26">
      <c r="B4970" s="2"/>
      <c r="N4970" s="27"/>
      <c r="R4970" s="15"/>
      <c r="X4970" s="3"/>
      <c r="Z4970" s="28"/>
    </row>
    <row r="4971" spans="2:26">
      <c r="B4971" s="2"/>
      <c r="N4971" s="27"/>
      <c r="R4971" s="15"/>
      <c r="X4971" s="3"/>
      <c r="Z4971" s="28"/>
    </row>
    <row r="4972" spans="2:26">
      <c r="B4972" s="2"/>
      <c r="N4972" s="27"/>
      <c r="R4972" s="15"/>
      <c r="X4972" s="3"/>
      <c r="Z4972" s="28"/>
    </row>
    <row r="4973" spans="2:26">
      <c r="B4973" s="2"/>
      <c r="N4973" s="27"/>
      <c r="R4973" s="15"/>
      <c r="X4973" s="3"/>
      <c r="Z4973" s="28"/>
    </row>
    <row r="4974" spans="2:26">
      <c r="B4974" s="2"/>
      <c r="N4974" s="27"/>
      <c r="R4974" s="15"/>
      <c r="X4974" s="3"/>
      <c r="Z4974" s="28"/>
    </row>
    <row r="4975" spans="2:26">
      <c r="B4975" s="2"/>
      <c r="N4975" s="27"/>
      <c r="R4975" s="15"/>
      <c r="X4975" s="3"/>
      <c r="Z4975" s="28"/>
    </row>
    <row r="4976" spans="2:26">
      <c r="B4976" s="2"/>
      <c r="N4976" s="27"/>
      <c r="R4976" s="15"/>
      <c r="X4976" s="3"/>
      <c r="Z4976" s="28"/>
    </row>
    <row r="4977" spans="2:26">
      <c r="B4977" s="2"/>
      <c r="N4977" s="27"/>
      <c r="R4977" s="15"/>
      <c r="X4977" s="3"/>
      <c r="Z4977" s="28"/>
    </row>
    <row r="4978" spans="2:26">
      <c r="B4978" s="2"/>
      <c r="N4978" s="27"/>
      <c r="R4978" s="15"/>
      <c r="X4978" s="3"/>
      <c r="Z4978" s="28"/>
    </row>
    <row r="4979" spans="2:26">
      <c r="B4979" s="2"/>
      <c r="N4979" s="27"/>
      <c r="R4979" s="15"/>
      <c r="X4979" s="3"/>
      <c r="Z4979" s="28"/>
    </row>
    <row r="4980" spans="2:26">
      <c r="B4980" s="2"/>
      <c r="N4980" s="27"/>
      <c r="R4980" s="15"/>
      <c r="X4980" s="3"/>
      <c r="Z4980" s="28"/>
    </row>
    <row r="4981" spans="2:26">
      <c r="B4981" s="2"/>
      <c r="N4981" s="27"/>
      <c r="R4981" s="15"/>
      <c r="X4981" s="3"/>
      <c r="Z4981" s="28"/>
    </row>
    <row r="4982" spans="2:26">
      <c r="B4982" s="2"/>
      <c r="N4982" s="27"/>
      <c r="R4982" s="15"/>
      <c r="X4982" s="3"/>
      <c r="Z4982" s="28"/>
    </row>
    <row r="4983" spans="2:26">
      <c r="B4983" s="2"/>
      <c r="N4983" s="27"/>
      <c r="R4983" s="15"/>
      <c r="X4983" s="3"/>
      <c r="Z4983" s="28"/>
    </row>
    <row r="4984" spans="2:26">
      <c r="B4984" s="2"/>
      <c r="N4984" s="27"/>
      <c r="R4984" s="15"/>
      <c r="X4984" s="3"/>
      <c r="Z4984" s="28"/>
    </row>
    <row r="4985" spans="2:26">
      <c r="B4985" s="2"/>
      <c r="N4985" s="27"/>
      <c r="R4985" s="15"/>
      <c r="X4985" s="3"/>
      <c r="Z4985" s="28"/>
    </row>
    <row r="4986" spans="2:26">
      <c r="B4986" s="2"/>
      <c r="N4986" s="27"/>
      <c r="R4986" s="15"/>
      <c r="X4986" s="3"/>
      <c r="Z4986" s="28"/>
    </row>
    <row r="4987" spans="2:26">
      <c r="B4987" s="2"/>
      <c r="N4987" s="27"/>
      <c r="R4987" s="15"/>
      <c r="X4987" s="3"/>
      <c r="Z4987" s="28"/>
    </row>
    <row r="4988" spans="2:26">
      <c r="B4988" s="2"/>
      <c r="N4988" s="27"/>
      <c r="R4988" s="15"/>
      <c r="X4988" s="3"/>
      <c r="Z4988" s="28"/>
    </row>
    <row r="4989" spans="2:26">
      <c r="B4989" s="2"/>
      <c r="N4989" s="27"/>
      <c r="R4989" s="15"/>
      <c r="X4989" s="3"/>
      <c r="Z4989" s="28"/>
    </row>
    <row r="4990" spans="2:26">
      <c r="B4990" s="2"/>
      <c r="N4990" s="27"/>
      <c r="R4990" s="15"/>
      <c r="X4990" s="3"/>
      <c r="Z4990" s="28"/>
    </row>
    <row r="4991" spans="2:26">
      <c r="B4991" s="2"/>
      <c r="N4991" s="27"/>
      <c r="R4991" s="15"/>
      <c r="X4991" s="3"/>
      <c r="Z4991" s="28"/>
    </row>
    <row r="4992" spans="2:26">
      <c r="B4992" s="2"/>
      <c r="N4992" s="27"/>
      <c r="R4992" s="15"/>
      <c r="X4992" s="3"/>
      <c r="Z4992" s="28"/>
    </row>
    <row r="4993" spans="2:26">
      <c r="B4993" s="2"/>
      <c r="N4993" s="27"/>
      <c r="R4993" s="15"/>
      <c r="X4993" s="3"/>
      <c r="Z4993" s="28"/>
    </row>
    <row r="4994" spans="2:26">
      <c r="B4994" s="2"/>
      <c r="N4994" s="27"/>
      <c r="R4994" s="15"/>
      <c r="X4994" s="3"/>
      <c r="Z4994" s="28"/>
    </row>
    <row r="4995" spans="2:26">
      <c r="B4995" s="2"/>
      <c r="N4995" s="27"/>
      <c r="R4995" s="15"/>
      <c r="X4995" s="3"/>
      <c r="Z4995" s="28"/>
    </row>
    <row r="4996" spans="2:26">
      <c r="B4996" s="2"/>
      <c r="N4996" s="27"/>
      <c r="R4996" s="15"/>
      <c r="X4996" s="3"/>
      <c r="Z4996" s="28"/>
    </row>
    <row r="4997" spans="2:26">
      <c r="B4997" s="2"/>
      <c r="N4997" s="27"/>
      <c r="R4997" s="15"/>
      <c r="X4997" s="3"/>
      <c r="Z4997" s="28"/>
    </row>
    <row r="4998" spans="2:26">
      <c r="B4998" s="2"/>
      <c r="N4998" s="27"/>
      <c r="R4998" s="15"/>
      <c r="X4998" s="3"/>
      <c r="Z4998" s="28"/>
    </row>
    <row r="4999" spans="2:26">
      <c r="B4999" s="2"/>
      <c r="N4999" s="27"/>
      <c r="R4999" s="15"/>
      <c r="X4999" s="3"/>
      <c r="Z4999" s="28"/>
    </row>
    <row r="5000" spans="2:26">
      <c r="B5000" s="2"/>
      <c r="N5000" s="27"/>
      <c r="R5000" s="15"/>
      <c r="X5000" s="3"/>
      <c r="Z5000" s="28"/>
    </row>
    <row r="5001" spans="2:26">
      <c r="B5001" s="2"/>
      <c r="N5001" s="27"/>
      <c r="R5001" s="15"/>
      <c r="X5001" s="3"/>
      <c r="Z5001" s="28"/>
    </row>
    <row r="5002" spans="2:26">
      <c r="B5002" s="2"/>
      <c r="N5002" s="27"/>
      <c r="R5002" s="15"/>
      <c r="X5002" s="3"/>
      <c r="Z5002" s="28"/>
    </row>
    <row r="5003" spans="2:26">
      <c r="B5003" s="2"/>
      <c r="N5003" s="27"/>
      <c r="R5003" s="15"/>
      <c r="X5003" s="3"/>
      <c r="Z5003" s="28"/>
    </row>
    <row r="5004" spans="2:26">
      <c r="B5004" s="2"/>
      <c r="N5004" s="27"/>
      <c r="R5004" s="15"/>
      <c r="X5004" s="3"/>
      <c r="Z5004" s="28"/>
    </row>
    <row r="5005" spans="2:26">
      <c r="B5005" s="2"/>
      <c r="N5005" s="27"/>
      <c r="R5005" s="15"/>
      <c r="X5005" s="3"/>
      <c r="Z5005" s="28"/>
    </row>
    <row r="5006" spans="2:26">
      <c r="B5006" s="2"/>
      <c r="N5006" s="27"/>
      <c r="R5006" s="15"/>
      <c r="X5006" s="3"/>
      <c r="Z5006" s="28"/>
    </row>
    <row r="5007" spans="2:26">
      <c r="B5007" s="2"/>
      <c r="N5007" s="27"/>
      <c r="R5007" s="15"/>
      <c r="X5007" s="3"/>
      <c r="Z5007" s="28"/>
    </row>
    <row r="5008" spans="2:26">
      <c r="B5008" s="2"/>
      <c r="N5008" s="27"/>
      <c r="R5008" s="15"/>
      <c r="X5008" s="3"/>
      <c r="Z5008" s="28"/>
    </row>
    <row r="5009" spans="2:26">
      <c r="B5009" s="2"/>
      <c r="N5009" s="27"/>
      <c r="R5009" s="15"/>
      <c r="X5009" s="3"/>
      <c r="Z5009" s="28"/>
    </row>
    <row r="5010" spans="2:26">
      <c r="B5010" s="2"/>
      <c r="N5010" s="27"/>
      <c r="R5010" s="15"/>
      <c r="X5010" s="3"/>
      <c r="Z5010" s="28"/>
    </row>
    <row r="5011" spans="2:26">
      <c r="B5011" s="2"/>
      <c r="N5011" s="27"/>
      <c r="R5011" s="15"/>
      <c r="X5011" s="3"/>
      <c r="Z5011" s="28"/>
    </row>
    <row r="5012" spans="2:26">
      <c r="B5012" s="2"/>
      <c r="N5012" s="27"/>
      <c r="R5012" s="15"/>
      <c r="X5012" s="3"/>
      <c r="Z5012" s="28"/>
    </row>
    <row r="5013" spans="2:26">
      <c r="B5013" s="2"/>
      <c r="N5013" s="27"/>
      <c r="R5013" s="15"/>
      <c r="X5013" s="3"/>
      <c r="Z5013" s="28"/>
    </row>
    <row r="5014" spans="2:26">
      <c r="B5014" s="2"/>
      <c r="N5014" s="27"/>
      <c r="R5014" s="15"/>
      <c r="X5014" s="3"/>
      <c r="Z5014" s="28"/>
    </row>
    <row r="5015" spans="2:26">
      <c r="B5015" s="2"/>
      <c r="N5015" s="27"/>
      <c r="R5015" s="15"/>
      <c r="X5015" s="3"/>
      <c r="Z5015" s="28"/>
    </row>
    <row r="5016" spans="2:26">
      <c r="B5016" s="2"/>
      <c r="N5016" s="27"/>
      <c r="R5016" s="15"/>
      <c r="X5016" s="3"/>
      <c r="Z5016" s="28"/>
    </row>
    <row r="5017" spans="2:26">
      <c r="B5017" s="2"/>
      <c r="N5017" s="27"/>
      <c r="R5017" s="15"/>
      <c r="X5017" s="3"/>
      <c r="Z5017" s="28"/>
    </row>
    <row r="5018" spans="2:26">
      <c r="B5018" s="2"/>
      <c r="N5018" s="27"/>
      <c r="R5018" s="15"/>
      <c r="X5018" s="3"/>
      <c r="Z5018" s="28"/>
    </row>
    <row r="5019" spans="2:26">
      <c r="B5019" s="2"/>
      <c r="N5019" s="27"/>
      <c r="R5019" s="15"/>
      <c r="X5019" s="3"/>
      <c r="Z5019" s="28"/>
    </row>
    <row r="5020" spans="2:26">
      <c r="B5020" s="2"/>
      <c r="N5020" s="27"/>
      <c r="R5020" s="15"/>
      <c r="X5020" s="3"/>
      <c r="Z5020" s="28"/>
    </row>
    <row r="5021" spans="2:26">
      <c r="B5021" s="2"/>
      <c r="N5021" s="27"/>
      <c r="R5021" s="15"/>
      <c r="X5021" s="3"/>
      <c r="Z5021" s="28"/>
    </row>
    <row r="5022" spans="2:26">
      <c r="B5022" s="2"/>
      <c r="N5022" s="27"/>
      <c r="R5022" s="15"/>
      <c r="X5022" s="3"/>
      <c r="Z5022" s="28"/>
    </row>
    <row r="5023" spans="2:26">
      <c r="B5023" s="2"/>
      <c r="N5023" s="27"/>
      <c r="R5023" s="15"/>
      <c r="X5023" s="3"/>
      <c r="Z5023" s="28"/>
    </row>
    <row r="5024" spans="2:26">
      <c r="B5024" s="2"/>
      <c r="N5024" s="27"/>
      <c r="R5024" s="15"/>
      <c r="X5024" s="3"/>
      <c r="Z5024" s="28"/>
    </row>
    <row r="5025" spans="2:26">
      <c r="B5025" s="2"/>
      <c r="N5025" s="27"/>
      <c r="R5025" s="15"/>
      <c r="X5025" s="3"/>
      <c r="Z5025" s="28"/>
    </row>
    <row r="5026" spans="2:26">
      <c r="B5026" s="2"/>
      <c r="N5026" s="27"/>
      <c r="R5026" s="15"/>
      <c r="X5026" s="3"/>
      <c r="Z5026" s="28"/>
    </row>
    <row r="5027" spans="2:26">
      <c r="B5027" s="2"/>
      <c r="N5027" s="27"/>
      <c r="R5027" s="15"/>
      <c r="X5027" s="3"/>
      <c r="Z5027" s="28"/>
    </row>
    <row r="5028" spans="2:26">
      <c r="B5028" s="2"/>
      <c r="N5028" s="27"/>
      <c r="R5028" s="15"/>
      <c r="X5028" s="3"/>
      <c r="Z5028" s="28"/>
    </row>
    <row r="5029" spans="2:26">
      <c r="B5029" s="2"/>
      <c r="N5029" s="27"/>
      <c r="R5029" s="15"/>
      <c r="X5029" s="3"/>
      <c r="Z5029" s="28"/>
    </row>
    <row r="5030" spans="2:26">
      <c r="B5030" s="2"/>
      <c r="N5030" s="27"/>
      <c r="R5030" s="15"/>
      <c r="X5030" s="3"/>
      <c r="Z5030" s="28"/>
    </row>
    <row r="5031" spans="2:26">
      <c r="B5031" s="2"/>
      <c r="N5031" s="27"/>
      <c r="R5031" s="15"/>
      <c r="X5031" s="3"/>
      <c r="Z5031" s="28"/>
    </row>
    <row r="5032" spans="2:26">
      <c r="B5032" s="2"/>
      <c r="N5032" s="27"/>
      <c r="R5032" s="15"/>
      <c r="X5032" s="3"/>
      <c r="Z5032" s="28"/>
    </row>
    <row r="5033" spans="2:26">
      <c r="B5033" s="2"/>
      <c r="N5033" s="27"/>
      <c r="R5033" s="15"/>
      <c r="X5033" s="3"/>
      <c r="Z5033" s="28"/>
    </row>
    <row r="5034" spans="2:26">
      <c r="B5034" s="2"/>
      <c r="N5034" s="27"/>
      <c r="R5034" s="15"/>
      <c r="X5034" s="3"/>
      <c r="Z5034" s="28"/>
    </row>
    <row r="5035" spans="2:26">
      <c r="B5035" s="2"/>
      <c r="N5035" s="27"/>
      <c r="R5035" s="15"/>
      <c r="X5035" s="3"/>
      <c r="Z5035" s="28"/>
    </row>
    <row r="5036" spans="2:26">
      <c r="B5036" s="2"/>
      <c r="N5036" s="27"/>
      <c r="R5036" s="15"/>
      <c r="X5036" s="3"/>
      <c r="Z5036" s="28"/>
    </row>
    <row r="5037" spans="2:26">
      <c r="B5037" s="2"/>
      <c r="N5037" s="27"/>
      <c r="R5037" s="15"/>
      <c r="X5037" s="3"/>
      <c r="Z5037" s="28"/>
    </row>
    <row r="5038" spans="2:26">
      <c r="B5038" s="2"/>
      <c r="N5038" s="27"/>
      <c r="R5038" s="15"/>
      <c r="X5038" s="3"/>
      <c r="Z5038" s="28"/>
    </row>
    <row r="5039" spans="2:26">
      <c r="B5039" s="2"/>
      <c r="N5039" s="27"/>
      <c r="R5039" s="15"/>
      <c r="X5039" s="3"/>
      <c r="Z5039" s="28"/>
    </row>
    <row r="5040" spans="2:26">
      <c r="B5040" s="2"/>
      <c r="N5040" s="27"/>
      <c r="R5040" s="15"/>
      <c r="X5040" s="3"/>
      <c r="Z5040" s="28"/>
    </row>
    <row r="5041" spans="2:26">
      <c r="B5041" s="2"/>
      <c r="N5041" s="27"/>
      <c r="R5041" s="15"/>
      <c r="X5041" s="3"/>
      <c r="Z5041" s="28"/>
    </row>
    <row r="5042" spans="2:26">
      <c r="B5042" s="2"/>
      <c r="N5042" s="27"/>
      <c r="R5042" s="15"/>
      <c r="X5042" s="3"/>
      <c r="Z5042" s="28"/>
    </row>
    <row r="5043" spans="2:26">
      <c r="B5043" s="2"/>
      <c r="N5043" s="27"/>
      <c r="R5043" s="15"/>
      <c r="X5043" s="3"/>
      <c r="Z5043" s="28"/>
    </row>
    <row r="5044" spans="2:26">
      <c r="B5044" s="2"/>
      <c r="N5044" s="27"/>
      <c r="R5044" s="15"/>
      <c r="X5044" s="3"/>
      <c r="Z5044" s="28"/>
    </row>
    <row r="5045" spans="2:26">
      <c r="B5045" s="2"/>
      <c r="N5045" s="27"/>
      <c r="R5045" s="15"/>
      <c r="X5045" s="3"/>
      <c r="Z5045" s="28"/>
    </row>
    <row r="5046" spans="2:26">
      <c r="B5046" s="2"/>
      <c r="N5046" s="27"/>
      <c r="R5046" s="15"/>
      <c r="X5046" s="3"/>
      <c r="Z5046" s="28"/>
    </row>
    <row r="5047" spans="2:26">
      <c r="B5047" s="2"/>
      <c r="N5047" s="27"/>
      <c r="R5047" s="15"/>
      <c r="X5047" s="3"/>
      <c r="Z5047" s="28"/>
    </row>
    <row r="5048" spans="2:26">
      <c r="B5048" s="2"/>
      <c r="N5048" s="27"/>
      <c r="R5048" s="15"/>
      <c r="X5048" s="3"/>
      <c r="Z5048" s="28"/>
    </row>
    <row r="5049" spans="2:26">
      <c r="B5049" s="2"/>
      <c r="N5049" s="27"/>
      <c r="R5049" s="15"/>
      <c r="X5049" s="3"/>
      <c r="Z5049" s="28"/>
    </row>
    <row r="5050" spans="2:26">
      <c r="B5050" s="2"/>
      <c r="N5050" s="27"/>
      <c r="R5050" s="15"/>
      <c r="X5050" s="3"/>
      <c r="Z5050" s="28"/>
    </row>
    <row r="5051" spans="2:26">
      <c r="B5051" s="2"/>
      <c r="N5051" s="27"/>
      <c r="R5051" s="15"/>
      <c r="X5051" s="3"/>
      <c r="Z5051" s="28"/>
    </row>
    <row r="5052" spans="2:26">
      <c r="B5052" s="2"/>
      <c r="N5052" s="27"/>
      <c r="R5052" s="15"/>
      <c r="X5052" s="3"/>
      <c r="Z5052" s="28"/>
    </row>
    <row r="5053" spans="2:26">
      <c r="B5053" s="2"/>
      <c r="N5053" s="27"/>
      <c r="R5053" s="15"/>
      <c r="X5053" s="3"/>
      <c r="Z5053" s="28"/>
    </row>
    <row r="5054" spans="2:26">
      <c r="B5054" s="2"/>
      <c r="N5054" s="27"/>
      <c r="R5054" s="15"/>
      <c r="X5054" s="3"/>
      <c r="Z5054" s="28"/>
    </row>
    <row r="5055" spans="2:26">
      <c r="B5055" s="2"/>
      <c r="N5055" s="27"/>
      <c r="R5055" s="15"/>
      <c r="X5055" s="3"/>
      <c r="Z5055" s="28"/>
    </row>
    <row r="5056" spans="2:26">
      <c r="B5056" s="2"/>
      <c r="N5056" s="27"/>
      <c r="R5056" s="15"/>
      <c r="X5056" s="3"/>
      <c r="Z5056" s="28"/>
    </row>
    <row r="5057" spans="2:26">
      <c r="B5057" s="2"/>
      <c r="N5057" s="27"/>
      <c r="R5057" s="15"/>
      <c r="X5057" s="3"/>
      <c r="Z5057" s="28"/>
    </row>
    <row r="5058" spans="2:26">
      <c r="B5058" s="2"/>
      <c r="N5058" s="27"/>
      <c r="R5058" s="15"/>
      <c r="X5058" s="3"/>
      <c r="Z5058" s="28"/>
    </row>
    <row r="5059" spans="2:26">
      <c r="B5059" s="2"/>
      <c r="N5059" s="27"/>
      <c r="R5059" s="15"/>
      <c r="X5059" s="3"/>
      <c r="Z5059" s="28"/>
    </row>
    <row r="5060" spans="2:26">
      <c r="B5060" s="2"/>
      <c r="N5060" s="27"/>
      <c r="R5060" s="15"/>
      <c r="X5060" s="3"/>
      <c r="Z5060" s="28"/>
    </row>
    <row r="5061" spans="2:26">
      <c r="B5061" s="2"/>
      <c r="N5061" s="27"/>
      <c r="R5061" s="15"/>
      <c r="X5061" s="3"/>
      <c r="Z5061" s="28"/>
    </row>
    <row r="5062" spans="2:26">
      <c r="B5062" s="2"/>
      <c r="N5062" s="27"/>
      <c r="R5062" s="15"/>
      <c r="X5062" s="3"/>
      <c r="Z5062" s="28"/>
    </row>
    <row r="5063" spans="2:26">
      <c r="B5063" s="2"/>
      <c r="N5063" s="27"/>
      <c r="R5063" s="15"/>
      <c r="X5063" s="3"/>
      <c r="Z5063" s="28"/>
    </row>
    <row r="5064" spans="2:26">
      <c r="B5064" s="2"/>
      <c r="N5064" s="27"/>
      <c r="R5064" s="15"/>
      <c r="X5064" s="3"/>
      <c r="Z5064" s="28"/>
    </row>
    <row r="5065" spans="2:26">
      <c r="B5065" s="2"/>
      <c r="N5065" s="27"/>
      <c r="R5065" s="15"/>
      <c r="X5065" s="3"/>
      <c r="Z5065" s="28"/>
    </row>
    <row r="5066" spans="2:26">
      <c r="B5066" s="2"/>
      <c r="N5066" s="27"/>
      <c r="R5066" s="15"/>
      <c r="X5066" s="3"/>
      <c r="Z5066" s="28"/>
    </row>
    <row r="5067" spans="2:26">
      <c r="B5067" s="2"/>
      <c r="N5067" s="27"/>
      <c r="R5067" s="15"/>
      <c r="X5067" s="3"/>
      <c r="Z5067" s="28"/>
    </row>
    <row r="5068" spans="2:26">
      <c r="B5068" s="2"/>
      <c r="N5068" s="27"/>
      <c r="R5068" s="15"/>
      <c r="X5068" s="3"/>
      <c r="Z5068" s="28"/>
    </row>
    <row r="5069" spans="2:26">
      <c r="B5069" s="2"/>
      <c r="N5069" s="27"/>
      <c r="R5069" s="15"/>
      <c r="X5069" s="3"/>
      <c r="Z5069" s="28"/>
    </row>
    <row r="5070" spans="2:26">
      <c r="B5070" s="2"/>
      <c r="N5070" s="27"/>
      <c r="R5070" s="15"/>
      <c r="X5070" s="3"/>
      <c r="Z5070" s="28"/>
    </row>
    <row r="5071" spans="2:26">
      <c r="B5071" s="2"/>
      <c r="N5071" s="27"/>
      <c r="R5071" s="15"/>
      <c r="X5071" s="3"/>
      <c r="Z5071" s="28"/>
    </row>
    <row r="5072" spans="2:26">
      <c r="B5072" s="2"/>
      <c r="N5072" s="27"/>
      <c r="R5072" s="15"/>
      <c r="X5072" s="3"/>
      <c r="Z5072" s="28"/>
    </row>
    <row r="5073" spans="2:26">
      <c r="B5073" s="2"/>
      <c r="N5073" s="27"/>
      <c r="R5073" s="15"/>
      <c r="X5073" s="3"/>
      <c r="Z5073" s="28"/>
    </row>
    <row r="5074" spans="2:26">
      <c r="B5074" s="2"/>
      <c r="N5074" s="27"/>
      <c r="R5074" s="15"/>
      <c r="X5074" s="3"/>
      <c r="Z5074" s="28"/>
    </row>
    <row r="5075" spans="2:26">
      <c r="B5075" s="2"/>
      <c r="N5075" s="27"/>
      <c r="R5075" s="15"/>
      <c r="X5075" s="3"/>
      <c r="Z5075" s="28"/>
    </row>
    <row r="5076" spans="2:26">
      <c r="B5076" s="2"/>
      <c r="N5076" s="27"/>
      <c r="R5076" s="15"/>
      <c r="X5076" s="3"/>
      <c r="Z5076" s="28"/>
    </row>
    <row r="5077" spans="2:26">
      <c r="B5077" s="2"/>
      <c r="N5077" s="27"/>
      <c r="R5077" s="15"/>
      <c r="X5077" s="3"/>
      <c r="Z5077" s="28"/>
    </row>
    <row r="5078" spans="2:26">
      <c r="B5078" s="2"/>
      <c r="N5078" s="27"/>
      <c r="R5078" s="15"/>
      <c r="X5078" s="3"/>
      <c r="Z5078" s="28"/>
    </row>
    <row r="5079" spans="2:26">
      <c r="B5079" s="2"/>
      <c r="N5079" s="27"/>
      <c r="R5079" s="15"/>
      <c r="X5079" s="3"/>
      <c r="Z5079" s="28"/>
    </row>
    <row r="5080" spans="2:26">
      <c r="B5080" s="2"/>
      <c r="N5080" s="27"/>
      <c r="R5080" s="15"/>
      <c r="X5080" s="3"/>
      <c r="Z5080" s="28"/>
    </row>
    <row r="5081" spans="2:26">
      <c r="B5081" s="2"/>
      <c r="N5081" s="27"/>
      <c r="R5081" s="15"/>
      <c r="X5081" s="3"/>
      <c r="Z5081" s="28"/>
    </row>
    <row r="5082" spans="2:26">
      <c r="B5082" s="2"/>
      <c r="N5082" s="27"/>
      <c r="R5082" s="15"/>
      <c r="X5082" s="3"/>
      <c r="Z5082" s="28"/>
    </row>
    <row r="5083" spans="2:26">
      <c r="B5083" s="2"/>
      <c r="N5083" s="27"/>
      <c r="R5083" s="15"/>
      <c r="X5083" s="3"/>
      <c r="Z5083" s="28"/>
    </row>
    <row r="5084" spans="2:26">
      <c r="B5084" s="2"/>
      <c r="N5084" s="27"/>
      <c r="R5084" s="15"/>
      <c r="X5084" s="3"/>
      <c r="Z5084" s="28"/>
    </row>
    <row r="5085" spans="2:26">
      <c r="B5085" s="2"/>
      <c r="N5085" s="27"/>
      <c r="R5085" s="15"/>
      <c r="X5085" s="3"/>
      <c r="Z5085" s="28"/>
    </row>
    <row r="5086" spans="2:26">
      <c r="B5086" s="2"/>
      <c r="N5086" s="27"/>
      <c r="R5086" s="15"/>
      <c r="X5086" s="3"/>
      <c r="Z5086" s="28"/>
    </row>
    <row r="5087" spans="2:26">
      <c r="B5087" s="2"/>
      <c r="N5087" s="27"/>
      <c r="R5087" s="15"/>
      <c r="X5087" s="3"/>
      <c r="Z5087" s="28"/>
    </row>
    <row r="5088" spans="2:26">
      <c r="B5088" s="2"/>
      <c r="N5088" s="27"/>
      <c r="R5088" s="15"/>
      <c r="X5088" s="3"/>
      <c r="Z5088" s="28"/>
    </row>
    <row r="5089" spans="2:26">
      <c r="B5089" s="2"/>
      <c r="N5089" s="27"/>
      <c r="R5089" s="15"/>
      <c r="X5089" s="3"/>
      <c r="Z5089" s="28"/>
    </row>
    <row r="5090" spans="2:26">
      <c r="B5090" s="2"/>
      <c r="N5090" s="27"/>
      <c r="R5090" s="15"/>
      <c r="X5090" s="3"/>
      <c r="Z5090" s="28"/>
    </row>
    <row r="5091" spans="2:26">
      <c r="B5091" s="2"/>
      <c r="N5091" s="27"/>
      <c r="R5091" s="15"/>
      <c r="X5091" s="3"/>
      <c r="Z5091" s="28"/>
    </row>
    <row r="5092" spans="2:26">
      <c r="B5092" s="2"/>
      <c r="N5092" s="27"/>
      <c r="R5092" s="15"/>
      <c r="X5092" s="3"/>
      <c r="Z5092" s="28"/>
    </row>
    <row r="5093" spans="2:26">
      <c r="B5093" s="2"/>
      <c r="N5093" s="27"/>
      <c r="R5093" s="15"/>
      <c r="X5093" s="3"/>
      <c r="Z5093" s="28"/>
    </row>
    <row r="5094" spans="2:26">
      <c r="B5094" s="2"/>
      <c r="N5094" s="27"/>
      <c r="R5094" s="15"/>
      <c r="X5094" s="3"/>
      <c r="Z5094" s="28"/>
    </row>
    <row r="5095" spans="2:26">
      <c r="B5095" s="2"/>
      <c r="N5095" s="27"/>
      <c r="R5095" s="15"/>
      <c r="X5095" s="3"/>
      <c r="Z5095" s="28"/>
    </row>
    <row r="5096" spans="2:26">
      <c r="B5096" s="2"/>
      <c r="N5096" s="27"/>
      <c r="R5096" s="15"/>
      <c r="X5096" s="3"/>
      <c r="Z5096" s="28"/>
    </row>
    <row r="5097" spans="2:26">
      <c r="B5097" s="2"/>
      <c r="N5097" s="27"/>
      <c r="R5097" s="15"/>
      <c r="X5097" s="3"/>
      <c r="Z5097" s="28"/>
    </row>
    <row r="5098" spans="2:26">
      <c r="B5098" s="2"/>
      <c r="N5098" s="27"/>
      <c r="R5098" s="15"/>
      <c r="X5098" s="3"/>
      <c r="Z5098" s="28"/>
    </row>
    <row r="5099" spans="2:26">
      <c r="B5099" s="2"/>
      <c r="N5099" s="27"/>
      <c r="R5099" s="15"/>
      <c r="X5099" s="3"/>
      <c r="Z5099" s="28"/>
    </row>
    <row r="5100" spans="2:26">
      <c r="B5100" s="2"/>
      <c r="N5100" s="27"/>
      <c r="R5100" s="15"/>
      <c r="X5100" s="3"/>
      <c r="Z5100" s="28"/>
    </row>
    <row r="5101" spans="2:26">
      <c r="B5101" s="2"/>
      <c r="N5101" s="27"/>
      <c r="R5101" s="15"/>
      <c r="X5101" s="3"/>
      <c r="Z5101" s="28"/>
    </row>
    <row r="5102" spans="2:26">
      <c r="B5102" s="2"/>
      <c r="N5102" s="27"/>
      <c r="R5102" s="15"/>
      <c r="X5102" s="3"/>
      <c r="Z5102" s="28"/>
    </row>
    <row r="5103" spans="2:26">
      <c r="B5103" s="2"/>
      <c r="N5103" s="27"/>
      <c r="R5103" s="15"/>
      <c r="X5103" s="3"/>
      <c r="Z5103" s="28"/>
    </row>
    <row r="5104" spans="2:26">
      <c r="B5104" s="2"/>
      <c r="N5104" s="27"/>
      <c r="R5104" s="15"/>
      <c r="X5104" s="3"/>
      <c r="Z5104" s="28"/>
    </row>
    <row r="5105" spans="2:26">
      <c r="B5105" s="2"/>
      <c r="N5105" s="27"/>
      <c r="R5105" s="15"/>
      <c r="X5105" s="3"/>
      <c r="Z5105" s="28"/>
    </row>
    <row r="5106" spans="2:26">
      <c r="B5106" s="2"/>
      <c r="N5106" s="27"/>
      <c r="R5106" s="15"/>
      <c r="X5106" s="3"/>
      <c r="Z5106" s="28"/>
    </row>
    <row r="5107" spans="2:26">
      <c r="B5107" s="2"/>
      <c r="N5107" s="27"/>
      <c r="R5107" s="15"/>
      <c r="X5107" s="3"/>
      <c r="Z5107" s="28"/>
    </row>
    <row r="5108" spans="2:26">
      <c r="B5108" s="2"/>
      <c r="N5108" s="27"/>
      <c r="R5108" s="15"/>
      <c r="X5108" s="3"/>
      <c r="Z5108" s="28"/>
    </row>
    <row r="5109" spans="2:26">
      <c r="B5109" s="2"/>
      <c r="N5109" s="27"/>
      <c r="R5109" s="15"/>
      <c r="X5109" s="3"/>
      <c r="Z5109" s="28"/>
    </row>
    <row r="5110" spans="2:26">
      <c r="B5110" s="2"/>
      <c r="N5110" s="27"/>
      <c r="R5110" s="15"/>
      <c r="X5110" s="3"/>
      <c r="Z5110" s="28"/>
    </row>
    <row r="5111" spans="2:26">
      <c r="B5111" s="2"/>
      <c r="N5111" s="27"/>
      <c r="R5111" s="15"/>
      <c r="X5111" s="3"/>
      <c r="Z5111" s="28"/>
    </row>
    <row r="5112" spans="2:26">
      <c r="B5112" s="2"/>
      <c r="N5112" s="27"/>
      <c r="R5112" s="15"/>
      <c r="X5112" s="3"/>
      <c r="Z5112" s="28"/>
    </row>
    <row r="5113" spans="2:26">
      <c r="B5113" s="2"/>
      <c r="N5113" s="27"/>
      <c r="R5113" s="15"/>
      <c r="X5113" s="3"/>
      <c r="Z5113" s="28"/>
    </row>
    <row r="5114" spans="2:26">
      <c r="B5114" s="2"/>
      <c r="N5114" s="27"/>
      <c r="R5114" s="15"/>
      <c r="X5114" s="3"/>
      <c r="Z5114" s="28"/>
    </row>
    <row r="5115" spans="2:26">
      <c r="B5115" s="2"/>
      <c r="N5115" s="27"/>
      <c r="R5115" s="15"/>
      <c r="X5115" s="3"/>
      <c r="Z5115" s="28"/>
    </row>
    <row r="5116" spans="2:26">
      <c r="B5116" s="2"/>
      <c r="N5116" s="27"/>
      <c r="R5116" s="15"/>
      <c r="X5116" s="3"/>
      <c r="Z5116" s="28"/>
    </row>
    <row r="5117" spans="2:26">
      <c r="B5117" s="2"/>
      <c r="N5117" s="27"/>
      <c r="R5117" s="15"/>
      <c r="X5117" s="3"/>
      <c r="Z5117" s="28"/>
    </row>
    <row r="5118" spans="2:26">
      <c r="B5118" s="2"/>
      <c r="N5118" s="27"/>
      <c r="R5118" s="15"/>
      <c r="X5118" s="3"/>
      <c r="Z5118" s="28"/>
    </row>
    <row r="5119" spans="2:26">
      <c r="B5119" s="2"/>
      <c r="N5119" s="27"/>
      <c r="R5119" s="15"/>
      <c r="X5119" s="3"/>
      <c r="Z5119" s="28"/>
    </row>
    <row r="5120" spans="2:26">
      <c r="B5120" s="2"/>
      <c r="N5120" s="27"/>
      <c r="R5120" s="15"/>
      <c r="X5120" s="3"/>
      <c r="Z5120" s="28"/>
    </row>
    <row r="5121" spans="2:26">
      <c r="B5121" s="2"/>
      <c r="N5121" s="27"/>
      <c r="R5121" s="15"/>
      <c r="X5121" s="3"/>
      <c r="Z5121" s="28"/>
    </row>
    <row r="5122" spans="2:26">
      <c r="B5122" s="2"/>
      <c r="N5122" s="27"/>
      <c r="R5122" s="15"/>
      <c r="X5122" s="3"/>
      <c r="Z5122" s="28"/>
    </row>
    <row r="5123" spans="2:26">
      <c r="B5123" s="2"/>
      <c r="N5123" s="27"/>
      <c r="R5123" s="15"/>
      <c r="X5123" s="3"/>
      <c r="Z5123" s="28"/>
    </row>
    <row r="5124" spans="2:26">
      <c r="B5124" s="2"/>
      <c r="N5124" s="27"/>
      <c r="R5124" s="15"/>
      <c r="X5124" s="3"/>
      <c r="Z5124" s="28"/>
    </row>
    <row r="5125" spans="2:26">
      <c r="B5125" s="2"/>
      <c r="N5125" s="27"/>
      <c r="R5125" s="15"/>
      <c r="X5125" s="3"/>
      <c r="Z5125" s="28"/>
    </row>
    <row r="5126" spans="2:26">
      <c r="B5126" s="2"/>
      <c r="N5126" s="27"/>
      <c r="R5126" s="15"/>
      <c r="X5126" s="3"/>
      <c r="Z5126" s="28"/>
    </row>
    <row r="5127" spans="2:26">
      <c r="B5127" s="2"/>
      <c r="N5127" s="27"/>
      <c r="R5127" s="15"/>
      <c r="X5127" s="3"/>
      <c r="Z5127" s="28"/>
    </row>
    <row r="5128" spans="2:26">
      <c r="B5128" s="2"/>
      <c r="N5128" s="27"/>
      <c r="R5128" s="15"/>
      <c r="X5128" s="3"/>
      <c r="Z5128" s="28"/>
    </row>
    <row r="5129" spans="2:26">
      <c r="B5129" s="2"/>
      <c r="N5129" s="27"/>
      <c r="R5129" s="15"/>
      <c r="X5129" s="3"/>
      <c r="Z5129" s="28"/>
    </row>
    <row r="5130" spans="2:26">
      <c r="B5130" s="2"/>
      <c r="N5130" s="27"/>
      <c r="R5130" s="15"/>
      <c r="X5130" s="3"/>
      <c r="Z5130" s="28"/>
    </row>
    <row r="5131" spans="2:26">
      <c r="B5131" s="2"/>
      <c r="N5131" s="27"/>
      <c r="R5131" s="15"/>
      <c r="X5131" s="3"/>
      <c r="Z5131" s="28"/>
    </row>
    <row r="5132" spans="2:26">
      <c r="B5132" s="2"/>
      <c r="N5132" s="27"/>
      <c r="R5132" s="15"/>
      <c r="X5132" s="3"/>
      <c r="Z5132" s="28"/>
    </row>
    <row r="5133" spans="2:26">
      <c r="B5133" s="2"/>
      <c r="N5133" s="27"/>
      <c r="R5133" s="15"/>
      <c r="X5133" s="3"/>
      <c r="Z5133" s="28"/>
    </row>
    <row r="5134" spans="2:26">
      <c r="B5134" s="2"/>
      <c r="N5134" s="27"/>
      <c r="R5134" s="15"/>
      <c r="X5134" s="3"/>
      <c r="Z5134" s="28"/>
    </row>
    <row r="5135" spans="2:26">
      <c r="B5135" s="2"/>
      <c r="N5135" s="27"/>
      <c r="R5135" s="15"/>
      <c r="X5135" s="3"/>
      <c r="Z5135" s="28"/>
    </row>
    <row r="5136" spans="2:26">
      <c r="B5136" s="2"/>
      <c r="N5136" s="27"/>
      <c r="R5136" s="15"/>
      <c r="X5136" s="3"/>
      <c r="Z5136" s="28"/>
    </row>
    <row r="5137" spans="2:26">
      <c r="B5137" s="2"/>
      <c r="N5137" s="27"/>
      <c r="R5137" s="15"/>
      <c r="X5137" s="3"/>
      <c r="Z5137" s="28"/>
    </row>
    <row r="5138" spans="2:26">
      <c r="B5138" s="2"/>
      <c r="N5138" s="27"/>
      <c r="R5138" s="15"/>
      <c r="X5138" s="3"/>
      <c r="Z5138" s="28"/>
    </row>
    <row r="5139" spans="2:26">
      <c r="B5139" s="2"/>
      <c r="N5139" s="27"/>
      <c r="R5139" s="15"/>
      <c r="X5139" s="3"/>
      <c r="Z5139" s="28"/>
    </row>
    <row r="5140" spans="2:26">
      <c r="B5140" s="2"/>
      <c r="N5140" s="27"/>
      <c r="R5140" s="15"/>
      <c r="X5140" s="3"/>
      <c r="Z5140" s="28"/>
    </row>
    <row r="5141" spans="2:26">
      <c r="B5141" s="2"/>
      <c r="N5141" s="27"/>
      <c r="R5141" s="15"/>
      <c r="X5141" s="3"/>
      <c r="Z5141" s="28"/>
    </row>
    <row r="5142" spans="2:26">
      <c r="B5142" s="2"/>
      <c r="N5142" s="27"/>
      <c r="R5142" s="15"/>
      <c r="X5142" s="3"/>
      <c r="Z5142" s="28"/>
    </row>
    <row r="5143" spans="2:26">
      <c r="B5143" s="2"/>
      <c r="N5143" s="27"/>
      <c r="R5143" s="15"/>
      <c r="X5143" s="3"/>
      <c r="Z5143" s="28"/>
    </row>
    <row r="5144" spans="2:26">
      <c r="B5144" s="2"/>
      <c r="N5144" s="27"/>
      <c r="R5144" s="15"/>
      <c r="X5144" s="3"/>
      <c r="Z5144" s="28"/>
    </row>
    <row r="5145" spans="2:26">
      <c r="B5145" s="2"/>
      <c r="N5145" s="27"/>
      <c r="R5145" s="15"/>
      <c r="X5145" s="3"/>
      <c r="Z5145" s="28"/>
    </row>
    <row r="5146" spans="2:26">
      <c r="B5146" s="2"/>
      <c r="N5146" s="27"/>
      <c r="R5146" s="15"/>
      <c r="X5146" s="3"/>
      <c r="Z5146" s="28"/>
    </row>
    <row r="5147" spans="2:26">
      <c r="B5147" s="2"/>
      <c r="N5147" s="27"/>
      <c r="R5147" s="15"/>
      <c r="X5147" s="3"/>
      <c r="Z5147" s="28"/>
    </row>
    <row r="5148" spans="2:26">
      <c r="B5148" s="2"/>
      <c r="N5148" s="27"/>
      <c r="R5148" s="15"/>
      <c r="X5148" s="3"/>
      <c r="Z5148" s="28"/>
    </row>
    <row r="5149" spans="2:26">
      <c r="B5149" s="2"/>
      <c r="N5149" s="27"/>
      <c r="R5149" s="15"/>
      <c r="X5149" s="3"/>
      <c r="Z5149" s="28"/>
    </row>
    <row r="5150" spans="2:26">
      <c r="B5150" s="2"/>
      <c r="N5150" s="27"/>
      <c r="R5150" s="15"/>
      <c r="X5150" s="3"/>
      <c r="Z5150" s="28"/>
    </row>
    <row r="5151" spans="2:26">
      <c r="B5151" s="2"/>
      <c r="N5151" s="27"/>
      <c r="R5151" s="15"/>
      <c r="X5151" s="3"/>
      <c r="Z5151" s="28"/>
    </row>
    <row r="5152" spans="2:26">
      <c r="B5152" s="2"/>
      <c r="N5152" s="27"/>
      <c r="R5152" s="15"/>
      <c r="X5152" s="3"/>
      <c r="Z5152" s="28"/>
    </row>
    <row r="5153" spans="2:26">
      <c r="B5153" s="2"/>
      <c r="N5153" s="27"/>
      <c r="R5153" s="15"/>
      <c r="X5153" s="3"/>
      <c r="Z5153" s="28"/>
    </row>
    <row r="5154" spans="2:26">
      <c r="B5154" s="2"/>
      <c r="N5154" s="27"/>
      <c r="R5154" s="15"/>
      <c r="X5154" s="3"/>
      <c r="Z5154" s="28"/>
    </row>
    <row r="5155" spans="2:26">
      <c r="B5155" s="2"/>
      <c r="N5155" s="27"/>
      <c r="R5155" s="15"/>
      <c r="X5155" s="3"/>
      <c r="Z5155" s="28"/>
    </row>
    <row r="5156" spans="2:26">
      <c r="B5156" s="2"/>
      <c r="N5156" s="27"/>
      <c r="R5156" s="15"/>
      <c r="X5156" s="3"/>
      <c r="Z5156" s="28"/>
    </row>
    <row r="5157" spans="2:26">
      <c r="B5157" s="2"/>
      <c r="N5157" s="27"/>
      <c r="R5157" s="15"/>
      <c r="X5157" s="3"/>
      <c r="Z5157" s="28"/>
    </row>
    <row r="5158" spans="2:26">
      <c r="B5158" s="2"/>
      <c r="N5158" s="27"/>
      <c r="R5158" s="15"/>
      <c r="X5158" s="3"/>
      <c r="Z5158" s="28"/>
    </row>
    <row r="5159" spans="2:26">
      <c r="B5159" s="2"/>
      <c r="N5159" s="27"/>
      <c r="R5159" s="15"/>
      <c r="X5159" s="3"/>
      <c r="Z5159" s="28"/>
    </row>
    <row r="5160" spans="2:26">
      <c r="B5160" s="2"/>
      <c r="N5160" s="27"/>
      <c r="R5160" s="15"/>
      <c r="X5160" s="3"/>
      <c r="Z5160" s="28"/>
    </row>
    <row r="5161" spans="2:26">
      <c r="B5161" s="2"/>
      <c r="N5161" s="27"/>
      <c r="R5161" s="15"/>
      <c r="X5161" s="3"/>
      <c r="Z5161" s="28"/>
    </row>
    <row r="5162" spans="2:26">
      <c r="B5162" s="2"/>
      <c r="N5162" s="27"/>
      <c r="R5162" s="15"/>
      <c r="X5162" s="3"/>
      <c r="Z5162" s="28"/>
    </row>
    <row r="5163" spans="2:26">
      <c r="B5163" s="2"/>
      <c r="N5163" s="27"/>
      <c r="R5163" s="15"/>
      <c r="X5163" s="3"/>
      <c r="Z5163" s="28"/>
    </row>
    <row r="5164" spans="2:26">
      <c r="B5164" s="2"/>
      <c r="N5164" s="27"/>
      <c r="R5164" s="15"/>
      <c r="X5164" s="3"/>
      <c r="Z5164" s="28"/>
    </row>
    <row r="5165" spans="2:26">
      <c r="B5165" s="2"/>
      <c r="N5165" s="27"/>
      <c r="R5165" s="15"/>
      <c r="X5165" s="3"/>
      <c r="Z5165" s="28"/>
    </row>
    <row r="5166" spans="2:26">
      <c r="B5166" s="2"/>
      <c r="N5166" s="27"/>
      <c r="R5166" s="15"/>
      <c r="X5166" s="3"/>
      <c r="Z5166" s="28"/>
    </row>
    <row r="5167" spans="2:26">
      <c r="B5167" s="2"/>
      <c r="N5167" s="27"/>
      <c r="R5167" s="15"/>
      <c r="X5167" s="3"/>
      <c r="Z5167" s="28"/>
    </row>
    <row r="5168" spans="2:26">
      <c r="B5168" s="2"/>
      <c r="N5168" s="27"/>
      <c r="R5168" s="15"/>
      <c r="X5168" s="3"/>
      <c r="Z5168" s="28"/>
    </row>
    <row r="5169" spans="2:26">
      <c r="B5169" s="2"/>
      <c r="N5169" s="27"/>
      <c r="R5169" s="15"/>
      <c r="X5169" s="3"/>
      <c r="Z5169" s="28"/>
    </row>
    <row r="5170" spans="2:26">
      <c r="B5170" s="2"/>
      <c r="N5170" s="27"/>
      <c r="R5170" s="15"/>
      <c r="X5170" s="3"/>
      <c r="Z5170" s="28"/>
    </row>
    <row r="5171" spans="2:26">
      <c r="B5171" s="2"/>
      <c r="N5171" s="27"/>
      <c r="R5171" s="15"/>
      <c r="X5171" s="3"/>
      <c r="Z5171" s="28"/>
    </row>
    <row r="5172" spans="2:26">
      <c r="B5172" s="2"/>
      <c r="N5172" s="27"/>
      <c r="R5172" s="15"/>
      <c r="X5172" s="3"/>
      <c r="Z5172" s="28"/>
    </row>
    <row r="5173" spans="2:26">
      <c r="B5173" s="2"/>
      <c r="N5173" s="27"/>
      <c r="R5173" s="15"/>
      <c r="X5173" s="3"/>
      <c r="Z5173" s="28"/>
    </row>
    <row r="5174" spans="2:26">
      <c r="B5174" s="2"/>
      <c r="N5174" s="27"/>
      <c r="R5174" s="15"/>
      <c r="X5174" s="3"/>
      <c r="Z5174" s="28"/>
    </row>
    <row r="5175" spans="2:26">
      <c r="B5175" s="2"/>
      <c r="N5175" s="27"/>
      <c r="R5175" s="15"/>
      <c r="X5175" s="3"/>
      <c r="Z5175" s="28"/>
    </row>
    <row r="5176" spans="2:26">
      <c r="B5176" s="2"/>
      <c r="N5176" s="27"/>
      <c r="R5176" s="15"/>
      <c r="X5176" s="3"/>
      <c r="Z5176" s="28"/>
    </row>
    <row r="5177" spans="2:26">
      <c r="B5177" s="2"/>
      <c r="N5177" s="27"/>
      <c r="R5177" s="15"/>
      <c r="X5177" s="3"/>
      <c r="Z5177" s="28"/>
    </row>
    <row r="5178" spans="2:26">
      <c r="B5178" s="2"/>
      <c r="N5178" s="27"/>
      <c r="R5178" s="15"/>
      <c r="X5178" s="3"/>
      <c r="Z5178" s="28"/>
    </row>
    <row r="5179" spans="2:26">
      <c r="B5179" s="2"/>
      <c r="N5179" s="27"/>
      <c r="R5179" s="15"/>
      <c r="X5179" s="3"/>
      <c r="Z5179" s="28"/>
    </row>
    <row r="5180" spans="2:26">
      <c r="B5180" s="2"/>
      <c r="N5180" s="27"/>
      <c r="R5180" s="15"/>
      <c r="X5180" s="3"/>
      <c r="Z5180" s="28"/>
    </row>
    <row r="5181" spans="2:26">
      <c r="B5181" s="2"/>
      <c r="N5181" s="27"/>
      <c r="R5181" s="15"/>
      <c r="X5181" s="3"/>
      <c r="Z5181" s="28"/>
    </row>
    <row r="5182" spans="2:26">
      <c r="B5182" s="2"/>
      <c r="N5182" s="27"/>
      <c r="R5182" s="15"/>
      <c r="X5182" s="3"/>
      <c r="Z5182" s="28"/>
    </row>
    <row r="5183" spans="2:26">
      <c r="B5183" s="2"/>
      <c r="N5183" s="27"/>
      <c r="R5183" s="15"/>
      <c r="X5183" s="3"/>
      <c r="Z5183" s="28"/>
    </row>
    <row r="5184" spans="2:26">
      <c r="B5184" s="2"/>
      <c r="N5184" s="27"/>
      <c r="R5184" s="15"/>
      <c r="X5184" s="3"/>
      <c r="Z5184" s="28"/>
    </row>
    <row r="5185" spans="2:26">
      <c r="B5185" s="2"/>
      <c r="N5185" s="27"/>
      <c r="R5185" s="15"/>
      <c r="X5185" s="3"/>
      <c r="Z5185" s="28"/>
    </row>
    <row r="5186" spans="2:26">
      <c r="B5186" s="2"/>
      <c r="N5186" s="27"/>
      <c r="R5186" s="15"/>
      <c r="X5186" s="3"/>
      <c r="Z5186" s="28"/>
    </row>
    <row r="5187" spans="2:26">
      <c r="B5187" s="2"/>
      <c r="N5187" s="27"/>
      <c r="R5187" s="15"/>
      <c r="X5187" s="3"/>
      <c r="Z5187" s="28"/>
    </row>
    <row r="5188" spans="2:26">
      <c r="B5188" s="2"/>
      <c r="N5188" s="27"/>
      <c r="R5188" s="15"/>
      <c r="X5188" s="3"/>
      <c r="Z5188" s="28"/>
    </row>
    <row r="5189" spans="2:26">
      <c r="B5189" s="2"/>
      <c r="N5189" s="27"/>
      <c r="R5189" s="15"/>
      <c r="X5189" s="3"/>
      <c r="Z5189" s="28"/>
    </row>
    <row r="5190" spans="2:26">
      <c r="B5190" s="2"/>
      <c r="N5190" s="27"/>
      <c r="R5190" s="15"/>
      <c r="X5190" s="3"/>
      <c r="Z5190" s="28"/>
    </row>
    <row r="5191" spans="2:26">
      <c r="B5191" s="2"/>
      <c r="N5191" s="27"/>
      <c r="R5191" s="15"/>
      <c r="X5191" s="3"/>
      <c r="Z5191" s="28"/>
    </row>
    <row r="5192" spans="2:26">
      <c r="B5192" s="2"/>
      <c r="N5192" s="27"/>
      <c r="R5192" s="15"/>
      <c r="X5192" s="3"/>
      <c r="Z5192" s="28"/>
    </row>
    <row r="5193" spans="2:26">
      <c r="B5193" s="2"/>
      <c r="N5193" s="27"/>
      <c r="R5193" s="15"/>
      <c r="X5193" s="3"/>
      <c r="Z5193" s="28"/>
    </row>
    <row r="5194" spans="2:26">
      <c r="B5194" s="2"/>
      <c r="N5194" s="27"/>
      <c r="R5194" s="15"/>
      <c r="X5194" s="3"/>
      <c r="Z5194" s="28"/>
    </row>
    <row r="5195" spans="2:26">
      <c r="B5195" s="2"/>
      <c r="N5195" s="27"/>
      <c r="R5195" s="15"/>
      <c r="X5195" s="3"/>
      <c r="Z5195" s="28"/>
    </row>
    <row r="5196" spans="2:26">
      <c r="B5196" s="2"/>
      <c r="N5196" s="27"/>
      <c r="R5196" s="15"/>
      <c r="X5196" s="3"/>
      <c r="Z5196" s="28"/>
    </row>
    <row r="5197" spans="2:26">
      <c r="B5197" s="2"/>
      <c r="N5197" s="27"/>
      <c r="R5197" s="15"/>
      <c r="X5197" s="3"/>
      <c r="Z5197" s="28"/>
    </row>
    <row r="5198" spans="2:26">
      <c r="B5198" s="2"/>
      <c r="N5198" s="27"/>
      <c r="R5198" s="15"/>
      <c r="X5198" s="3"/>
      <c r="Z5198" s="28"/>
    </row>
    <row r="5199" spans="2:26">
      <c r="B5199" s="2"/>
      <c r="N5199" s="27"/>
      <c r="R5199" s="15"/>
      <c r="X5199" s="3"/>
      <c r="Z5199" s="28"/>
    </row>
    <row r="5200" spans="2:26">
      <c r="B5200" s="2"/>
      <c r="N5200" s="27"/>
      <c r="R5200" s="15"/>
      <c r="X5200" s="3"/>
      <c r="Z5200" s="28"/>
    </row>
    <row r="5201" spans="2:26">
      <c r="B5201" s="2"/>
      <c r="N5201" s="27"/>
      <c r="R5201" s="15"/>
      <c r="X5201" s="3"/>
      <c r="Z5201" s="28"/>
    </row>
    <row r="5202" spans="2:26">
      <c r="B5202" s="2"/>
      <c r="N5202" s="27"/>
      <c r="R5202" s="15"/>
      <c r="X5202" s="3"/>
      <c r="Z5202" s="28"/>
    </row>
    <row r="5203" spans="2:26">
      <c r="B5203" s="2"/>
      <c r="N5203" s="27"/>
      <c r="R5203" s="15"/>
      <c r="X5203" s="3"/>
      <c r="Z5203" s="28"/>
    </row>
    <row r="5204" spans="2:26">
      <c r="B5204" s="2"/>
      <c r="N5204" s="27"/>
      <c r="R5204" s="15"/>
      <c r="X5204" s="3"/>
      <c r="Z5204" s="28"/>
    </row>
    <row r="5205" spans="2:26">
      <c r="B5205" s="2"/>
      <c r="N5205" s="27"/>
      <c r="R5205" s="15"/>
      <c r="X5205" s="3"/>
      <c r="Z5205" s="28"/>
    </row>
    <row r="5206" spans="2:26">
      <c r="B5206" s="2"/>
      <c r="N5206" s="27"/>
      <c r="R5206" s="15"/>
      <c r="X5206" s="3"/>
      <c r="Z5206" s="28"/>
    </row>
    <row r="5207" spans="2:26">
      <c r="B5207" s="2"/>
      <c r="N5207" s="27"/>
      <c r="R5207" s="15"/>
      <c r="X5207" s="3"/>
      <c r="Z5207" s="28"/>
    </row>
    <row r="5208" spans="2:26">
      <c r="B5208" s="2"/>
      <c r="N5208" s="27"/>
      <c r="R5208" s="15"/>
      <c r="X5208" s="3"/>
      <c r="Z5208" s="28"/>
    </row>
    <row r="5209" spans="2:26">
      <c r="B5209" s="2"/>
      <c r="N5209" s="27"/>
      <c r="R5209" s="15"/>
      <c r="X5209" s="3"/>
      <c r="Z5209" s="28"/>
    </row>
    <row r="5210" spans="2:26">
      <c r="B5210" s="2"/>
      <c r="N5210" s="27"/>
      <c r="R5210" s="15"/>
      <c r="X5210" s="3"/>
      <c r="Z5210" s="28"/>
    </row>
    <row r="5211" spans="2:26">
      <c r="B5211" s="2"/>
      <c r="N5211" s="27"/>
      <c r="R5211" s="15"/>
      <c r="X5211" s="3"/>
      <c r="Z5211" s="28"/>
    </row>
    <row r="5212" spans="2:26">
      <c r="B5212" s="2"/>
      <c r="N5212" s="27"/>
      <c r="R5212" s="15"/>
      <c r="X5212" s="3"/>
      <c r="Z5212" s="28"/>
    </row>
    <row r="5213" spans="2:26">
      <c r="B5213" s="2"/>
      <c r="N5213" s="27"/>
      <c r="R5213" s="15"/>
      <c r="X5213" s="3"/>
      <c r="Z5213" s="28"/>
    </row>
    <row r="5214" spans="2:26">
      <c r="B5214" s="2"/>
      <c r="N5214" s="27"/>
      <c r="R5214" s="15"/>
      <c r="X5214" s="3"/>
      <c r="Z5214" s="28"/>
    </row>
    <row r="5215" spans="2:26">
      <c r="B5215" s="2"/>
      <c r="N5215" s="27"/>
      <c r="R5215" s="15"/>
      <c r="X5215" s="3"/>
      <c r="Z5215" s="28"/>
    </row>
    <row r="5216" spans="2:26">
      <c r="B5216" s="2"/>
      <c r="N5216" s="27"/>
      <c r="R5216" s="15"/>
      <c r="X5216" s="3"/>
      <c r="Z5216" s="28"/>
    </row>
    <row r="5217" spans="2:26">
      <c r="B5217" s="2"/>
      <c r="N5217" s="27"/>
      <c r="R5217" s="15"/>
      <c r="X5217" s="3"/>
      <c r="Z5217" s="28"/>
    </row>
    <row r="5218" spans="2:26">
      <c r="B5218" s="2"/>
      <c r="N5218" s="27"/>
      <c r="R5218" s="15"/>
      <c r="X5218" s="3"/>
      <c r="Z5218" s="28"/>
    </row>
    <row r="5219" spans="2:26">
      <c r="B5219" s="2"/>
      <c r="N5219" s="27"/>
      <c r="R5219" s="15"/>
      <c r="X5219" s="3"/>
      <c r="Z5219" s="28"/>
    </row>
    <row r="5220" spans="2:26">
      <c r="B5220" s="2"/>
      <c r="N5220" s="27"/>
      <c r="R5220" s="15"/>
      <c r="X5220" s="3"/>
      <c r="Z5220" s="28"/>
    </row>
    <row r="5221" spans="2:26">
      <c r="B5221" s="2"/>
      <c r="N5221" s="27"/>
      <c r="R5221" s="15"/>
      <c r="X5221" s="3"/>
      <c r="Z5221" s="28"/>
    </row>
    <row r="5222" spans="2:26">
      <c r="B5222" s="2"/>
      <c r="N5222" s="27"/>
      <c r="R5222" s="15"/>
      <c r="X5222" s="3"/>
      <c r="Z5222" s="28"/>
    </row>
    <row r="5223" spans="2:26">
      <c r="B5223" s="2"/>
      <c r="N5223" s="27"/>
      <c r="R5223" s="15"/>
      <c r="X5223" s="3"/>
      <c r="Z5223" s="28"/>
    </row>
    <row r="5224" spans="2:26">
      <c r="B5224" s="2"/>
      <c r="N5224" s="27"/>
      <c r="R5224" s="15"/>
      <c r="X5224" s="3"/>
      <c r="Z5224" s="28"/>
    </row>
    <row r="5225" spans="2:26">
      <c r="B5225" s="2"/>
      <c r="N5225" s="27"/>
      <c r="R5225" s="15"/>
      <c r="X5225" s="3"/>
      <c r="Z5225" s="28"/>
    </row>
    <row r="5226" spans="2:26">
      <c r="B5226" s="2"/>
      <c r="N5226" s="27"/>
      <c r="R5226" s="15"/>
      <c r="X5226" s="3"/>
      <c r="Z5226" s="28"/>
    </row>
    <row r="5227" spans="2:26">
      <c r="B5227" s="2"/>
      <c r="N5227" s="27"/>
      <c r="R5227" s="15"/>
      <c r="X5227" s="3"/>
      <c r="Z5227" s="28"/>
    </row>
    <row r="5228" spans="2:26">
      <c r="B5228" s="2"/>
      <c r="N5228" s="27"/>
      <c r="R5228" s="15"/>
      <c r="X5228" s="3"/>
      <c r="Z5228" s="28"/>
    </row>
    <row r="5229" spans="2:26">
      <c r="B5229" s="2"/>
      <c r="N5229" s="27"/>
      <c r="R5229" s="15"/>
      <c r="X5229" s="3"/>
      <c r="Z5229" s="28"/>
    </row>
    <row r="5230" spans="2:26">
      <c r="B5230" s="2"/>
      <c r="N5230" s="27"/>
      <c r="R5230" s="15"/>
      <c r="X5230" s="3"/>
      <c r="Z5230" s="28"/>
    </row>
    <row r="5231" spans="2:26">
      <c r="B5231" s="2"/>
      <c r="N5231" s="27"/>
      <c r="R5231" s="15"/>
      <c r="X5231" s="3"/>
      <c r="Z5231" s="28"/>
    </row>
    <row r="5232" spans="2:26">
      <c r="B5232" s="2"/>
      <c r="N5232" s="27"/>
      <c r="R5232" s="15"/>
      <c r="X5232" s="3"/>
      <c r="Z5232" s="28"/>
    </row>
    <row r="5233" spans="2:26">
      <c r="B5233" s="2"/>
      <c r="N5233" s="27"/>
      <c r="R5233" s="15"/>
      <c r="X5233" s="3"/>
      <c r="Z5233" s="28"/>
    </row>
    <row r="5234" spans="2:26">
      <c r="B5234" s="2"/>
      <c r="N5234" s="27"/>
      <c r="R5234" s="15"/>
      <c r="X5234" s="3"/>
      <c r="Z5234" s="28"/>
    </row>
    <row r="5235" spans="2:26">
      <c r="B5235" s="2"/>
      <c r="N5235" s="27"/>
      <c r="R5235" s="15"/>
      <c r="X5235" s="3"/>
      <c r="Z5235" s="28"/>
    </row>
    <row r="5236" spans="2:26">
      <c r="B5236" s="2"/>
      <c r="N5236" s="27"/>
      <c r="R5236" s="15"/>
      <c r="X5236" s="3"/>
      <c r="Z5236" s="28"/>
    </row>
    <row r="5237" spans="2:26">
      <c r="B5237" s="2"/>
      <c r="N5237" s="27"/>
      <c r="R5237" s="15"/>
      <c r="X5237" s="3"/>
      <c r="Z5237" s="28"/>
    </row>
    <row r="5238" spans="2:26">
      <c r="B5238" s="2"/>
      <c r="N5238" s="27"/>
      <c r="R5238" s="15"/>
      <c r="X5238" s="3"/>
      <c r="Z5238" s="28"/>
    </row>
    <row r="5239" spans="2:26">
      <c r="B5239" s="2"/>
      <c r="N5239" s="27"/>
      <c r="R5239" s="15"/>
      <c r="X5239" s="3"/>
      <c r="Z5239" s="28"/>
    </row>
    <row r="5240" spans="2:26">
      <c r="B5240" s="2"/>
      <c r="N5240" s="27"/>
      <c r="R5240" s="15"/>
      <c r="X5240" s="3"/>
      <c r="Z5240" s="28"/>
    </row>
    <row r="5241" spans="2:26">
      <c r="B5241" s="2"/>
      <c r="N5241" s="27"/>
      <c r="R5241" s="15"/>
      <c r="X5241" s="3"/>
      <c r="Z5241" s="28"/>
    </row>
    <row r="5242" spans="2:26">
      <c r="B5242" s="2"/>
      <c r="N5242" s="27"/>
      <c r="R5242" s="15"/>
      <c r="X5242" s="3"/>
      <c r="Z5242" s="28"/>
    </row>
    <row r="5243" spans="2:26">
      <c r="B5243" s="2"/>
      <c r="N5243" s="27"/>
      <c r="R5243" s="15"/>
      <c r="X5243" s="3"/>
      <c r="Z5243" s="28"/>
    </row>
    <row r="5244" spans="2:26">
      <c r="B5244" s="2"/>
      <c r="N5244" s="27"/>
      <c r="R5244" s="15"/>
      <c r="X5244" s="3"/>
      <c r="Z5244" s="28"/>
    </row>
    <row r="5245" spans="2:26">
      <c r="B5245" s="2"/>
      <c r="N5245" s="27"/>
      <c r="R5245" s="15"/>
      <c r="X5245" s="3"/>
      <c r="Z5245" s="28"/>
    </row>
    <row r="5246" spans="2:26">
      <c r="B5246" s="2"/>
      <c r="N5246" s="27"/>
      <c r="R5246" s="15"/>
      <c r="X5246" s="3"/>
      <c r="Z5246" s="28"/>
    </row>
    <row r="5247" spans="2:26">
      <c r="B5247" s="2"/>
      <c r="N5247" s="27"/>
      <c r="R5247" s="15"/>
      <c r="X5247" s="3"/>
      <c r="Z5247" s="28"/>
    </row>
    <row r="5248" spans="2:26">
      <c r="B5248" s="2"/>
      <c r="N5248" s="27"/>
      <c r="R5248" s="15"/>
      <c r="X5248" s="3"/>
      <c r="Z5248" s="28"/>
    </row>
    <row r="5249" spans="2:26">
      <c r="B5249" s="2"/>
      <c r="N5249" s="27"/>
      <c r="R5249" s="15"/>
      <c r="X5249" s="3"/>
      <c r="Z5249" s="28"/>
    </row>
    <row r="5250" spans="2:26">
      <c r="B5250" s="2"/>
      <c r="N5250" s="27"/>
      <c r="R5250" s="15"/>
      <c r="X5250" s="3"/>
      <c r="Z5250" s="28"/>
    </row>
    <row r="5251" spans="2:26">
      <c r="B5251" s="2"/>
      <c r="N5251" s="27"/>
      <c r="R5251" s="15"/>
      <c r="X5251" s="3"/>
      <c r="Z5251" s="28"/>
    </row>
    <row r="5252" spans="2:26">
      <c r="B5252" s="2"/>
      <c r="N5252" s="27"/>
      <c r="R5252" s="15"/>
      <c r="X5252" s="3"/>
      <c r="Z5252" s="28"/>
    </row>
    <row r="5253" spans="2:26">
      <c r="B5253" s="2"/>
      <c r="N5253" s="27"/>
      <c r="R5253" s="15"/>
      <c r="X5253" s="3"/>
      <c r="Z5253" s="28"/>
    </row>
    <row r="5254" spans="2:26">
      <c r="B5254" s="2"/>
      <c r="N5254" s="27"/>
      <c r="R5254" s="15"/>
      <c r="X5254" s="3"/>
      <c r="Z5254" s="28"/>
    </row>
    <row r="5255" spans="2:26">
      <c r="B5255" s="2"/>
      <c r="N5255" s="27"/>
      <c r="R5255" s="15"/>
      <c r="X5255" s="3"/>
      <c r="Z5255" s="28"/>
    </row>
    <row r="5256" spans="2:26">
      <c r="B5256" s="2"/>
      <c r="N5256" s="27"/>
      <c r="R5256" s="15"/>
      <c r="X5256" s="3"/>
      <c r="Z5256" s="28"/>
    </row>
    <row r="5257" spans="2:26">
      <c r="B5257" s="2"/>
      <c r="N5257" s="27"/>
      <c r="R5257" s="15"/>
      <c r="X5257" s="3"/>
      <c r="Z5257" s="28"/>
    </row>
    <row r="5258" spans="2:26">
      <c r="B5258" s="2"/>
      <c r="N5258" s="27"/>
      <c r="R5258" s="15"/>
      <c r="X5258" s="3"/>
      <c r="Z5258" s="28"/>
    </row>
    <row r="5259" spans="2:26">
      <c r="B5259" s="2"/>
      <c r="N5259" s="27"/>
      <c r="R5259" s="15"/>
      <c r="X5259" s="3"/>
      <c r="Z5259" s="28"/>
    </row>
    <row r="5260" spans="2:26">
      <c r="B5260" s="2"/>
      <c r="N5260" s="27"/>
      <c r="R5260" s="15"/>
      <c r="X5260" s="3"/>
      <c r="Z5260" s="28"/>
    </row>
    <row r="5261" spans="2:26">
      <c r="B5261" s="2"/>
      <c r="N5261" s="27"/>
      <c r="R5261" s="15"/>
      <c r="X5261" s="3"/>
      <c r="Z5261" s="28"/>
    </row>
    <row r="5262" spans="2:26">
      <c r="B5262" s="2"/>
      <c r="N5262" s="27"/>
      <c r="R5262" s="15"/>
      <c r="X5262" s="3"/>
      <c r="Z5262" s="28"/>
    </row>
    <row r="5263" spans="2:26">
      <c r="B5263" s="2"/>
      <c r="N5263" s="27"/>
      <c r="R5263" s="15"/>
      <c r="X5263" s="3"/>
      <c r="Z5263" s="28"/>
    </row>
    <row r="5264" spans="2:26">
      <c r="B5264" s="2"/>
      <c r="N5264" s="27"/>
      <c r="R5264" s="15"/>
      <c r="X5264" s="3"/>
      <c r="Z5264" s="28"/>
    </row>
    <row r="5265" spans="2:26">
      <c r="B5265" s="2"/>
      <c r="N5265" s="27"/>
      <c r="R5265" s="15"/>
      <c r="X5265" s="3"/>
      <c r="Z5265" s="28"/>
    </row>
    <row r="5266" spans="2:26">
      <c r="B5266" s="2"/>
      <c r="N5266" s="27"/>
      <c r="R5266" s="15"/>
      <c r="X5266" s="3"/>
      <c r="Z5266" s="28"/>
    </row>
    <row r="5267" spans="2:26">
      <c r="B5267" s="2"/>
      <c r="N5267" s="27"/>
      <c r="R5267" s="15"/>
      <c r="X5267" s="3"/>
      <c r="Z5267" s="28"/>
    </row>
    <row r="5268" spans="2:26">
      <c r="B5268" s="2"/>
      <c r="N5268" s="27"/>
      <c r="R5268" s="15"/>
      <c r="X5268" s="3"/>
      <c r="Z5268" s="28"/>
    </row>
    <row r="5269" spans="2:26">
      <c r="B5269" s="2"/>
      <c r="N5269" s="27"/>
      <c r="R5269" s="15"/>
      <c r="X5269" s="3"/>
      <c r="Z5269" s="28"/>
    </row>
    <row r="5270" spans="2:26">
      <c r="B5270" s="2"/>
      <c r="N5270" s="27"/>
      <c r="R5270" s="15"/>
      <c r="X5270" s="3"/>
      <c r="Z5270" s="28"/>
    </row>
    <row r="5271" spans="2:26">
      <c r="B5271" s="2"/>
      <c r="N5271" s="27"/>
      <c r="R5271" s="15"/>
      <c r="X5271" s="3"/>
      <c r="Z5271" s="28"/>
    </row>
    <row r="5272" spans="2:26">
      <c r="B5272" s="2"/>
      <c r="N5272" s="27"/>
      <c r="R5272" s="15"/>
      <c r="X5272" s="3"/>
      <c r="Z5272" s="28"/>
    </row>
    <row r="5273" spans="2:26">
      <c r="B5273" s="2"/>
      <c r="N5273" s="27"/>
      <c r="R5273" s="15"/>
      <c r="X5273" s="3"/>
      <c r="Z5273" s="28"/>
    </row>
    <row r="5274" spans="2:26">
      <c r="B5274" s="2"/>
      <c r="N5274" s="27"/>
      <c r="R5274" s="15"/>
      <c r="X5274" s="3"/>
      <c r="Z5274" s="28"/>
    </row>
    <row r="5275" spans="2:26">
      <c r="B5275" s="2"/>
      <c r="N5275" s="27"/>
      <c r="R5275" s="15"/>
      <c r="X5275" s="3"/>
      <c r="Z5275" s="28"/>
    </row>
    <row r="5276" spans="2:26">
      <c r="B5276" s="2"/>
      <c r="N5276" s="27"/>
      <c r="R5276" s="15"/>
      <c r="X5276" s="3"/>
      <c r="Z5276" s="28"/>
    </row>
    <row r="5277" spans="2:26">
      <c r="B5277" s="2"/>
      <c r="N5277" s="27"/>
      <c r="R5277" s="15"/>
      <c r="X5277" s="3"/>
      <c r="Z5277" s="28"/>
    </row>
    <row r="5278" spans="2:26">
      <c r="B5278" s="2"/>
      <c r="N5278" s="27"/>
      <c r="R5278" s="15"/>
      <c r="X5278" s="3"/>
      <c r="Z5278" s="28"/>
    </row>
    <row r="5279" spans="2:26">
      <c r="B5279" s="2"/>
      <c r="N5279" s="27"/>
      <c r="R5279" s="15"/>
      <c r="X5279" s="3"/>
      <c r="Z5279" s="28"/>
    </row>
    <row r="5280" spans="2:26">
      <c r="B5280" s="2"/>
      <c r="N5280" s="27"/>
      <c r="R5280" s="15"/>
      <c r="X5280" s="3"/>
      <c r="Z5280" s="28"/>
    </row>
    <row r="5281" spans="2:26">
      <c r="B5281" s="2"/>
      <c r="N5281" s="27"/>
      <c r="R5281" s="15"/>
      <c r="X5281" s="3"/>
      <c r="Z5281" s="28"/>
    </row>
    <row r="5282" spans="2:26">
      <c r="B5282" s="2"/>
      <c r="N5282" s="27"/>
      <c r="R5282" s="15"/>
      <c r="X5282" s="3"/>
      <c r="Z5282" s="28"/>
    </row>
    <row r="5283" spans="2:26">
      <c r="B5283" s="2"/>
      <c r="N5283" s="27"/>
      <c r="R5283" s="15"/>
      <c r="X5283" s="3"/>
      <c r="Z5283" s="28"/>
    </row>
    <row r="5284" spans="2:26">
      <c r="B5284" s="2"/>
      <c r="N5284" s="27"/>
      <c r="R5284" s="15"/>
      <c r="X5284" s="3"/>
      <c r="Z5284" s="28"/>
    </row>
    <row r="5285" spans="2:26">
      <c r="B5285" s="2"/>
      <c r="N5285" s="27"/>
      <c r="R5285" s="15"/>
      <c r="X5285" s="3"/>
      <c r="Z5285" s="28"/>
    </row>
    <row r="5286" spans="2:26">
      <c r="B5286" s="2"/>
      <c r="N5286" s="27"/>
      <c r="R5286" s="15"/>
      <c r="X5286" s="3"/>
      <c r="Z5286" s="28"/>
    </row>
    <row r="5287" spans="2:26">
      <c r="B5287" s="2"/>
      <c r="N5287" s="27"/>
      <c r="R5287" s="15"/>
      <c r="X5287" s="3"/>
      <c r="Z5287" s="28"/>
    </row>
    <row r="5288" spans="2:26">
      <c r="B5288" s="2"/>
      <c r="N5288" s="27"/>
      <c r="R5288" s="15"/>
      <c r="X5288" s="3"/>
      <c r="Z5288" s="28"/>
    </row>
    <row r="5289" spans="2:26">
      <c r="B5289" s="2"/>
      <c r="N5289" s="27"/>
      <c r="R5289" s="15"/>
      <c r="X5289" s="3"/>
      <c r="Z5289" s="28"/>
    </row>
    <row r="5290" spans="2:26">
      <c r="B5290" s="2"/>
      <c r="N5290" s="27"/>
      <c r="R5290" s="15"/>
      <c r="X5290" s="3"/>
      <c r="Z5290" s="28"/>
    </row>
    <row r="5291" spans="2:26">
      <c r="B5291" s="2"/>
      <c r="N5291" s="27"/>
      <c r="R5291" s="15"/>
      <c r="X5291" s="3"/>
      <c r="Z5291" s="28"/>
    </row>
    <row r="5292" spans="2:26">
      <c r="B5292" s="2"/>
      <c r="N5292" s="27"/>
      <c r="R5292" s="15"/>
      <c r="X5292" s="3"/>
      <c r="Z5292" s="28"/>
    </row>
    <row r="5293" spans="2:26">
      <c r="B5293" s="2"/>
      <c r="N5293" s="27"/>
      <c r="R5293" s="15"/>
      <c r="X5293" s="3"/>
      <c r="Z5293" s="28"/>
    </row>
    <row r="5294" spans="2:26">
      <c r="B5294" s="2"/>
      <c r="N5294" s="27"/>
      <c r="R5294" s="15"/>
      <c r="X5294" s="3"/>
      <c r="Z5294" s="28"/>
    </row>
    <row r="5295" spans="2:26">
      <c r="B5295" s="2"/>
      <c r="N5295" s="27"/>
      <c r="R5295" s="15"/>
      <c r="X5295" s="3"/>
      <c r="Z5295" s="28"/>
    </row>
    <row r="5296" spans="2:26">
      <c r="B5296" s="2"/>
      <c r="N5296" s="27"/>
      <c r="R5296" s="15"/>
      <c r="X5296" s="3"/>
      <c r="Z5296" s="28"/>
    </row>
    <row r="5297" spans="2:26">
      <c r="B5297" s="2"/>
      <c r="N5297" s="27"/>
      <c r="R5297" s="15"/>
      <c r="X5297" s="3"/>
      <c r="Z5297" s="28"/>
    </row>
    <row r="5298" spans="2:26">
      <c r="B5298" s="2"/>
      <c r="N5298" s="27"/>
      <c r="R5298" s="15"/>
      <c r="X5298" s="3"/>
      <c r="Z5298" s="28"/>
    </row>
    <row r="5299" spans="2:26">
      <c r="B5299" s="2"/>
      <c r="N5299" s="27"/>
      <c r="R5299" s="15"/>
      <c r="X5299" s="3"/>
      <c r="Z5299" s="28"/>
    </row>
    <row r="5300" spans="2:26">
      <c r="B5300" s="2"/>
      <c r="N5300" s="27"/>
      <c r="R5300" s="15"/>
      <c r="X5300" s="3"/>
      <c r="Z5300" s="28"/>
    </row>
    <row r="5301" spans="2:26">
      <c r="B5301" s="2"/>
      <c r="N5301" s="27"/>
      <c r="R5301" s="15"/>
      <c r="X5301" s="3"/>
      <c r="Z5301" s="28"/>
    </row>
    <row r="5302" spans="2:26">
      <c r="B5302" s="2"/>
      <c r="N5302" s="27"/>
      <c r="R5302" s="15"/>
      <c r="X5302" s="3"/>
      <c r="Z5302" s="28"/>
    </row>
    <row r="5303" spans="2:26">
      <c r="B5303" s="2"/>
      <c r="N5303" s="27"/>
      <c r="R5303" s="15"/>
      <c r="X5303" s="3"/>
      <c r="Z5303" s="28"/>
    </row>
    <row r="5304" spans="2:26">
      <c r="B5304" s="2"/>
      <c r="N5304" s="27"/>
      <c r="R5304" s="15"/>
      <c r="X5304" s="3"/>
      <c r="Z5304" s="28"/>
    </row>
    <row r="5305" spans="2:26">
      <c r="B5305" s="2"/>
      <c r="N5305" s="27"/>
      <c r="R5305" s="15"/>
      <c r="X5305" s="3"/>
      <c r="Z5305" s="28"/>
    </row>
    <row r="5306" spans="2:26">
      <c r="B5306" s="2"/>
      <c r="N5306" s="27"/>
      <c r="R5306" s="15"/>
      <c r="X5306" s="3"/>
      <c r="Z5306" s="28"/>
    </row>
    <row r="5307" spans="2:26">
      <c r="B5307" s="2"/>
      <c r="N5307" s="27"/>
      <c r="R5307" s="15"/>
      <c r="X5307" s="3"/>
      <c r="Z5307" s="28"/>
    </row>
    <row r="5308" spans="2:26">
      <c r="B5308" s="2"/>
      <c r="N5308" s="27"/>
      <c r="R5308" s="15"/>
      <c r="X5308" s="3"/>
      <c r="Z5308" s="28"/>
    </row>
    <row r="5309" spans="2:26">
      <c r="B5309" s="2"/>
      <c r="N5309" s="27"/>
      <c r="R5309" s="15"/>
      <c r="X5309" s="3"/>
      <c r="Z5309" s="28"/>
    </row>
    <row r="5310" spans="2:26">
      <c r="B5310" s="2"/>
      <c r="N5310" s="27"/>
      <c r="R5310" s="15"/>
      <c r="X5310" s="3"/>
      <c r="Z5310" s="28"/>
    </row>
    <row r="5311" spans="2:26">
      <c r="B5311" s="2"/>
      <c r="N5311" s="27"/>
      <c r="R5311" s="15"/>
      <c r="X5311" s="3"/>
      <c r="Z5311" s="28"/>
    </row>
    <row r="5312" spans="2:26">
      <c r="B5312" s="2"/>
      <c r="N5312" s="27"/>
      <c r="R5312" s="15"/>
      <c r="X5312" s="3"/>
      <c r="Z5312" s="28"/>
    </row>
    <row r="5313" spans="2:26">
      <c r="B5313" s="2"/>
      <c r="N5313" s="27"/>
      <c r="R5313" s="15"/>
      <c r="X5313" s="3"/>
      <c r="Z5313" s="28"/>
    </row>
    <row r="5314" spans="2:26">
      <c r="B5314" s="2"/>
      <c r="N5314" s="27"/>
      <c r="R5314" s="15"/>
      <c r="X5314" s="3"/>
      <c r="Z5314" s="28"/>
    </row>
    <row r="5315" spans="2:26">
      <c r="B5315" s="2"/>
      <c r="N5315" s="27"/>
      <c r="R5315" s="15"/>
      <c r="X5315" s="3"/>
      <c r="Z5315" s="28"/>
    </row>
    <row r="5316" spans="2:26">
      <c r="B5316" s="2"/>
      <c r="N5316" s="27"/>
      <c r="R5316" s="15"/>
      <c r="X5316" s="3"/>
      <c r="Z5316" s="28"/>
    </row>
    <row r="5317" spans="2:26">
      <c r="B5317" s="2"/>
      <c r="N5317" s="27"/>
      <c r="R5317" s="15"/>
      <c r="X5317" s="3"/>
      <c r="Z5317" s="28"/>
    </row>
    <row r="5318" spans="2:26">
      <c r="B5318" s="2"/>
      <c r="N5318" s="27"/>
      <c r="R5318" s="15"/>
      <c r="X5318" s="3"/>
      <c r="Z5318" s="28"/>
    </row>
    <row r="5319" spans="2:26">
      <c r="B5319" s="2"/>
      <c r="N5319" s="27"/>
      <c r="R5319" s="15"/>
      <c r="X5319" s="3"/>
      <c r="Z5319" s="28"/>
    </row>
    <row r="5320" spans="2:26">
      <c r="B5320" s="2"/>
      <c r="N5320" s="27"/>
      <c r="R5320" s="15"/>
      <c r="X5320" s="3"/>
      <c r="Z5320" s="28"/>
    </row>
    <row r="5321" spans="2:26">
      <c r="B5321" s="2"/>
      <c r="N5321" s="27"/>
      <c r="R5321" s="15"/>
      <c r="X5321" s="3"/>
      <c r="Z5321" s="28"/>
    </row>
    <row r="5322" spans="2:26">
      <c r="B5322" s="2"/>
      <c r="N5322" s="27"/>
      <c r="R5322" s="15"/>
      <c r="X5322" s="3"/>
      <c r="Z5322" s="28"/>
    </row>
    <row r="5323" spans="2:26">
      <c r="B5323" s="2"/>
      <c r="N5323" s="27"/>
      <c r="R5323" s="15"/>
      <c r="X5323" s="3"/>
      <c r="Z5323" s="28"/>
    </row>
    <row r="5324" spans="2:26">
      <c r="B5324" s="2"/>
      <c r="N5324" s="27"/>
      <c r="R5324" s="15"/>
      <c r="X5324" s="3"/>
      <c r="Z5324" s="28"/>
    </row>
    <row r="5325" spans="2:26">
      <c r="B5325" s="2"/>
      <c r="N5325" s="27"/>
      <c r="R5325" s="15"/>
      <c r="X5325" s="3"/>
      <c r="Z5325" s="28"/>
    </row>
    <row r="5326" spans="2:26">
      <c r="B5326" s="2"/>
      <c r="N5326" s="27"/>
      <c r="R5326" s="15"/>
      <c r="X5326" s="3"/>
      <c r="Z5326" s="28"/>
    </row>
    <row r="5327" spans="2:26">
      <c r="B5327" s="2"/>
      <c r="N5327" s="27"/>
      <c r="R5327" s="15"/>
      <c r="X5327" s="3"/>
      <c r="Z5327" s="28"/>
    </row>
    <row r="5328" spans="2:26">
      <c r="B5328" s="2"/>
      <c r="N5328" s="27"/>
      <c r="R5328" s="15"/>
      <c r="X5328" s="3"/>
      <c r="Z5328" s="28"/>
    </row>
    <row r="5329" spans="2:26">
      <c r="B5329" s="2"/>
      <c r="N5329" s="27"/>
      <c r="R5329" s="15"/>
      <c r="X5329" s="3"/>
      <c r="Z5329" s="28"/>
    </row>
    <row r="5330" spans="2:26">
      <c r="B5330" s="2"/>
      <c r="N5330" s="27"/>
      <c r="R5330" s="15"/>
      <c r="X5330" s="3"/>
      <c r="Z5330" s="28"/>
    </row>
    <row r="5331" spans="2:26">
      <c r="B5331" s="2"/>
      <c r="N5331" s="27"/>
      <c r="R5331" s="15"/>
      <c r="X5331" s="3"/>
      <c r="Z5331" s="28"/>
    </row>
    <row r="5332" spans="2:26">
      <c r="B5332" s="2"/>
      <c r="N5332" s="27"/>
      <c r="R5332" s="15"/>
      <c r="X5332" s="3"/>
      <c r="Z5332" s="28"/>
    </row>
    <row r="5333" spans="2:26">
      <c r="B5333" s="2"/>
      <c r="N5333" s="27"/>
      <c r="R5333" s="15"/>
      <c r="X5333" s="3"/>
      <c r="Z5333" s="28"/>
    </row>
    <row r="5334" spans="2:26">
      <c r="B5334" s="2"/>
      <c r="N5334" s="27"/>
      <c r="R5334" s="15"/>
      <c r="X5334" s="3"/>
      <c r="Z5334" s="28"/>
    </row>
    <row r="5335" spans="2:26">
      <c r="B5335" s="2"/>
      <c r="N5335" s="27"/>
      <c r="R5335" s="15"/>
      <c r="X5335" s="3"/>
      <c r="Z5335" s="28"/>
    </row>
    <row r="5336" spans="2:26">
      <c r="B5336" s="2"/>
      <c r="N5336" s="27"/>
      <c r="R5336" s="15"/>
      <c r="X5336" s="3"/>
      <c r="Z5336" s="28"/>
    </row>
    <row r="5337" spans="2:26">
      <c r="B5337" s="2"/>
      <c r="N5337" s="27"/>
      <c r="R5337" s="15"/>
      <c r="X5337" s="3"/>
      <c r="Z5337" s="28"/>
    </row>
    <row r="5338" spans="2:26">
      <c r="B5338" s="2"/>
      <c r="N5338" s="27"/>
      <c r="R5338" s="15"/>
      <c r="X5338" s="3"/>
      <c r="Z5338" s="28"/>
    </row>
    <row r="5339" spans="2:26">
      <c r="B5339" s="2"/>
      <c r="N5339" s="27"/>
      <c r="R5339" s="15"/>
      <c r="X5339" s="3"/>
      <c r="Z5339" s="28"/>
    </row>
    <row r="5340" spans="2:26">
      <c r="B5340" s="2"/>
      <c r="N5340" s="27"/>
      <c r="R5340" s="15"/>
      <c r="X5340" s="3"/>
      <c r="Z5340" s="28"/>
    </row>
    <row r="5341" spans="2:26">
      <c r="B5341" s="2"/>
      <c r="N5341" s="27"/>
      <c r="R5341" s="15"/>
      <c r="X5341" s="3"/>
      <c r="Z5341" s="28"/>
    </row>
    <row r="5342" spans="2:26">
      <c r="B5342" s="2"/>
      <c r="N5342" s="27"/>
      <c r="R5342" s="15"/>
      <c r="X5342" s="3"/>
      <c r="Z5342" s="28"/>
    </row>
    <row r="5343" spans="2:26">
      <c r="B5343" s="2"/>
      <c r="N5343" s="27"/>
      <c r="R5343" s="15"/>
      <c r="X5343" s="3"/>
      <c r="Z5343" s="28"/>
    </row>
    <row r="5344" spans="2:26">
      <c r="B5344" s="2"/>
      <c r="N5344" s="27"/>
      <c r="R5344" s="15"/>
      <c r="X5344" s="3"/>
      <c r="Z5344" s="28"/>
    </row>
    <row r="5345" spans="2:26">
      <c r="B5345" s="2"/>
      <c r="N5345" s="27"/>
      <c r="R5345" s="15"/>
      <c r="X5345" s="3"/>
      <c r="Z5345" s="28"/>
    </row>
    <row r="5346" spans="2:26">
      <c r="B5346" s="2"/>
      <c r="N5346" s="27"/>
      <c r="R5346" s="15"/>
      <c r="X5346" s="3"/>
      <c r="Z5346" s="28"/>
    </row>
    <row r="5347" spans="2:26">
      <c r="B5347" s="2"/>
      <c r="N5347" s="27"/>
      <c r="R5347" s="15"/>
      <c r="X5347" s="3"/>
      <c r="Z5347" s="28"/>
    </row>
    <row r="5348" spans="2:26">
      <c r="B5348" s="2"/>
      <c r="N5348" s="27"/>
      <c r="R5348" s="15"/>
      <c r="X5348" s="3"/>
      <c r="Z5348" s="28"/>
    </row>
    <row r="5349" spans="2:26">
      <c r="B5349" s="2"/>
      <c r="N5349" s="27"/>
      <c r="R5349" s="15"/>
      <c r="X5349" s="3"/>
      <c r="Z5349" s="28"/>
    </row>
    <row r="5350" spans="2:26">
      <c r="B5350" s="2"/>
      <c r="N5350" s="27"/>
      <c r="R5350" s="15"/>
      <c r="X5350" s="3"/>
      <c r="Z5350" s="28"/>
    </row>
    <row r="5351" spans="2:26">
      <c r="B5351" s="2"/>
      <c r="N5351" s="27"/>
      <c r="R5351" s="15"/>
      <c r="X5351" s="3"/>
      <c r="Z5351" s="28"/>
    </row>
    <row r="5352" spans="2:26">
      <c r="B5352" s="2"/>
      <c r="N5352" s="27"/>
      <c r="R5352" s="15"/>
      <c r="X5352" s="3"/>
      <c r="Z5352" s="28"/>
    </row>
    <row r="5353" spans="2:26">
      <c r="B5353" s="2"/>
      <c r="N5353" s="27"/>
      <c r="R5353" s="15"/>
      <c r="X5353" s="3"/>
      <c r="Z5353" s="28"/>
    </row>
    <row r="5354" spans="2:26">
      <c r="B5354" s="2"/>
      <c r="N5354" s="27"/>
      <c r="R5354" s="15"/>
      <c r="X5354" s="3"/>
      <c r="Z5354" s="28"/>
    </row>
    <row r="5355" spans="2:26">
      <c r="B5355" s="2"/>
      <c r="N5355" s="27"/>
      <c r="R5355" s="15"/>
      <c r="X5355" s="3"/>
      <c r="Z5355" s="28"/>
    </row>
    <row r="5356" spans="2:26">
      <c r="B5356" s="2"/>
      <c r="N5356" s="27"/>
      <c r="R5356" s="15"/>
      <c r="X5356" s="3"/>
      <c r="Z5356" s="28"/>
    </row>
    <row r="5357" spans="2:26">
      <c r="B5357" s="2"/>
      <c r="N5357" s="27"/>
      <c r="R5357" s="15"/>
      <c r="X5357" s="3"/>
      <c r="Z5357" s="28"/>
    </row>
    <row r="5358" spans="2:26">
      <c r="B5358" s="2"/>
      <c r="N5358" s="27"/>
      <c r="R5358" s="15"/>
      <c r="X5358" s="3"/>
      <c r="Z5358" s="28"/>
    </row>
    <row r="5359" spans="2:26">
      <c r="B5359" s="2"/>
      <c r="N5359" s="27"/>
      <c r="R5359" s="15"/>
      <c r="X5359" s="3"/>
      <c r="Z5359" s="28"/>
    </row>
    <row r="5360" spans="2:26">
      <c r="B5360" s="2"/>
      <c r="N5360" s="27"/>
      <c r="R5360" s="15"/>
      <c r="X5360" s="3"/>
      <c r="Z5360" s="28"/>
    </row>
    <row r="5361" spans="2:26">
      <c r="B5361" s="2"/>
      <c r="N5361" s="27"/>
      <c r="R5361" s="15"/>
      <c r="X5361" s="3"/>
      <c r="Z5361" s="28"/>
    </row>
    <row r="5362" spans="2:26">
      <c r="B5362" s="2"/>
      <c r="N5362" s="27"/>
      <c r="R5362" s="15"/>
      <c r="X5362" s="3"/>
      <c r="Z5362" s="28"/>
    </row>
    <row r="5363" spans="2:26">
      <c r="B5363" s="2"/>
      <c r="N5363" s="27"/>
      <c r="R5363" s="15"/>
      <c r="X5363" s="3"/>
      <c r="Z5363" s="28"/>
    </row>
    <row r="5364" spans="2:26">
      <c r="B5364" s="2"/>
      <c r="N5364" s="27"/>
      <c r="R5364" s="15"/>
      <c r="X5364" s="3"/>
      <c r="Z5364" s="28"/>
    </row>
    <row r="5365" spans="2:26">
      <c r="B5365" s="2"/>
      <c r="N5365" s="27"/>
      <c r="R5365" s="15"/>
      <c r="X5365" s="3"/>
      <c r="Z5365" s="28"/>
    </row>
    <row r="5366" spans="2:26">
      <c r="B5366" s="2"/>
      <c r="N5366" s="27"/>
      <c r="R5366" s="15"/>
      <c r="X5366" s="3"/>
      <c r="Z5366" s="28"/>
    </row>
    <row r="5367" spans="2:26">
      <c r="B5367" s="2"/>
      <c r="N5367" s="27"/>
      <c r="R5367" s="15"/>
      <c r="X5367" s="3"/>
      <c r="Z5367" s="28"/>
    </row>
    <row r="5368" spans="2:26">
      <c r="B5368" s="2"/>
      <c r="N5368" s="27"/>
      <c r="R5368" s="15"/>
      <c r="X5368" s="3"/>
      <c r="Z5368" s="28"/>
    </row>
    <row r="5369" spans="2:26">
      <c r="B5369" s="2"/>
      <c r="N5369" s="27"/>
      <c r="R5369" s="15"/>
      <c r="X5369" s="3"/>
      <c r="Z5369" s="28"/>
    </row>
    <row r="5370" spans="2:26">
      <c r="B5370" s="2"/>
      <c r="N5370" s="27"/>
      <c r="R5370" s="15"/>
      <c r="X5370" s="3"/>
      <c r="Z5370" s="28"/>
    </row>
    <row r="5371" spans="2:26">
      <c r="B5371" s="2"/>
      <c r="N5371" s="27"/>
      <c r="R5371" s="15"/>
      <c r="X5371" s="3"/>
      <c r="Z5371" s="28"/>
    </row>
    <row r="5372" spans="2:26">
      <c r="B5372" s="2"/>
      <c r="N5372" s="27"/>
      <c r="R5372" s="15"/>
      <c r="X5372" s="3"/>
      <c r="Z5372" s="28"/>
    </row>
    <row r="5373" spans="2:26">
      <c r="B5373" s="2"/>
      <c r="N5373" s="27"/>
      <c r="R5373" s="15"/>
      <c r="X5373" s="3"/>
      <c r="Z5373" s="28"/>
    </row>
    <row r="5374" spans="2:26">
      <c r="B5374" s="2"/>
      <c r="N5374" s="27"/>
      <c r="R5374" s="15"/>
      <c r="X5374" s="3"/>
      <c r="Z5374" s="28"/>
    </row>
    <row r="5375" spans="2:26">
      <c r="B5375" s="2"/>
      <c r="N5375" s="27"/>
      <c r="R5375" s="15"/>
      <c r="X5375" s="3"/>
      <c r="Z5375" s="28"/>
    </row>
    <row r="5376" spans="2:26">
      <c r="B5376" s="2"/>
      <c r="N5376" s="27"/>
      <c r="R5376" s="15"/>
      <c r="X5376" s="3"/>
      <c r="Z5376" s="28"/>
    </row>
    <row r="5377" spans="2:26">
      <c r="B5377" s="2"/>
      <c r="N5377" s="27"/>
      <c r="R5377" s="15"/>
      <c r="X5377" s="3"/>
      <c r="Z5377" s="28"/>
    </row>
    <row r="5378" spans="2:26">
      <c r="B5378" s="2"/>
      <c r="N5378" s="27"/>
      <c r="R5378" s="15"/>
      <c r="X5378" s="3"/>
      <c r="Z5378" s="28"/>
    </row>
    <row r="5379" spans="2:26">
      <c r="B5379" s="2"/>
      <c r="N5379" s="27"/>
      <c r="R5379" s="15"/>
      <c r="X5379" s="3"/>
      <c r="Z5379" s="28"/>
    </row>
    <row r="5380" spans="2:26">
      <c r="B5380" s="2"/>
      <c r="N5380" s="27"/>
      <c r="R5380" s="15"/>
      <c r="X5380" s="3"/>
      <c r="Z5380" s="28"/>
    </row>
    <row r="5381" spans="2:26">
      <c r="B5381" s="2"/>
      <c r="N5381" s="27"/>
      <c r="R5381" s="15"/>
      <c r="X5381" s="3"/>
      <c r="Z5381" s="28"/>
    </row>
    <row r="5382" spans="2:26">
      <c r="B5382" s="2"/>
      <c r="N5382" s="27"/>
      <c r="R5382" s="15"/>
      <c r="X5382" s="3"/>
      <c r="Z5382" s="28"/>
    </row>
    <row r="5383" spans="2:26">
      <c r="B5383" s="2"/>
      <c r="N5383" s="27"/>
      <c r="R5383" s="15"/>
      <c r="X5383" s="3"/>
      <c r="Z5383" s="28"/>
    </row>
    <row r="5384" spans="2:26">
      <c r="B5384" s="2"/>
      <c r="N5384" s="27"/>
      <c r="R5384" s="15"/>
      <c r="X5384" s="3"/>
      <c r="Z5384" s="28"/>
    </row>
    <row r="5385" spans="2:26">
      <c r="B5385" s="2"/>
      <c r="N5385" s="27"/>
      <c r="R5385" s="15"/>
      <c r="X5385" s="3"/>
      <c r="Z5385" s="28"/>
    </row>
    <row r="5386" spans="2:26">
      <c r="B5386" s="2"/>
      <c r="N5386" s="27"/>
      <c r="R5386" s="15"/>
      <c r="X5386" s="3"/>
      <c r="Z5386" s="28"/>
    </row>
    <row r="5387" spans="2:26">
      <c r="B5387" s="2"/>
      <c r="N5387" s="27"/>
      <c r="R5387" s="15"/>
      <c r="X5387" s="3"/>
      <c r="Z5387" s="28"/>
    </row>
    <row r="5388" spans="2:26">
      <c r="B5388" s="2"/>
      <c r="N5388" s="27"/>
      <c r="R5388" s="15"/>
      <c r="X5388" s="3"/>
      <c r="Z5388" s="28"/>
    </row>
    <row r="5389" spans="2:26">
      <c r="B5389" s="2"/>
      <c r="N5389" s="27"/>
      <c r="R5389" s="15"/>
      <c r="X5389" s="3"/>
      <c r="Z5389" s="28"/>
    </row>
    <row r="5390" spans="2:26">
      <c r="B5390" s="2"/>
      <c r="N5390" s="27"/>
      <c r="R5390" s="15"/>
      <c r="X5390" s="3"/>
      <c r="Z5390" s="28"/>
    </row>
    <row r="5391" spans="2:26">
      <c r="B5391" s="2"/>
      <c r="N5391" s="27"/>
      <c r="R5391" s="15"/>
      <c r="X5391" s="3"/>
      <c r="Z5391" s="28"/>
    </row>
    <row r="5392" spans="2:26">
      <c r="B5392" s="2"/>
      <c r="N5392" s="27"/>
      <c r="R5392" s="15"/>
      <c r="X5392" s="3"/>
      <c r="Z5392" s="28"/>
    </row>
    <row r="5393" spans="2:26">
      <c r="B5393" s="2"/>
      <c r="N5393" s="27"/>
      <c r="R5393" s="15"/>
      <c r="X5393" s="3"/>
      <c r="Z5393" s="28"/>
    </row>
    <row r="5394" spans="2:26">
      <c r="B5394" s="2"/>
      <c r="N5394" s="27"/>
      <c r="R5394" s="15"/>
      <c r="X5394" s="3"/>
      <c r="Z5394" s="28"/>
    </row>
    <row r="5395" spans="2:26">
      <c r="B5395" s="2"/>
      <c r="N5395" s="27"/>
      <c r="R5395" s="15"/>
      <c r="X5395" s="3"/>
      <c r="Z5395" s="28"/>
    </row>
    <row r="5396" spans="2:26">
      <c r="B5396" s="2"/>
      <c r="N5396" s="27"/>
      <c r="R5396" s="15"/>
      <c r="X5396" s="3"/>
      <c r="Z5396" s="28"/>
    </row>
    <row r="5397" spans="2:26">
      <c r="B5397" s="2"/>
      <c r="N5397" s="27"/>
      <c r="R5397" s="15"/>
      <c r="X5397" s="3"/>
      <c r="Z5397" s="28"/>
    </row>
    <row r="5398" spans="2:26">
      <c r="B5398" s="2"/>
      <c r="N5398" s="27"/>
      <c r="R5398" s="15"/>
      <c r="X5398" s="3"/>
      <c r="Z5398" s="28"/>
    </row>
    <row r="5399" spans="2:26">
      <c r="B5399" s="2"/>
      <c r="N5399" s="27"/>
      <c r="R5399" s="15"/>
      <c r="X5399" s="3"/>
      <c r="Z5399" s="28"/>
    </row>
    <row r="5400" spans="2:26">
      <c r="B5400" s="2"/>
      <c r="N5400" s="27"/>
      <c r="R5400" s="15"/>
      <c r="X5400" s="3"/>
      <c r="Z5400" s="28"/>
    </row>
    <row r="5401" spans="2:26">
      <c r="B5401" s="2"/>
      <c r="N5401" s="27"/>
      <c r="R5401" s="15"/>
      <c r="X5401" s="3"/>
      <c r="Z5401" s="28"/>
    </row>
    <row r="5402" spans="2:26">
      <c r="B5402" s="2"/>
      <c r="N5402" s="27"/>
      <c r="R5402" s="15"/>
      <c r="X5402" s="3"/>
      <c r="Z5402" s="28"/>
    </row>
    <row r="5403" spans="2:26">
      <c r="B5403" s="2"/>
      <c r="N5403" s="27"/>
      <c r="R5403" s="15"/>
      <c r="X5403" s="3"/>
      <c r="Z5403" s="28"/>
    </row>
    <row r="5404" spans="2:26">
      <c r="B5404" s="2"/>
      <c r="N5404" s="27"/>
      <c r="R5404" s="15"/>
      <c r="X5404" s="3"/>
      <c r="Z5404" s="28"/>
    </row>
    <row r="5405" spans="2:26">
      <c r="B5405" s="2"/>
      <c r="N5405" s="27"/>
      <c r="R5405" s="15"/>
      <c r="X5405" s="3"/>
      <c r="Z5405" s="28"/>
    </row>
    <row r="5406" spans="2:26">
      <c r="B5406" s="2"/>
      <c r="N5406" s="27"/>
      <c r="R5406" s="15"/>
      <c r="X5406" s="3"/>
      <c r="Z5406" s="28"/>
    </row>
    <row r="5407" spans="2:26">
      <c r="B5407" s="2"/>
      <c r="N5407" s="27"/>
      <c r="R5407" s="15"/>
      <c r="X5407" s="3"/>
      <c r="Z5407" s="28"/>
    </row>
    <row r="5408" spans="2:26">
      <c r="B5408" s="2"/>
      <c r="N5408" s="27"/>
      <c r="R5408" s="15"/>
      <c r="X5408" s="3"/>
      <c r="Z5408" s="28"/>
    </row>
    <row r="5409" spans="2:26">
      <c r="B5409" s="2"/>
      <c r="N5409" s="27"/>
      <c r="R5409" s="15"/>
      <c r="X5409" s="3"/>
      <c r="Z5409" s="28"/>
    </row>
    <row r="5410" spans="2:26">
      <c r="B5410" s="2"/>
      <c r="N5410" s="27"/>
      <c r="R5410" s="15"/>
      <c r="X5410" s="3"/>
      <c r="Z5410" s="28"/>
    </row>
    <row r="5411" spans="2:26">
      <c r="B5411" s="2"/>
      <c r="N5411" s="27"/>
      <c r="R5411" s="15"/>
      <c r="X5411" s="3"/>
      <c r="Z5411" s="28"/>
    </row>
    <row r="5412" spans="2:26">
      <c r="B5412" s="2"/>
      <c r="N5412" s="27"/>
      <c r="R5412" s="15"/>
      <c r="X5412" s="3"/>
      <c r="Z5412" s="28"/>
    </row>
    <row r="5413" spans="2:26">
      <c r="B5413" s="2"/>
      <c r="N5413" s="27"/>
      <c r="R5413" s="15"/>
      <c r="X5413" s="3"/>
      <c r="Z5413" s="28"/>
    </row>
    <row r="5414" spans="2:26">
      <c r="B5414" s="2"/>
      <c r="N5414" s="27"/>
      <c r="R5414" s="15"/>
      <c r="X5414" s="3"/>
      <c r="Z5414" s="28"/>
    </row>
    <row r="5415" spans="2:26">
      <c r="B5415" s="2"/>
      <c r="N5415" s="27"/>
      <c r="R5415" s="15"/>
      <c r="X5415" s="3"/>
      <c r="Z5415" s="28"/>
    </row>
    <row r="5416" spans="2:26">
      <c r="B5416" s="2"/>
      <c r="N5416" s="27"/>
      <c r="R5416" s="15"/>
      <c r="X5416" s="3"/>
      <c r="Z5416" s="28"/>
    </row>
    <row r="5417" spans="2:26">
      <c r="B5417" s="2"/>
      <c r="N5417" s="27"/>
      <c r="R5417" s="15"/>
      <c r="X5417" s="3"/>
      <c r="Z5417" s="28"/>
    </row>
    <row r="5418" spans="2:26">
      <c r="B5418" s="2"/>
      <c r="N5418" s="27"/>
      <c r="R5418" s="15"/>
      <c r="X5418" s="3"/>
      <c r="Z5418" s="28"/>
    </row>
    <row r="5419" spans="2:26">
      <c r="B5419" s="2"/>
      <c r="N5419" s="27"/>
      <c r="R5419" s="15"/>
      <c r="X5419" s="3"/>
      <c r="Z5419" s="28"/>
    </row>
    <row r="5420" spans="2:26">
      <c r="B5420" s="2"/>
      <c r="N5420" s="27"/>
      <c r="R5420" s="15"/>
      <c r="X5420" s="3"/>
      <c r="Z5420" s="28"/>
    </row>
    <row r="5421" spans="2:26">
      <c r="B5421" s="2"/>
      <c r="N5421" s="27"/>
      <c r="R5421" s="15"/>
      <c r="X5421" s="3"/>
      <c r="Z5421" s="28"/>
    </row>
    <row r="5422" spans="2:26">
      <c r="B5422" s="2"/>
      <c r="N5422" s="27"/>
      <c r="R5422" s="15"/>
      <c r="X5422" s="3"/>
      <c r="Z5422" s="28"/>
    </row>
    <row r="5423" spans="2:26">
      <c r="B5423" s="2"/>
      <c r="N5423" s="27"/>
      <c r="R5423" s="15"/>
      <c r="X5423" s="3"/>
      <c r="Z5423" s="28"/>
    </row>
    <row r="5424" spans="2:26">
      <c r="B5424" s="2"/>
      <c r="N5424" s="27"/>
      <c r="R5424" s="15"/>
      <c r="X5424" s="3"/>
      <c r="Z5424" s="28"/>
    </row>
    <row r="5425" spans="2:26">
      <c r="B5425" s="2"/>
      <c r="N5425" s="27"/>
      <c r="R5425" s="15"/>
      <c r="X5425" s="3"/>
      <c r="Z5425" s="28"/>
    </row>
    <row r="5426" spans="2:26">
      <c r="B5426" s="2"/>
      <c r="N5426" s="27"/>
      <c r="R5426" s="15"/>
      <c r="X5426" s="3"/>
      <c r="Z5426" s="28"/>
    </row>
    <row r="5427" spans="2:26">
      <c r="B5427" s="2"/>
      <c r="N5427" s="27"/>
      <c r="R5427" s="15"/>
      <c r="X5427" s="3"/>
      <c r="Z5427" s="28"/>
    </row>
    <row r="5428" spans="2:26">
      <c r="B5428" s="2"/>
      <c r="N5428" s="27"/>
      <c r="R5428" s="15"/>
      <c r="X5428" s="3"/>
      <c r="Z5428" s="28"/>
    </row>
    <row r="5429" spans="2:26">
      <c r="B5429" s="2"/>
      <c r="N5429" s="27"/>
      <c r="R5429" s="15"/>
      <c r="X5429" s="3"/>
      <c r="Z5429" s="28"/>
    </row>
    <row r="5430" spans="2:26">
      <c r="B5430" s="2"/>
      <c r="N5430" s="27"/>
      <c r="R5430" s="15"/>
      <c r="X5430" s="3"/>
      <c r="Z5430" s="28"/>
    </row>
    <row r="5431" spans="2:26">
      <c r="B5431" s="2"/>
      <c r="N5431" s="27"/>
      <c r="R5431" s="15"/>
      <c r="X5431" s="3"/>
      <c r="Z5431" s="28"/>
    </row>
    <row r="5432" spans="2:26">
      <c r="B5432" s="2"/>
      <c r="N5432" s="27"/>
      <c r="R5432" s="15"/>
      <c r="X5432" s="3"/>
      <c r="Z5432" s="28"/>
    </row>
    <row r="5433" spans="2:26">
      <c r="B5433" s="2"/>
      <c r="N5433" s="27"/>
      <c r="R5433" s="15"/>
      <c r="X5433" s="3"/>
      <c r="Z5433" s="28"/>
    </row>
    <row r="5434" spans="2:26">
      <c r="B5434" s="2"/>
      <c r="N5434" s="27"/>
      <c r="R5434" s="15"/>
      <c r="X5434" s="3"/>
      <c r="Z5434" s="28"/>
    </row>
    <row r="5435" spans="2:26">
      <c r="B5435" s="2"/>
      <c r="N5435" s="27"/>
      <c r="R5435" s="15"/>
      <c r="X5435" s="3"/>
      <c r="Z5435" s="28"/>
    </row>
    <row r="5436" spans="2:26">
      <c r="B5436" s="2"/>
      <c r="N5436" s="27"/>
      <c r="R5436" s="15"/>
      <c r="X5436" s="3"/>
      <c r="Z5436" s="28"/>
    </row>
    <row r="5437" spans="2:26">
      <c r="B5437" s="2"/>
      <c r="N5437" s="27"/>
      <c r="R5437" s="15"/>
      <c r="X5437" s="3"/>
      <c r="Z5437" s="28"/>
    </row>
    <row r="5438" spans="2:26">
      <c r="B5438" s="2"/>
      <c r="N5438" s="27"/>
      <c r="R5438" s="15"/>
      <c r="X5438" s="3"/>
      <c r="Z5438" s="28"/>
    </row>
    <row r="5439" spans="2:26">
      <c r="B5439" s="2"/>
      <c r="N5439" s="27"/>
      <c r="R5439" s="15"/>
      <c r="X5439" s="3"/>
      <c r="Z5439" s="28"/>
    </row>
    <row r="5440" spans="2:26">
      <c r="B5440" s="2"/>
      <c r="N5440" s="27"/>
      <c r="R5440" s="15"/>
      <c r="X5440" s="3"/>
      <c r="Z5440" s="28"/>
    </row>
    <row r="5441" spans="2:26">
      <c r="B5441" s="2"/>
      <c r="N5441" s="27"/>
      <c r="R5441" s="15"/>
      <c r="X5441" s="3"/>
      <c r="Z5441" s="28"/>
    </row>
    <row r="5442" spans="2:26">
      <c r="B5442" s="2"/>
      <c r="N5442" s="27"/>
      <c r="R5442" s="15"/>
      <c r="X5442" s="3"/>
      <c r="Z5442" s="28"/>
    </row>
    <row r="5443" spans="2:26">
      <c r="B5443" s="2"/>
      <c r="N5443" s="27"/>
      <c r="R5443" s="15"/>
      <c r="X5443" s="3"/>
      <c r="Z5443" s="28"/>
    </row>
    <row r="5444" spans="2:26">
      <c r="B5444" s="2"/>
      <c r="N5444" s="27"/>
      <c r="R5444" s="15"/>
      <c r="X5444" s="3"/>
      <c r="Z5444" s="28"/>
    </row>
    <row r="5445" spans="2:26">
      <c r="B5445" s="2"/>
      <c r="N5445" s="27"/>
      <c r="R5445" s="15"/>
      <c r="X5445" s="3"/>
      <c r="Z5445" s="28"/>
    </row>
    <row r="5446" spans="2:26">
      <c r="B5446" s="2"/>
      <c r="N5446" s="27"/>
      <c r="R5446" s="15"/>
      <c r="X5446" s="3"/>
      <c r="Z5446" s="28"/>
    </row>
    <row r="5447" spans="2:26">
      <c r="B5447" s="2"/>
      <c r="N5447" s="27"/>
      <c r="R5447" s="15"/>
      <c r="X5447" s="3"/>
      <c r="Z5447" s="28"/>
    </row>
    <row r="5448" spans="2:26">
      <c r="B5448" s="2"/>
      <c r="N5448" s="27"/>
      <c r="R5448" s="15"/>
      <c r="X5448" s="3"/>
      <c r="Z5448" s="28"/>
    </row>
    <row r="5449" spans="2:26">
      <c r="B5449" s="2"/>
      <c r="N5449" s="27"/>
      <c r="R5449" s="15"/>
      <c r="X5449" s="3"/>
      <c r="Z5449" s="28"/>
    </row>
    <row r="5450" spans="2:26">
      <c r="B5450" s="2"/>
      <c r="N5450" s="27"/>
      <c r="R5450" s="15"/>
      <c r="X5450" s="3"/>
      <c r="Z5450" s="28"/>
    </row>
    <row r="5451" spans="2:26">
      <c r="B5451" s="2"/>
      <c r="N5451" s="27"/>
      <c r="R5451" s="15"/>
      <c r="X5451" s="3"/>
      <c r="Z5451" s="28"/>
    </row>
    <row r="5452" spans="2:26">
      <c r="B5452" s="2"/>
      <c r="N5452" s="27"/>
      <c r="R5452" s="15"/>
      <c r="X5452" s="3"/>
      <c r="Z5452" s="28"/>
    </row>
    <row r="5453" spans="2:26">
      <c r="B5453" s="2"/>
      <c r="N5453" s="27"/>
      <c r="R5453" s="15"/>
      <c r="X5453" s="3"/>
      <c r="Z5453" s="28"/>
    </row>
    <row r="5454" spans="2:26">
      <c r="B5454" s="2"/>
      <c r="N5454" s="27"/>
      <c r="R5454" s="15"/>
      <c r="X5454" s="3"/>
      <c r="Z5454" s="28"/>
    </row>
    <row r="5455" spans="2:26">
      <c r="B5455" s="2"/>
      <c r="N5455" s="27"/>
      <c r="R5455" s="15"/>
      <c r="X5455" s="3"/>
      <c r="Z5455" s="28"/>
    </row>
    <row r="5456" spans="2:26">
      <c r="B5456" s="2"/>
      <c r="N5456" s="27"/>
      <c r="R5456" s="15"/>
      <c r="X5456" s="3"/>
      <c r="Z5456" s="28"/>
    </row>
    <row r="5457" spans="2:26">
      <c r="B5457" s="2"/>
      <c r="N5457" s="27"/>
      <c r="R5457" s="15"/>
      <c r="X5457" s="3"/>
      <c r="Z5457" s="28"/>
    </row>
    <row r="5458" spans="2:26">
      <c r="B5458" s="2"/>
      <c r="N5458" s="27"/>
      <c r="R5458" s="15"/>
      <c r="X5458" s="3"/>
      <c r="Z5458" s="28"/>
    </row>
    <row r="5459" spans="2:26">
      <c r="B5459" s="2"/>
      <c r="N5459" s="27"/>
      <c r="R5459" s="15"/>
      <c r="X5459" s="3"/>
      <c r="Z5459" s="28"/>
    </row>
    <row r="5460" spans="2:26">
      <c r="B5460" s="2"/>
      <c r="N5460" s="27"/>
      <c r="R5460" s="15"/>
      <c r="X5460" s="3"/>
      <c r="Z5460" s="28"/>
    </row>
    <row r="5461" spans="2:26">
      <c r="B5461" s="2"/>
      <c r="N5461" s="27"/>
      <c r="R5461" s="15"/>
      <c r="X5461" s="3"/>
      <c r="Z5461" s="28"/>
    </row>
    <row r="5462" spans="2:26">
      <c r="B5462" s="2"/>
      <c r="N5462" s="27"/>
      <c r="R5462" s="15"/>
      <c r="X5462" s="3"/>
      <c r="Z5462" s="28"/>
    </row>
    <row r="5463" spans="2:26">
      <c r="B5463" s="2"/>
      <c r="N5463" s="27"/>
      <c r="R5463" s="15"/>
      <c r="X5463" s="3"/>
      <c r="Z5463" s="28"/>
    </row>
    <row r="5464" spans="2:26">
      <c r="B5464" s="2"/>
      <c r="N5464" s="27"/>
      <c r="R5464" s="15"/>
      <c r="X5464" s="3"/>
      <c r="Z5464" s="28"/>
    </row>
    <row r="5465" spans="2:26">
      <c r="B5465" s="2"/>
      <c r="N5465" s="27"/>
      <c r="R5465" s="15"/>
      <c r="X5465" s="3"/>
      <c r="Z5465" s="28"/>
    </row>
    <row r="5466" spans="2:26">
      <c r="B5466" s="2"/>
      <c r="N5466" s="27"/>
      <c r="R5466" s="15"/>
      <c r="X5466" s="3"/>
      <c r="Z5466" s="28"/>
    </row>
    <row r="5467" spans="2:26">
      <c r="B5467" s="2"/>
      <c r="N5467" s="27"/>
      <c r="R5467" s="15"/>
      <c r="X5467" s="3"/>
      <c r="Z5467" s="28"/>
    </row>
    <row r="5468" spans="2:26">
      <c r="B5468" s="2"/>
      <c r="N5468" s="27"/>
      <c r="R5468" s="15"/>
      <c r="X5468" s="3"/>
      <c r="Z5468" s="28"/>
    </row>
    <row r="5469" spans="2:26">
      <c r="B5469" s="2"/>
      <c r="N5469" s="27"/>
      <c r="R5469" s="15"/>
      <c r="X5469" s="3"/>
      <c r="Z5469" s="28"/>
    </row>
    <row r="5470" spans="2:26">
      <c r="B5470" s="2"/>
      <c r="N5470" s="27"/>
      <c r="R5470" s="15"/>
      <c r="X5470" s="3"/>
      <c r="Z5470" s="28"/>
    </row>
    <row r="5471" spans="2:26">
      <c r="B5471" s="2"/>
      <c r="N5471" s="27"/>
      <c r="R5471" s="15"/>
      <c r="X5471" s="3"/>
      <c r="Z5471" s="28"/>
    </row>
    <row r="5472" spans="2:26">
      <c r="B5472" s="2"/>
      <c r="N5472" s="27"/>
      <c r="R5472" s="15"/>
      <c r="X5472" s="3"/>
      <c r="Z5472" s="28"/>
    </row>
    <row r="5473" spans="2:26">
      <c r="B5473" s="2"/>
      <c r="N5473" s="27"/>
      <c r="R5473" s="15"/>
      <c r="X5473" s="3"/>
      <c r="Z5473" s="28"/>
    </row>
    <row r="5474" spans="2:26">
      <c r="B5474" s="2"/>
      <c r="N5474" s="27"/>
      <c r="R5474" s="15"/>
      <c r="X5474" s="3"/>
      <c r="Z5474" s="28"/>
    </row>
    <row r="5475" spans="2:26">
      <c r="B5475" s="2"/>
      <c r="N5475" s="27"/>
      <c r="R5475" s="15"/>
      <c r="X5475" s="3"/>
      <c r="Z5475" s="28"/>
    </row>
    <row r="5476" spans="2:26">
      <c r="B5476" s="2"/>
      <c r="N5476" s="27"/>
      <c r="R5476" s="15"/>
      <c r="X5476" s="3"/>
      <c r="Z5476" s="28"/>
    </row>
    <row r="5477" spans="2:26">
      <c r="B5477" s="2"/>
      <c r="N5477" s="27"/>
      <c r="R5477" s="15"/>
      <c r="X5477" s="3"/>
      <c r="Z5477" s="28"/>
    </row>
    <row r="5478" spans="2:26">
      <c r="B5478" s="2"/>
      <c r="N5478" s="27"/>
      <c r="R5478" s="15"/>
      <c r="X5478" s="3"/>
      <c r="Z5478" s="28"/>
    </row>
    <row r="5479" spans="2:26">
      <c r="B5479" s="2"/>
      <c r="N5479" s="27"/>
      <c r="R5479" s="15"/>
      <c r="X5479" s="3"/>
      <c r="Z5479" s="28"/>
    </row>
    <row r="5480" spans="2:26">
      <c r="B5480" s="2"/>
      <c r="N5480" s="27"/>
      <c r="R5480" s="15"/>
      <c r="X5480" s="3"/>
      <c r="Z5480" s="28"/>
    </row>
    <row r="5481" spans="2:26">
      <c r="B5481" s="2"/>
      <c r="N5481" s="27"/>
      <c r="R5481" s="15"/>
      <c r="X5481" s="3"/>
      <c r="Z5481" s="28"/>
    </row>
    <row r="5482" spans="2:26">
      <c r="B5482" s="2"/>
      <c r="N5482" s="27"/>
      <c r="R5482" s="15"/>
      <c r="X5482" s="3"/>
      <c r="Z5482" s="28"/>
    </row>
    <row r="5483" spans="2:26">
      <c r="B5483" s="2"/>
      <c r="N5483" s="27"/>
      <c r="R5483" s="15"/>
      <c r="X5483" s="3"/>
      <c r="Z5483" s="28"/>
    </row>
    <row r="5484" spans="2:26">
      <c r="B5484" s="2"/>
      <c r="N5484" s="27"/>
      <c r="R5484" s="15"/>
      <c r="X5484" s="3"/>
      <c r="Z5484" s="28"/>
    </row>
    <row r="5485" spans="2:26">
      <c r="B5485" s="2"/>
      <c r="N5485" s="27"/>
      <c r="R5485" s="15"/>
      <c r="X5485" s="3"/>
      <c r="Z5485" s="28"/>
    </row>
    <row r="5486" spans="2:26">
      <c r="B5486" s="2"/>
      <c r="N5486" s="27"/>
      <c r="R5486" s="15"/>
      <c r="X5486" s="3"/>
      <c r="Z5486" s="28"/>
    </row>
    <row r="5487" spans="2:26">
      <c r="B5487" s="2"/>
      <c r="N5487" s="27"/>
      <c r="R5487" s="15"/>
      <c r="X5487" s="3"/>
      <c r="Z5487" s="28"/>
    </row>
    <row r="5488" spans="2:26">
      <c r="B5488" s="2"/>
      <c r="N5488" s="27"/>
      <c r="R5488" s="15"/>
      <c r="X5488" s="3"/>
      <c r="Z5488" s="28"/>
    </row>
    <row r="5489" spans="2:26">
      <c r="B5489" s="2"/>
      <c r="N5489" s="27"/>
      <c r="R5489" s="15"/>
      <c r="X5489" s="3"/>
      <c r="Z5489" s="28"/>
    </row>
    <row r="5490" spans="2:26">
      <c r="B5490" s="2"/>
      <c r="N5490" s="27"/>
      <c r="R5490" s="15"/>
      <c r="X5490" s="3"/>
      <c r="Z5490" s="28"/>
    </row>
    <row r="5491" spans="2:26">
      <c r="B5491" s="2"/>
      <c r="N5491" s="27"/>
      <c r="R5491" s="15"/>
      <c r="X5491" s="3"/>
      <c r="Z5491" s="28"/>
    </row>
    <row r="5492" spans="2:26">
      <c r="B5492" s="2"/>
      <c r="N5492" s="27"/>
      <c r="R5492" s="15"/>
      <c r="X5492" s="3"/>
      <c r="Z5492" s="28"/>
    </row>
    <row r="5493" spans="2:26">
      <c r="B5493" s="2"/>
      <c r="N5493" s="27"/>
      <c r="R5493" s="15"/>
      <c r="X5493" s="3"/>
      <c r="Z5493" s="28"/>
    </row>
    <row r="5494" spans="2:26">
      <c r="B5494" s="2"/>
      <c r="N5494" s="27"/>
      <c r="R5494" s="15"/>
      <c r="X5494" s="3"/>
      <c r="Z5494" s="28"/>
    </row>
    <row r="5495" spans="2:26">
      <c r="B5495" s="2"/>
      <c r="N5495" s="27"/>
      <c r="R5495" s="15"/>
      <c r="X5495" s="3"/>
      <c r="Z5495" s="28"/>
    </row>
    <row r="5496" spans="2:26">
      <c r="B5496" s="2"/>
      <c r="N5496" s="27"/>
      <c r="R5496" s="15"/>
      <c r="X5496" s="3"/>
      <c r="Z5496" s="28"/>
    </row>
    <row r="5497" spans="2:26">
      <c r="B5497" s="2"/>
      <c r="N5497" s="27"/>
      <c r="R5497" s="15"/>
      <c r="X5497" s="3"/>
      <c r="Z5497" s="28"/>
    </row>
    <row r="5498" spans="2:26">
      <c r="B5498" s="2"/>
      <c r="N5498" s="27"/>
      <c r="R5498" s="15"/>
      <c r="X5498" s="3"/>
      <c r="Z5498" s="28"/>
    </row>
    <row r="5499" spans="2:26">
      <c r="B5499" s="2"/>
      <c r="N5499" s="27"/>
      <c r="R5499" s="15"/>
      <c r="X5499" s="3"/>
      <c r="Z5499" s="28"/>
    </row>
    <row r="5500" spans="2:26">
      <c r="B5500" s="2"/>
      <c r="N5500" s="27"/>
      <c r="R5500" s="15"/>
      <c r="X5500" s="3"/>
      <c r="Z5500" s="28"/>
    </row>
    <row r="5501" spans="2:26">
      <c r="B5501" s="2"/>
      <c r="N5501" s="27"/>
      <c r="R5501" s="15"/>
      <c r="X5501" s="3"/>
      <c r="Z5501" s="28"/>
    </row>
    <row r="5502" spans="2:26">
      <c r="B5502" s="2"/>
      <c r="N5502" s="27"/>
      <c r="R5502" s="15"/>
      <c r="X5502" s="3"/>
      <c r="Z5502" s="28"/>
    </row>
    <row r="5503" spans="2:26">
      <c r="B5503" s="2"/>
      <c r="N5503" s="27"/>
      <c r="R5503" s="15"/>
      <c r="X5503" s="3"/>
      <c r="Z5503" s="28"/>
    </row>
    <row r="5504" spans="2:26">
      <c r="B5504" s="2"/>
      <c r="N5504" s="27"/>
      <c r="R5504" s="15"/>
      <c r="X5504" s="3"/>
      <c r="Z5504" s="28"/>
    </row>
    <row r="5505" spans="2:26">
      <c r="B5505" s="2"/>
      <c r="N5505" s="27"/>
      <c r="R5505" s="15"/>
      <c r="X5505" s="3"/>
      <c r="Z5505" s="28"/>
    </row>
    <row r="5506" spans="2:26">
      <c r="B5506" s="2"/>
      <c r="N5506" s="27"/>
      <c r="R5506" s="15"/>
      <c r="X5506" s="3"/>
      <c r="Z5506" s="28"/>
    </row>
    <row r="5507" spans="2:26">
      <c r="B5507" s="2"/>
      <c r="N5507" s="27"/>
      <c r="R5507" s="15"/>
      <c r="X5507" s="3"/>
      <c r="Z5507" s="28"/>
    </row>
    <row r="5508" spans="2:26">
      <c r="B5508" s="2"/>
      <c r="N5508" s="27"/>
      <c r="R5508" s="15"/>
      <c r="X5508" s="3"/>
      <c r="Z5508" s="28"/>
    </row>
    <row r="5509" spans="2:26">
      <c r="B5509" s="2"/>
      <c r="N5509" s="27"/>
      <c r="R5509" s="15"/>
      <c r="X5509" s="3"/>
      <c r="Z5509" s="28"/>
    </row>
    <row r="5510" spans="2:26">
      <c r="B5510" s="2"/>
      <c r="N5510" s="27"/>
      <c r="R5510" s="15"/>
      <c r="X5510" s="3"/>
      <c r="Z5510" s="28"/>
    </row>
    <row r="5511" spans="2:26">
      <c r="B5511" s="2"/>
      <c r="N5511" s="27"/>
      <c r="R5511" s="15"/>
      <c r="X5511" s="3"/>
      <c r="Z5511" s="28"/>
    </row>
    <row r="5512" spans="2:26">
      <c r="B5512" s="2"/>
      <c r="N5512" s="27"/>
      <c r="R5512" s="15"/>
      <c r="X5512" s="3"/>
      <c r="Z5512" s="28"/>
    </row>
    <row r="5513" spans="2:26">
      <c r="B5513" s="2"/>
      <c r="N5513" s="27"/>
      <c r="R5513" s="15"/>
      <c r="X5513" s="3"/>
      <c r="Z5513" s="28"/>
    </row>
    <row r="5514" spans="2:26">
      <c r="B5514" s="2"/>
      <c r="N5514" s="27"/>
      <c r="R5514" s="15"/>
      <c r="X5514" s="3"/>
      <c r="Z5514" s="28"/>
    </row>
    <row r="5515" spans="2:26">
      <c r="B5515" s="2"/>
      <c r="N5515" s="27"/>
      <c r="R5515" s="15"/>
      <c r="X5515" s="3"/>
      <c r="Z5515" s="28"/>
    </row>
    <row r="5516" spans="2:26">
      <c r="B5516" s="2"/>
      <c r="N5516" s="27"/>
      <c r="R5516" s="15"/>
      <c r="X5516" s="3"/>
      <c r="Z5516" s="28"/>
    </row>
    <row r="5517" spans="2:26">
      <c r="B5517" s="2"/>
      <c r="N5517" s="27"/>
      <c r="R5517" s="15"/>
      <c r="X5517" s="3"/>
      <c r="Z5517" s="28"/>
    </row>
    <row r="5518" spans="2:26">
      <c r="B5518" s="2"/>
      <c r="N5518" s="27"/>
      <c r="R5518" s="15"/>
      <c r="X5518" s="3"/>
      <c r="Z5518" s="28"/>
    </row>
    <row r="5519" spans="2:26">
      <c r="B5519" s="2"/>
      <c r="N5519" s="27"/>
      <c r="R5519" s="15"/>
      <c r="X5519" s="3"/>
      <c r="Z5519" s="28"/>
    </row>
    <row r="5520" spans="2:26">
      <c r="B5520" s="2"/>
      <c r="N5520" s="27"/>
      <c r="R5520" s="15"/>
      <c r="X5520" s="3"/>
      <c r="Z5520" s="28"/>
    </row>
    <row r="5521" spans="2:26">
      <c r="B5521" s="2"/>
      <c r="N5521" s="27"/>
      <c r="R5521" s="15"/>
      <c r="X5521" s="3"/>
      <c r="Z5521" s="28"/>
    </row>
    <row r="5522" spans="2:26">
      <c r="B5522" s="2"/>
      <c r="N5522" s="27"/>
      <c r="R5522" s="15"/>
      <c r="X5522" s="3"/>
      <c r="Z5522" s="28"/>
    </row>
    <row r="5523" spans="2:26">
      <c r="B5523" s="2"/>
      <c r="N5523" s="27"/>
      <c r="R5523" s="15"/>
      <c r="X5523" s="3"/>
      <c r="Z5523" s="28"/>
    </row>
    <row r="5524" spans="2:26">
      <c r="B5524" s="2"/>
      <c r="N5524" s="27"/>
      <c r="R5524" s="15"/>
      <c r="X5524" s="3"/>
      <c r="Z5524" s="28"/>
    </row>
    <row r="5525" spans="2:26">
      <c r="B5525" s="2"/>
      <c r="N5525" s="27"/>
      <c r="R5525" s="15"/>
      <c r="X5525" s="3"/>
      <c r="Z5525" s="28"/>
    </row>
    <row r="5526" spans="2:26">
      <c r="B5526" s="2"/>
      <c r="N5526" s="27"/>
      <c r="R5526" s="15"/>
      <c r="X5526" s="3"/>
      <c r="Z5526" s="28"/>
    </row>
    <row r="5527" spans="2:26">
      <c r="B5527" s="2"/>
      <c r="N5527" s="27"/>
      <c r="R5527" s="15"/>
      <c r="X5527" s="3"/>
      <c r="Z5527" s="28"/>
    </row>
    <row r="5528" spans="2:26">
      <c r="B5528" s="2"/>
      <c r="N5528" s="27"/>
      <c r="R5528" s="15"/>
      <c r="X5528" s="3"/>
      <c r="Z5528" s="28"/>
    </row>
    <row r="5529" spans="2:26">
      <c r="B5529" s="2"/>
      <c r="N5529" s="27"/>
      <c r="R5529" s="15"/>
      <c r="X5529" s="3"/>
      <c r="Z5529" s="28"/>
    </row>
    <row r="5530" spans="2:26">
      <c r="B5530" s="2"/>
      <c r="N5530" s="27"/>
      <c r="R5530" s="15"/>
      <c r="X5530" s="3"/>
      <c r="Z5530" s="28"/>
    </row>
    <row r="5531" spans="2:26">
      <c r="B5531" s="2"/>
      <c r="N5531" s="27"/>
      <c r="R5531" s="15"/>
      <c r="X5531" s="3"/>
      <c r="Z5531" s="28"/>
    </row>
    <row r="5532" spans="2:26">
      <c r="B5532" s="2"/>
      <c r="N5532" s="27"/>
      <c r="R5532" s="15"/>
      <c r="X5532" s="3"/>
      <c r="Z5532" s="28"/>
    </row>
    <row r="5533" spans="2:26">
      <c r="B5533" s="2"/>
      <c r="N5533" s="27"/>
      <c r="R5533" s="15"/>
      <c r="X5533" s="3"/>
      <c r="Z5533" s="28"/>
    </row>
    <row r="5534" spans="2:26">
      <c r="B5534" s="2"/>
      <c r="N5534" s="27"/>
      <c r="R5534" s="15"/>
      <c r="X5534" s="3"/>
      <c r="Z5534" s="28"/>
    </row>
    <row r="5535" spans="2:26">
      <c r="B5535" s="2"/>
      <c r="N5535" s="27"/>
      <c r="R5535" s="15"/>
      <c r="X5535" s="3"/>
      <c r="Z5535" s="28"/>
    </row>
    <row r="5536" spans="2:26">
      <c r="B5536" s="2"/>
      <c r="N5536" s="27"/>
      <c r="R5536" s="15"/>
      <c r="X5536" s="3"/>
      <c r="Z5536" s="28"/>
    </row>
    <row r="5537" spans="2:26">
      <c r="B5537" s="2"/>
      <c r="N5537" s="27"/>
      <c r="R5537" s="15"/>
      <c r="X5537" s="3"/>
      <c r="Z5537" s="28"/>
    </row>
    <row r="5538" spans="2:26">
      <c r="B5538" s="2"/>
      <c r="N5538" s="27"/>
      <c r="R5538" s="15"/>
      <c r="X5538" s="3"/>
      <c r="Z5538" s="28"/>
    </row>
    <row r="5539" spans="2:26">
      <c r="B5539" s="2"/>
      <c r="N5539" s="27"/>
      <c r="R5539" s="15"/>
      <c r="X5539" s="3"/>
      <c r="Z5539" s="28"/>
    </row>
    <row r="5540" spans="2:26">
      <c r="B5540" s="2"/>
      <c r="N5540" s="27"/>
      <c r="R5540" s="15"/>
      <c r="X5540" s="3"/>
      <c r="Z5540" s="28"/>
    </row>
    <row r="5541" spans="2:26">
      <c r="B5541" s="2"/>
      <c r="N5541" s="27"/>
      <c r="R5541" s="15"/>
      <c r="X5541" s="3"/>
      <c r="Z5541" s="28"/>
    </row>
    <row r="5542" spans="2:26">
      <c r="B5542" s="2"/>
      <c r="N5542" s="27"/>
      <c r="R5542" s="15"/>
      <c r="X5542" s="3"/>
      <c r="Z5542" s="28"/>
    </row>
    <row r="5543" spans="2:26">
      <c r="B5543" s="2"/>
      <c r="N5543" s="27"/>
      <c r="R5543" s="15"/>
      <c r="X5543" s="3"/>
      <c r="Z5543" s="28"/>
    </row>
    <row r="5544" spans="2:26">
      <c r="B5544" s="2"/>
      <c r="N5544" s="27"/>
      <c r="R5544" s="15"/>
      <c r="X5544" s="3"/>
      <c r="Z5544" s="28"/>
    </row>
    <row r="5545" spans="2:26">
      <c r="B5545" s="2"/>
      <c r="N5545" s="27"/>
      <c r="R5545" s="15"/>
      <c r="X5545" s="3"/>
      <c r="Z5545" s="28"/>
    </row>
    <row r="5546" spans="2:26">
      <c r="B5546" s="2"/>
      <c r="N5546" s="27"/>
      <c r="R5546" s="15"/>
      <c r="X5546" s="3"/>
      <c r="Z5546" s="28"/>
    </row>
    <row r="5547" spans="2:26">
      <c r="B5547" s="2"/>
      <c r="N5547" s="27"/>
      <c r="R5547" s="15"/>
      <c r="X5547" s="3"/>
      <c r="Z5547" s="28"/>
    </row>
    <row r="5548" spans="2:26">
      <c r="B5548" s="2"/>
      <c r="N5548" s="27"/>
      <c r="R5548" s="15"/>
      <c r="X5548" s="3"/>
      <c r="Z5548" s="28"/>
    </row>
    <row r="5549" spans="2:26">
      <c r="B5549" s="2"/>
      <c r="N5549" s="27"/>
      <c r="R5549" s="15"/>
      <c r="X5549" s="3"/>
      <c r="Z5549" s="28"/>
    </row>
    <row r="5550" spans="2:26">
      <c r="B5550" s="2"/>
      <c r="N5550" s="27"/>
      <c r="R5550" s="15"/>
      <c r="X5550" s="3"/>
      <c r="Z5550" s="28"/>
    </row>
    <row r="5551" spans="2:26">
      <c r="B5551" s="2"/>
      <c r="N5551" s="27"/>
      <c r="R5551" s="15"/>
      <c r="X5551" s="3"/>
      <c r="Z5551" s="28"/>
    </row>
    <row r="5552" spans="2:26">
      <c r="B5552" s="2"/>
      <c r="N5552" s="27"/>
      <c r="R5552" s="15"/>
      <c r="X5552" s="3"/>
      <c r="Z5552" s="28"/>
    </row>
    <row r="5553" spans="2:26">
      <c r="B5553" s="2"/>
      <c r="N5553" s="27"/>
      <c r="R5553" s="15"/>
      <c r="X5553" s="3"/>
      <c r="Z5553" s="28"/>
    </row>
    <row r="5554" spans="2:26">
      <c r="B5554" s="2"/>
      <c r="N5554" s="27"/>
      <c r="R5554" s="15"/>
      <c r="X5554" s="3"/>
      <c r="Z5554" s="28"/>
    </row>
    <row r="5555" spans="2:26">
      <c r="B5555" s="2"/>
      <c r="N5555" s="27"/>
      <c r="R5555" s="15"/>
      <c r="X5555" s="3"/>
      <c r="Z5555" s="28"/>
    </row>
    <row r="5556" spans="2:26">
      <c r="B5556" s="2"/>
      <c r="N5556" s="27"/>
      <c r="R5556" s="15"/>
      <c r="X5556" s="3"/>
      <c r="Z5556" s="28"/>
    </row>
    <row r="5557" spans="2:26">
      <c r="B5557" s="2"/>
      <c r="N5557" s="27"/>
      <c r="R5557" s="15"/>
      <c r="X5557" s="3"/>
      <c r="Z5557" s="28"/>
    </row>
    <row r="5558" spans="2:26">
      <c r="B5558" s="2"/>
      <c r="N5558" s="27"/>
      <c r="R5558" s="15"/>
      <c r="X5558" s="3"/>
      <c r="Z5558" s="28"/>
    </row>
    <row r="5559" spans="2:26">
      <c r="B5559" s="2"/>
      <c r="N5559" s="27"/>
      <c r="R5559" s="15"/>
      <c r="X5559" s="3"/>
      <c r="Z5559" s="28"/>
    </row>
    <row r="5560" spans="2:26">
      <c r="B5560" s="2"/>
      <c r="N5560" s="27"/>
      <c r="R5560" s="15"/>
      <c r="X5560" s="3"/>
      <c r="Z5560" s="28"/>
    </row>
    <row r="5561" spans="2:26">
      <c r="B5561" s="2"/>
      <c r="N5561" s="27"/>
      <c r="R5561" s="15"/>
      <c r="X5561" s="3"/>
      <c r="Z5561" s="28"/>
    </row>
    <row r="5562" spans="2:26">
      <c r="B5562" s="2"/>
      <c r="N5562" s="27"/>
      <c r="R5562" s="15"/>
      <c r="X5562" s="3"/>
      <c r="Z5562" s="28"/>
    </row>
    <row r="5563" spans="2:26">
      <c r="B5563" s="2"/>
      <c r="N5563" s="27"/>
      <c r="R5563" s="15"/>
      <c r="X5563" s="3"/>
      <c r="Z5563" s="28"/>
    </row>
    <row r="5564" spans="2:26">
      <c r="B5564" s="2"/>
      <c r="N5564" s="27"/>
      <c r="R5564" s="15"/>
      <c r="X5564" s="3"/>
      <c r="Z5564" s="28"/>
    </row>
    <row r="5565" spans="2:26">
      <c r="B5565" s="2"/>
      <c r="N5565" s="27"/>
      <c r="R5565" s="15"/>
      <c r="X5565" s="3"/>
      <c r="Z5565" s="28"/>
    </row>
    <row r="5566" spans="2:26">
      <c r="B5566" s="2"/>
      <c r="N5566" s="27"/>
      <c r="R5566" s="15"/>
      <c r="X5566" s="3"/>
      <c r="Z5566" s="28"/>
    </row>
    <row r="5567" spans="2:26">
      <c r="B5567" s="2"/>
      <c r="N5567" s="27"/>
      <c r="R5567" s="15"/>
      <c r="X5567" s="3"/>
      <c r="Z5567" s="28"/>
    </row>
    <row r="5568" spans="2:26">
      <c r="B5568" s="2"/>
      <c r="N5568" s="27"/>
      <c r="R5568" s="15"/>
      <c r="X5568" s="3"/>
      <c r="Z5568" s="28"/>
    </row>
    <row r="5569" spans="2:26">
      <c r="B5569" s="2"/>
      <c r="N5569" s="27"/>
      <c r="R5569" s="15"/>
      <c r="X5569" s="3"/>
      <c r="Z5569" s="28"/>
    </row>
    <row r="5570" spans="2:26">
      <c r="B5570" s="2"/>
      <c r="N5570" s="27"/>
      <c r="R5570" s="15"/>
      <c r="X5570" s="3"/>
      <c r="Z5570" s="28"/>
    </row>
    <row r="5571" spans="2:26">
      <c r="B5571" s="2"/>
      <c r="N5571" s="27"/>
      <c r="R5571" s="15"/>
      <c r="X5571" s="3"/>
      <c r="Z5571" s="28"/>
    </row>
    <row r="5572" spans="2:26">
      <c r="B5572" s="2"/>
      <c r="N5572" s="27"/>
      <c r="R5572" s="15"/>
      <c r="X5572" s="3"/>
      <c r="Z5572" s="28"/>
    </row>
    <row r="5573" spans="2:26">
      <c r="B5573" s="2"/>
      <c r="N5573" s="27"/>
      <c r="R5573" s="15"/>
      <c r="X5573" s="3"/>
      <c r="Z5573" s="28"/>
    </row>
    <row r="5574" spans="2:26">
      <c r="B5574" s="2"/>
      <c r="N5574" s="27"/>
      <c r="R5574" s="15"/>
      <c r="X5574" s="3"/>
      <c r="Z5574" s="28"/>
    </row>
    <row r="5575" spans="2:26">
      <c r="B5575" s="2"/>
      <c r="N5575" s="27"/>
      <c r="R5575" s="15"/>
      <c r="X5575" s="3"/>
      <c r="Z5575" s="28"/>
    </row>
    <row r="5576" spans="2:26">
      <c r="B5576" s="2"/>
      <c r="N5576" s="27"/>
      <c r="R5576" s="15"/>
      <c r="X5576" s="3"/>
      <c r="Z5576" s="28"/>
    </row>
    <row r="5577" spans="2:26">
      <c r="B5577" s="2"/>
      <c r="N5577" s="27"/>
      <c r="R5577" s="15"/>
      <c r="X5577" s="3"/>
      <c r="Z5577" s="28"/>
    </row>
    <row r="5578" spans="2:26">
      <c r="B5578" s="2"/>
      <c r="N5578" s="27"/>
      <c r="R5578" s="15"/>
      <c r="X5578" s="3"/>
      <c r="Z5578" s="28"/>
    </row>
    <row r="5579" spans="2:26">
      <c r="B5579" s="2"/>
      <c r="N5579" s="27"/>
      <c r="R5579" s="15"/>
      <c r="X5579" s="3"/>
      <c r="Z5579" s="28"/>
    </row>
    <row r="5580" spans="2:26">
      <c r="B5580" s="2"/>
      <c r="N5580" s="27"/>
      <c r="R5580" s="15"/>
      <c r="X5580" s="3"/>
      <c r="Z5580" s="28"/>
    </row>
    <row r="5581" spans="2:26">
      <c r="B5581" s="2"/>
      <c r="N5581" s="27"/>
      <c r="R5581" s="15"/>
      <c r="X5581" s="3"/>
      <c r="Z5581" s="28"/>
    </row>
    <row r="5582" spans="2:26">
      <c r="B5582" s="2"/>
      <c r="N5582" s="27"/>
      <c r="R5582" s="15"/>
      <c r="X5582" s="3"/>
      <c r="Z5582" s="28"/>
    </row>
    <row r="5583" spans="2:26">
      <c r="B5583" s="2"/>
      <c r="N5583" s="27"/>
      <c r="R5583" s="15"/>
      <c r="X5583" s="3"/>
      <c r="Z5583" s="28"/>
    </row>
    <row r="5584" spans="2:26">
      <c r="B5584" s="2"/>
      <c r="N5584" s="27"/>
      <c r="R5584" s="15"/>
      <c r="X5584" s="3"/>
      <c r="Z5584" s="28"/>
    </row>
    <row r="5585" spans="2:26">
      <c r="B5585" s="2"/>
      <c r="N5585" s="27"/>
      <c r="R5585" s="15"/>
      <c r="X5585" s="3"/>
      <c r="Z5585" s="28"/>
    </row>
    <row r="5586" spans="2:26">
      <c r="B5586" s="2"/>
      <c r="N5586" s="27"/>
      <c r="R5586" s="15"/>
      <c r="X5586" s="3"/>
      <c r="Z5586" s="28"/>
    </row>
    <row r="5587" spans="2:26">
      <c r="B5587" s="2"/>
      <c r="N5587" s="27"/>
      <c r="R5587" s="15"/>
      <c r="X5587" s="3"/>
      <c r="Z5587" s="28"/>
    </row>
    <row r="5588" spans="2:26">
      <c r="B5588" s="2"/>
      <c r="N5588" s="27"/>
      <c r="R5588" s="15"/>
      <c r="X5588" s="3"/>
      <c r="Z5588" s="28"/>
    </row>
    <row r="5589" spans="2:26">
      <c r="B5589" s="2"/>
      <c r="N5589" s="27"/>
      <c r="R5589" s="15"/>
      <c r="X5589" s="3"/>
      <c r="Z5589" s="28"/>
    </row>
    <row r="5590" spans="2:26">
      <c r="B5590" s="2"/>
      <c r="N5590" s="27"/>
      <c r="R5590" s="15"/>
      <c r="X5590" s="3"/>
      <c r="Z5590" s="28"/>
    </row>
    <row r="5591" spans="2:26">
      <c r="B5591" s="2"/>
      <c r="N5591" s="27"/>
      <c r="R5591" s="15"/>
      <c r="X5591" s="3"/>
      <c r="Z5591" s="28"/>
    </row>
    <row r="5592" spans="2:26">
      <c r="B5592" s="2"/>
      <c r="N5592" s="27"/>
      <c r="R5592" s="15"/>
      <c r="X5592" s="3"/>
      <c r="Z5592" s="28"/>
    </row>
    <row r="5593" spans="2:26">
      <c r="B5593" s="2"/>
      <c r="N5593" s="27"/>
      <c r="R5593" s="15"/>
      <c r="X5593" s="3"/>
      <c r="Z5593" s="28"/>
    </row>
    <row r="5594" spans="2:26">
      <c r="B5594" s="2"/>
      <c r="N5594" s="27"/>
      <c r="R5594" s="15"/>
      <c r="X5594" s="3"/>
      <c r="Z5594" s="28"/>
    </row>
    <row r="5595" spans="2:26">
      <c r="B5595" s="2"/>
      <c r="N5595" s="27"/>
      <c r="R5595" s="15"/>
      <c r="X5595" s="3"/>
      <c r="Z5595" s="28"/>
    </row>
    <row r="5596" spans="2:26">
      <c r="B5596" s="2"/>
      <c r="N5596" s="27"/>
      <c r="R5596" s="15"/>
      <c r="X5596" s="3"/>
      <c r="Z5596" s="28"/>
    </row>
    <row r="5597" spans="2:26">
      <c r="B5597" s="2"/>
      <c r="N5597" s="27"/>
      <c r="R5597" s="15"/>
      <c r="X5597" s="3"/>
      <c r="Z5597" s="28"/>
    </row>
    <row r="5598" spans="2:26">
      <c r="B5598" s="2"/>
      <c r="N5598" s="27"/>
      <c r="R5598" s="15"/>
      <c r="X5598" s="3"/>
      <c r="Z5598" s="28"/>
    </row>
    <row r="5599" spans="2:26">
      <c r="B5599" s="2"/>
      <c r="N5599" s="27"/>
      <c r="R5599" s="15"/>
      <c r="X5599" s="3"/>
      <c r="Z5599" s="28"/>
    </row>
    <row r="5600" spans="2:26">
      <c r="B5600" s="2"/>
      <c r="N5600" s="27"/>
      <c r="R5600" s="15"/>
      <c r="X5600" s="3"/>
      <c r="Z5600" s="28"/>
    </row>
    <row r="5601" spans="2:26">
      <c r="B5601" s="2"/>
      <c r="N5601" s="27"/>
      <c r="R5601" s="15"/>
      <c r="X5601" s="3"/>
      <c r="Z5601" s="28"/>
    </row>
    <row r="5602" spans="2:26">
      <c r="B5602" s="2"/>
      <c r="N5602" s="27"/>
      <c r="R5602" s="15"/>
      <c r="X5602" s="3"/>
      <c r="Z5602" s="28"/>
    </row>
    <row r="5603" spans="2:26">
      <c r="B5603" s="2"/>
      <c r="N5603" s="27"/>
      <c r="R5603" s="15"/>
      <c r="X5603" s="3"/>
      <c r="Z5603" s="28"/>
    </row>
    <row r="5604" spans="2:26">
      <c r="B5604" s="2"/>
      <c r="N5604" s="27"/>
      <c r="R5604" s="15"/>
      <c r="X5604" s="3"/>
      <c r="Z5604" s="28"/>
    </row>
    <row r="5605" spans="2:26">
      <c r="B5605" s="2"/>
      <c r="N5605" s="27"/>
      <c r="R5605" s="15"/>
      <c r="X5605" s="3"/>
      <c r="Z5605" s="28"/>
    </row>
    <row r="5606" spans="2:26">
      <c r="B5606" s="2"/>
      <c r="N5606" s="27"/>
      <c r="R5606" s="15"/>
      <c r="X5606" s="3"/>
      <c r="Z5606" s="28"/>
    </row>
    <row r="5607" spans="2:26">
      <c r="B5607" s="2"/>
      <c r="N5607" s="27"/>
      <c r="R5607" s="15"/>
      <c r="X5607" s="3"/>
      <c r="Z5607" s="28"/>
    </row>
    <row r="5608" spans="2:26">
      <c r="B5608" s="2"/>
      <c r="N5608" s="27"/>
      <c r="R5608" s="15"/>
      <c r="X5608" s="3"/>
      <c r="Z5608" s="28"/>
    </row>
    <row r="5609" spans="2:26">
      <c r="B5609" s="2"/>
      <c r="N5609" s="27"/>
      <c r="R5609" s="15"/>
      <c r="X5609" s="3"/>
      <c r="Z5609" s="28"/>
    </row>
    <row r="5610" spans="2:26">
      <c r="B5610" s="2"/>
      <c r="N5610" s="27"/>
      <c r="R5610" s="15"/>
      <c r="X5610" s="3"/>
      <c r="Z5610" s="28"/>
    </row>
    <row r="5611" spans="2:26">
      <c r="B5611" s="2"/>
      <c r="N5611" s="27"/>
      <c r="R5611" s="15"/>
      <c r="X5611" s="3"/>
      <c r="Z5611" s="28"/>
    </row>
    <row r="5612" spans="2:26">
      <c r="B5612" s="2"/>
      <c r="N5612" s="27"/>
      <c r="R5612" s="15"/>
      <c r="X5612" s="3"/>
      <c r="Z5612" s="28"/>
    </row>
    <row r="5613" spans="2:26">
      <c r="B5613" s="2"/>
      <c r="N5613" s="27"/>
      <c r="R5613" s="15"/>
      <c r="X5613" s="3"/>
      <c r="Z5613" s="28"/>
    </row>
    <row r="5614" spans="2:26">
      <c r="B5614" s="2"/>
      <c r="N5614" s="27"/>
      <c r="R5614" s="15"/>
      <c r="X5614" s="3"/>
      <c r="Z5614" s="28"/>
    </row>
    <row r="5615" spans="2:26">
      <c r="B5615" s="2"/>
      <c r="N5615" s="27"/>
      <c r="R5615" s="15"/>
      <c r="X5615" s="3"/>
      <c r="Z5615" s="28"/>
    </row>
    <row r="5616" spans="2:26">
      <c r="B5616" s="2"/>
      <c r="N5616" s="27"/>
      <c r="R5616" s="15"/>
      <c r="X5616" s="3"/>
      <c r="Z5616" s="28"/>
    </row>
    <row r="5617" spans="2:26">
      <c r="B5617" s="2"/>
      <c r="N5617" s="27"/>
      <c r="R5617" s="15"/>
      <c r="X5617" s="3"/>
      <c r="Z5617" s="28"/>
    </row>
    <row r="5618" spans="2:26">
      <c r="B5618" s="2"/>
      <c r="N5618" s="27"/>
      <c r="R5618" s="15"/>
      <c r="X5618" s="3"/>
      <c r="Z5618" s="28"/>
    </row>
    <row r="5619" spans="2:26">
      <c r="B5619" s="2"/>
      <c r="N5619" s="27"/>
      <c r="R5619" s="15"/>
      <c r="X5619" s="3"/>
      <c r="Z5619" s="28"/>
    </row>
    <row r="5620" spans="2:26">
      <c r="B5620" s="2"/>
      <c r="N5620" s="27"/>
      <c r="R5620" s="15"/>
      <c r="X5620" s="3"/>
      <c r="Z5620" s="28"/>
    </row>
    <row r="5621" spans="2:26">
      <c r="B5621" s="2"/>
      <c r="N5621" s="27"/>
      <c r="R5621" s="15"/>
      <c r="X5621" s="3"/>
      <c r="Z5621" s="28"/>
    </row>
    <row r="5622" spans="2:26">
      <c r="B5622" s="2"/>
      <c r="N5622" s="27"/>
      <c r="R5622" s="15"/>
      <c r="X5622" s="3"/>
      <c r="Z5622" s="28"/>
    </row>
    <row r="5623" spans="2:26">
      <c r="B5623" s="2"/>
      <c r="N5623" s="27"/>
      <c r="R5623" s="15"/>
      <c r="X5623" s="3"/>
      <c r="Z5623" s="28"/>
    </row>
    <row r="5624" spans="2:26">
      <c r="B5624" s="2"/>
      <c r="N5624" s="27"/>
      <c r="R5624" s="15"/>
      <c r="X5624" s="3"/>
      <c r="Z5624" s="28"/>
    </row>
    <row r="5625" spans="2:26">
      <c r="B5625" s="2"/>
      <c r="N5625" s="27"/>
      <c r="R5625" s="15"/>
      <c r="X5625" s="3"/>
      <c r="Z5625" s="28"/>
    </row>
    <row r="5626" spans="2:26">
      <c r="B5626" s="2"/>
      <c r="N5626" s="27"/>
      <c r="R5626" s="15"/>
      <c r="X5626" s="3"/>
      <c r="Z5626" s="28"/>
    </row>
    <row r="5627" spans="2:26">
      <c r="B5627" s="2"/>
      <c r="N5627" s="27"/>
      <c r="R5627" s="15"/>
      <c r="X5627" s="3"/>
      <c r="Z5627" s="28"/>
    </row>
    <row r="5628" spans="2:26">
      <c r="B5628" s="2"/>
      <c r="N5628" s="27"/>
      <c r="R5628" s="15"/>
      <c r="X5628" s="3"/>
      <c r="Z5628" s="28"/>
    </row>
    <row r="5629" spans="2:26">
      <c r="B5629" s="2"/>
      <c r="N5629" s="27"/>
      <c r="R5629" s="15"/>
      <c r="X5629" s="3"/>
      <c r="Z5629" s="28"/>
    </row>
    <row r="5630" spans="2:26">
      <c r="B5630" s="2"/>
      <c r="N5630" s="27"/>
      <c r="R5630" s="15"/>
      <c r="X5630" s="3"/>
      <c r="Z5630" s="28"/>
    </row>
    <row r="5631" spans="2:26">
      <c r="B5631" s="2"/>
      <c r="N5631" s="27"/>
      <c r="R5631" s="15"/>
      <c r="X5631" s="3"/>
      <c r="Z5631" s="28"/>
    </row>
    <row r="5632" spans="2:26">
      <c r="B5632" s="2"/>
      <c r="N5632" s="27"/>
      <c r="R5632" s="15"/>
      <c r="X5632" s="3"/>
      <c r="Z5632" s="28"/>
    </row>
    <row r="5633" spans="2:26">
      <c r="B5633" s="2"/>
      <c r="N5633" s="27"/>
      <c r="R5633" s="15"/>
      <c r="X5633" s="3"/>
      <c r="Z5633" s="28"/>
    </row>
    <row r="5634" spans="2:26">
      <c r="B5634" s="2"/>
      <c r="N5634" s="27"/>
      <c r="R5634" s="15"/>
      <c r="X5634" s="3"/>
      <c r="Z5634" s="28"/>
    </row>
    <row r="5635" spans="2:26">
      <c r="B5635" s="2"/>
      <c r="N5635" s="27"/>
      <c r="R5635" s="15"/>
      <c r="X5635" s="3"/>
      <c r="Z5635" s="28"/>
    </row>
    <row r="5636" spans="2:26">
      <c r="B5636" s="2"/>
      <c r="N5636" s="27"/>
      <c r="R5636" s="15"/>
      <c r="X5636" s="3"/>
      <c r="Z5636" s="28"/>
    </row>
    <row r="5637" spans="2:26">
      <c r="B5637" s="2"/>
      <c r="N5637" s="27"/>
      <c r="R5637" s="15"/>
      <c r="X5637" s="3"/>
      <c r="Z5637" s="28"/>
    </row>
    <row r="5638" spans="2:26">
      <c r="B5638" s="2"/>
      <c r="N5638" s="27"/>
      <c r="R5638" s="15"/>
      <c r="X5638" s="3"/>
      <c r="Z5638" s="28"/>
    </row>
    <row r="5639" spans="2:26">
      <c r="B5639" s="2"/>
      <c r="N5639" s="27"/>
      <c r="R5639" s="15"/>
      <c r="X5639" s="3"/>
      <c r="Z5639" s="28"/>
    </row>
    <row r="5640" spans="2:26">
      <c r="B5640" s="2"/>
      <c r="N5640" s="27"/>
      <c r="R5640" s="15"/>
      <c r="X5640" s="3"/>
      <c r="Z5640" s="28"/>
    </row>
    <row r="5641" spans="2:26">
      <c r="B5641" s="2"/>
      <c r="N5641" s="27"/>
      <c r="R5641" s="15"/>
      <c r="X5641" s="3"/>
      <c r="Z5641" s="28"/>
    </row>
    <row r="5642" spans="2:26">
      <c r="B5642" s="2"/>
      <c r="N5642" s="27"/>
      <c r="R5642" s="15"/>
      <c r="X5642" s="3"/>
      <c r="Z5642" s="28"/>
    </row>
    <row r="5643" spans="2:26">
      <c r="B5643" s="2"/>
      <c r="N5643" s="27"/>
      <c r="R5643" s="15"/>
      <c r="X5643" s="3"/>
      <c r="Z5643" s="28"/>
    </row>
    <row r="5644" spans="2:26">
      <c r="B5644" s="2"/>
      <c r="N5644" s="27"/>
      <c r="R5644" s="15"/>
      <c r="X5644" s="3"/>
      <c r="Z5644" s="28"/>
    </row>
    <row r="5645" spans="2:26">
      <c r="B5645" s="2"/>
      <c r="N5645" s="27"/>
      <c r="R5645" s="15"/>
      <c r="X5645" s="3"/>
      <c r="Z5645" s="28"/>
    </row>
    <row r="5646" spans="2:26">
      <c r="B5646" s="2"/>
      <c r="N5646" s="27"/>
      <c r="R5646" s="15"/>
      <c r="X5646" s="3"/>
      <c r="Z5646" s="28"/>
    </row>
    <row r="5647" spans="2:26">
      <c r="B5647" s="2"/>
      <c r="N5647" s="27"/>
      <c r="R5647" s="15"/>
      <c r="X5647" s="3"/>
      <c r="Z5647" s="28"/>
    </row>
    <row r="5648" spans="2:26">
      <c r="B5648" s="2"/>
      <c r="N5648" s="27"/>
      <c r="R5648" s="15"/>
      <c r="X5648" s="3"/>
      <c r="Z5648" s="28"/>
    </row>
    <row r="5649" spans="2:26">
      <c r="B5649" s="2"/>
      <c r="N5649" s="27"/>
      <c r="R5649" s="15"/>
      <c r="X5649" s="3"/>
      <c r="Z5649" s="28"/>
    </row>
    <row r="5650" spans="2:26">
      <c r="B5650" s="2"/>
      <c r="N5650" s="27"/>
      <c r="R5650" s="15"/>
      <c r="X5650" s="3"/>
      <c r="Z5650" s="28"/>
    </row>
    <row r="5651" spans="2:26">
      <c r="B5651" s="2"/>
      <c r="N5651" s="27"/>
      <c r="R5651" s="15"/>
      <c r="X5651" s="3"/>
      <c r="Z5651" s="28"/>
    </row>
    <row r="5652" spans="2:26">
      <c r="B5652" s="2"/>
      <c r="N5652" s="27"/>
      <c r="R5652" s="15"/>
      <c r="X5652" s="3"/>
      <c r="Z5652" s="28"/>
    </row>
    <row r="5653" spans="2:26">
      <c r="B5653" s="2"/>
      <c r="N5653" s="27"/>
      <c r="R5653" s="15"/>
      <c r="X5653" s="3"/>
      <c r="Z5653" s="28"/>
    </row>
    <row r="5654" spans="2:26">
      <c r="B5654" s="2"/>
      <c r="N5654" s="27"/>
      <c r="R5654" s="15"/>
      <c r="X5654" s="3"/>
      <c r="Z5654" s="28"/>
    </row>
    <row r="5655" spans="2:26">
      <c r="B5655" s="2"/>
      <c r="N5655" s="27"/>
      <c r="R5655" s="15"/>
      <c r="X5655" s="3"/>
      <c r="Z5655" s="28"/>
    </row>
    <row r="5656" spans="2:26">
      <c r="B5656" s="2"/>
      <c r="N5656" s="27"/>
      <c r="R5656" s="15"/>
      <c r="X5656" s="3"/>
      <c r="Z5656" s="28"/>
    </row>
    <row r="5657" spans="2:26">
      <c r="B5657" s="2"/>
      <c r="N5657" s="27"/>
      <c r="R5657" s="15"/>
      <c r="X5657" s="3"/>
      <c r="Z5657" s="28"/>
    </row>
    <row r="5658" spans="2:26">
      <c r="B5658" s="2"/>
      <c r="N5658" s="27"/>
      <c r="R5658" s="15"/>
      <c r="X5658" s="3"/>
      <c r="Z5658" s="28"/>
    </row>
    <row r="5659" spans="2:26">
      <c r="B5659" s="2"/>
      <c r="N5659" s="27"/>
      <c r="R5659" s="15"/>
      <c r="X5659" s="3"/>
      <c r="Z5659" s="28"/>
    </row>
    <row r="5660" spans="2:26">
      <c r="B5660" s="2"/>
      <c r="N5660" s="27"/>
      <c r="R5660" s="15"/>
      <c r="X5660" s="3"/>
      <c r="Z5660" s="28"/>
    </row>
    <row r="5661" spans="2:26">
      <c r="B5661" s="2"/>
      <c r="N5661" s="27"/>
      <c r="R5661" s="15"/>
      <c r="X5661" s="3"/>
      <c r="Z5661" s="28"/>
    </row>
    <row r="5662" spans="2:26">
      <c r="B5662" s="2"/>
      <c r="N5662" s="27"/>
      <c r="R5662" s="15"/>
      <c r="X5662" s="3"/>
      <c r="Z5662" s="28"/>
    </row>
    <row r="5663" spans="2:26">
      <c r="B5663" s="2"/>
      <c r="N5663" s="27"/>
      <c r="R5663" s="15"/>
      <c r="X5663" s="3"/>
      <c r="Z5663" s="28"/>
    </row>
    <row r="5664" spans="2:26">
      <c r="B5664" s="2"/>
      <c r="N5664" s="27"/>
      <c r="R5664" s="15"/>
      <c r="X5664" s="3"/>
      <c r="Z5664" s="28"/>
    </row>
    <row r="5665" spans="2:26">
      <c r="B5665" s="2"/>
      <c r="N5665" s="27"/>
      <c r="R5665" s="15"/>
      <c r="X5665" s="3"/>
      <c r="Z5665" s="28"/>
    </row>
    <row r="5666" spans="2:26">
      <c r="B5666" s="2"/>
      <c r="N5666" s="27"/>
      <c r="R5666" s="15"/>
      <c r="X5666" s="3"/>
      <c r="Z5666" s="28"/>
    </row>
    <row r="5667" spans="2:26">
      <c r="B5667" s="2"/>
      <c r="N5667" s="27"/>
      <c r="R5667" s="15"/>
      <c r="X5667" s="3"/>
      <c r="Z5667" s="28"/>
    </row>
    <row r="5668" spans="2:26">
      <c r="B5668" s="2"/>
      <c r="N5668" s="27"/>
      <c r="R5668" s="15"/>
      <c r="X5668" s="3"/>
      <c r="Z5668" s="28"/>
    </row>
    <row r="5669" spans="2:26">
      <c r="B5669" s="2"/>
      <c r="N5669" s="27"/>
      <c r="R5669" s="15"/>
      <c r="X5669" s="3"/>
      <c r="Z5669" s="28"/>
    </row>
    <row r="5670" spans="2:26">
      <c r="B5670" s="2"/>
      <c r="N5670" s="27"/>
      <c r="R5670" s="15"/>
      <c r="X5670" s="3"/>
      <c r="Z5670" s="28"/>
    </row>
    <row r="5671" spans="2:26">
      <c r="B5671" s="2"/>
      <c r="N5671" s="27"/>
      <c r="R5671" s="15"/>
      <c r="X5671" s="3"/>
      <c r="Z5671" s="28"/>
    </row>
    <row r="5672" spans="2:26">
      <c r="B5672" s="2"/>
      <c r="N5672" s="27"/>
      <c r="R5672" s="15"/>
      <c r="X5672" s="3"/>
      <c r="Z5672" s="28"/>
    </row>
    <row r="5673" spans="2:26">
      <c r="B5673" s="2"/>
      <c r="N5673" s="27"/>
      <c r="R5673" s="15"/>
      <c r="X5673" s="3"/>
      <c r="Z5673" s="28"/>
    </row>
    <row r="5674" spans="2:26">
      <c r="B5674" s="2"/>
      <c r="N5674" s="27"/>
      <c r="R5674" s="15"/>
      <c r="X5674" s="3"/>
      <c r="Z5674" s="28"/>
    </row>
    <row r="5675" spans="2:26">
      <c r="B5675" s="2"/>
      <c r="N5675" s="27"/>
      <c r="R5675" s="15"/>
      <c r="X5675" s="3"/>
      <c r="Z5675" s="28"/>
    </row>
    <row r="5676" spans="2:26">
      <c r="B5676" s="2"/>
      <c r="N5676" s="27"/>
      <c r="R5676" s="15"/>
      <c r="X5676" s="3"/>
      <c r="Z5676" s="28"/>
    </row>
    <row r="5677" spans="2:26">
      <c r="B5677" s="2"/>
      <c r="N5677" s="27"/>
      <c r="R5677" s="15"/>
      <c r="X5677" s="3"/>
      <c r="Z5677" s="28"/>
    </row>
    <row r="5678" spans="2:26">
      <c r="B5678" s="2"/>
      <c r="N5678" s="27"/>
      <c r="R5678" s="15"/>
      <c r="X5678" s="3"/>
      <c r="Z5678" s="28"/>
    </row>
    <row r="5679" spans="2:26">
      <c r="B5679" s="2"/>
      <c r="N5679" s="27"/>
      <c r="R5679" s="15"/>
      <c r="X5679" s="3"/>
      <c r="Z5679" s="28"/>
    </row>
    <row r="5680" spans="2:26">
      <c r="B5680" s="2"/>
      <c r="N5680" s="27"/>
      <c r="R5680" s="15"/>
      <c r="X5680" s="3"/>
      <c r="Z5680" s="28"/>
    </row>
    <row r="5681" spans="2:26">
      <c r="B5681" s="2"/>
      <c r="N5681" s="27"/>
      <c r="R5681" s="15"/>
      <c r="X5681" s="3"/>
      <c r="Z5681" s="28"/>
    </row>
    <row r="5682" spans="2:26">
      <c r="B5682" s="2"/>
      <c r="N5682" s="27"/>
      <c r="R5682" s="15"/>
      <c r="X5682" s="3"/>
      <c r="Z5682" s="28"/>
    </row>
    <row r="5683" spans="2:26">
      <c r="B5683" s="2"/>
      <c r="N5683" s="27"/>
      <c r="R5683" s="15"/>
      <c r="X5683" s="3"/>
      <c r="Z5683" s="28"/>
    </row>
    <row r="5684" spans="2:26">
      <c r="B5684" s="2"/>
      <c r="N5684" s="27"/>
      <c r="R5684" s="15"/>
      <c r="X5684" s="3"/>
      <c r="Z5684" s="28"/>
    </row>
    <row r="5685" spans="2:26">
      <c r="B5685" s="2"/>
      <c r="N5685" s="27"/>
      <c r="R5685" s="15"/>
      <c r="X5685" s="3"/>
      <c r="Z5685" s="28"/>
    </row>
    <row r="5686" spans="2:26">
      <c r="B5686" s="2"/>
      <c r="N5686" s="27"/>
      <c r="R5686" s="15"/>
      <c r="X5686" s="3"/>
      <c r="Z5686" s="28"/>
    </row>
    <row r="5687" spans="2:26">
      <c r="B5687" s="2"/>
      <c r="N5687" s="27"/>
      <c r="R5687" s="15"/>
      <c r="X5687" s="3"/>
      <c r="Z5687" s="28"/>
    </row>
    <row r="5688" spans="2:26">
      <c r="B5688" s="2"/>
      <c r="N5688" s="27"/>
      <c r="R5688" s="15"/>
      <c r="X5688" s="3"/>
      <c r="Z5688" s="28"/>
    </row>
    <row r="5689" spans="2:26">
      <c r="B5689" s="2"/>
      <c r="N5689" s="27"/>
      <c r="R5689" s="15"/>
      <c r="X5689" s="3"/>
      <c r="Z5689" s="28"/>
    </row>
    <row r="5690" spans="2:26">
      <c r="B5690" s="2"/>
      <c r="N5690" s="27"/>
      <c r="R5690" s="15"/>
      <c r="X5690" s="3"/>
      <c r="Z5690" s="28"/>
    </row>
    <row r="5691" spans="2:26">
      <c r="B5691" s="2"/>
      <c r="N5691" s="27"/>
      <c r="R5691" s="15"/>
      <c r="X5691" s="3"/>
      <c r="Z5691" s="28"/>
    </row>
    <row r="5692" spans="2:26">
      <c r="B5692" s="2"/>
      <c r="N5692" s="27"/>
      <c r="R5692" s="15"/>
      <c r="X5692" s="3"/>
      <c r="Z5692" s="28"/>
    </row>
    <row r="5693" spans="2:26">
      <c r="B5693" s="2"/>
      <c r="N5693" s="27"/>
      <c r="R5693" s="15"/>
      <c r="X5693" s="3"/>
      <c r="Z5693" s="28"/>
    </row>
    <row r="5694" spans="2:26">
      <c r="B5694" s="2"/>
      <c r="N5694" s="27"/>
      <c r="R5694" s="15"/>
      <c r="X5694" s="3"/>
      <c r="Z5694" s="28"/>
    </row>
    <row r="5695" spans="2:26">
      <c r="B5695" s="2"/>
      <c r="N5695" s="27"/>
      <c r="R5695" s="15"/>
      <c r="X5695" s="3"/>
      <c r="Z5695" s="28"/>
    </row>
    <row r="5696" spans="2:26">
      <c r="B5696" s="2"/>
      <c r="N5696" s="27"/>
      <c r="R5696" s="15"/>
      <c r="X5696" s="3"/>
      <c r="Z5696" s="28"/>
    </row>
    <row r="5697" spans="2:26">
      <c r="B5697" s="2"/>
      <c r="N5697" s="27"/>
      <c r="R5697" s="15"/>
      <c r="X5697" s="3"/>
      <c r="Z5697" s="28"/>
    </row>
    <row r="5698" spans="2:26">
      <c r="B5698" s="2"/>
      <c r="N5698" s="27"/>
      <c r="R5698" s="15"/>
      <c r="X5698" s="3"/>
      <c r="Z5698" s="28"/>
    </row>
    <row r="5699" spans="2:26">
      <c r="B5699" s="2"/>
      <c r="N5699" s="27"/>
      <c r="R5699" s="15"/>
      <c r="X5699" s="3"/>
      <c r="Z5699" s="28"/>
    </row>
    <row r="5700" spans="2:26">
      <c r="B5700" s="2"/>
      <c r="N5700" s="27"/>
      <c r="R5700" s="15"/>
      <c r="X5700" s="3"/>
      <c r="Z5700" s="28"/>
    </row>
    <row r="5701" spans="2:26">
      <c r="B5701" s="2"/>
      <c r="N5701" s="27"/>
      <c r="R5701" s="15"/>
      <c r="X5701" s="3"/>
      <c r="Z5701" s="28"/>
    </row>
    <row r="5702" spans="2:26">
      <c r="B5702" s="2"/>
      <c r="N5702" s="27"/>
      <c r="R5702" s="15"/>
      <c r="X5702" s="3"/>
      <c r="Z5702" s="28"/>
    </row>
    <row r="5703" spans="2:26">
      <c r="B5703" s="2"/>
      <c r="N5703" s="27"/>
      <c r="R5703" s="15"/>
      <c r="X5703" s="3"/>
      <c r="Z5703" s="28"/>
    </row>
    <row r="5704" spans="2:26">
      <c r="B5704" s="2"/>
      <c r="N5704" s="27"/>
      <c r="R5704" s="15"/>
      <c r="X5704" s="3"/>
      <c r="Z5704" s="28"/>
    </row>
    <row r="5705" spans="2:26">
      <c r="B5705" s="2"/>
      <c r="N5705" s="27"/>
      <c r="R5705" s="15"/>
      <c r="X5705" s="3"/>
      <c r="Z5705" s="28"/>
    </row>
    <row r="5706" spans="2:26">
      <c r="B5706" s="2"/>
      <c r="N5706" s="27"/>
      <c r="R5706" s="15"/>
      <c r="X5706" s="3"/>
      <c r="Z5706" s="28"/>
    </row>
    <row r="5707" spans="2:26">
      <c r="B5707" s="2"/>
      <c r="N5707" s="27"/>
      <c r="R5707" s="15"/>
      <c r="X5707" s="3"/>
      <c r="Z5707" s="28"/>
    </row>
    <row r="5708" spans="2:26">
      <c r="B5708" s="2"/>
      <c r="N5708" s="27"/>
      <c r="R5708" s="15"/>
      <c r="X5708" s="3"/>
      <c r="Z5708" s="28"/>
    </row>
    <row r="5709" spans="2:26">
      <c r="B5709" s="2"/>
      <c r="N5709" s="27"/>
      <c r="R5709" s="15"/>
      <c r="X5709" s="3"/>
      <c r="Z5709" s="28"/>
    </row>
    <row r="5710" spans="2:26">
      <c r="B5710" s="2"/>
      <c r="N5710" s="27"/>
      <c r="R5710" s="15"/>
      <c r="X5710" s="3"/>
      <c r="Z5710" s="28"/>
    </row>
    <row r="5711" spans="2:26">
      <c r="B5711" s="2"/>
      <c r="N5711" s="27"/>
      <c r="R5711" s="15"/>
      <c r="X5711" s="3"/>
      <c r="Z5711" s="28"/>
    </row>
    <row r="5712" spans="2:26">
      <c r="B5712" s="2"/>
      <c r="N5712" s="27"/>
      <c r="R5712" s="15"/>
      <c r="X5712" s="3"/>
      <c r="Z5712" s="28"/>
    </row>
    <row r="5713" spans="2:26">
      <c r="B5713" s="2"/>
      <c r="N5713" s="27"/>
      <c r="R5713" s="15"/>
      <c r="X5713" s="3"/>
      <c r="Z5713" s="28"/>
    </row>
    <row r="5714" spans="2:26">
      <c r="B5714" s="2"/>
      <c r="N5714" s="27"/>
      <c r="R5714" s="15"/>
      <c r="X5714" s="3"/>
      <c r="Z5714" s="28"/>
    </row>
    <row r="5715" spans="2:26">
      <c r="B5715" s="2"/>
      <c r="N5715" s="27"/>
      <c r="R5715" s="15"/>
      <c r="X5715" s="3"/>
      <c r="Z5715" s="28"/>
    </row>
    <row r="5716" spans="2:26">
      <c r="B5716" s="2"/>
      <c r="N5716" s="27"/>
      <c r="R5716" s="15"/>
      <c r="X5716" s="3"/>
      <c r="Z5716" s="28"/>
    </row>
    <row r="5717" spans="2:26">
      <c r="B5717" s="2"/>
      <c r="N5717" s="27"/>
      <c r="R5717" s="15"/>
      <c r="X5717" s="3"/>
      <c r="Z5717" s="28"/>
    </row>
    <row r="5718" spans="2:26">
      <c r="B5718" s="2"/>
      <c r="N5718" s="27"/>
      <c r="R5718" s="15"/>
      <c r="X5718" s="3"/>
      <c r="Z5718" s="28"/>
    </row>
    <row r="5719" spans="2:26">
      <c r="B5719" s="2"/>
      <c r="N5719" s="27"/>
      <c r="R5719" s="15"/>
      <c r="X5719" s="3"/>
      <c r="Z5719" s="28"/>
    </row>
    <row r="5720" spans="2:26">
      <c r="B5720" s="2"/>
      <c r="N5720" s="27"/>
      <c r="R5720" s="15"/>
      <c r="X5720" s="3"/>
      <c r="Z5720" s="28"/>
    </row>
    <row r="5721" spans="2:26">
      <c r="B5721" s="2"/>
      <c r="N5721" s="27"/>
      <c r="R5721" s="15"/>
      <c r="X5721" s="3"/>
      <c r="Z5721" s="28"/>
    </row>
    <row r="5722" spans="2:26">
      <c r="B5722" s="2"/>
      <c r="N5722" s="27"/>
      <c r="R5722" s="15"/>
      <c r="X5722" s="3"/>
      <c r="Z5722" s="28"/>
    </row>
    <row r="5723" spans="2:26">
      <c r="B5723" s="2"/>
      <c r="N5723" s="27"/>
      <c r="R5723" s="15"/>
      <c r="X5723" s="3"/>
      <c r="Z5723" s="28"/>
    </row>
    <row r="5724" spans="2:26">
      <c r="B5724" s="2"/>
      <c r="N5724" s="27"/>
      <c r="R5724" s="15"/>
      <c r="X5724" s="3"/>
      <c r="Z5724" s="28"/>
    </row>
    <row r="5725" spans="2:26">
      <c r="B5725" s="2"/>
      <c r="N5725" s="27"/>
      <c r="R5725" s="15"/>
      <c r="X5725" s="3"/>
      <c r="Z5725" s="28"/>
    </row>
    <row r="5726" spans="2:26">
      <c r="B5726" s="2"/>
      <c r="N5726" s="27"/>
      <c r="R5726" s="15"/>
      <c r="X5726" s="3"/>
      <c r="Z5726" s="28"/>
    </row>
    <row r="5727" spans="2:26">
      <c r="B5727" s="2"/>
      <c r="N5727" s="27"/>
      <c r="R5727" s="15"/>
      <c r="X5727" s="3"/>
      <c r="Z5727" s="28"/>
    </row>
    <row r="5728" spans="2:26">
      <c r="B5728" s="2"/>
      <c r="N5728" s="27"/>
      <c r="R5728" s="15"/>
      <c r="X5728" s="3"/>
      <c r="Z5728" s="28"/>
    </row>
    <row r="5729" spans="2:26">
      <c r="B5729" s="2"/>
      <c r="N5729" s="27"/>
      <c r="R5729" s="15"/>
      <c r="X5729" s="3"/>
      <c r="Z5729" s="28"/>
    </row>
    <row r="5730" spans="2:26">
      <c r="B5730" s="2"/>
      <c r="N5730" s="27"/>
      <c r="R5730" s="15"/>
      <c r="X5730" s="3"/>
      <c r="Z5730" s="28"/>
    </row>
    <row r="5731" spans="2:26">
      <c r="B5731" s="2"/>
      <c r="N5731" s="27"/>
      <c r="R5731" s="15"/>
      <c r="X5731" s="3"/>
      <c r="Z5731" s="28"/>
    </row>
    <row r="5732" spans="2:26">
      <c r="B5732" s="2"/>
      <c r="N5732" s="27"/>
      <c r="R5732" s="15"/>
      <c r="X5732" s="3"/>
      <c r="Z5732" s="28"/>
    </row>
    <row r="5733" spans="2:26">
      <c r="B5733" s="2"/>
      <c r="N5733" s="27"/>
      <c r="R5733" s="15"/>
      <c r="X5733" s="3"/>
      <c r="Z5733" s="28"/>
    </row>
    <row r="5734" spans="2:26">
      <c r="B5734" s="2"/>
      <c r="N5734" s="27"/>
      <c r="R5734" s="15"/>
      <c r="X5734" s="3"/>
      <c r="Z5734" s="28"/>
    </row>
    <row r="5735" spans="2:26">
      <c r="B5735" s="2"/>
      <c r="N5735" s="27"/>
      <c r="R5735" s="15"/>
      <c r="X5735" s="3"/>
      <c r="Z5735" s="28"/>
    </row>
    <row r="5736" spans="2:26">
      <c r="B5736" s="2"/>
      <c r="N5736" s="27"/>
      <c r="R5736" s="15"/>
      <c r="X5736" s="3"/>
      <c r="Z5736" s="28"/>
    </row>
    <row r="5737" spans="2:26">
      <c r="B5737" s="2"/>
      <c r="N5737" s="27"/>
      <c r="R5737" s="15"/>
      <c r="X5737" s="3"/>
      <c r="Z5737" s="28"/>
    </row>
    <row r="5738" spans="2:26">
      <c r="B5738" s="2"/>
      <c r="N5738" s="27"/>
      <c r="R5738" s="15"/>
      <c r="X5738" s="3"/>
      <c r="Z5738" s="28"/>
    </row>
    <row r="5739" spans="2:26">
      <c r="B5739" s="2"/>
      <c r="N5739" s="27"/>
      <c r="R5739" s="15"/>
      <c r="X5739" s="3"/>
      <c r="Z5739" s="28"/>
    </row>
    <row r="5740" spans="2:26">
      <c r="B5740" s="2"/>
      <c r="N5740" s="27"/>
      <c r="R5740" s="15"/>
      <c r="X5740" s="3"/>
      <c r="Z5740" s="28"/>
    </row>
    <row r="5741" spans="2:26">
      <c r="B5741" s="2"/>
      <c r="N5741" s="27"/>
      <c r="R5741" s="15"/>
      <c r="X5741" s="3"/>
      <c r="Z5741" s="28"/>
    </row>
    <row r="5742" spans="2:26">
      <c r="B5742" s="2"/>
      <c r="N5742" s="27"/>
      <c r="R5742" s="15"/>
      <c r="X5742" s="3"/>
      <c r="Z5742" s="28"/>
    </row>
    <row r="5743" spans="2:26">
      <c r="B5743" s="2"/>
      <c r="N5743" s="27"/>
      <c r="R5743" s="15"/>
      <c r="X5743" s="3"/>
      <c r="Z5743" s="28"/>
    </row>
    <row r="5744" spans="2:26">
      <c r="B5744" s="2"/>
      <c r="N5744" s="27"/>
      <c r="R5744" s="15"/>
      <c r="X5744" s="3"/>
      <c r="Z5744" s="28"/>
    </row>
    <row r="5745" spans="2:26">
      <c r="B5745" s="2"/>
      <c r="N5745" s="27"/>
      <c r="R5745" s="15"/>
      <c r="X5745" s="3"/>
      <c r="Z5745" s="28"/>
    </row>
    <row r="5746" spans="2:26">
      <c r="B5746" s="2"/>
      <c r="N5746" s="27"/>
      <c r="R5746" s="15"/>
      <c r="X5746" s="3"/>
      <c r="Z5746" s="28"/>
    </row>
    <row r="5747" spans="2:26">
      <c r="B5747" s="2"/>
      <c r="N5747" s="27"/>
      <c r="R5747" s="15"/>
      <c r="X5747" s="3"/>
      <c r="Z5747" s="28"/>
    </row>
    <row r="5748" spans="2:26">
      <c r="B5748" s="2"/>
      <c r="N5748" s="27"/>
      <c r="R5748" s="15"/>
      <c r="X5748" s="3"/>
      <c r="Z5748" s="28"/>
    </row>
    <row r="5749" spans="2:26">
      <c r="B5749" s="2"/>
      <c r="N5749" s="27"/>
      <c r="R5749" s="15"/>
      <c r="X5749" s="3"/>
      <c r="Z5749" s="28"/>
    </row>
    <row r="5750" spans="2:26">
      <c r="B5750" s="2"/>
      <c r="N5750" s="27"/>
      <c r="R5750" s="15"/>
      <c r="X5750" s="3"/>
      <c r="Z5750" s="28"/>
    </row>
    <row r="5751" spans="2:26">
      <c r="B5751" s="2"/>
      <c r="N5751" s="27"/>
      <c r="R5751" s="15"/>
      <c r="X5751" s="3"/>
      <c r="Z5751" s="28"/>
    </row>
    <row r="5752" spans="2:26">
      <c r="B5752" s="2"/>
      <c r="N5752" s="27"/>
      <c r="R5752" s="15"/>
      <c r="X5752" s="3"/>
      <c r="Z5752" s="28"/>
    </row>
    <row r="5753" spans="2:26">
      <c r="B5753" s="2"/>
      <c r="N5753" s="27"/>
      <c r="R5753" s="15"/>
      <c r="X5753" s="3"/>
      <c r="Z5753" s="28"/>
    </row>
    <row r="5754" spans="2:26">
      <c r="B5754" s="2"/>
      <c r="N5754" s="27"/>
      <c r="R5754" s="15"/>
      <c r="X5754" s="3"/>
      <c r="Z5754" s="28"/>
    </row>
    <row r="5755" spans="2:26">
      <c r="B5755" s="2"/>
      <c r="N5755" s="27"/>
      <c r="R5755" s="15"/>
      <c r="X5755" s="3"/>
      <c r="Z5755" s="28"/>
    </row>
    <row r="5756" spans="2:26">
      <c r="B5756" s="2"/>
      <c r="N5756" s="27"/>
      <c r="R5756" s="15"/>
      <c r="X5756" s="3"/>
      <c r="Z5756" s="28"/>
    </row>
    <row r="5757" spans="2:26">
      <c r="B5757" s="2"/>
      <c r="N5757" s="27"/>
      <c r="R5757" s="15"/>
      <c r="X5757" s="3"/>
      <c r="Z5757" s="28"/>
    </row>
    <row r="5758" spans="2:26">
      <c r="B5758" s="2"/>
      <c r="N5758" s="27"/>
      <c r="R5758" s="15"/>
      <c r="X5758" s="3"/>
      <c r="Z5758" s="28"/>
    </row>
    <row r="5759" spans="2:26">
      <c r="B5759" s="2"/>
      <c r="N5759" s="27"/>
      <c r="R5759" s="15"/>
      <c r="X5759" s="3"/>
      <c r="Z5759" s="28"/>
    </row>
    <row r="5760" spans="2:26">
      <c r="B5760" s="2"/>
      <c r="N5760" s="27"/>
      <c r="R5760" s="15"/>
      <c r="X5760" s="3"/>
      <c r="Z5760" s="28"/>
    </row>
    <row r="5761" spans="2:26">
      <c r="B5761" s="2"/>
      <c r="N5761" s="27"/>
      <c r="R5761" s="15"/>
      <c r="X5761" s="3"/>
      <c r="Z5761" s="28"/>
    </row>
    <row r="5762" spans="2:26">
      <c r="B5762" s="2"/>
      <c r="N5762" s="27"/>
      <c r="R5762" s="15"/>
      <c r="X5762" s="3"/>
      <c r="Z5762" s="28"/>
    </row>
    <row r="5763" spans="2:26">
      <c r="B5763" s="2"/>
      <c r="N5763" s="27"/>
      <c r="R5763" s="15"/>
      <c r="X5763" s="3"/>
      <c r="Z5763" s="28"/>
    </row>
    <row r="5764" spans="2:26">
      <c r="B5764" s="2"/>
      <c r="N5764" s="27"/>
      <c r="R5764" s="15"/>
      <c r="X5764" s="3"/>
      <c r="Z5764" s="28"/>
    </row>
    <row r="5765" spans="2:26">
      <c r="B5765" s="2"/>
      <c r="N5765" s="27"/>
      <c r="R5765" s="15"/>
      <c r="X5765" s="3"/>
      <c r="Z5765" s="28"/>
    </row>
    <row r="5766" spans="2:26">
      <c r="B5766" s="2"/>
      <c r="N5766" s="27"/>
      <c r="R5766" s="15"/>
      <c r="X5766" s="3"/>
      <c r="Z5766" s="28"/>
    </row>
    <row r="5767" spans="2:26">
      <c r="B5767" s="2"/>
      <c r="N5767" s="27"/>
      <c r="R5767" s="15"/>
      <c r="X5767" s="3"/>
      <c r="Z5767" s="28"/>
    </row>
    <row r="5768" spans="2:26">
      <c r="B5768" s="2"/>
      <c r="N5768" s="27"/>
      <c r="R5768" s="15"/>
      <c r="X5768" s="3"/>
      <c r="Z5768" s="28"/>
    </row>
    <row r="5769" spans="2:26">
      <c r="B5769" s="2"/>
      <c r="N5769" s="27"/>
      <c r="R5769" s="15"/>
      <c r="X5769" s="3"/>
      <c r="Z5769" s="28"/>
    </row>
    <row r="5770" spans="2:26">
      <c r="B5770" s="2"/>
      <c r="N5770" s="27"/>
      <c r="R5770" s="15"/>
      <c r="X5770" s="3"/>
      <c r="Z5770" s="28"/>
    </row>
    <row r="5771" spans="2:26">
      <c r="B5771" s="2"/>
      <c r="N5771" s="27"/>
      <c r="R5771" s="15"/>
      <c r="X5771" s="3"/>
      <c r="Z5771" s="28"/>
    </row>
    <row r="5772" spans="2:26">
      <c r="B5772" s="2"/>
      <c r="N5772" s="27"/>
      <c r="R5772" s="15"/>
      <c r="X5772" s="3"/>
      <c r="Z5772" s="28"/>
    </row>
    <row r="5773" spans="2:26">
      <c r="B5773" s="2"/>
      <c r="N5773" s="27"/>
      <c r="R5773" s="15"/>
      <c r="X5773" s="3"/>
      <c r="Z5773" s="28"/>
    </row>
    <row r="5774" spans="2:26">
      <c r="B5774" s="2"/>
      <c r="N5774" s="27"/>
      <c r="R5774" s="15"/>
      <c r="X5774" s="3"/>
      <c r="Z5774" s="28"/>
    </row>
    <row r="5775" spans="2:26">
      <c r="B5775" s="2"/>
      <c r="N5775" s="27"/>
      <c r="R5775" s="15"/>
      <c r="X5775" s="3"/>
      <c r="Z5775" s="28"/>
    </row>
    <row r="5776" spans="2:26">
      <c r="B5776" s="2"/>
      <c r="N5776" s="27"/>
      <c r="R5776" s="15"/>
      <c r="X5776" s="3"/>
      <c r="Z5776" s="28"/>
    </row>
    <row r="5777" spans="2:26">
      <c r="B5777" s="2"/>
      <c r="N5777" s="27"/>
      <c r="R5777" s="15"/>
      <c r="X5777" s="3"/>
      <c r="Z5777" s="28"/>
    </row>
    <row r="5778" spans="2:26">
      <c r="B5778" s="2"/>
      <c r="N5778" s="27"/>
      <c r="R5778" s="15"/>
      <c r="X5778" s="3"/>
      <c r="Z5778" s="28"/>
    </row>
    <row r="5779" spans="2:26">
      <c r="B5779" s="2"/>
      <c r="N5779" s="27"/>
      <c r="R5779" s="15"/>
      <c r="X5779" s="3"/>
      <c r="Z5779" s="28"/>
    </row>
    <row r="5780" spans="2:26">
      <c r="B5780" s="2"/>
      <c r="N5780" s="27"/>
      <c r="R5780" s="15"/>
      <c r="X5780" s="3"/>
      <c r="Z5780" s="28"/>
    </row>
    <row r="5781" spans="2:26">
      <c r="B5781" s="2"/>
      <c r="N5781" s="27"/>
      <c r="R5781" s="15"/>
      <c r="X5781" s="3"/>
      <c r="Z5781" s="28"/>
    </row>
    <row r="5782" spans="2:26">
      <c r="B5782" s="2"/>
      <c r="N5782" s="27"/>
      <c r="R5782" s="15"/>
      <c r="X5782" s="3"/>
      <c r="Z5782" s="28"/>
    </row>
    <row r="5783" spans="2:26">
      <c r="B5783" s="2"/>
      <c r="N5783" s="27"/>
      <c r="R5783" s="15"/>
      <c r="X5783" s="3"/>
      <c r="Z5783" s="28"/>
    </row>
    <row r="5784" spans="2:26">
      <c r="B5784" s="2"/>
      <c r="N5784" s="27"/>
      <c r="R5784" s="15"/>
      <c r="X5784" s="3"/>
      <c r="Z5784" s="28"/>
    </row>
    <row r="5785" spans="2:26">
      <c r="B5785" s="2"/>
      <c r="N5785" s="27"/>
      <c r="R5785" s="15"/>
      <c r="X5785" s="3"/>
      <c r="Z5785" s="28"/>
    </row>
    <row r="5786" spans="2:26">
      <c r="B5786" s="2"/>
      <c r="N5786" s="27"/>
      <c r="R5786" s="15"/>
      <c r="X5786" s="3"/>
      <c r="Z5786" s="28"/>
    </row>
    <row r="5787" spans="2:26">
      <c r="B5787" s="2"/>
      <c r="N5787" s="27"/>
      <c r="R5787" s="15"/>
      <c r="X5787" s="3"/>
      <c r="Z5787" s="28"/>
    </row>
    <row r="5788" spans="2:26">
      <c r="B5788" s="2"/>
      <c r="N5788" s="27"/>
      <c r="R5788" s="15"/>
      <c r="X5788" s="3"/>
      <c r="Z5788" s="28"/>
    </row>
    <row r="5789" spans="2:26">
      <c r="B5789" s="2"/>
      <c r="N5789" s="27"/>
      <c r="R5789" s="15"/>
      <c r="X5789" s="3"/>
      <c r="Z5789" s="28"/>
    </row>
    <row r="5790" spans="2:26">
      <c r="B5790" s="2"/>
      <c r="N5790" s="27"/>
      <c r="R5790" s="15"/>
      <c r="X5790" s="3"/>
      <c r="Z5790" s="28"/>
    </row>
    <row r="5791" spans="2:26">
      <c r="B5791" s="2"/>
      <c r="N5791" s="27"/>
      <c r="R5791" s="15"/>
      <c r="X5791" s="3"/>
      <c r="Z5791" s="28"/>
    </row>
    <row r="5792" spans="2:26">
      <c r="B5792" s="2"/>
      <c r="N5792" s="27"/>
      <c r="R5792" s="15"/>
      <c r="X5792" s="3"/>
      <c r="Z5792" s="28"/>
    </row>
    <row r="5793" spans="2:26">
      <c r="B5793" s="2"/>
      <c r="N5793" s="27"/>
      <c r="R5793" s="15"/>
      <c r="X5793" s="3"/>
      <c r="Z5793" s="28"/>
    </row>
    <row r="5794" spans="2:26">
      <c r="B5794" s="2"/>
      <c r="N5794" s="27"/>
      <c r="R5794" s="15"/>
      <c r="X5794" s="3"/>
      <c r="Z5794" s="28"/>
    </row>
    <row r="5795" spans="2:26">
      <c r="B5795" s="2"/>
      <c r="N5795" s="27"/>
      <c r="R5795" s="15"/>
      <c r="X5795" s="3"/>
      <c r="Z5795" s="28"/>
    </row>
    <row r="5796" spans="2:26">
      <c r="B5796" s="2"/>
      <c r="N5796" s="27"/>
      <c r="R5796" s="15"/>
      <c r="X5796" s="3"/>
      <c r="Z5796" s="28"/>
    </row>
    <row r="5797" spans="2:26">
      <c r="B5797" s="2"/>
      <c r="N5797" s="27"/>
      <c r="R5797" s="15"/>
      <c r="X5797" s="3"/>
      <c r="Z5797" s="28"/>
    </row>
    <row r="5798" spans="2:26">
      <c r="B5798" s="2"/>
      <c r="N5798" s="27"/>
      <c r="R5798" s="15"/>
      <c r="X5798" s="3"/>
      <c r="Z5798" s="28"/>
    </row>
    <row r="5799" spans="2:26">
      <c r="B5799" s="2"/>
      <c r="N5799" s="27"/>
      <c r="R5799" s="15"/>
      <c r="X5799" s="3"/>
      <c r="Z5799" s="28"/>
    </row>
    <row r="5800" spans="2:26">
      <c r="B5800" s="2"/>
      <c r="N5800" s="27"/>
      <c r="R5800" s="15"/>
      <c r="X5800" s="3"/>
      <c r="Z5800" s="28"/>
    </row>
    <row r="5801" spans="2:26">
      <c r="B5801" s="2"/>
      <c r="N5801" s="27"/>
      <c r="R5801" s="15"/>
      <c r="X5801" s="3"/>
      <c r="Z5801" s="28"/>
    </row>
    <row r="5802" spans="2:26">
      <c r="B5802" s="2"/>
      <c r="N5802" s="27"/>
      <c r="R5802" s="15"/>
      <c r="X5802" s="3"/>
      <c r="Z5802" s="28"/>
    </row>
    <row r="5803" spans="2:26">
      <c r="B5803" s="2"/>
      <c r="N5803" s="27"/>
      <c r="R5803" s="15"/>
      <c r="X5803" s="3"/>
      <c r="Z5803" s="28"/>
    </row>
    <row r="5804" spans="2:26">
      <c r="B5804" s="2"/>
      <c r="N5804" s="27"/>
      <c r="R5804" s="15"/>
      <c r="X5804" s="3"/>
      <c r="Z5804" s="28"/>
    </row>
    <row r="5805" spans="2:26">
      <c r="B5805" s="2"/>
      <c r="N5805" s="27"/>
      <c r="R5805" s="15"/>
      <c r="X5805" s="3"/>
      <c r="Z5805" s="28"/>
    </row>
    <row r="5806" spans="2:26">
      <c r="B5806" s="2"/>
      <c r="N5806" s="27"/>
      <c r="R5806" s="15"/>
      <c r="X5806" s="3"/>
      <c r="Z5806" s="28"/>
    </row>
    <row r="5807" spans="2:26">
      <c r="B5807" s="2"/>
      <c r="N5807" s="27"/>
      <c r="R5807" s="15"/>
      <c r="X5807" s="3"/>
      <c r="Z5807" s="28"/>
    </row>
    <row r="5808" spans="2:26">
      <c r="B5808" s="2"/>
      <c r="N5808" s="27"/>
      <c r="R5808" s="15"/>
      <c r="X5808" s="3"/>
      <c r="Z5808" s="28"/>
    </row>
    <row r="5809" spans="2:26">
      <c r="B5809" s="2"/>
      <c r="N5809" s="27"/>
      <c r="R5809" s="15"/>
      <c r="X5809" s="3"/>
      <c r="Z5809" s="28"/>
    </row>
    <row r="5810" spans="2:26">
      <c r="B5810" s="2"/>
      <c r="N5810" s="27"/>
      <c r="R5810" s="15"/>
      <c r="X5810" s="3"/>
      <c r="Z5810" s="28"/>
    </row>
    <row r="5811" spans="2:26">
      <c r="B5811" s="2"/>
      <c r="N5811" s="27"/>
      <c r="R5811" s="15"/>
      <c r="X5811" s="3"/>
      <c r="Z5811" s="28"/>
    </row>
    <row r="5812" spans="2:26">
      <c r="B5812" s="2"/>
      <c r="N5812" s="27"/>
      <c r="R5812" s="15"/>
      <c r="X5812" s="3"/>
      <c r="Z5812" s="28"/>
    </row>
    <row r="5813" spans="2:26">
      <c r="B5813" s="2"/>
      <c r="N5813" s="27"/>
      <c r="R5813" s="15"/>
      <c r="X5813" s="3"/>
      <c r="Z5813" s="28"/>
    </row>
    <row r="5814" spans="2:26">
      <c r="B5814" s="2"/>
      <c r="N5814" s="27"/>
      <c r="R5814" s="15"/>
      <c r="X5814" s="3"/>
      <c r="Z5814" s="28"/>
    </row>
    <row r="5815" spans="2:26">
      <c r="B5815" s="2"/>
      <c r="N5815" s="27"/>
      <c r="R5815" s="15"/>
      <c r="X5815" s="3"/>
      <c r="Z5815" s="28"/>
    </row>
    <row r="5816" spans="2:26">
      <c r="B5816" s="2"/>
      <c r="N5816" s="27"/>
      <c r="R5816" s="15"/>
      <c r="X5816" s="3"/>
      <c r="Z5816" s="28"/>
    </row>
    <row r="5817" spans="2:26">
      <c r="B5817" s="2"/>
      <c r="N5817" s="27"/>
      <c r="R5817" s="15"/>
      <c r="X5817" s="3"/>
      <c r="Z5817" s="28"/>
    </row>
    <row r="5818" spans="2:26">
      <c r="B5818" s="2"/>
      <c r="N5818" s="27"/>
      <c r="R5818" s="15"/>
      <c r="X5818" s="3"/>
      <c r="Z5818" s="28"/>
    </row>
    <row r="5819" spans="2:26">
      <c r="B5819" s="2"/>
      <c r="N5819" s="27"/>
      <c r="R5819" s="15"/>
      <c r="X5819" s="3"/>
      <c r="Z5819" s="28"/>
    </row>
    <row r="5820" spans="2:26">
      <c r="B5820" s="2"/>
      <c r="N5820" s="27"/>
      <c r="R5820" s="15"/>
      <c r="X5820" s="3"/>
      <c r="Z5820" s="28"/>
    </row>
    <row r="5821" spans="2:26">
      <c r="B5821" s="2"/>
      <c r="N5821" s="27"/>
      <c r="R5821" s="15"/>
      <c r="X5821" s="3"/>
      <c r="Z5821" s="28"/>
    </row>
    <row r="5822" spans="2:26">
      <c r="B5822" s="2"/>
      <c r="N5822" s="27"/>
      <c r="R5822" s="15"/>
      <c r="X5822" s="3"/>
      <c r="Z5822" s="28"/>
    </row>
    <row r="5823" spans="2:26">
      <c r="B5823" s="2"/>
      <c r="N5823" s="27"/>
      <c r="R5823" s="15"/>
      <c r="X5823" s="3"/>
      <c r="Z5823" s="28"/>
    </row>
    <row r="5824" spans="2:26">
      <c r="B5824" s="2"/>
      <c r="N5824" s="27"/>
      <c r="R5824" s="15"/>
      <c r="X5824" s="3"/>
      <c r="Z5824" s="28"/>
    </row>
    <row r="5825" spans="2:26">
      <c r="B5825" s="2"/>
      <c r="N5825" s="27"/>
      <c r="R5825" s="15"/>
      <c r="X5825" s="3"/>
      <c r="Z5825" s="28"/>
    </row>
    <row r="5826" spans="2:26">
      <c r="B5826" s="2"/>
      <c r="N5826" s="27"/>
      <c r="R5826" s="15"/>
      <c r="X5826" s="3"/>
      <c r="Z5826" s="28"/>
    </row>
    <row r="5827" spans="2:26">
      <c r="B5827" s="2"/>
      <c r="N5827" s="27"/>
      <c r="R5827" s="15"/>
      <c r="X5827" s="3"/>
      <c r="Z5827" s="28"/>
    </row>
    <row r="5828" spans="2:26">
      <c r="B5828" s="2"/>
      <c r="N5828" s="27"/>
      <c r="R5828" s="15"/>
      <c r="X5828" s="3"/>
      <c r="Z5828" s="28"/>
    </row>
    <row r="5829" spans="2:26">
      <c r="B5829" s="2"/>
      <c r="N5829" s="27"/>
      <c r="R5829" s="15"/>
      <c r="X5829" s="3"/>
      <c r="Z5829" s="28"/>
    </row>
    <row r="5830" spans="2:26">
      <c r="B5830" s="2"/>
      <c r="N5830" s="27"/>
      <c r="R5830" s="15"/>
      <c r="X5830" s="3"/>
      <c r="Z5830" s="28"/>
    </row>
    <row r="5831" spans="2:26">
      <c r="B5831" s="2"/>
      <c r="N5831" s="27"/>
      <c r="R5831" s="15"/>
      <c r="X5831" s="3"/>
      <c r="Z5831" s="28"/>
    </row>
    <row r="5832" spans="2:26">
      <c r="B5832" s="2"/>
      <c r="N5832" s="27"/>
      <c r="R5832" s="15"/>
      <c r="X5832" s="3"/>
      <c r="Z5832" s="28"/>
    </row>
    <row r="5833" spans="2:26">
      <c r="B5833" s="2"/>
      <c r="N5833" s="27"/>
      <c r="R5833" s="15"/>
      <c r="X5833" s="3"/>
      <c r="Z5833" s="28"/>
    </row>
    <row r="5834" spans="2:26">
      <c r="B5834" s="2"/>
      <c r="N5834" s="27"/>
      <c r="R5834" s="15"/>
      <c r="X5834" s="3"/>
      <c r="Z5834" s="28"/>
    </row>
    <row r="5835" spans="2:26">
      <c r="B5835" s="2"/>
      <c r="N5835" s="27"/>
      <c r="R5835" s="15"/>
      <c r="X5835" s="3"/>
      <c r="Z5835" s="28"/>
    </row>
    <row r="5836" spans="2:26">
      <c r="B5836" s="2"/>
      <c r="N5836" s="27"/>
      <c r="R5836" s="15"/>
      <c r="X5836" s="3"/>
      <c r="Z5836" s="28"/>
    </row>
    <row r="5837" spans="2:26">
      <c r="B5837" s="2"/>
      <c r="N5837" s="27"/>
      <c r="R5837" s="15"/>
      <c r="X5837" s="3"/>
      <c r="Z5837" s="28"/>
    </row>
    <row r="5838" spans="2:26">
      <c r="B5838" s="2"/>
      <c r="N5838" s="27"/>
      <c r="R5838" s="15"/>
      <c r="X5838" s="3"/>
      <c r="Z5838" s="28"/>
    </row>
    <row r="5839" spans="2:26">
      <c r="B5839" s="2"/>
      <c r="N5839" s="27"/>
      <c r="R5839" s="15"/>
      <c r="X5839" s="3"/>
      <c r="Z5839" s="28"/>
    </row>
    <row r="5840" spans="2:26">
      <c r="B5840" s="2"/>
      <c r="N5840" s="27"/>
      <c r="R5840" s="15"/>
      <c r="X5840" s="3"/>
      <c r="Z5840" s="28"/>
    </row>
    <row r="5841" spans="2:26">
      <c r="B5841" s="2"/>
      <c r="N5841" s="27"/>
      <c r="R5841" s="15"/>
      <c r="X5841" s="3"/>
      <c r="Z5841" s="28"/>
    </row>
    <row r="5842" spans="2:26">
      <c r="B5842" s="2"/>
      <c r="N5842" s="27"/>
      <c r="R5842" s="15"/>
      <c r="X5842" s="3"/>
      <c r="Z5842" s="28"/>
    </row>
    <row r="5843" spans="2:26">
      <c r="B5843" s="2"/>
      <c r="N5843" s="27"/>
      <c r="R5843" s="15"/>
      <c r="X5843" s="3"/>
      <c r="Z5843" s="28"/>
    </row>
    <row r="5844" spans="2:26">
      <c r="B5844" s="2"/>
      <c r="N5844" s="27"/>
      <c r="R5844" s="15"/>
      <c r="X5844" s="3"/>
      <c r="Z5844" s="28"/>
    </row>
    <row r="5845" spans="2:26">
      <c r="B5845" s="2"/>
      <c r="N5845" s="27"/>
      <c r="R5845" s="15"/>
      <c r="X5845" s="3"/>
      <c r="Z5845" s="28"/>
    </row>
    <row r="5846" spans="2:26">
      <c r="B5846" s="2"/>
      <c r="N5846" s="27"/>
      <c r="R5846" s="15"/>
      <c r="X5846" s="3"/>
      <c r="Z5846" s="28"/>
    </row>
    <row r="5847" spans="2:26">
      <c r="B5847" s="2"/>
      <c r="N5847" s="27"/>
      <c r="R5847" s="15"/>
      <c r="X5847" s="3"/>
      <c r="Z5847" s="28"/>
    </row>
    <row r="5848" spans="2:26">
      <c r="B5848" s="2"/>
      <c r="N5848" s="27"/>
      <c r="R5848" s="15"/>
      <c r="X5848" s="3"/>
      <c r="Z5848" s="28"/>
    </row>
    <row r="5849" spans="2:26">
      <c r="B5849" s="2"/>
      <c r="N5849" s="27"/>
      <c r="R5849" s="15"/>
      <c r="X5849" s="3"/>
      <c r="Z5849" s="28"/>
    </row>
    <row r="5850" spans="2:26">
      <c r="B5850" s="2"/>
      <c r="N5850" s="27"/>
      <c r="R5850" s="15"/>
      <c r="X5850" s="3"/>
      <c r="Z5850" s="28"/>
    </row>
    <row r="5851" spans="2:26">
      <c r="B5851" s="2"/>
      <c r="N5851" s="27"/>
      <c r="R5851" s="15"/>
      <c r="X5851" s="3"/>
      <c r="Z5851" s="28"/>
    </row>
    <row r="5852" spans="2:26">
      <c r="B5852" s="2"/>
      <c r="N5852" s="27"/>
      <c r="R5852" s="15"/>
      <c r="X5852" s="3"/>
      <c r="Z5852" s="28"/>
    </row>
    <row r="5853" spans="2:26">
      <c r="B5853" s="2"/>
      <c r="N5853" s="27"/>
      <c r="R5853" s="15"/>
      <c r="X5853" s="3"/>
      <c r="Z5853" s="28"/>
    </row>
    <row r="5854" spans="2:26">
      <c r="B5854" s="2"/>
      <c r="N5854" s="27"/>
      <c r="R5854" s="15"/>
      <c r="X5854" s="3"/>
      <c r="Z5854" s="28"/>
    </row>
    <row r="5855" spans="2:26">
      <c r="B5855" s="2"/>
      <c r="N5855" s="27"/>
      <c r="R5855" s="15"/>
      <c r="X5855" s="3"/>
      <c r="Z5855" s="28"/>
    </row>
    <row r="5856" spans="2:26">
      <c r="B5856" s="2"/>
      <c r="N5856" s="27"/>
      <c r="R5856" s="15"/>
      <c r="X5856" s="3"/>
      <c r="Z5856" s="28"/>
    </row>
    <row r="5857" spans="2:26">
      <c r="B5857" s="2"/>
      <c r="N5857" s="27"/>
      <c r="R5857" s="15"/>
      <c r="X5857" s="3"/>
      <c r="Z5857" s="28"/>
    </row>
    <row r="5858" spans="2:26">
      <c r="B5858" s="2"/>
      <c r="N5858" s="27"/>
      <c r="R5858" s="15"/>
      <c r="X5858" s="3"/>
      <c r="Z5858" s="28"/>
    </row>
    <row r="5859" spans="2:26">
      <c r="B5859" s="2"/>
      <c r="N5859" s="27"/>
      <c r="R5859" s="15"/>
      <c r="X5859" s="3"/>
      <c r="Z5859" s="28"/>
    </row>
    <row r="5860" spans="2:26">
      <c r="B5860" s="2"/>
      <c r="N5860" s="27"/>
      <c r="R5860" s="15"/>
      <c r="X5860" s="3"/>
      <c r="Z5860" s="28"/>
    </row>
    <row r="5861" spans="2:26">
      <c r="B5861" s="2"/>
      <c r="N5861" s="27"/>
      <c r="R5861" s="15"/>
      <c r="X5861" s="3"/>
      <c r="Z5861" s="28"/>
    </row>
    <row r="5862" spans="2:26">
      <c r="B5862" s="2"/>
      <c r="N5862" s="27"/>
      <c r="R5862" s="15"/>
      <c r="X5862" s="3"/>
      <c r="Z5862" s="28"/>
    </row>
    <row r="5863" spans="2:26">
      <c r="B5863" s="2"/>
      <c r="N5863" s="27"/>
      <c r="R5863" s="15"/>
      <c r="X5863" s="3"/>
      <c r="Z5863" s="28"/>
    </row>
    <row r="5864" spans="2:26">
      <c r="B5864" s="2"/>
      <c r="N5864" s="27"/>
      <c r="R5864" s="15"/>
      <c r="X5864" s="3"/>
      <c r="Z5864" s="28"/>
    </row>
    <row r="5865" spans="2:26">
      <c r="B5865" s="2"/>
      <c r="N5865" s="27"/>
      <c r="R5865" s="15"/>
      <c r="X5865" s="3"/>
      <c r="Z5865" s="28"/>
    </row>
    <row r="5866" spans="2:26">
      <c r="B5866" s="2"/>
      <c r="N5866" s="27"/>
      <c r="R5866" s="15"/>
      <c r="X5866" s="3"/>
      <c r="Z5866" s="28"/>
    </row>
    <row r="5867" spans="2:26">
      <c r="B5867" s="2"/>
      <c r="N5867" s="27"/>
      <c r="R5867" s="15"/>
      <c r="X5867" s="3"/>
      <c r="Z5867" s="28"/>
    </row>
    <row r="5868" spans="2:26">
      <c r="B5868" s="2"/>
      <c r="N5868" s="27"/>
      <c r="R5868" s="15"/>
      <c r="X5868" s="3"/>
      <c r="Z5868" s="28"/>
    </row>
    <row r="5869" spans="2:26">
      <c r="B5869" s="2"/>
      <c r="N5869" s="27"/>
      <c r="R5869" s="15"/>
      <c r="X5869" s="3"/>
      <c r="Z5869" s="28"/>
    </row>
    <row r="5870" spans="2:26">
      <c r="B5870" s="2"/>
      <c r="N5870" s="27"/>
      <c r="R5870" s="15"/>
      <c r="X5870" s="3"/>
      <c r="Z5870" s="28"/>
    </row>
    <row r="5871" spans="2:26">
      <c r="B5871" s="2"/>
      <c r="N5871" s="27"/>
      <c r="R5871" s="15"/>
      <c r="X5871" s="3"/>
      <c r="Z5871" s="28"/>
    </row>
    <row r="5872" spans="2:26">
      <c r="B5872" s="2"/>
      <c r="N5872" s="27"/>
      <c r="R5872" s="15"/>
      <c r="X5872" s="3"/>
      <c r="Z5872" s="28"/>
    </row>
    <row r="5873" spans="2:26">
      <c r="B5873" s="2"/>
      <c r="N5873" s="27"/>
      <c r="R5873" s="15"/>
      <c r="X5873" s="3"/>
      <c r="Z5873" s="28"/>
    </row>
    <row r="5874" spans="2:26">
      <c r="B5874" s="2"/>
      <c r="N5874" s="27"/>
      <c r="R5874" s="15"/>
      <c r="X5874" s="3"/>
      <c r="Z5874" s="28"/>
    </row>
    <row r="5875" spans="2:26">
      <c r="B5875" s="2"/>
      <c r="N5875" s="27"/>
      <c r="R5875" s="15"/>
      <c r="X5875" s="3"/>
      <c r="Z5875" s="28"/>
    </row>
    <row r="5876" spans="2:26">
      <c r="B5876" s="2"/>
      <c r="N5876" s="27"/>
      <c r="R5876" s="15"/>
      <c r="X5876" s="3"/>
      <c r="Z5876" s="28"/>
    </row>
    <row r="5877" spans="2:26">
      <c r="B5877" s="2"/>
      <c r="N5877" s="27"/>
      <c r="R5877" s="15"/>
      <c r="X5877" s="3"/>
      <c r="Z5877" s="28"/>
    </row>
    <row r="5878" spans="2:26">
      <c r="B5878" s="2"/>
      <c r="N5878" s="27"/>
      <c r="R5878" s="15"/>
      <c r="X5878" s="3"/>
      <c r="Z5878" s="28"/>
    </row>
    <row r="5879" spans="2:26">
      <c r="B5879" s="2"/>
      <c r="N5879" s="27"/>
      <c r="R5879" s="15"/>
      <c r="X5879" s="3"/>
      <c r="Z5879" s="28"/>
    </row>
    <row r="5880" spans="2:26">
      <c r="B5880" s="2"/>
      <c r="N5880" s="27"/>
      <c r="R5880" s="15"/>
      <c r="X5880" s="3"/>
      <c r="Z5880" s="28"/>
    </row>
    <row r="5881" spans="2:26">
      <c r="B5881" s="2"/>
      <c r="N5881" s="27"/>
      <c r="R5881" s="15"/>
      <c r="X5881" s="3"/>
      <c r="Z5881" s="28"/>
    </row>
    <row r="5882" spans="2:26">
      <c r="B5882" s="2"/>
      <c r="N5882" s="27"/>
      <c r="R5882" s="15"/>
      <c r="X5882" s="3"/>
      <c r="Z5882" s="28"/>
    </row>
    <row r="5883" spans="2:26">
      <c r="B5883" s="2"/>
      <c r="N5883" s="27"/>
      <c r="R5883" s="15"/>
      <c r="X5883" s="3"/>
      <c r="Z5883" s="28"/>
    </row>
    <row r="5884" spans="2:26">
      <c r="B5884" s="2"/>
      <c r="N5884" s="27"/>
      <c r="R5884" s="15"/>
      <c r="X5884" s="3"/>
      <c r="Z5884" s="28"/>
    </row>
    <row r="5885" spans="2:26">
      <c r="B5885" s="2"/>
      <c r="N5885" s="27"/>
      <c r="R5885" s="15"/>
      <c r="X5885" s="3"/>
      <c r="Z5885" s="28"/>
    </row>
    <row r="5886" spans="2:26">
      <c r="B5886" s="2"/>
      <c r="N5886" s="27"/>
      <c r="R5886" s="15"/>
      <c r="X5886" s="3"/>
      <c r="Z5886" s="28"/>
    </row>
    <row r="5887" spans="2:26">
      <c r="B5887" s="2"/>
      <c r="N5887" s="27"/>
      <c r="R5887" s="15"/>
      <c r="X5887" s="3"/>
      <c r="Z5887" s="28"/>
    </row>
    <row r="5888" spans="2:26">
      <c r="B5888" s="2"/>
      <c r="N5888" s="27"/>
      <c r="R5888" s="15"/>
      <c r="X5888" s="3"/>
      <c r="Z5888" s="28"/>
    </row>
    <row r="5889" spans="2:26">
      <c r="B5889" s="2"/>
      <c r="N5889" s="27"/>
      <c r="R5889" s="15"/>
      <c r="X5889" s="3"/>
      <c r="Z5889" s="28"/>
    </row>
    <row r="5890" spans="2:26">
      <c r="B5890" s="2"/>
      <c r="N5890" s="27"/>
      <c r="R5890" s="15"/>
      <c r="X5890" s="3"/>
      <c r="Z5890" s="28"/>
    </row>
    <row r="5891" spans="2:26">
      <c r="B5891" s="2"/>
      <c r="N5891" s="27"/>
      <c r="R5891" s="15"/>
      <c r="X5891" s="3"/>
      <c r="Z5891" s="28"/>
    </row>
    <row r="5892" spans="2:26">
      <c r="B5892" s="2"/>
      <c r="N5892" s="27"/>
      <c r="R5892" s="15"/>
      <c r="X5892" s="3"/>
      <c r="Z5892" s="28"/>
    </row>
    <row r="5893" spans="2:26">
      <c r="B5893" s="2"/>
      <c r="N5893" s="27"/>
      <c r="R5893" s="15"/>
      <c r="X5893" s="3"/>
      <c r="Z5893" s="28"/>
    </row>
    <row r="5894" spans="2:26">
      <c r="B5894" s="2"/>
      <c r="N5894" s="27"/>
      <c r="R5894" s="15"/>
      <c r="X5894" s="3"/>
      <c r="Z5894" s="28"/>
    </row>
    <row r="5895" spans="2:26">
      <c r="B5895" s="2"/>
      <c r="N5895" s="27"/>
      <c r="R5895" s="15"/>
      <c r="X5895" s="3"/>
      <c r="Z5895" s="28"/>
    </row>
    <row r="5896" spans="2:26">
      <c r="B5896" s="2"/>
      <c r="N5896" s="27"/>
      <c r="R5896" s="15"/>
      <c r="X5896" s="3"/>
      <c r="Z5896" s="28"/>
    </row>
    <row r="5897" spans="2:26">
      <c r="B5897" s="2"/>
      <c r="N5897" s="27"/>
      <c r="R5897" s="15"/>
      <c r="X5897" s="3"/>
      <c r="Z5897" s="28"/>
    </row>
    <row r="5898" spans="2:26">
      <c r="B5898" s="2"/>
      <c r="N5898" s="27"/>
      <c r="R5898" s="15"/>
      <c r="X5898" s="3"/>
      <c r="Z5898" s="28"/>
    </row>
    <row r="5899" spans="2:26">
      <c r="B5899" s="2"/>
      <c r="N5899" s="27"/>
      <c r="R5899" s="15"/>
      <c r="X5899" s="3"/>
      <c r="Z5899" s="28"/>
    </row>
    <row r="5900" spans="2:26">
      <c r="B5900" s="2"/>
      <c r="N5900" s="27"/>
      <c r="R5900" s="15"/>
      <c r="X5900" s="3"/>
      <c r="Z5900" s="28"/>
    </row>
    <row r="5901" spans="2:26">
      <c r="B5901" s="2"/>
      <c r="N5901" s="27"/>
      <c r="R5901" s="15"/>
      <c r="X5901" s="3"/>
      <c r="Z5901" s="28"/>
    </row>
    <row r="5902" spans="2:26">
      <c r="B5902" s="2"/>
      <c r="N5902" s="27"/>
      <c r="R5902" s="15"/>
      <c r="X5902" s="3"/>
      <c r="Z5902" s="28"/>
    </row>
    <row r="5903" spans="2:26">
      <c r="B5903" s="2"/>
      <c r="N5903" s="27"/>
      <c r="R5903" s="15"/>
      <c r="X5903" s="3"/>
      <c r="Z5903" s="28"/>
    </row>
    <row r="5904" spans="2:26">
      <c r="B5904" s="2"/>
      <c r="N5904" s="27"/>
      <c r="R5904" s="15"/>
      <c r="X5904" s="3"/>
      <c r="Z5904" s="28"/>
    </row>
    <row r="5905" spans="2:26">
      <c r="B5905" s="2"/>
      <c r="N5905" s="27"/>
      <c r="R5905" s="15"/>
      <c r="X5905" s="3"/>
      <c r="Z5905" s="28"/>
    </row>
    <row r="5906" spans="2:26">
      <c r="B5906" s="2"/>
      <c r="N5906" s="27"/>
      <c r="R5906" s="15"/>
      <c r="X5906" s="3"/>
      <c r="Z5906" s="28"/>
    </row>
    <row r="5907" spans="2:26">
      <c r="B5907" s="2"/>
      <c r="N5907" s="27"/>
      <c r="R5907" s="15"/>
      <c r="X5907" s="3"/>
      <c r="Z5907" s="28"/>
    </row>
    <row r="5908" spans="2:26">
      <c r="B5908" s="2"/>
      <c r="N5908" s="27"/>
      <c r="R5908" s="15"/>
      <c r="X5908" s="3"/>
      <c r="Z5908" s="28"/>
    </row>
    <row r="5909" spans="2:26">
      <c r="B5909" s="2"/>
      <c r="N5909" s="27"/>
      <c r="R5909" s="15"/>
      <c r="X5909" s="3"/>
      <c r="Z5909" s="28"/>
    </row>
    <row r="5910" spans="2:26">
      <c r="B5910" s="2"/>
      <c r="N5910" s="27"/>
      <c r="R5910" s="15"/>
      <c r="X5910" s="3"/>
      <c r="Z5910" s="28"/>
    </row>
    <row r="5911" spans="2:26">
      <c r="B5911" s="2"/>
      <c r="N5911" s="27"/>
      <c r="R5911" s="15"/>
      <c r="X5911" s="3"/>
      <c r="Z5911" s="28"/>
    </row>
    <row r="5912" spans="2:26">
      <c r="B5912" s="2"/>
      <c r="N5912" s="27"/>
      <c r="R5912" s="15"/>
      <c r="X5912" s="3"/>
      <c r="Z5912" s="28"/>
    </row>
    <row r="5913" spans="2:26">
      <c r="B5913" s="2"/>
      <c r="N5913" s="27"/>
      <c r="R5913" s="15"/>
      <c r="X5913" s="3"/>
      <c r="Z5913" s="28"/>
    </row>
    <row r="5914" spans="2:26">
      <c r="B5914" s="2"/>
      <c r="N5914" s="27"/>
      <c r="R5914" s="15"/>
      <c r="X5914" s="3"/>
      <c r="Z5914" s="28"/>
    </row>
    <row r="5915" spans="2:26">
      <c r="B5915" s="2"/>
      <c r="N5915" s="27"/>
      <c r="R5915" s="15"/>
      <c r="X5915" s="3"/>
      <c r="Z5915" s="28"/>
    </row>
    <row r="5916" spans="2:26">
      <c r="B5916" s="2"/>
      <c r="N5916" s="27"/>
      <c r="R5916" s="15"/>
      <c r="X5916" s="3"/>
      <c r="Z5916" s="28"/>
    </row>
    <row r="5917" spans="2:26">
      <c r="B5917" s="2"/>
      <c r="N5917" s="27"/>
      <c r="R5917" s="15"/>
      <c r="X5917" s="3"/>
      <c r="Z5917" s="28"/>
    </row>
    <row r="5918" spans="2:26">
      <c r="B5918" s="2"/>
      <c r="N5918" s="27"/>
      <c r="R5918" s="15"/>
      <c r="X5918" s="3"/>
      <c r="Z5918" s="28"/>
    </row>
    <row r="5919" spans="2:26">
      <c r="B5919" s="2"/>
      <c r="N5919" s="27"/>
      <c r="R5919" s="15"/>
      <c r="X5919" s="3"/>
      <c r="Z5919" s="28"/>
    </row>
    <row r="5920" spans="2:26">
      <c r="B5920" s="2"/>
      <c r="N5920" s="27"/>
      <c r="R5920" s="15"/>
      <c r="X5920" s="3"/>
      <c r="Z5920" s="28"/>
    </row>
    <row r="5921" spans="2:26">
      <c r="B5921" s="2"/>
      <c r="N5921" s="27"/>
      <c r="R5921" s="15"/>
      <c r="X5921" s="3"/>
      <c r="Z5921" s="28"/>
    </row>
    <row r="5922" spans="2:26">
      <c r="B5922" s="2"/>
      <c r="N5922" s="27"/>
      <c r="R5922" s="15"/>
      <c r="X5922" s="3"/>
      <c r="Z5922" s="28"/>
    </row>
    <row r="5923" spans="2:26">
      <c r="B5923" s="2"/>
      <c r="N5923" s="27"/>
      <c r="R5923" s="15"/>
      <c r="X5923" s="3"/>
      <c r="Z5923" s="28"/>
    </row>
    <row r="5924" spans="2:26">
      <c r="B5924" s="2"/>
      <c r="N5924" s="27"/>
      <c r="R5924" s="15"/>
      <c r="X5924" s="3"/>
      <c r="Z5924" s="28"/>
    </row>
    <row r="5925" spans="2:26">
      <c r="B5925" s="2"/>
      <c r="N5925" s="27"/>
      <c r="R5925" s="15"/>
      <c r="X5925" s="3"/>
      <c r="Z5925" s="28"/>
    </row>
    <row r="5926" spans="2:26">
      <c r="B5926" s="2"/>
      <c r="N5926" s="27"/>
      <c r="R5926" s="15"/>
      <c r="X5926" s="3"/>
      <c r="Z5926" s="28"/>
    </row>
    <row r="5927" spans="2:26">
      <c r="B5927" s="2"/>
      <c r="N5927" s="27"/>
      <c r="R5927" s="15"/>
      <c r="X5927" s="3"/>
      <c r="Z5927" s="28"/>
    </row>
    <row r="5928" spans="2:26">
      <c r="B5928" s="2"/>
      <c r="N5928" s="27"/>
      <c r="R5928" s="15"/>
      <c r="X5928" s="3"/>
      <c r="Z5928" s="28"/>
    </row>
    <row r="5929" spans="2:26">
      <c r="B5929" s="2"/>
      <c r="N5929" s="27"/>
      <c r="R5929" s="15"/>
      <c r="X5929" s="3"/>
      <c r="Z5929" s="28"/>
    </row>
    <row r="5930" spans="2:26">
      <c r="B5930" s="2"/>
      <c r="N5930" s="27"/>
      <c r="R5930" s="15"/>
      <c r="X5930" s="3"/>
      <c r="Z5930" s="28"/>
    </row>
    <row r="5931" spans="2:26">
      <c r="B5931" s="2"/>
      <c r="N5931" s="27"/>
      <c r="R5931" s="15"/>
      <c r="X5931" s="3"/>
      <c r="Z5931" s="28"/>
    </row>
    <row r="5932" spans="2:26">
      <c r="B5932" s="2"/>
      <c r="N5932" s="27"/>
      <c r="R5932" s="15"/>
      <c r="X5932" s="3"/>
      <c r="Z5932" s="28"/>
    </row>
    <row r="5933" spans="2:26">
      <c r="B5933" s="2"/>
      <c r="N5933" s="27"/>
      <c r="R5933" s="15"/>
      <c r="X5933" s="3"/>
      <c r="Z5933" s="28"/>
    </row>
    <row r="5934" spans="2:26">
      <c r="B5934" s="2"/>
      <c r="N5934" s="27"/>
      <c r="R5934" s="15"/>
      <c r="X5934" s="3"/>
      <c r="Z5934" s="28"/>
    </row>
    <row r="5935" spans="2:26">
      <c r="B5935" s="2"/>
      <c r="N5935" s="27"/>
      <c r="R5935" s="15"/>
      <c r="X5935" s="3"/>
      <c r="Z5935" s="28"/>
    </row>
    <row r="5936" spans="2:26">
      <c r="B5936" s="2"/>
      <c r="N5936" s="27"/>
      <c r="R5936" s="15"/>
      <c r="X5936" s="3"/>
      <c r="Z5936" s="28"/>
    </row>
    <row r="5937" spans="2:26">
      <c r="B5937" s="2"/>
      <c r="N5937" s="27"/>
      <c r="R5937" s="15"/>
      <c r="X5937" s="3"/>
      <c r="Z5937" s="28"/>
    </row>
    <row r="5938" spans="2:26">
      <c r="B5938" s="2"/>
      <c r="N5938" s="27"/>
      <c r="R5938" s="15"/>
      <c r="X5938" s="3"/>
      <c r="Z5938" s="28"/>
    </row>
    <row r="5939" spans="2:26">
      <c r="B5939" s="2"/>
      <c r="N5939" s="27"/>
      <c r="R5939" s="15"/>
      <c r="X5939" s="3"/>
      <c r="Z5939" s="28"/>
    </row>
    <row r="5940" spans="2:26">
      <c r="B5940" s="2"/>
      <c r="N5940" s="27"/>
      <c r="R5940" s="15"/>
      <c r="X5940" s="3"/>
      <c r="Z5940" s="28"/>
    </row>
    <row r="5941" spans="2:26">
      <c r="B5941" s="2"/>
      <c r="N5941" s="27"/>
      <c r="R5941" s="15"/>
      <c r="X5941" s="3"/>
      <c r="Z5941" s="28"/>
    </row>
    <row r="5942" spans="2:26">
      <c r="B5942" s="2"/>
      <c r="N5942" s="27"/>
      <c r="R5942" s="15"/>
      <c r="X5942" s="3"/>
      <c r="Z5942" s="28"/>
    </row>
    <row r="5943" spans="2:26">
      <c r="B5943" s="2"/>
      <c r="N5943" s="27"/>
      <c r="R5943" s="15"/>
      <c r="X5943" s="3"/>
      <c r="Z5943" s="28"/>
    </row>
    <row r="5944" spans="2:26">
      <c r="B5944" s="2"/>
      <c r="N5944" s="27"/>
      <c r="R5944" s="15"/>
      <c r="X5944" s="3"/>
      <c r="Z5944" s="28"/>
    </row>
    <row r="5945" spans="2:26">
      <c r="B5945" s="2"/>
      <c r="N5945" s="27"/>
      <c r="R5945" s="15"/>
      <c r="X5945" s="3"/>
      <c r="Z5945" s="28"/>
    </row>
    <row r="5946" spans="2:26">
      <c r="B5946" s="2"/>
      <c r="N5946" s="27"/>
      <c r="R5946" s="15"/>
      <c r="X5946" s="3"/>
      <c r="Z5946" s="28"/>
    </row>
    <row r="5947" spans="2:26">
      <c r="B5947" s="2"/>
      <c r="N5947" s="27"/>
      <c r="R5947" s="15"/>
      <c r="X5947" s="3"/>
      <c r="Z5947" s="28"/>
    </row>
    <row r="5948" spans="2:26">
      <c r="B5948" s="2"/>
      <c r="N5948" s="27"/>
      <c r="R5948" s="15"/>
      <c r="X5948" s="3"/>
      <c r="Z5948" s="28"/>
    </row>
    <row r="5949" spans="2:26">
      <c r="B5949" s="2"/>
      <c r="N5949" s="27"/>
      <c r="R5949" s="15"/>
      <c r="X5949" s="3"/>
      <c r="Z5949" s="28"/>
    </row>
    <row r="5950" spans="2:26">
      <c r="B5950" s="2"/>
      <c r="N5950" s="27"/>
      <c r="R5950" s="15"/>
      <c r="X5950" s="3"/>
      <c r="Z5950" s="28"/>
    </row>
    <row r="5951" spans="2:26">
      <c r="B5951" s="2"/>
      <c r="N5951" s="27"/>
      <c r="R5951" s="15"/>
      <c r="X5951" s="3"/>
      <c r="Z5951" s="28"/>
    </row>
    <row r="5952" spans="2:26">
      <c r="B5952" s="2"/>
      <c r="N5952" s="27"/>
      <c r="R5952" s="15"/>
      <c r="X5952" s="3"/>
      <c r="Z5952" s="28"/>
    </row>
    <row r="5953" spans="2:26">
      <c r="B5953" s="2"/>
      <c r="N5953" s="27"/>
      <c r="R5953" s="15"/>
      <c r="X5953" s="3"/>
      <c r="Z5953" s="28"/>
    </row>
    <row r="5954" spans="2:26">
      <c r="B5954" s="2"/>
      <c r="N5954" s="27"/>
      <c r="R5954" s="15"/>
      <c r="X5954" s="3"/>
      <c r="Z5954" s="28"/>
    </row>
    <row r="5955" spans="2:26">
      <c r="B5955" s="2"/>
      <c r="N5955" s="27"/>
      <c r="R5955" s="15"/>
      <c r="X5955" s="3"/>
      <c r="Z5955" s="28"/>
    </row>
    <row r="5956" spans="2:26">
      <c r="B5956" s="2"/>
      <c r="N5956" s="27"/>
      <c r="R5956" s="15"/>
      <c r="X5956" s="3"/>
      <c r="Z5956" s="28"/>
    </row>
    <row r="5957" spans="2:26">
      <c r="B5957" s="2"/>
      <c r="N5957" s="27"/>
      <c r="R5957" s="15"/>
      <c r="X5957" s="3"/>
      <c r="Z5957" s="28"/>
    </row>
    <row r="5958" spans="2:26">
      <c r="B5958" s="2"/>
      <c r="N5958" s="27"/>
      <c r="R5958" s="15"/>
      <c r="X5958" s="3"/>
      <c r="Z5958" s="28"/>
    </row>
    <row r="5959" spans="2:26">
      <c r="B5959" s="2"/>
      <c r="N5959" s="27"/>
      <c r="R5959" s="15"/>
      <c r="X5959" s="3"/>
      <c r="Z5959" s="28"/>
    </row>
    <row r="5960" spans="2:26">
      <c r="B5960" s="2"/>
      <c r="N5960" s="27"/>
      <c r="R5960" s="15"/>
      <c r="X5960" s="3"/>
      <c r="Z5960" s="28"/>
    </row>
    <row r="5961" spans="2:26">
      <c r="B5961" s="2"/>
      <c r="N5961" s="27"/>
      <c r="R5961" s="15"/>
      <c r="X5961" s="3"/>
      <c r="Z5961" s="28"/>
    </row>
    <row r="5962" spans="2:26">
      <c r="B5962" s="2"/>
      <c r="N5962" s="27"/>
      <c r="R5962" s="15"/>
      <c r="X5962" s="3"/>
      <c r="Z5962" s="28"/>
    </row>
    <row r="5963" spans="2:26">
      <c r="B5963" s="2"/>
      <c r="N5963" s="27"/>
      <c r="R5963" s="15"/>
      <c r="X5963" s="3"/>
      <c r="Z5963" s="28"/>
    </row>
    <row r="5964" spans="2:26">
      <c r="B5964" s="2"/>
      <c r="N5964" s="27"/>
      <c r="R5964" s="15"/>
      <c r="X5964" s="3"/>
      <c r="Z5964" s="28"/>
    </row>
    <row r="5965" spans="2:26">
      <c r="B5965" s="2"/>
      <c r="N5965" s="27"/>
      <c r="R5965" s="15"/>
      <c r="X5965" s="3"/>
      <c r="Z5965" s="28"/>
    </row>
    <row r="5966" spans="2:26">
      <c r="B5966" s="2"/>
      <c r="N5966" s="27"/>
      <c r="R5966" s="15"/>
      <c r="X5966" s="3"/>
      <c r="Z5966" s="28"/>
    </row>
    <row r="5967" spans="2:26">
      <c r="B5967" s="2"/>
      <c r="N5967" s="27"/>
      <c r="R5967" s="15"/>
      <c r="X5967" s="3"/>
      <c r="Z5967" s="28"/>
    </row>
    <row r="5968" spans="2:26">
      <c r="B5968" s="2"/>
      <c r="N5968" s="27"/>
      <c r="R5968" s="15"/>
      <c r="X5968" s="3"/>
      <c r="Z5968" s="28"/>
    </row>
    <row r="5969" spans="2:26">
      <c r="B5969" s="2"/>
      <c r="N5969" s="27"/>
      <c r="R5969" s="15"/>
      <c r="X5969" s="3"/>
      <c r="Z5969" s="28"/>
    </row>
    <row r="5970" spans="2:26">
      <c r="B5970" s="2"/>
      <c r="N5970" s="27"/>
      <c r="R5970" s="15"/>
      <c r="X5970" s="3"/>
      <c r="Z5970" s="28"/>
    </row>
    <row r="5971" spans="2:26">
      <c r="B5971" s="2"/>
      <c r="N5971" s="27"/>
      <c r="R5971" s="15"/>
      <c r="X5971" s="3"/>
      <c r="Z5971" s="28"/>
    </row>
    <row r="5972" spans="2:26">
      <c r="B5972" s="2"/>
      <c r="N5972" s="27"/>
      <c r="R5972" s="15"/>
      <c r="X5972" s="3"/>
      <c r="Z5972" s="28"/>
    </row>
    <row r="5973" spans="2:26">
      <c r="B5973" s="2"/>
      <c r="N5973" s="27"/>
      <c r="R5973" s="15"/>
      <c r="X5973" s="3"/>
      <c r="Z5973" s="28"/>
    </row>
    <row r="5974" spans="2:26">
      <c r="B5974" s="2"/>
      <c r="N5974" s="27"/>
      <c r="R5974" s="15"/>
      <c r="X5974" s="3"/>
      <c r="Z5974" s="28"/>
    </row>
    <row r="5975" spans="2:26">
      <c r="B5975" s="2"/>
      <c r="N5975" s="27"/>
      <c r="R5975" s="15"/>
      <c r="X5975" s="3"/>
      <c r="Z5975" s="28"/>
    </row>
    <row r="5976" spans="2:26">
      <c r="B5976" s="2"/>
      <c r="N5976" s="27"/>
      <c r="R5976" s="15"/>
      <c r="X5976" s="3"/>
      <c r="Z5976" s="28"/>
    </row>
    <row r="5977" spans="2:26">
      <c r="B5977" s="2"/>
      <c r="N5977" s="27"/>
      <c r="R5977" s="15"/>
      <c r="X5977" s="3"/>
      <c r="Z5977" s="28"/>
    </row>
    <row r="5978" spans="2:26">
      <c r="B5978" s="2"/>
      <c r="N5978" s="27"/>
      <c r="R5978" s="15"/>
      <c r="X5978" s="3"/>
      <c r="Z5978" s="28"/>
    </row>
    <row r="5979" spans="2:26">
      <c r="B5979" s="2"/>
      <c r="N5979" s="27"/>
      <c r="R5979" s="15"/>
      <c r="X5979" s="3"/>
      <c r="Z5979" s="28"/>
    </row>
    <row r="5980" spans="2:26">
      <c r="B5980" s="2"/>
      <c r="N5980" s="27"/>
      <c r="R5980" s="15"/>
      <c r="X5980" s="3"/>
      <c r="Z5980" s="28"/>
    </row>
    <row r="5981" spans="2:26">
      <c r="B5981" s="2"/>
      <c r="N5981" s="27"/>
      <c r="R5981" s="15"/>
      <c r="X5981" s="3"/>
      <c r="Z5981" s="28"/>
    </row>
    <row r="5982" spans="2:26">
      <c r="B5982" s="2"/>
      <c r="N5982" s="27"/>
      <c r="R5982" s="15"/>
      <c r="X5982" s="3"/>
      <c r="Z5982" s="28"/>
    </row>
    <row r="5983" spans="2:26">
      <c r="B5983" s="2"/>
      <c r="N5983" s="27"/>
      <c r="R5983" s="15"/>
      <c r="X5983" s="3"/>
      <c r="Z5983" s="28"/>
    </row>
    <row r="5984" spans="2:26">
      <c r="B5984" s="2"/>
      <c r="N5984" s="27"/>
      <c r="R5984" s="15"/>
      <c r="X5984" s="3"/>
      <c r="Z5984" s="28"/>
    </row>
    <row r="5985" spans="2:26">
      <c r="B5985" s="2"/>
      <c r="N5985" s="27"/>
      <c r="R5985" s="15"/>
      <c r="X5985" s="3"/>
      <c r="Z5985" s="28"/>
    </row>
    <row r="5986" spans="2:26">
      <c r="B5986" s="2"/>
      <c r="N5986" s="27"/>
      <c r="R5986" s="15"/>
      <c r="X5986" s="3"/>
      <c r="Z5986" s="28"/>
    </row>
    <row r="5987" spans="2:26">
      <c r="B5987" s="2"/>
      <c r="N5987" s="27"/>
      <c r="R5987" s="15"/>
      <c r="X5987" s="3"/>
      <c r="Z5987" s="28"/>
    </row>
    <row r="5988" spans="2:26">
      <c r="B5988" s="2"/>
      <c r="N5988" s="27"/>
      <c r="R5988" s="15"/>
      <c r="X5988" s="3"/>
      <c r="Z5988" s="28"/>
    </row>
    <row r="5989" spans="2:26">
      <c r="B5989" s="2"/>
      <c r="N5989" s="27"/>
      <c r="R5989" s="15"/>
      <c r="X5989" s="3"/>
      <c r="Z5989" s="28"/>
    </row>
    <row r="5990" spans="2:26">
      <c r="B5990" s="2"/>
      <c r="N5990" s="27"/>
      <c r="R5990" s="15"/>
      <c r="X5990" s="3"/>
      <c r="Z5990" s="28"/>
    </row>
    <row r="5991" spans="2:26">
      <c r="B5991" s="2"/>
      <c r="N5991" s="27"/>
      <c r="R5991" s="15"/>
      <c r="X5991" s="3"/>
      <c r="Z5991" s="28"/>
    </row>
    <row r="5992" spans="2:26">
      <c r="B5992" s="2"/>
      <c r="N5992" s="27"/>
      <c r="R5992" s="15"/>
      <c r="X5992" s="3"/>
      <c r="Z5992" s="28"/>
    </row>
    <row r="5993" spans="2:26">
      <c r="B5993" s="2"/>
      <c r="N5993" s="27"/>
      <c r="R5993" s="15"/>
      <c r="X5993" s="3"/>
      <c r="Z5993" s="28"/>
    </row>
    <row r="5994" spans="2:26">
      <c r="B5994" s="2"/>
      <c r="N5994" s="27"/>
      <c r="R5994" s="15"/>
      <c r="X5994" s="3"/>
      <c r="Z5994" s="28"/>
    </row>
    <row r="5995" spans="2:26">
      <c r="B5995" s="2"/>
      <c r="N5995" s="27"/>
      <c r="R5995" s="15"/>
      <c r="X5995" s="3"/>
      <c r="Z5995" s="28"/>
    </row>
    <row r="5996" spans="2:26">
      <c r="B5996" s="2"/>
      <c r="N5996" s="27"/>
      <c r="R5996" s="15"/>
      <c r="X5996" s="3"/>
      <c r="Z5996" s="28"/>
    </row>
    <row r="5997" spans="2:26">
      <c r="B5997" s="2"/>
      <c r="N5997" s="27"/>
      <c r="R5997" s="15"/>
      <c r="X5997" s="3"/>
      <c r="Z5997" s="28"/>
    </row>
    <row r="5998" spans="2:26">
      <c r="B5998" s="2"/>
      <c r="N5998" s="27"/>
      <c r="R5998" s="15"/>
      <c r="X5998" s="3"/>
      <c r="Z5998" s="28"/>
    </row>
    <row r="5999" spans="2:26">
      <c r="B5999" s="2"/>
      <c r="N5999" s="27"/>
      <c r="R5999" s="15"/>
      <c r="X5999" s="3"/>
      <c r="Z5999" s="28"/>
    </row>
    <row r="6000" spans="2:26">
      <c r="B6000" s="2"/>
      <c r="N6000" s="27"/>
      <c r="R6000" s="15"/>
      <c r="X6000" s="3"/>
      <c r="Z6000" s="28"/>
    </row>
    <row r="6001" spans="2:26">
      <c r="B6001" s="2"/>
      <c r="N6001" s="27"/>
      <c r="R6001" s="15"/>
      <c r="X6001" s="3"/>
      <c r="Z6001" s="28"/>
    </row>
    <row r="6002" spans="2:26">
      <c r="B6002" s="2"/>
      <c r="N6002" s="27"/>
      <c r="R6002" s="15"/>
      <c r="X6002" s="3"/>
      <c r="Z6002" s="28"/>
    </row>
    <row r="6003" spans="2:26">
      <c r="B6003" s="2"/>
      <c r="N6003" s="27"/>
      <c r="R6003" s="15"/>
      <c r="X6003" s="3"/>
      <c r="Z6003" s="28"/>
    </row>
    <row r="6004" spans="2:26">
      <c r="B6004" s="2"/>
      <c r="N6004" s="27"/>
      <c r="R6004" s="15"/>
      <c r="X6004" s="3"/>
      <c r="Z6004" s="28"/>
    </row>
    <row r="6005" spans="2:26">
      <c r="B6005" s="2"/>
      <c r="N6005" s="27"/>
      <c r="R6005" s="15"/>
      <c r="X6005" s="3"/>
      <c r="Z6005" s="28"/>
    </row>
    <row r="6006" spans="2:26">
      <c r="B6006" s="2"/>
      <c r="N6006" s="27"/>
      <c r="R6006" s="15"/>
      <c r="X6006" s="3"/>
      <c r="Z6006" s="28"/>
    </row>
    <row r="6007" spans="2:26">
      <c r="B6007" s="2"/>
      <c r="N6007" s="27"/>
      <c r="R6007" s="15"/>
      <c r="X6007" s="3"/>
      <c r="Z6007" s="28"/>
    </row>
    <row r="6008" spans="2:26">
      <c r="B6008" s="2"/>
      <c r="N6008" s="27"/>
      <c r="R6008" s="15"/>
      <c r="X6008" s="3"/>
      <c r="Z6008" s="28"/>
    </row>
    <row r="6009" spans="2:26">
      <c r="B6009" s="2"/>
      <c r="N6009" s="27"/>
      <c r="R6009" s="15"/>
      <c r="X6009" s="3"/>
      <c r="Z6009" s="28"/>
    </row>
    <row r="6010" spans="2:26">
      <c r="B6010" s="2"/>
      <c r="N6010" s="27"/>
      <c r="R6010" s="15"/>
      <c r="X6010" s="3"/>
      <c r="Z6010" s="28"/>
    </row>
    <row r="6011" spans="2:26">
      <c r="B6011" s="2"/>
      <c r="N6011" s="27"/>
      <c r="R6011" s="15"/>
      <c r="X6011" s="3"/>
      <c r="Z6011" s="28"/>
    </row>
    <row r="6012" spans="2:26">
      <c r="B6012" s="2"/>
      <c r="N6012" s="27"/>
      <c r="R6012" s="15"/>
      <c r="X6012" s="3"/>
      <c r="Z6012" s="28"/>
    </row>
    <row r="6013" spans="2:26">
      <c r="B6013" s="2"/>
      <c r="N6013" s="27"/>
      <c r="R6013" s="15"/>
      <c r="X6013" s="3"/>
      <c r="Z6013" s="28"/>
    </row>
    <row r="6014" spans="2:26">
      <c r="B6014" s="2"/>
      <c r="N6014" s="27"/>
      <c r="R6014" s="15"/>
      <c r="X6014" s="3"/>
      <c r="Z6014" s="28"/>
    </row>
    <row r="6015" spans="2:26">
      <c r="B6015" s="2"/>
      <c r="N6015" s="27"/>
      <c r="R6015" s="15"/>
      <c r="X6015" s="3"/>
      <c r="Z6015" s="28"/>
    </row>
    <row r="6016" spans="2:26">
      <c r="B6016" s="2"/>
      <c r="N6016" s="27"/>
      <c r="R6016" s="15"/>
      <c r="X6016" s="3"/>
      <c r="Z6016" s="28"/>
    </row>
    <row r="6017" spans="2:26">
      <c r="B6017" s="2"/>
      <c r="N6017" s="27"/>
      <c r="R6017" s="15"/>
      <c r="X6017" s="3"/>
      <c r="Z6017" s="28"/>
    </row>
    <row r="6018" spans="2:26">
      <c r="B6018" s="2"/>
      <c r="N6018" s="27"/>
      <c r="R6018" s="15"/>
      <c r="X6018" s="3"/>
      <c r="Z6018" s="28"/>
    </row>
    <row r="6019" spans="2:26">
      <c r="B6019" s="2"/>
      <c r="N6019" s="27"/>
      <c r="R6019" s="15"/>
      <c r="X6019" s="3"/>
      <c r="Z6019" s="28"/>
    </row>
    <row r="6020" spans="2:26">
      <c r="B6020" s="2"/>
      <c r="N6020" s="27"/>
      <c r="R6020" s="15"/>
      <c r="X6020" s="3"/>
      <c r="Z6020" s="28"/>
    </row>
    <row r="6021" spans="2:26">
      <c r="B6021" s="2"/>
      <c r="N6021" s="27"/>
      <c r="R6021" s="15"/>
      <c r="X6021" s="3"/>
      <c r="Z6021" s="28"/>
    </row>
    <row r="6022" spans="2:26">
      <c r="B6022" s="2"/>
      <c r="N6022" s="27"/>
      <c r="R6022" s="15"/>
      <c r="X6022" s="3"/>
      <c r="Z6022" s="28"/>
    </row>
    <row r="6023" spans="2:26">
      <c r="B6023" s="2"/>
      <c r="N6023" s="27"/>
      <c r="R6023" s="15"/>
      <c r="X6023" s="3"/>
      <c r="Z6023" s="28"/>
    </row>
    <row r="6024" spans="2:26">
      <c r="B6024" s="2"/>
      <c r="N6024" s="27"/>
      <c r="R6024" s="15"/>
      <c r="X6024" s="3"/>
      <c r="Z6024" s="28"/>
    </row>
    <row r="6025" spans="2:26">
      <c r="B6025" s="2"/>
      <c r="N6025" s="27"/>
      <c r="R6025" s="15"/>
      <c r="X6025" s="3"/>
      <c r="Z6025" s="28"/>
    </row>
    <row r="6026" spans="2:26">
      <c r="B6026" s="2"/>
      <c r="N6026" s="27"/>
      <c r="R6026" s="15"/>
      <c r="X6026" s="3"/>
      <c r="Z6026" s="28"/>
    </row>
    <row r="6027" spans="2:26">
      <c r="B6027" s="2"/>
      <c r="N6027" s="27"/>
      <c r="R6027" s="15"/>
      <c r="X6027" s="3"/>
      <c r="Z6027" s="28"/>
    </row>
    <row r="6028" spans="2:26">
      <c r="B6028" s="2"/>
      <c r="N6028" s="27"/>
      <c r="R6028" s="15"/>
      <c r="X6028" s="3"/>
      <c r="Z6028" s="28"/>
    </row>
    <row r="6029" spans="2:26">
      <c r="B6029" s="2"/>
      <c r="N6029" s="27"/>
      <c r="R6029" s="15"/>
      <c r="X6029" s="3"/>
      <c r="Z6029" s="28"/>
    </row>
    <row r="6030" spans="2:26">
      <c r="B6030" s="2"/>
      <c r="N6030" s="27"/>
      <c r="R6030" s="15"/>
      <c r="X6030" s="3"/>
      <c r="Z6030" s="28"/>
    </row>
    <row r="6031" spans="2:26">
      <c r="B6031" s="2"/>
      <c r="N6031" s="27"/>
      <c r="R6031" s="15"/>
      <c r="X6031" s="3"/>
      <c r="Z6031" s="28"/>
    </row>
    <row r="6032" spans="2:26">
      <c r="B6032" s="2"/>
      <c r="N6032" s="27"/>
      <c r="R6032" s="15"/>
      <c r="X6032" s="3"/>
      <c r="Z6032" s="28"/>
    </row>
    <row r="6033" spans="2:26">
      <c r="B6033" s="2"/>
      <c r="N6033" s="27"/>
      <c r="R6033" s="15"/>
      <c r="X6033" s="3"/>
      <c r="Z6033" s="28"/>
    </row>
    <row r="6034" spans="2:26">
      <c r="B6034" s="2"/>
      <c r="N6034" s="27"/>
      <c r="R6034" s="15"/>
      <c r="X6034" s="3"/>
      <c r="Z6034" s="28"/>
    </row>
    <row r="6035" spans="2:26">
      <c r="B6035" s="2"/>
      <c r="N6035" s="27"/>
      <c r="R6035" s="15"/>
      <c r="X6035" s="3"/>
      <c r="Z6035" s="28"/>
    </row>
    <row r="6036" spans="2:26">
      <c r="B6036" s="2"/>
      <c r="N6036" s="27"/>
      <c r="R6036" s="15"/>
      <c r="X6036" s="3"/>
      <c r="Z6036" s="28"/>
    </row>
    <row r="6037" spans="2:26">
      <c r="B6037" s="2"/>
      <c r="N6037" s="27"/>
      <c r="R6037" s="15"/>
      <c r="X6037" s="3"/>
      <c r="Z6037" s="28"/>
    </row>
    <row r="6038" spans="2:26">
      <c r="B6038" s="2"/>
      <c r="N6038" s="27"/>
      <c r="R6038" s="15"/>
      <c r="X6038" s="3"/>
      <c r="Z6038" s="28"/>
    </row>
    <row r="6039" spans="2:26">
      <c r="B6039" s="2"/>
      <c r="N6039" s="27"/>
      <c r="R6039" s="15"/>
      <c r="X6039" s="3"/>
      <c r="Z6039" s="28"/>
    </row>
    <row r="6040" spans="2:26">
      <c r="B6040" s="2"/>
      <c r="N6040" s="27"/>
      <c r="R6040" s="15"/>
      <c r="X6040" s="3"/>
      <c r="Z6040" s="28"/>
    </row>
    <row r="6041" spans="2:26">
      <c r="B6041" s="2"/>
      <c r="N6041" s="27"/>
      <c r="R6041" s="15"/>
      <c r="X6041" s="3"/>
      <c r="Z6041" s="28"/>
    </row>
    <row r="6042" spans="2:26">
      <c r="B6042" s="2"/>
      <c r="N6042" s="27"/>
      <c r="R6042" s="15"/>
      <c r="X6042" s="3"/>
      <c r="Z6042" s="28"/>
    </row>
    <row r="6043" spans="2:26">
      <c r="B6043" s="2"/>
      <c r="N6043" s="27"/>
      <c r="R6043" s="15"/>
      <c r="X6043" s="3"/>
      <c r="Z6043" s="28"/>
    </row>
    <row r="6044" spans="2:26">
      <c r="B6044" s="2"/>
      <c r="N6044" s="27"/>
      <c r="R6044" s="15"/>
      <c r="X6044" s="3"/>
      <c r="Z6044" s="28"/>
    </row>
    <row r="6045" spans="2:26">
      <c r="B6045" s="2"/>
      <c r="N6045" s="27"/>
      <c r="R6045" s="15"/>
      <c r="X6045" s="3"/>
      <c r="Z6045" s="28"/>
    </row>
    <row r="6046" spans="2:26">
      <c r="B6046" s="2"/>
      <c r="N6046" s="27"/>
      <c r="R6046" s="15"/>
      <c r="X6046" s="3"/>
      <c r="Z6046" s="28"/>
    </row>
    <row r="6047" spans="2:26">
      <c r="B6047" s="2"/>
      <c r="N6047" s="27"/>
      <c r="R6047" s="15"/>
      <c r="X6047" s="3"/>
      <c r="Z6047" s="28"/>
    </row>
    <row r="6048" spans="2:26">
      <c r="B6048" s="2"/>
      <c r="N6048" s="27"/>
      <c r="R6048" s="15"/>
      <c r="X6048" s="3"/>
      <c r="Z6048" s="28"/>
    </row>
    <row r="6049" spans="2:26">
      <c r="B6049" s="2"/>
      <c r="N6049" s="27"/>
      <c r="R6049" s="15"/>
      <c r="X6049" s="3"/>
      <c r="Z6049" s="28"/>
    </row>
    <row r="6050" spans="2:26">
      <c r="B6050" s="2"/>
      <c r="N6050" s="27"/>
      <c r="R6050" s="15"/>
      <c r="X6050" s="3"/>
      <c r="Z6050" s="28"/>
    </row>
    <row r="6051" spans="2:26">
      <c r="B6051" s="2"/>
      <c r="N6051" s="27"/>
      <c r="R6051" s="15"/>
      <c r="X6051" s="3"/>
      <c r="Z6051" s="28"/>
    </row>
    <row r="6052" spans="2:26">
      <c r="B6052" s="2"/>
      <c r="N6052" s="27"/>
      <c r="R6052" s="15"/>
      <c r="X6052" s="3"/>
      <c r="Z6052" s="28"/>
    </row>
    <row r="6053" spans="2:26">
      <c r="B6053" s="2"/>
      <c r="N6053" s="27"/>
      <c r="R6053" s="15"/>
      <c r="X6053" s="3"/>
      <c r="Z6053" s="28"/>
    </row>
    <row r="6054" spans="2:26">
      <c r="B6054" s="2"/>
      <c r="N6054" s="27"/>
      <c r="R6054" s="15"/>
      <c r="X6054" s="3"/>
      <c r="Z6054" s="28"/>
    </row>
    <row r="6055" spans="2:26">
      <c r="B6055" s="2"/>
      <c r="N6055" s="27"/>
      <c r="R6055" s="15"/>
      <c r="X6055" s="3"/>
      <c r="Z6055" s="28"/>
    </row>
    <row r="6056" spans="2:26">
      <c r="B6056" s="2"/>
      <c r="N6056" s="27"/>
      <c r="R6056" s="15"/>
      <c r="X6056" s="3"/>
      <c r="Z6056" s="28"/>
    </row>
    <row r="6057" spans="2:26">
      <c r="B6057" s="2"/>
      <c r="N6057" s="27"/>
      <c r="R6057" s="15"/>
      <c r="X6057" s="3"/>
      <c r="Z6057" s="28"/>
    </row>
    <row r="6058" spans="2:26">
      <c r="B6058" s="2"/>
      <c r="N6058" s="27"/>
      <c r="R6058" s="15"/>
      <c r="X6058" s="3"/>
      <c r="Z6058" s="28"/>
    </row>
    <row r="6059" spans="2:26">
      <c r="B6059" s="2"/>
      <c r="N6059" s="27"/>
      <c r="R6059" s="15"/>
      <c r="X6059" s="3"/>
      <c r="Z6059" s="28"/>
    </row>
    <row r="6060" spans="2:26">
      <c r="B6060" s="2"/>
      <c r="N6060" s="27"/>
      <c r="R6060" s="15"/>
      <c r="X6060" s="3"/>
      <c r="Z6060" s="28"/>
    </row>
    <row r="6061" spans="2:26">
      <c r="B6061" s="2"/>
      <c r="N6061" s="27"/>
      <c r="R6061" s="15"/>
      <c r="X6061" s="3"/>
      <c r="Z6061" s="28"/>
    </row>
    <row r="6062" spans="2:26">
      <c r="B6062" s="2"/>
      <c r="N6062" s="27"/>
      <c r="R6062" s="15"/>
      <c r="X6062" s="3"/>
      <c r="Z6062" s="28"/>
    </row>
    <row r="6063" spans="2:26">
      <c r="B6063" s="2"/>
      <c r="N6063" s="27"/>
      <c r="R6063" s="15"/>
      <c r="X6063" s="3"/>
      <c r="Z6063" s="28"/>
    </row>
    <row r="6064" spans="2:26">
      <c r="B6064" s="2"/>
      <c r="N6064" s="27"/>
      <c r="R6064" s="15"/>
      <c r="X6064" s="3"/>
      <c r="Z6064" s="28"/>
    </row>
    <row r="6065" spans="2:26">
      <c r="B6065" s="2"/>
      <c r="N6065" s="27"/>
      <c r="R6065" s="15"/>
      <c r="X6065" s="3"/>
      <c r="Z6065" s="28"/>
    </row>
    <row r="6066" spans="2:26">
      <c r="B6066" s="2"/>
      <c r="N6066" s="27"/>
      <c r="R6066" s="15"/>
      <c r="X6066" s="3"/>
      <c r="Z6066" s="28"/>
    </row>
    <row r="6067" spans="2:26">
      <c r="B6067" s="2"/>
      <c r="N6067" s="27"/>
      <c r="R6067" s="15"/>
      <c r="X6067" s="3"/>
      <c r="Z6067" s="28"/>
    </row>
    <row r="6068" spans="2:26">
      <c r="B6068" s="2"/>
      <c r="N6068" s="27"/>
      <c r="R6068" s="15"/>
      <c r="X6068" s="3"/>
      <c r="Z6068" s="28"/>
    </row>
    <row r="6069" spans="2:26">
      <c r="B6069" s="2"/>
      <c r="N6069" s="27"/>
      <c r="R6069" s="15"/>
      <c r="X6069" s="3"/>
      <c r="Z6069" s="28"/>
    </row>
    <row r="6070" spans="2:26">
      <c r="B6070" s="2"/>
      <c r="N6070" s="27"/>
      <c r="R6070" s="15"/>
      <c r="X6070" s="3"/>
      <c r="Z6070" s="28"/>
    </row>
    <row r="6071" spans="2:26">
      <c r="B6071" s="2"/>
      <c r="N6071" s="27"/>
      <c r="R6071" s="15"/>
      <c r="X6071" s="3"/>
      <c r="Z6071" s="28"/>
    </row>
    <row r="6072" spans="2:26">
      <c r="B6072" s="2"/>
      <c r="N6072" s="27"/>
      <c r="R6072" s="15"/>
      <c r="X6072" s="3"/>
      <c r="Z6072" s="28"/>
    </row>
    <row r="6073" spans="2:26">
      <c r="B6073" s="2"/>
      <c r="N6073" s="27"/>
      <c r="R6073" s="15"/>
      <c r="X6073" s="3"/>
      <c r="Z6073" s="28"/>
    </row>
    <row r="6074" spans="2:26">
      <c r="B6074" s="2"/>
      <c r="N6074" s="27"/>
      <c r="R6074" s="15"/>
      <c r="X6074" s="3"/>
      <c r="Z6074" s="28"/>
    </row>
    <row r="6075" spans="2:26">
      <c r="B6075" s="2"/>
      <c r="N6075" s="27"/>
      <c r="R6075" s="15"/>
      <c r="X6075" s="3"/>
      <c r="Z6075" s="28"/>
    </row>
    <row r="6076" spans="2:26">
      <c r="B6076" s="2"/>
      <c r="N6076" s="27"/>
      <c r="R6076" s="15"/>
      <c r="X6076" s="3"/>
      <c r="Z6076" s="28"/>
    </row>
    <row r="6077" spans="2:26">
      <c r="B6077" s="2"/>
      <c r="N6077" s="27"/>
      <c r="R6077" s="15"/>
      <c r="X6077" s="3"/>
      <c r="Z6077" s="28"/>
    </row>
    <row r="6078" spans="2:26">
      <c r="B6078" s="2"/>
      <c r="N6078" s="27"/>
      <c r="R6078" s="15"/>
      <c r="X6078" s="3"/>
      <c r="Z6078" s="28"/>
    </row>
    <row r="6079" spans="2:26">
      <c r="B6079" s="2"/>
      <c r="N6079" s="27"/>
      <c r="R6079" s="15"/>
      <c r="X6079" s="3"/>
      <c r="Z6079" s="28"/>
    </row>
    <row r="6080" spans="2:26">
      <c r="B6080" s="2"/>
      <c r="N6080" s="27"/>
      <c r="R6080" s="15"/>
      <c r="X6080" s="3"/>
      <c r="Z6080" s="28"/>
    </row>
    <row r="6081" spans="2:26">
      <c r="B6081" s="2"/>
      <c r="N6081" s="27"/>
      <c r="R6081" s="15"/>
      <c r="X6081" s="3"/>
      <c r="Z6081" s="28"/>
    </row>
    <row r="6082" spans="2:26">
      <c r="B6082" s="2"/>
      <c r="N6082" s="27"/>
      <c r="R6082" s="15"/>
      <c r="X6082" s="3"/>
      <c r="Z6082" s="28"/>
    </row>
    <row r="6083" spans="2:26">
      <c r="B6083" s="2"/>
      <c r="N6083" s="27"/>
      <c r="R6083" s="15"/>
      <c r="X6083" s="3"/>
      <c r="Z6083" s="28"/>
    </row>
    <row r="6084" spans="2:26">
      <c r="B6084" s="2"/>
      <c r="N6084" s="27"/>
      <c r="R6084" s="15"/>
      <c r="X6084" s="3"/>
      <c r="Z6084" s="28"/>
    </row>
    <row r="6085" spans="2:26">
      <c r="B6085" s="2"/>
      <c r="N6085" s="27"/>
      <c r="R6085" s="15"/>
      <c r="X6085" s="3"/>
      <c r="Z6085" s="28"/>
    </row>
    <row r="6086" spans="2:26">
      <c r="B6086" s="2"/>
      <c r="N6086" s="27"/>
      <c r="R6086" s="15"/>
      <c r="X6086" s="3"/>
      <c r="Z6086" s="28"/>
    </row>
    <row r="6087" spans="2:26">
      <c r="B6087" s="2"/>
      <c r="N6087" s="27"/>
      <c r="R6087" s="15"/>
      <c r="X6087" s="3"/>
      <c r="Z6087" s="28"/>
    </row>
    <row r="6088" spans="2:26">
      <c r="B6088" s="2"/>
      <c r="N6088" s="27"/>
      <c r="R6088" s="15"/>
      <c r="X6088" s="3"/>
      <c r="Z6088" s="28"/>
    </row>
    <row r="6089" spans="2:26">
      <c r="B6089" s="2"/>
      <c r="N6089" s="27"/>
      <c r="R6089" s="15"/>
      <c r="X6089" s="3"/>
      <c r="Z6089" s="28"/>
    </row>
    <row r="6090" spans="2:26">
      <c r="B6090" s="2"/>
      <c r="N6090" s="27"/>
      <c r="R6090" s="15"/>
      <c r="X6090" s="3"/>
      <c r="Z6090" s="28"/>
    </row>
    <row r="6091" spans="2:26">
      <c r="B6091" s="2"/>
      <c r="N6091" s="27"/>
      <c r="R6091" s="15"/>
      <c r="X6091" s="3"/>
      <c r="Z6091" s="28"/>
    </row>
    <row r="6092" spans="2:26">
      <c r="B6092" s="2"/>
      <c r="N6092" s="27"/>
      <c r="R6092" s="15"/>
      <c r="X6092" s="3"/>
      <c r="Z6092" s="28"/>
    </row>
    <row r="6093" spans="2:26">
      <c r="B6093" s="2"/>
      <c r="N6093" s="27"/>
      <c r="R6093" s="15"/>
      <c r="X6093" s="3"/>
      <c r="Z6093" s="28"/>
    </row>
    <row r="6094" spans="2:26">
      <c r="B6094" s="2"/>
      <c r="N6094" s="27"/>
      <c r="R6094" s="15"/>
      <c r="X6094" s="3"/>
      <c r="Z6094" s="28"/>
    </row>
    <row r="6095" spans="2:26">
      <c r="B6095" s="2"/>
      <c r="N6095" s="27"/>
      <c r="R6095" s="15"/>
      <c r="X6095" s="3"/>
      <c r="Z6095" s="28"/>
    </row>
    <row r="6096" spans="2:26">
      <c r="B6096" s="2"/>
      <c r="N6096" s="27"/>
      <c r="R6096" s="15"/>
      <c r="X6096" s="3"/>
      <c r="Z6096" s="28"/>
    </row>
    <row r="6097" spans="2:26">
      <c r="B6097" s="2"/>
      <c r="N6097" s="27"/>
      <c r="R6097" s="15"/>
      <c r="X6097" s="3"/>
      <c r="Z6097" s="28"/>
    </row>
    <row r="6098" spans="2:26">
      <c r="B6098" s="2"/>
      <c r="N6098" s="27"/>
      <c r="R6098" s="15"/>
      <c r="X6098" s="3"/>
      <c r="Z6098" s="28"/>
    </row>
    <row r="6099" spans="2:26">
      <c r="B6099" s="2"/>
      <c r="N6099" s="27"/>
      <c r="R6099" s="15"/>
      <c r="X6099" s="3"/>
      <c r="Z6099" s="28"/>
    </row>
    <row r="6100" spans="2:26">
      <c r="B6100" s="2"/>
      <c r="N6100" s="27"/>
      <c r="R6100" s="15"/>
      <c r="X6100" s="3"/>
      <c r="Z6100" s="28"/>
    </row>
    <row r="6101" spans="2:26">
      <c r="B6101" s="2"/>
      <c r="N6101" s="27"/>
      <c r="R6101" s="15"/>
      <c r="X6101" s="3"/>
      <c r="Z6101" s="28"/>
    </row>
    <row r="6102" spans="2:26">
      <c r="B6102" s="2"/>
      <c r="N6102" s="27"/>
      <c r="R6102" s="15"/>
      <c r="X6102" s="3"/>
      <c r="Z6102" s="28"/>
    </row>
    <row r="6103" spans="2:26">
      <c r="B6103" s="2"/>
      <c r="N6103" s="27"/>
      <c r="R6103" s="15"/>
      <c r="X6103" s="3"/>
      <c r="Z6103" s="28"/>
    </row>
    <row r="6104" spans="2:26">
      <c r="B6104" s="2"/>
      <c r="N6104" s="27"/>
      <c r="R6104" s="15"/>
      <c r="X6104" s="3"/>
      <c r="Z6104" s="28"/>
    </row>
    <row r="6105" spans="2:26">
      <c r="B6105" s="2"/>
      <c r="N6105" s="27"/>
      <c r="R6105" s="15"/>
      <c r="X6105" s="3"/>
      <c r="Z6105" s="28"/>
    </row>
    <row r="6106" spans="2:26">
      <c r="B6106" s="2"/>
      <c r="N6106" s="27"/>
      <c r="R6106" s="15"/>
      <c r="X6106" s="3"/>
      <c r="Z6106" s="28"/>
    </row>
    <row r="6107" spans="2:26">
      <c r="B6107" s="2"/>
      <c r="N6107" s="27"/>
      <c r="R6107" s="15"/>
      <c r="X6107" s="3"/>
      <c r="Z6107" s="28"/>
    </row>
    <row r="6108" spans="2:26">
      <c r="B6108" s="2"/>
      <c r="N6108" s="27"/>
      <c r="R6108" s="15"/>
      <c r="X6108" s="3"/>
      <c r="Z6108" s="28"/>
    </row>
    <row r="6109" spans="2:26">
      <c r="B6109" s="2"/>
      <c r="N6109" s="27"/>
      <c r="R6109" s="15"/>
      <c r="X6109" s="3"/>
      <c r="Z6109" s="28"/>
    </row>
    <row r="6110" spans="2:26">
      <c r="B6110" s="2"/>
      <c r="N6110" s="27"/>
      <c r="R6110" s="15"/>
      <c r="X6110" s="3"/>
      <c r="Z6110" s="28"/>
    </row>
    <row r="6111" spans="2:26">
      <c r="B6111" s="2"/>
      <c r="N6111" s="27"/>
      <c r="R6111" s="15"/>
      <c r="X6111" s="3"/>
      <c r="Z6111" s="28"/>
    </row>
    <row r="6112" spans="2:26">
      <c r="B6112" s="2"/>
      <c r="N6112" s="27"/>
      <c r="R6112" s="15"/>
      <c r="X6112" s="3"/>
      <c r="Z6112" s="28"/>
    </row>
    <row r="6113" spans="2:26">
      <c r="B6113" s="2"/>
      <c r="N6113" s="27"/>
      <c r="R6113" s="15"/>
      <c r="X6113" s="3"/>
      <c r="Z6113" s="28"/>
    </row>
    <row r="6114" spans="2:26">
      <c r="B6114" s="2"/>
      <c r="N6114" s="27"/>
      <c r="R6114" s="15"/>
      <c r="X6114" s="3"/>
      <c r="Z6114" s="28"/>
    </row>
    <row r="6115" spans="2:26">
      <c r="B6115" s="2"/>
      <c r="N6115" s="27"/>
      <c r="R6115" s="15"/>
      <c r="X6115" s="3"/>
      <c r="Z6115" s="28"/>
    </row>
    <row r="6116" spans="2:26">
      <c r="B6116" s="2"/>
      <c r="N6116" s="27"/>
      <c r="R6116" s="15"/>
      <c r="X6116" s="3"/>
      <c r="Z6116" s="28"/>
    </row>
    <row r="6117" spans="2:26">
      <c r="B6117" s="2"/>
      <c r="N6117" s="27"/>
      <c r="R6117" s="15"/>
      <c r="X6117" s="3"/>
      <c r="Z6117" s="28"/>
    </row>
    <row r="6118" spans="2:26">
      <c r="B6118" s="2"/>
      <c r="N6118" s="27"/>
      <c r="R6118" s="15"/>
      <c r="X6118" s="3"/>
      <c r="Z6118" s="28"/>
    </row>
    <row r="6119" spans="2:26">
      <c r="B6119" s="2"/>
      <c r="N6119" s="27"/>
      <c r="R6119" s="15"/>
      <c r="X6119" s="3"/>
      <c r="Z6119" s="28"/>
    </row>
    <row r="6120" spans="2:26">
      <c r="B6120" s="2"/>
      <c r="N6120" s="27"/>
      <c r="R6120" s="15"/>
      <c r="X6120" s="3"/>
      <c r="Z6120" s="28"/>
    </row>
    <row r="6121" spans="2:26">
      <c r="B6121" s="2"/>
      <c r="N6121" s="27"/>
      <c r="R6121" s="15"/>
      <c r="X6121" s="3"/>
      <c r="Z6121" s="28"/>
    </row>
    <row r="6122" spans="2:26">
      <c r="B6122" s="2"/>
      <c r="N6122" s="27"/>
      <c r="R6122" s="15"/>
      <c r="X6122" s="3"/>
      <c r="Z6122" s="28"/>
    </row>
    <row r="6123" spans="2:26">
      <c r="B6123" s="2"/>
      <c r="N6123" s="27"/>
      <c r="R6123" s="15"/>
      <c r="X6123" s="3"/>
      <c r="Z6123" s="28"/>
    </row>
    <row r="6124" spans="2:26">
      <c r="B6124" s="2"/>
      <c r="N6124" s="27"/>
      <c r="R6124" s="15"/>
      <c r="X6124" s="3"/>
      <c r="Z6124" s="28"/>
    </row>
    <row r="6125" spans="2:26">
      <c r="B6125" s="2"/>
      <c r="N6125" s="27"/>
      <c r="R6125" s="15"/>
      <c r="X6125" s="3"/>
      <c r="Z6125" s="28"/>
    </row>
    <row r="6126" spans="2:26">
      <c r="B6126" s="2"/>
      <c r="N6126" s="27"/>
      <c r="R6126" s="15"/>
      <c r="X6126" s="3"/>
      <c r="Z6126" s="28"/>
    </row>
    <row r="6127" spans="2:26">
      <c r="B6127" s="2"/>
      <c r="N6127" s="27"/>
      <c r="R6127" s="15"/>
      <c r="X6127" s="3"/>
      <c r="Z6127" s="28"/>
    </row>
    <row r="6128" spans="2:26">
      <c r="B6128" s="2"/>
      <c r="N6128" s="27"/>
      <c r="R6128" s="15"/>
      <c r="X6128" s="3"/>
      <c r="Z6128" s="28"/>
    </row>
    <row r="6129" spans="2:26">
      <c r="B6129" s="2"/>
      <c r="N6129" s="27"/>
      <c r="R6129" s="15"/>
      <c r="X6129" s="3"/>
      <c r="Z6129" s="28"/>
    </row>
    <row r="6130" spans="2:26">
      <c r="B6130" s="2"/>
      <c r="N6130" s="27"/>
      <c r="R6130" s="15"/>
      <c r="X6130" s="3"/>
      <c r="Z6130" s="28"/>
    </row>
    <row r="6131" spans="2:26">
      <c r="B6131" s="2"/>
      <c r="N6131" s="27"/>
      <c r="R6131" s="15"/>
      <c r="X6131" s="3"/>
      <c r="Z6131" s="28"/>
    </row>
    <row r="6132" spans="2:26">
      <c r="B6132" s="2"/>
      <c r="N6132" s="27"/>
      <c r="R6132" s="15"/>
      <c r="X6132" s="3"/>
      <c r="Z6132" s="28"/>
    </row>
    <row r="6133" spans="2:26">
      <c r="B6133" s="2"/>
      <c r="N6133" s="27"/>
      <c r="R6133" s="15"/>
      <c r="X6133" s="3"/>
      <c r="Z6133" s="28"/>
    </row>
    <row r="6134" spans="2:26">
      <c r="B6134" s="2"/>
      <c r="N6134" s="27"/>
      <c r="R6134" s="15"/>
      <c r="X6134" s="3"/>
      <c r="Z6134" s="28"/>
    </row>
    <row r="6135" spans="2:26">
      <c r="B6135" s="2"/>
      <c r="N6135" s="27"/>
      <c r="R6135" s="15"/>
      <c r="X6135" s="3"/>
      <c r="Z6135" s="28"/>
    </row>
    <row r="6136" spans="2:26">
      <c r="B6136" s="2"/>
      <c r="N6136" s="27"/>
      <c r="R6136" s="15"/>
      <c r="X6136" s="3"/>
      <c r="Z6136" s="28"/>
    </row>
    <row r="6137" spans="2:26">
      <c r="B6137" s="2"/>
      <c r="N6137" s="27"/>
      <c r="R6137" s="15"/>
      <c r="X6137" s="3"/>
      <c r="Z6137" s="28"/>
    </row>
    <row r="6138" spans="2:26">
      <c r="B6138" s="2"/>
      <c r="N6138" s="27"/>
      <c r="R6138" s="15"/>
      <c r="X6138" s="3"/>
      <c r="Z6138" s="28"/>
    </row>
    <row r="6139" spans="2:26">
      <c r="B6139" s="2"/>
      <c r="N6139" s="27"/>
      <c r="R6139" s="15"/>
      <c r="X6139" s="3"/>
      <c r="Z6139" s="28"/>
    </row>
    <row r="6140" spans="2:26">
      <c r="B6140" s="2"/>
      <c r="N6140" s="27"/>
      <c r="R6140" s="15"/>
      <c r="X6140" s="3"/>
      <c r="Z6140" s="28"/>
    </row>
    <row r="6141" spans="2:26">
      <c r="B6141" s="2"/>
      <c r="N6141" s="27"/>
      <c r="R6141" s="15"/>
      <c r="X6141" s="3"/>
      <c r="Z6141" s="28"/>
    </row>
    <row r="6142" spans="2:26">
      <c r="B6142" s="2"/>
      <c r="N6142" s="27"/>
      <c r="R6142" s="15"/>
      <c r="X6142" s="3"/>
      <c r="Z6142" s="28"/>
    </row>
    <row r="6143" spans="2:26">
      <c r="B6143" s="2"/>
      <c r="N6143" s="27"/>
      <c r="R6143" s="15"/>
      <c r="X6143" s="3"/>
      <c r="Z6143" s="28"/>
    </row>
    <row r="6144" spans="2:26">
      <c r="B6144" s="2"/>
      <c r="N6144" s="27"/>
      <c r="R6144" s="15"/>
      <c r="X6144" s="3"/>
      <c r="Z6144" s="28"/>
    </row>
    <row r="6145" spans="2:26">
      <c r="B6145" s="2"/>
      <c r="N6145" s="27"/>
      <c r="R6145" s="15"/>
      <c r="X6145" s="3"/>
      <c r="Z6145" s="28"/>
    </row>
    <row r="6146" spans="2:26">
      <c r="B6146" s="2"/>
      <c r="N6146" s="27"/>
      <c r="R6146" s="15"/>
      <c r="X6146" s="3"/>
      <c r="Z6146" s="28"/>
    </row>
    <row r="6147" spans="2:26">
      <c r="B6147" s="2"/>
      <c r="N6147" s="27"/>
      <c r="R6147" s="15"/>
      <c r="X6147" s="3"/>
      <c r="Z6147" s="28"/>
    </row>
    <row r="6148" spans="2:26">
      <c r="B6148" s="2"/>
      <c r="N6148" s="27"/>
      <c r="R6148" s="15"/>
      <c r="X6148" s="3"/>
      <c r="Z6148" s="28"/>
    </row>
    <row r="6149" spans="2:26">
      <c r="B6149" s="2"/>
      <c r="N6149" s="27"/>
      <c r="R6149" s="15"/>
      <c r="X6149" s="3"/>
      <c r="Z6149" s="28"/>
    </row>
    <row r="6150" spans="2:26">
      <c r="B6150" s="2"/>
      <c r="N6150" s="27"/>
      <c r="R6150" s="15"/>
      <c r="X6150" s="3"/>
      <c r="Z6150" s="28"/>
    </row>
    <row r="6151" spans="2:26">
      <c r="B6151" s="2"/>
      <c r="N6151" s="27"/>
      <c r="R6151" s="15"/>
      <c r="X6151" s="3"/>
      <c r="Z6151" s="28"/>
    </row>
    <row r="6152" spans="2:26">
      <c r="B6152" s="2"/>
      <c r="N6152" s="27"/>
      <c r="R6152" s="15"/>
      <c r="X6152" s="3"/>
      <c r="Z6152" s="28"/>
    </row>
    <row r="6153" spans="2:26">
      <c r="B6153" s="2"/>
      <c r="N6153" s="27"/>
      <c r="R6153" s="15"/>
      <c r="X6153" s="3"/>
      <c r="Z6153" s="28"/>
    </row>
    <row r="6154" spans="2:26">
      <c r="B6154" s="2"/>
      <c r="N6154" s="27"/>
      <c r="R6154" s="15"/>
      <c r="X6154" s="3"/>
      <c r="Z6154" s="28"/>
    </row>
    <row r="6155" spans="2:26">
      <c r="B6155" s="2"/>
      <c r="N6155" s="27"/>
      <c r="R6155" s="15"/>
      <c r="X6155" s="3"/>
      <c r="Z6155" s="28"/>
    </row>
    <row r="6156" spans="2:26">
      <c r="B6156" s="2"/>
      <c r="N6156" s="27"/>
      <c r="R6156" s="15"/>
      <c r="X6156" s="3"/>
      <c r="Z6156" s="28"/>
    </row>
    <row r="6157" spans="2:26">
      <c r="B6157" s="2"/>
      <c r="N6157" s="27"/>
      <c r="R6157" s="15"/>
      <c r="X6157" s="3"/>
      <c r="Z6157" s="28"/>
    </row>
    <row r="6158" spans="2:26">
      <c r="B6158" s="2"/>
      <c r="N6158" s="27"/>
      <c r="R6158" s="15"/>
      <c r="X6158" s="3"/>
      <c r="Z6158" s="28"/>
    </row>
    <row r="6159" spans="2:26">
      <c r="B6159" s="2"/>
      <c r="N6159" s="27"/>
      <c r="R6159" s="15"/>
      <c r="X6159" s="3"/>
      <c r="Z6159" s="28"/>
    </row>
    <row r="6160" spans="2:26">
      <c r="B6160" s="2"/>
      <c r="N6160" s="27"/>
      <c r="R6160" s="15"/>
      <c r="X6160" s="3"/>
      <c r="Z6160" s="28"/>
    </row>
    <row r="6161" spans="2:26">
      <c r="B6161" s="2"/>
      <c r="N6161" s="27"/>
      <c r="R6161" s="15"/>
      <c r="X6161" s="3"/>
      <c r="Z6161" s="28"/>
    </row>
    <row r="6162" spans="2:26">
      <c r="B6162" s="2"/>
      <c r="N6162" s="27"/>
      <c r="R6162" s="15"/>
      <c r="X6162" s="3"/>
      <c r="Z6162" s="28"/>
    </row>
    <row r="6163" spans="2:26">
      <c r="B6163" s="2"/>
      <c r="N6163" s="27"/>
      <c r="R6163" s="15"/>
      <c r="X6163" s="3"/>
      <c r="Z6163" s="28"/>
    </row>
    <row r="6164" spans="2:26">
      <c r="B6164" s="2"/>
      <c r="N6164" s="27"/>
      <c r="R6164" s="15"/>
      <c r="X6164" s="3"/>
      <c r="Z6164" s="28"/>
    </row>
    <row r="6165" spans="2:26">
      <c r="B6165" s="2"/>
      <c r="N6165" s="27"/>
      <c r="R6165" s="15"/>
      <c r="X6165" s="3"/>
      <c r="Z6165" s="28"/>
    </row>
    <row r="6166" spans="2:26">
      <c r="B6166" s="2"/>
      <c r="N6166" s="27"/>
      <c r="R6166" s="15"/>
      <c r="X6166" s="3"/>
      <c r="Z6166" s="28"/>
    </row>
    <row r="6167" spans="2:26">
      <c r="B6167" s="2"/>
      <c r="N6167" s="27"/>
      <c r="R6167" s="15"/>
      <c r="X6167" s="3"/>
      <c r="Z6167" s="28"/>
    </row>
    <row r="6168" spans="2:26">
      <c r="B6168" s="2"/>
      <c r="N6168" s="27"/>
      <c r="R6168" s="15"/>
      <c r="X6168" s="3"/>
      <c r="Z6168" s="28"/>
    </row>
    <row r="6169" spans="2:26">
      <c r="B6169" s="2"/>
      <c r="N6169" s="27"/>
      <c r="R6169" s="15"/>
      <c r="X6169" s="3"/>
      <c r="Z6169" s="28"/>
    </row>
    <row r="6170" spans="2:26">
      <c r="B6170" s="2"/>
      <c r="N6170" s="27"/>
      <c r="R6170" s="15"/>
      <c r="X6170" s="3"/>
      <c r="Z6170" s="28"/>
    </row>
    <row r="6171" spans="2:26">
      <c r="B6171" s="2"/>
      <c r="N6171" s="27"/>
      <c r="R6171" s="15"/>
      <c r="X6171" s="3"/>
      <c r="Z6171" s="28"/>
    </row>
    <row r="6172" spans="2:26">
      <c r="B6172" s="2"/>
      <c r="N6172" s="27"/>
      <c r="R6172" s="15"/>
      <c r="X6172" s="3"/>
      <c r="Z6172" s="28"/>
    </row>
    <row r="6173" spans="2:26">
      <c r="B6173" s="2"/>
      <c r="N6173" s="27"/>
      <c r="R6173" s="15"/>
      <c r="X6173" s="3"/>
      <c r="Z6173" s="28"/>
    </row>
    <row r="6174" spans="2:26">
      <c r="B6174" s="2"/>
      <c r="N6174" s="27"/>
      <c r="R6174" s="15"/>
      <c r="X6174" s="3"/>
      <c r="Z6174" s="28"/>
    </row>
    <row r="6175" spans="2:26">
      <c r="B6175" s="2"/>
      <c r="N6175" s="27"/>
      <c r="R6175" s="15"/>
      <c r="X6175" s="3"/>
      <c r="Z6175" s="28"/>
    </row>
    <row r="6176" spans="2:26">
      <c r="B6176" s="2"/>
      <c r="N6176" s="27"/>
      <c r="R6176" s="15"/>
      <c r="X6176" s="3"/>
      <c r="Z6176" s="28"/>
    </row>
    <row r="6177" spans="2:26">
      <c r="B6177" s="2"/>
      <c r="N6177" s="27"/>
      <c r="R6177" s="15"/>
      <c r="X6177" s="3"/>
      <c r="Z6177" s="28"/>
    </row>
    <row r="6178" spans="2:26">
      <c r="B6178" s="2"/>
      <c r="N6178" s="27"/>
      <c r="R6178" s="15"/>
      <c r="X6178" s="3"/>
      <c r="Z6178" s="28"/>
    </row>
    <row r="6179" spans="2:26">
      <c r="B6179" s="2"/>
      <c r="N6179" s="27"/>
      <c r="R6179" s="15"/>
      <c r="X6179" s="3"/>
      <c r="Z6179" s="28"/>
    </row>
    <row r="6180" spans="2:26">
      <c r="B6180" s="2"/>
      <c r="N6180" s="27"/>
      <c r="R6180" s="15"/>
      <c r="X6180" s="3"/>
      <c r="Z6180" s="28"/>
    </row>
    <row r="6181" spans="2:26">
      <c r="B6181" s="2"/>
      <c r="N6181" s="27"/>
      <c r="R6181" s="15"/>
      <c r="X6181" s="3"/>
      <c r="Z6181" s="28"/>
    </row>
    <row r="6182" spans="2:26">
      <c r="B6182" s="2"/>
      <c r="N6182" s="27"/>
      <c r="R6182" s="15"/>
      <c r="X6182" s="3"/>
      <c r="Z6182" s="28"/>
    </row>
    <row r="6183" spans="2:26">
      <c r="B6183" s="2"/>
      <c r="N6183" s="27"/>
      <c r="R6183" s="15"/>
      <c r="X6183" s="3"/>
      <c r="Z6183" s="28"/>
    </row>
    <row r="6184" spans="2:26">
      <c r="B6184" s="2"/>
      <c r="N6184" s="27"/>
      <c r="R6184" s="15"/>
      <c r="X6184" s="3"/>
      <c r="Z6184" s="28"/>
    </row>
    <row r="6185" spans="2:26">
      <c r="B6185" s="2"/>
      <c r="N6185" s="27"/>
      <c r="R6185" s="15"/>
      <c r="X6185" s="3"/>
      <c r="Z6185" s="28"/>
    </row>
    <row r="6186" spans="2:26">
      <c r="B6186" s="2"/>
      <c r="N6186" s="27"/>
      <c r="R6186" s="15"/>
      <c r="X6186" s="3"/>
      <c r="Z6186" s="28"/>
    </row>
    <row r="6187" spans="2:26">
      <c r="B6187" s="2"/>
      <c r="N6187" s="27"/>
      <c r="R6187" s="15"/>
      <c r="X6187" s="3"/>
      <c r="Z6187" s="28"/>
    </row>
    <row r="6188" spans="2:26">
      <c r="B6188" s="2"/>
      <c r="N6188" s="27"/>
      <c r="R6188" s="15"/>
      <c r="X6188" s="3"/>
      <c r="Z6188" s="28"/>
    </row>
    <row r="6189" spans="2:26">
      <c r="B6189" s="2"/>
      <c r="N6189" s="27"/>
      <c r="R6189" s="15"/>
      <c r="X6189" s="3"/>
      <c r="Z6189" s="28"/>
    </row>
    <row r="6190" spans="2:26">
      <c r="B6190" s="2"/>
      <c r="N6190" s="27"/>
      <c r="R6190" s="15"/>
      <c r="X6190" s="3"/>
      <c r="Z6190" s="28"/>
    </row>
    <row r="6191" spans="2:26">
      <c r="B6191" s="2"/>
      <c r="N6191" s="27"/>
      <c r="R6191" s="15"/>
      <c r="X6191" s="3"/>
      <c r="Z6191" s="28"/>
    </row>
    <row r="6192" spans="2:26">
      <c r="B6192" s="2"/>
      <c r="N6192" s="27"/>
      <c r="R6192" s="15"/>
      <c r="X6192" s="3"/>
      <c r="Z6192" s="28"/>
    </row>
    <row r="6193" spans="2:26">
      <c r="B6193" s="2"/>
      <c r="N6193" s="27"/>
      <c r="R6193" s="15"/>
      <c r="X6193" s="3"/>
      <c r="Z6193" s="28"/>
    </row>
    <row r="6194" spans="2:26">
      <c r="B6194" s="2"/>
      <c r="N6194" s="27"/>
      <c r="R6194" s="15"/>
      <c r="X6194" s="3"/>
      <c r="Z6194" s="28"/>
    </row>
    <row r="6195" spans="2:26">
      <c r="B6195" s="2"/>
      <c r="N6195" s="27"/>
      <c r="R6195" s="15"/>
      <c r="X6195" s="3"/>
      <c r="Z6195" s="28"/>
    </row>
    <row r="6196" spans="2:26">
      <c r="B6196" s="2"/>
      <c r="N6196" s="27"/>
      <c r="R6196" s="15"/>
      <c r="X6196" s="3"/>
      <c r="Z6196" s="28"/>
    </row>
    <row r="6197" spans="2:26">
      <c r="B6197" s="2"/>
      <c r="N6197" s="27"/>
      <c r="R6197" s="15"/>
      <c r="X6197" s="3"/>
      <c r="Z6197" s="28"/>
    </row>
    <row r="6198" spans="2:26">
      <c r="B6198" s="2"/>
      <c r="N6198" s="27"/>
      <c r="R6198" s="15"/>
      <c r="X6198" s="3"/>
      <c r="Z6198" s="28"/>
    </row>
    <row r="6199" spans="2:26">
      <c r="B6199" s="2"/>
      <c r="N6199" s="27"/>
      <c r="R6199" s="15"/>
      <c r="X6199" s="3"/>
      <c r="Z6199" s="28"/>
    </row>
    <row r="6200" spans="2:26">
      <c r="B6200" s="2"/>
      <c r="N6200" s="27"/>
      <c r="R6200" s="15"/>
      <c r="X6200" s="3"/>
      <c r="Z6200" s="28"/>
    </row>
    <row r="6201" spans="2:26">
      <c r="B6201" s="2"/>
      <c r="N6201" s="27"/>
      <c r="R6201" s="15"/>
      <c r="X6201" s="3"/>
      <c r="Z6201" s="28"/>
    </row>
    <row r="6202" spans="2:26">
      <c r="B6202" s="2"/>
      <c r="N6202" s="27"/>
      <c r="R6202" s="15"/>
      <c r="X6202" s="3"/>
      <c r="Z6202" s="28"/>
    </row>
    <row r="6203" spans="2:26">
      <c r="B6203" s="2"/>
      <c r="N6203" s="27"/>
      <c r="R6203" s="15"/>
      <c r="X6203" s="3"/>
      <c r="Z6203" s="28"/>
    </row>
    <row r="6204" spans="2:26">
      <c r="B6204" s="2"/>
      <c r="N6204" s="27"/>
      <c r="R6204" s="15"/>
      <c r="X6204" s="3"/>
      <c r="Z6204" s="28"/>
    </row>
    <row r="6205" spans="2:26">
      <c r="B6205" s="2"/>
      <c r="N6205" s="27"/>
      <c r="R6205" s="15"/>
      <c r="X6205" s="3"/>
      <c r="Z6205" s="28"/>
    </row>
    <row r="6206" spans="2:26">
      <c r="B6206" s="2"/>
      <c r="N6206" s="27"/>
      <c r="R6206" s="15"/>
      <c r="X6206" s="3"/>
      <c r="Z6206" s="28"/>
    </row>
    <row r="6207" spans="2:26">
      <c r="B6207" s="2"/>
      <c r="N6207" s="27"/>
      <c r="R6207" s="15"/>
      <c r="X6207" s="3"/>
      <c r="Z6207" s="28"/>
    </row>
    <row r="6208" spans="2:26">
      <c r="B6208" s="2"/>
      <c r="N6208" s="27"/>
      <c r="R6208" s="15"/>
      <c r="X6208" s="3"/>
      <c r="Z6208" s="28"/>
    </row>
    <row r="6209" spans="2:26">
      <c r="B6209" s="2"/>
      <c r="N6209" s="27"/>
      <c r="R6209" s="15"/>
      <c r="X6209" s="3"/>
      <c r="Z6209" s="28"/>
    </row>
    <row r="6210" spans="2:26">
      <c r="B6210" s="2"/>
      <c r="N6210" s="27"/>
      <c r="R6210" s="15"/>
      <c r="X6210" s="3"/>
      <c r="Z6210" s="28"/>
    </row>
    <row r="6211" spans="2:26">
      <c r="B6211" s="2"/>
      <c r="N6211" s="27"/>
      <c r="R6211" s="15"/>
      <c r="X6211" s="3"/>
      <c r="Z6211" s="28"/>
    </row>
    <row r="6212" spans="2:26">
      <c r="B6212" s="2"/>
      <c r="N6212" s="27"/>
      <c r="R6212" s="15"/>
      <c r="X6212" s="3"/>
      <c r="Z6212" s="28"/>
    </row>
    <row r="6213" spans="2:26">
      <c r="B6213" s="2"/>
      <c r="N6213" s="27"/>
      <c r="R6213" s="15"/>
      <c r="X6213" s="3"/>
      <c r="Z6213" s="28"/>
    </row>
    <row r="6214" spans="2:26">
      <c r="B6214" s="2"/>
      <c r="N6214" s="27"/>
      <c r="R6214" s="15"/>
      <c r="X6214" s="3"/>
      <c r="Z6214" s="28"/>
    </row>
    <row r="6215" spans="2:26">
      <c r="B6215" s="2"/>
      <c r="N6215" s="27"/>
      <c r="R6215" s="15"/>
      <c r="X6215" s="3"/>
      <c r="Z6215" s="28"/>
    </row>
    <row r="6216" spans="2:26">
      <c r="B6216" s="2"/>
      <c r="N6216" s="27"/>
      <c r="R6216" s="15"/>
      <c r="X6216" s="3"/>
      <c r="Z6216" s="28"/>
    </row>
    <row r="6217" spans="2:26">
      <c r="B6217" s="2"/>
      <c r="N6217" s="27"/>
      <c r="R6217" s="15"/>
      <c r="X6217" s="3"/>
      <c r="Z6217" s="28"/>
    </row>
    <row r="6218" spans="2:26">
      <c r="B6218" s="2"/>
      <c r="N6218" s="27"/>
      <c r="R6218" s="15"/>
      <c r="X6218" s="3"/>
      <c r="Z6218" s="28"/>
    </row>
    <row r="6219" spans="2:26">
      <c r="B6219" s="2"/>
      <c r="N6219" s="27"/>
      <c r="R6219" s="15"/>
      <c r="X6219" s="3"/>
      <c r="Z6219" s="28"/>
    </row>
    <row r="6220" spans="2:26">
      <c r="B6220" s="2"/>
      <c r="N6220" s="27"/>
      <c r="R6220" s="15"/>
      <c r="X6220" s="3"/>
      <c r="Z6220" s="28"/>
    </row>
    <row r="6221" spans="2:26">
      <c r="B6221" s="2"/>
      <c r="N6221" s="27"/>
      <c r="R6221" s="15"/>
      <c r="X6221" s="3"/>
      <c r="Z6221" s="28"/>
    </row>
    <row r="6222" spans="2:26">
      <c r="B6222" s="2"/>
      <c r="N6222" s="27"/>
      <c r="R6222" s="15"/>
      <c r="X6222" s="3"/>
      <c r="Z6222" s="28"/>
    </row>
    <row r="6223" spans="2:26">
      <c r="B6223" s="2"/>
      <c r="N6223" s="27"/>
      <c r="R6223" s="15"/>
      <c r="X6223" s="3"/>
      <c r="Z6223" s="28"/>
    </row>
    <row r="6224" spans="2:26">
      <c r="B6224" s="2"/>
      <c r="N6224" s="27"/>
      <c r="R6224" s="15"/>
      <c r="X6224" s="3"/>
      <c r="Z6224" s="28"/>
    </row>
    <row r="6225" spans="2:26">
      <c r="B6225" s="2"/>
      <c r="N6225" s="27"/>
      <c r="R6225" s="15"/>
      <c r="X6225" s="3"/>
      <c r="Z6225" s="28"/>
    </row>
    <row r="6226" spans="2:26">
      <c r="B6226" s="2"/>
      <c r="N6226" s="27"/>
      <c r="R6226" s="15"/>
      <c r="X6226" s="3"/>
      <c r="Z6226" s="28"/>
    </row>
    <row r="6227" spans="2:26">
      <c r="B6227" s="2"/>
      <c r="N6227" s="27"/>
      <c r="R6227" s="15"/>
      <c r="X6227" s="3"/>
      <c r="Z6227" s="28"/>
    </row>
    <row r="6228" spans="2:26">
      <c r="B6228" s="2"/>
      <c r="N6228" s="27"/>
      <c r="R6228" s="15"/>
      <c r="X6228" s="3"/>
      <c r="Z6228" s="28"/>
    </row>
    <row r="6229" spans="2:26">
      <c r="B6229" s="2"/>
      <c r="N6229" s="27"/>
      <c r="R6229" s="15"/>
      <c r="X6229" s="3"/>
      <c r="Z6229" s="28"/>
    </row>
    <row r="6230" spans="2:26">
      <c r="B6230" s="2"/>
      <c r="N6230" s="27"/>
      <c r="R6230" s="15"/>
      <c r="X6230" s="3"/>
      <c r="Z6230" s="28"/>
    </row>
    <row r="6231" spans="2:26">
      <c r="B6231" s="2"/>
      <c r="N6231" s="27"/>
      <c r="R6231" s="15"/>
      <c r="X6231" s="3"/>
      <c r="Z6231" s="28"/>
    </row>
    <row r="6232" spans="2:26">
      <c r="B6232" s="2"/>
      <c r="N6232" s="27"/>
      <c r="R6232" s="15"/>
      <c r="X6232" s="3"/>
      <c r="Z6232" s="28"/>
    </row>
    <row r="6233" spans="2:26">
      <c r="B6233" s="2"/>
      <c r="N6233" s="27"/>
      <c r="R6233" s="15"/>
      <c r="X6233" s="3"/>
      <c r="Z6233" s="28"/>
    </row>
    <row r="6234" spans="2:26">
      <c r="B6234" s="2"/>
      <c r="N6234" s="27"/>
      <c r="R6234" s="15"/>
      <c r="X6234" s="3"/>
      <c r="Z6234" s="28"/>
    </row>
    <row r="6235" spans="2:26">
      <c r="B6235" s="2"/>
      <c r="N6235" s="27"/>
      <c r="R6235" s="15"/>
      <c r="X6235" s="3"/>
      <c r="Z6235" s="28"/>
    </row>
    <row r="6236" spans="2:26">
      <c r="B6236" s="2"/>
      <c r="N6236" s="27"/>
      <c r="R6236" s="15"/>
      <c r="X6236" s="3"/>
      <c r="Z6236" s="28"/>
    </row>
    <row r="6237" spans="2:26">
      <c r="B6237" s="2"/>
      <c r="N6237" s="27"/>
      <c r="R6237" s="15"/>
      <c r="X6237" s="3"/>
      <c r="Z6237" s="28"/>
    </row>
    <row r="6238" spans="2:26">
      <c r="B6238" s="2"/>
      <c r="N6238" s="27"/>
      <c r="R6238" s="15"/>
      <c r="X6238" s="3"/>
      <c r="Z6238" s="28"/>
    </row>
    <row r="6239" spans="2:26">
      <c r="B6239" s="2"/>
      <c r="N6239" s="27"/>
      <c r="R6239" s="15"/>
      <c r="X6239" s="3"/>
      <c r="Z6239" s="28"/>
    </row>
    <row r="6240" spans="2:26">
      <c r="B6240" s="2"/>
      <c r="N6240" s="27"/>
      <c r="R6240" s="15"/>
      <c r="X6240" s="3"/>
      <c r="Z6240" s="28"/>
    </row>
    <row r="6241" spans="2:26">
      <c r="B6241" s="2"/>
      <c r="N6241" s="27"/>
      <c r="R6241" s="15"/>
      <c r="X6241" s="3"/>
      <c r="Z6241" s="28"/>
    </row>
    <row r="6242" spans="2:26">
      <c r="B6242" s="2"/>
      <c r="N6242" s="27"/>
      <c r="R6242" s="15"/>
      <c r="X6242" s="3"/>
      <c r="Z6242" s="28"/>
    </row>
    <row r="6243" spans="2:26">
      <c r="B6243" s="2"/>
      <c r="N6243" s="27"/>
      <c r="R6243" s="15"/>
      <c r="X6243" s="3"/>
      <c r="Z6243" s="28"/>
    </row>
    <row r="6244" spans="2:26">
      <c r="B6244" s="2"/>
      <c r="N6244" s="27"/>
      <c r="R6244" s="15"/>
      <c r="X6244" s="3"/>
      <c r="Z6244" s="28"/>
    </row>
    <row r="6245" spans="2:26">
      <c r="B6245" s="2"/>
      <c r="N6245" s="27"/>
      <c r="R6245" s="15"/>
      <c r="X6245" s="3"/>
      <c r="Z6245" s="28"/>
    </row>
    <row r="6246" spans="2:26">
      <c r="B6246" s="2"/>
      <c r="N6246" s="27"/>
      <c r="R6246" s="15"/>
      <c r="X6246" s="3"/>
      <c r="Z6246" s="28"/>
    </row>
    <row r="6247" spans="2:26">
      <c r="B6247" s="2"/>
      <c r="N6247" s="27"/>
      <c r="R6247" s="15"/>
      <c r="X6247" s="3"/>
      <c r="Z6247" s="28"/>
    </row>
    <row r="6248" spans="2:26">
      <c r="B6248" s="2"/>
      <c r="N6248" s="27"/>
      <c r="R6248" s="15"/>
      <c r="X6248" s="3"/>
      <c r="Z6248" s="28"/>
    </row>
    <row r="6249" spans="2:26">
      <c r="B6249" s="2"/>
      <c r="N6249" s="27"/>
      <c r="R6249" s="15"/>
      <c r="X6249" s="3"/>
      <c r="Z6249" s="28"/>
    </row>
    <row r="6250" spans="2:26">
      <c r="B6250" s="2"/>
      <c r="N6250" s="27"/>
      <c r="R6250" s="15"/>
      <c r="X6250" s="3"/>
      <c r="Z6250" s="28"/>
    </row>
    <row r="6251" spans="2:26">
      <c r="B6251" s="2"/>
      <c r="N6251" s="27"/>
      <c r="R6251" s="15"/>
      <c r="X6251" s="3"/>
      <c r="Z6251" s="28"/>
    </row>
    <row r="6252" spans="2:26">
      <c r="B6252" s="2"/>
      <c r="N6252" s="27"/>
      <c r="R6252" s="15"/>
      <c r="X6252" s="3"/>
      <c r="Z6252" s="28"/>
    </row>
    <row r="6253" spans="2:26">
      <c r="B6253" s="2"/>
      <c r="N6253" s="27"/>
      <c r="R6253" s="15"/>
      <c r="X6253" s="3"/>
      <c r="Z6253" s="28"/>
    </row>
    <row r="6254" spans="2:26">
      <c r="B6254" s="2"/>
      <c r="N6254" s="27"/>
      <c r="R6254" s="15"/>
      <c r="X6254" s="3"/>
      <c r="Z6254" s="28"/>
    </row>
    <row r="6255" spans="2:26">
      <c r="B6255" s="2"/>
      <c r="N6255" s="27"/>
      <c r="R6255" s="15"/>
      <c r="X6255" s="3"/>
      <c r="Z6255" s="28"/>
    </row>
    <row r="6256" spans="2:26">
      <c r="B6256" s="2"/>
      <c r="N6256" s="27"/>
      <c r="R6256" s="15"/>
      <c r="X6256" s="3"/>
      <c r="Z6256" s="28"/>
    </row>
    <row r="6257" spans="2:26">
      <c r="B6257" s="2"/>
      <c r="N6257" s="27"/>
      <c r="R6257" s="15"/>
      <c r="X6257" s="3"/>
      <c r="Z6257" s="28"/>
    </row>
    <row r="6258" spans="2:26">
      <c r="B6258" s="2"/>
      <c r="N6258" s="27"/>
      <c r="R6258" s="15"/>
      <c r="X6258" s="3"/>
      <c r="Z6258" s="28"/>
    </row>
    <row r="6259" spans="2:26">
      <c r="B6259" s="2"/>
      <c r="N6259" s="27"/>
      <c r="R6259" s="15"/>
      <c r="X6259" s="3"/>
      <c r="Z6259" s="28"/>
    </row>
    <row r="6260" spans="2:26">
      <c r="B6260" s="2"/>
      <c r="N6260" s="27"/>
      <c r="R6260" s="15"/>
      <c r="X6260" s="3"/>
      <c r="Z6260" s="28"/>
    </row>
    <row r="6261" spans="2:26">
      <c r="B6261" s="2"/>
      <c r="N6261" s="27"/>
      <c r="R6261" s="15"/>
      <c r="X6261" s="3"/>
      <c r="Z6261" s="28"/>
    </row>
    <row r="6262" spans="2:26">
      <c r="B6262" s="2"/>
      <c r="N6262" s="27"/>
      <c r="R6262" s="15"/>
      <c r="X6262" s="3"/>
      <c r="Z6262" s="28"/>
    </row>
    <row r="6263" spans="2:26">
      <c r="B6263" s="2"/>
      <c r="N6263" s="27"/>
      <c r="R6263" s="15"/>
      <c r="X6263" s="3"/>
      <c r="Z6263" s="28"/>
    </row>
    <row r="6264" spans="2:26">
      <c r="B6264" s="2"/>
      <c r="N6264" s="27"/>
      <c r="R6264" s="15"/>
      <c r="X6264" s="3"/>
      <c r="Z6264" s="28"/>
    </row>
    <row r="6265" spans="2:26">
      <c r="B6265" s="2"/>
      <c r="N6265" s="27"/>
      <c r="R6265" s="15"/>
      <c r="X6265" s="3"/>
      <c r="Z6265" s="28"/>
    </row>
    <row r="6266" spans="2:26">
      <c r="B6266" s="2"/>
      <c r="N6266" s="27"/>
      <c r="R6266" s="15"/>
      <c r="X6266" s="3"/>
      <c r="Z6266" s="28"/>
    </row>
    <row r="6267" spans="2:26">
      <c r="B6267" s="2"/>
      <c r="N6267" s="27"/>
      <c r="R6267" s="15"/>
      <c r="X6267" s="3"/>
      <c r="Z6267" s="28"/>
    </row>
    <row r="6268" spans="2:26">
      <c r="B6268" s="2"/>
      <c r="N6268" s="27"/>
      <c r="R6268" s="15"/>
      <c r="X6268" s="3"/>
      <c r="Z6268" s="28"/>
    </row>
    <row r="6269" spans="2:26">
      <c r="B6269" s="2"/>
      <c r="N6269" s="27"/>
      <c r="R6269" s="15"/>
      <c r="X6269" s="3"/>
      <c r="Z6269" s="28"/>
    </row>
    <row r="6270" spans="2:26">
      <c r="B6270" s="2"/>
      <c r="N6270" s="27"/>
      <c r="R6270" s="15"/>
      <c r="X6270" s="3"/>
      <c r="Z6270" s="28"/>
    </row>
    <row r="6271" spans="2:26">
      <c r="B6271" s="2"/>
      <c r="N6271" s="27"/>
      <c r="R6271" s="15"/>
      <c r="X6271" s="3"/>
      <c r="Z6271" s="28"/>
    </row>
    <row r="6272" spans="2:26">
      <c r="B6272" s="2"/>
      <c r="N6272" s="27"/>
      <c r="R6272" s="15"/>
      <c r="X6272" s="3"/>
      <c r="Z6272" s="28"/>
    </row>
    <row r="6273" spans="2:26">
      <c r="B6273" s="2"/>
      <c r="N6273" s="27"/>
      <c r="R6273" s="15"/>
      <c r="X6273" s="3"/>
      <c r="Z6273" s="28"/>
    </row>
    <row r="6274" spans="2:26">
      <c r="B6274" s="2"/>
      <c r="N6274" s="27"/>
      <c r="R6274" s="15"/>
      <c r="X6274" s="3"/>
      <c r="Z6274" s="28"/>
    </row>
    <row r="6275" spans="2:26">
      <c r="B6275" s="2"/>
      <c r="N6275" s="27"/>
      <c r="R6275" s="15"/>
      <c r="X6275" s="3"/>
      <c r="Z6275" s="28"/>
    </row>
    <row r="6276" spans="2:26">
      <c r="B6276" s="2"/>
      <c r="N6276" s="27"/>
      <c r="R6276" s="15"/>
      <c r="X6276" s="3"/>
      <c r="Z6276" s="28"/>
    </row>
    <row r="6277" spans="2:26">
      <c r="B6277" s="2"/>
      <c r="N6277" s="27"/>
      <c r="R6277" s="15"/>
      <c r="X6277" s="3"/>
      <c r="Z6277" s="28"/>
    </row>
    <row r="6278" spans="2:26">
      <c r="B6278" s="2"/>
      <c r="N6278" s="27"/>
      <c r="R6278" s="15"/>
      <c r="X6278" s="3"/>
      <c r="Z6278" s="28"/>
    </row>
    <row r="6279" spans="2:26">
      <c r="B6279" s="2"/>
      <c r="N6279" s="27"/>
      <c r="R6279" s="15"/>
      <c r="X6279" s="3"/>
      <c r="Z6279" s="28"/>
    </row>
    <row r="6280" spans="2:26">
      <c r="B6280" s="2"/>
      <c r="N6280" s="27"/>
      <c r="R6280" s="15"/>
      <c r="X6280" s="3"/>
      <c r="Z6280" s="28"/>
    </row>
    <row r="6281" spans="2:26">
      <c r="B6281" s="2"/>
      <c r="N6281" s="27"/>
      <c r="R6281" s="15"/>
      <c r="X6281" s="3"/>
      <c r="Z6281" s="28"/>
    </row>
    <row r="6282" spans="2:26">
      <c r="B6282" s="2"/>
      <c r="N6282" s="27"/>
      <c r="R6282" s="15"/>
      <c r="X6282" s="3"/>
      <c r="Z6282" s="28"/>
    </row>
    <row r="6283" spans="2:26">
      <c r="B6283" s="2"/>
      <c r="N6283" s="27"/>
      <c r="R6283" s="15"/>
      <c r="X6283" s="3"/>
      <c r="Z6283" s="28"/>
    </row>
    <row r="6284" spans="2:26">
      <c r="B6284" s="2"/>
      <c r="N6284" s="27"/>
      <c r="R6284" s="15"/>
      <c r="X6284" s="3"/>
      <c r="Z6284" s="28"/>
    </row>
    <row r="6285" spans="2:26">
      <c r="B6285" s="2"/>
      <c r="N6285" s="27"/>
      <c r="R6285" s="15"/>
      <c r="X6285" s="3"/>
      <c r="Z6285" s="28"/>
    </row>
    <row r="6286" spans="2:26">
      <c r="B6286" s="2"/>
      <c r="N6286" s="27"/>
      <c r="R6286" s="15"/>
      <c r="X6286" s="3"/>
      <c r="Z6286" s="28"/>
    </row>
    <row r="6287" spans="2:26">
      <c r="B6287" s="2"/>
      <c r="N6287" s="27"/>
      <c r="R6287" s="15"/>
      <c r="X6287" s="3"/>
      <c r="Z6287" s="28"/>
    </row>
    <row r="6288" spans="2:26">
      <c r="B6288" s="2"/>
      <c r="N6288" s="27"/>
      <c r="R6288" s="15"/>
      <c r="X6288" s="3"/>
      <c r="Z6288" s="28"/>
    </row>
    <row r="6289" spans="2:26">
      <c r="B6289" s="2"/>
      <c r="N6289" s="27"/>
      <c r="R6289" s="15"/>
      <c r="X6289" s="3"/>
      <c r="Z6289" s="28"/>
    </row>
    <row r="6290" spans="2:26">
      <c r="B6290" s="2"/>
      <c r="N6290" s="27"/>
      <c r="R6290" s="15"/>
      <c r="X6290" s="3"/>
      <c r="Z6290" s="28"/>
    </row>
    <row r="6291" spans="2:26">
      <c r="B6291" s="2"/>
      <c r="N6291" s="27"/>
      <c r="R6291" s="15"/>
      <c r="X6291" s="3"/>
      <c r="Z6291" s="28"/>
    </row>
    <row r="6292" spans="2:26">
      <c r="B6292" s="2"/>
      <c r="N6292" s="27"/>
      <c r="R6292" s="15"/>
      <c r="X6292" s="3"/>
      <c r="Z6292" s="28"/>
    </row>
    <row r="6293" spans="2:26">
      <c r="B6293" s="2"/>
      <c r="N6293" s="27"/>
      <c r="R6293" s="15"/>
      <c r="X6293" s="3"/>
      <c r="Z6293" s="28"/>
    </row>
    <row r="6294" spans="2:26">
      <c r="B6294" s="2"/>
      <c r="N6294" s="27"/>
      <c r="R6294" s="15"/>
      <c r="X6294" s="3"/>
      <c r="Z6294" s="28"/>
    </row>
    <row r="6295" spans="2:26">
      <c r="B6295" s="2"/>
      <c r="N6295" s="27"/>
      <c r="R6295" s="15"/>
      <c r="X6295" s="3"/>
      <c r="Z6295" s="28"/>
    </row>
    <row r="6296" spans="2:26">
      <c r="B6296" s="2"/>
      <c r="N6296" s="27"/>
      <c r="R6296" s="15"/>
      <c r="X6296" s="3"/>
      <c r="Z6296" s="28"/>
    </row>
    <row r="6297" spans="2:26">
      <c r="B6297" s="2"/>
      <c r="N6297" s="27"/>
      <c r="R6297" s="15"/>
      <c r="X6297" s="3"/>
      <c r="Z6297" s="28"/>
    </row>
    <row r="6298" spans="2:26">
      <c r="B6298" s="2"/>
      <c r="N6298" s="27"/>
      <c r="R6298" s="15"/>
      <c r="X6298" s="3"/>
      <c r="Z6298" s="28"/>
    </row>
    <row r="6299" spans="2:26">
      <c r="B6299" s="2"/>
      <c r="N6299" s="27"/>
      <c r="R6299" s="15"/>
      <c r="X6299" s="3"/>
      <c r="Z6299" s="28"/>
    </row>
    <row r="6300" spans="2:26">
      <c r="B6300" s="2"/>
      <c r="N6300" s="27"/>
      <c r="R6300" s="15"/>
      <c r="X6300" s="3"/>
      <c r="Z6300" s="28"/>
    </row>
    <row r="6301" spans="2:26">
      <c r="B6301" s="2"/>
      <c r="N6301" s="27"/>
      <c r="R6301" s="15"/>
      <c r="X6301" s="3"/>
      <c r="Z6301" s="28"/>
    </row>
    <row r="6302" spans="2:26">
      <c r="B6302" s="2"/>
      <c r="N6302" s="27"/>
      <c r="R6302" s="15"/>
      <c r="X6302" s="3"/>
      <c r="Z6302" s="28"/>
    </row>
    <row r="6303" spans="2:26">
      <c r="B6303" s="2"/>
      <c r="N6303" s="27"/>
      <c r="R6303" s="15"/>
      <c r="X6303" s="3"/>
      <c r="Z6303" s="28"/>
    </row>
    <row r="6304" spans="2:26">
      <c r="B6304" s="2"/>
      <c r="N6304" s="27"/>
      <c r="R6304" s="15"/>
      <c r="X6304" s="3"/>
      <c r="Z6304" s="28"/>
    </row>
    <row r="6305" spans="2:26">
      <c r="B6305" s="2"/>
      <c r="N6305" s="27"/>
      <c r="R6305" s="15"/>
      <c r="X6305" s="3"/>
      <c r="Z6305" s="28"/>
    </row>
    <row r="6306" spans="2:26">
      <c r="B6306" s="2"/>
      <c r="N6306" s="27"/>
      <c r="R6306" s="15"/>
      <c r="X6306" s="3"/>
      <c r="Z6306" s="28"/>
    </row>
    <row r="6307" spans="2:26">
      <c r="B6307" s="2"/>
      <c r="N6307" s="27"/>
      <c r="R6307" s="15"/>
      <c r="X6307" s="3"/>
      <c r="Z6307" s="28"/>
    </row>
    <row r="6308" spans="2:26">
      <c r="B6308" s="2"/>
      <c r="N6308" s="27"/>
      <c r="R6308" s="15"/>
      <c r="X6308" s="3"/>
      <c r="Z6308" s="28"/>
    </row>
    <row r="6309" spans="2:26">
      <c r="B6309" s="2"/>
      <c r="N6309" s="27"/>
      <c r="R6309" s="15"/>
      <c r="X6309" s="3"/>
      <c r="Z6309" s="28"/>
    </row>
    <row r="6310" spans="2:26">
      <c r="B6310" s="2"/>
      <c r="N6310" s="27"/>
      <c r="R6310" s="15"/>
      <c r="X6310" s="3"/>
      <c r="Z6310" s="28"/>
    </row>
    <row r="6311" spans="2:26">
      <c r="B6311" s="2"/>
      <c r="N6311" s="27"/>
      <c r="R6311" s="15"/>
      <c r="X6311" s="3"/>
      <c r="Z6311" s="28"/>
    </row>
    <row r="6312" spans="2:26">
      <c r="B6312" s="2"/>
      <c r="N6312" s="27"/>
      <c r="R6312" s="15"/>
      <c r="X6312" s="3"/>
      <c r="Z6312" s="28"/>
    </row>
    <row r="6313" spans="2:26">
      <c r="B6313" s="2"/>
      <c r="N6313" s="27"/>
      <c r="R6313" s="15"/>
      <c r="X6313" s="3"/>
      <c r="Z6313" s="28"/>
    </row>
    <row r="6314" spans="2:26">
      <c r="B6314" s="2"/>
      <c r="N6314" s="27"/>
      <c r="R6314" s="15"/>
      <c r="X6314" s="3"/>
      <c r="Z6314" s="28"/>
    </row>
    <row r="6315" spans="2:26">
      <c r="B6315" s="2"/>
      <c r="N6315" s="27"/>
      <c r="R6315" s="15"/>
      <c r="X6315" s="3"/>
      <c r="Z6315" s="28"/>
    </row>
    <row r="6316" spans="2:26">
      <c r="B6316" s="2"/>
      <c r="N6316" s="27"/>
      <c r="R6316" s="15"/>
      <c r="X6316" s="3"/>
      <c r="Z6316" s="28"/>
    </row>
    <row r="6317" spans="2:26">
      <c r="B6317" s="2"/>
      <c r="N6317" s="27"/>
      <c r="R6317" s="15"/>
      <c r="X6317" s="3"/>
      <c r="Z6317" s="28"/>
    </row>
    <row r="6318" spans="2:26">
      <c r="B6318" s="2"/>
      <c r="N6318" s="27"/>
      <c r="R6318" s="15"/>
      <c r="X6318" s="3"/>
      <c r="Z6318" s="28"/>
    </row>
    <row r="6319" spans="2:26">
      <c r="B6319" s="2"/>
      <c r="N6319" s="27"/>
      <c r="R6319" s="15"/>
      <c r="X6319" s="3"/>
      <c r="Z6319" s="28"/>
    </row>
    <row r="6320" spans="2:26">
      <c r="B6320" s="2"/>
      <c r="N6320" s="27"/>
      <c r="R6320" s="15"/>
      <c r="X6320" s="3"/>
      <c r="Z6320" s="28"/>
    </row>
    <row r="6321" spans="2:26">
      <c r="B6321" s="2"/>
      <c r="N6321" s="27"/>
      <c r="R6321" s="15"/>
      <c r="X6321" s="3"/>
      <c r="Z6321" s="28"/>
    </row>
    <row r="6322" spans="2:26">
      <c r="B6322" s="2"/>
      <c r="N6322" s="27"/>
      <c r="R6322" s="15"/>
      <c r="X6322" s="3"/>
      <c r="Z6322" s="28"/>
    </row>
    <row r="6323" spans="2:26">
      <c r="B6323" s="2"/>
      <c r="N6323" s="27"/>
      <c r="R6323" s="15"/>
      <c r="X6323" s="3"/>
      <c r="Z6323" s="28"/>
    </row>
    <row r="6324" spans="2:26">
      <c r="B6324" s="2"/>
      <c r="N6324" s="27"/>
      <c r="R6324" s="15"/>
      <c r="X6324" s="3"/>
      <c r="Z6324" s="28"/>
    </row>
    <row r="6325" spans="2:26">
      <c r="B6325" s="2"/>
      <c r="N6325" s="27"/>
      <c r="R6325" s="15"/>
      <c r="X6325" s="3"/>
      <c r="Z6325" s="28"/>
    </row>
    <row r="6326" spans="2:26">
      <c r="B6326" s="2"/>
      <c r="N6326" s="27"/>
      <c r="R6326" s="15"/>
      <c r="X6326" s="3"/>
      <c r="Z6326" s="28"/>
    </row>
    <row r="6327" spans="2:26">
      <c r="B6327" s="2"/>
      <c r="N6327" s="27"/>
      <c r="R6327" s="15"/>
      <c r="X6327" s="3"/>
      <c r="Z6327" s="28"/>
    </row>
    <row r="6328" spans="2:26">
      <c r="B6328" s="2"/>
      <c r="N6328" s="27"/>
      <c r="R6328" s="15"/>
      <c r="X6328" s="3"/>
      <c r="Z6328" s="28"/>
    </row>
    <row r="6329" spans="2:26">
      <c r="B6329" s="2"/>
      <c r="N6329" s="27"/>
      <c r="R6329" s="15"/>
      <c r="X6329" s="3"/>
      <c r="Z6329" s="28"/>
    </row>
    <row r="6330" spans="2:26">
      <c r="B6330" s="2"/>
      <c r="N6330" s="27"/>
      <c r="R6330" s="15"/>
      <c r="X6330" s="3"/>
      <c r="Z6330" s="28"/>
    </row>
    <row r="6331" spans="2:26">
      <c r="B6331" s="2"/>
      <c r="N6331" s="27"/>
      <c r="R6331" s="15"/>
      <c r="X6331" s="3"/>
      <c r="Z6331" s="28"/>
    </row>
    <row r="6332" spans="2:26">
      <c r="B6332" s="2"/>
      <c r="N6332" s="27"/>
      <c r="R6332" s="15"/>
      <c r="X6332" s="3"/>
      <c r="Z6332" s="28"/>
    </row>
    <row r="6333" spans="2:26">
      <c r="B6333" s="2"/>
      <c r="N6333" s="27"/>
      <c r="R6333" s="15"/>
      <c r="X6333" s="3"/>
      <c r="Z6333" s="28"/>
    </row>
    <row r="6334" spans="2:26">
      <c r="B6334" s="2"/>
      <c r="N6334" s="27"/>
      <c r="R6334" s="15"/>
      <c r="X6334" s="3"/>
      <c r="Z6334" s="28"/>
    </row>
    <row r="6335" spans="2:26">
      <c r="B6335" s="2"/>
      <c r="N6335" s="27"/>
      <c r="R6335" s="15"/>
      <c r="X6335" s="3"/>
      <c r="Z6335" s="28"/>
    </row>
    <row r="6336" spans="2:26">
      <c r="B6336" s="2"/>
      <c r="N6336" s="27"/>
      <c r="R6336" s="15"/>
      <c r="X6336" s="3"/>
      <c r="Z6336" s="28"/>
    </row>
    <row r="6337" spans="2:26">
      <c r="B6337" s="2"/>
      <c r="N6337" s="27"/>
      <c r="R6337" s="15"/>
      <c r="X6337" s="3"/>
      <c r="Z6337" s="28"/>
    </row>
    <row r="6338" spans="2:26">
      <c r="B6338" s="2"/>
      <c r="N6338" s="27"/>
      <c r="R6338" s="15"/>
      <c r="X6338" s="3"/>
      <c r="Z6338" s="28"/>
    </row>
    <row r="6339" spans="2:26">
      <c r="B6339" s="2"/>
      <c r="N6339" s="27"/>
      <c r="R6339" s="15"/>
      <c r="X6339" s="3"/>
      <c r="Z6339" s="28"/>
    </row>
    <row r="6340" spans="2:26">
      <c r="B6340" s="2"/>
      <c r="N6340" s="27"/>
      <c r="R6340" s="15"/>
      <c r="X6340" s="3"/>
      <c r="Z6340" s="28"/>
    </row>
    <row r="6341" spans="2:26">
      <c r="B6341" s="2"/>
      <c r="N6341" s="27"/>
      <c r="R6341" s="15"/>
      <c r="X6341" s="3"/>
      <c r="Z6341" s="28"/>
    </row>
    <row r="6342" spans="2:26">
      <c r="B6342" s="2"/>
      <c r="N6342" s="27"/>
      <c r="R6342" s="15"/>
      <c r="X6342" s="3"/>
      <c r="Z6342" s="28"/>
    </row>
    <row r="6343" spans="2:26">
      <c r="B6343" s="2"/>
      <c r="N6343" s="27"/>
      <c r="R6343" s="15"/>
      <c r="X6343" s="3"/>
      <c r="Z6343" s="28"/>
    </row>
    <row r="6344" spans="2:26">
      <c r="B6344" s="2"/>
      <c r="N6344" s="27"/>
      <c r="R6344" s="15"/>
      <c r="X6344" s="3"/>
      <c r="Z6344" s="28"/>
    </row>
    <row r="6345" spans="2:26">
      <c r="B6345" s="2"/>
      <c r="N6345" s="27"/>
      <c r="R6345" s="15"/>
      <c r="X6345" s="3"/>
      <c r="Z6345" s="28"/>
    </row>
    <row r="6346" spans="2:26">
      <c r="B6346" s="2"/>
      <c r="N6346" s="27"/>
      <c r="R6346" s="15"/>
      <c r="X6346" s="3"/>
      <c r="Z6346" s="28"/>
    </row>
    <row r="6347" spans="2:26">
      <c r="B6347" s="2"/>
      <c r="N6347" s="27"/>
      <c r="R6347" s="15"/>
      <c r="X6347" s="3"/>
      <c r="Z6347" s="28"/>
    </row>
    <row r="6348" spans="2:26">
      <c r="B6348" s="2"/>
      <c r="N6348" s="27"/>
      <c r="R6348" s="15"/>
      <c r="X6348" s="3"/>
      <c r="Z6348" s="28"/>
    </row>
    <row r="6349" spans="2:26">
      <c r="B6349" s="2"/>
      <c r="N6349" s="27"/>
      <c r="R6349" s="15"/>
      <c r="X6349" s="3"/>
      <c r="Z6349" s="28"/>
    </row>
    <row r="6350" spans="2:26">
      <c r="B6350" s="2"/>
      <c r="N6350" s="27"/>
      <c r="R6350" s="15"/>
      <c r="X6350" s="3"/>
      <c r="Z6350" s="28"/>
    </row>
    <row r="6351" spans="2:26">
      <c r="B6351" s="2"/>
      <c r="N6351" s="27"/>
      <c r="R6351" s="15"/>
      <c r="X6351" s="3"/>
      <c r="Z6351" s="28"/>
    </row>
    <row r="6352" spans="2:26">
      <c r="B6352" s="2"/>
      <c r="N6352" s="27"/>
      <c r="R6352" s="15"/>
      <c r="X6352" s="3"/>
      <c r="Z6352" s="28"/>
    </row>
    <row r="6353" spans="2:26">
      <c r="B6353" s="2"/>
      <c r="N6353" s="27"/>
      <c r="R6353" s="15"/>
      <c r="X6353" s="3"/>
      <c r="Z6353" s="28"/>
    </row>
    <row r="6354" spans="2:26">
      <c r="B6354" s="2"/>
      <c r="N6354" s="27"/>
      <c r="R6354" s="15"/>
      <c r="X6354" s="3"/>
      <c r="Z6354" s="28"/>
    </row>
    <row r="6355" spans="2:26">
      <c r="B6355" s="2"/>
      <c r="N6355" s="27"/>
      <c r="R6355" s="15"/>
      <c r="X6355" s="3"/>
      <c r="Z6355" s="28"/>
    </row>
    <row r="6356" spans="2:26">
      <c r="B6356" s="2"/>
      <c r="N6356" s="27"/>
      <c r="R6356" s="15"/>
      <c r="X6356" s="3"/>
      <c r="Z6356" s="28"/>
    </row>
    <row r="6357" spans="2:26">
      <c r="B6357" s="2"/>
      <c r="N6357" s="27"/>
      <c r="R6357" s="15"/>
      <c r="X6357" s="3"/>
      <c r="Z6357" s="28"/>
    </row>
    <row r="6358" spans="2:26">
      <c r="B6358" s="2"/>
      <c r="N6358" s="27"/>
      <c r="R6358" s="15"/>
      <c r="X6358" s="3"/>
      <c r="Z6358" s="28"/>
    </row>
    <row r="6359" spans="2:26">
      <c r="B6359" s="2"/>
      <c r="N6359" s="27"/>
      <c r="R6359" s="15"/>
      <c r="X6359" s="3"/>
      <c r="Z6359" s="28"/>
    </row>
    <row r="6360" spans="2:26">
      <c r="B6360" s="2"/>
      <c r="N6360" s="27"/>
      <c r="R6360" s="15"/>
      <c r="X6360" s="3"/>
      <c r="Z6360" s="28"/>
    </row>
    <row r="6361" spans="2:26">
      <c r="B6361" s="2"/>
      <c r="N6361" s="27"/>
      <c r="R6361" s="15"/>
      <c r="X6361" s="3"/>
      <c r="Z6361" s="28"/>
    </row>
    <row r="6362" spans="2:26">
      <c r="B6362" s="2"/>
      <c r="N6362" s="27"/>
      <c r="R6362" s="15"/>
      <c r="X6362" s="3"/>
      <c r="Z6362" s="28"/>
    </row>
    <row r="6363" spans="2:26">
      <c r="B6363" s="2"/>
      <c r="N6363" s="27"/>
      <c r="R6363" s="15"/>
      <c r="X6363" s="3"/>
      <c r="Z6363" s="28"/>
    </row>
    <row r="6364" spans="2:26">
      <c r="B6364" s="2"/>
      <c r="N6364" s="27"/>
      <c r="R6364" s="15"/>
      <c r="X6364" s="3"/>
      <c r="Z6364" s="28"/>
    </row>
    <row r="6365" spans="2:26">
      <c r="B6365" s="2"/>
      <c r="N6365" s="27"/>
      <c r="R6365" s="15"/>
      <c r="X6365" s="3"/>
      <c r="Z6365" s="28"/>
    </row>
    <row r="6366" spans="2:26">
      <c r="B6366" s="2"/>
      <c r="N6366" s="27"/>
      <c r="R6366" s="15"/>
      <c r="X6366" s="3"/>
      <c r="Z6366" s="28"/>
    </row>
    <row r="6367" spans="2:26">
      <c r="B6367" s="2"/>
      <c r="N6367" s="27"/>
      <c r="R6367" s="15"/>
      <c r="X6367" s="3"/>
      <c r="Z6367" s="28"/>
    </row>
    <row r="6368" spans="2:26">
      <c r="B6368" s="2"/>
      <c r="N6368" s="27"/>
      <c r="R6368" s="15"/>
      <c r="X6368" s="3"/>
      <c r="Z6368" s="28"/>
    </row>
    <row r="6369" spans="2:26">
      <c r="B6369" s="2"/>
      <c r="N6369" s="27"/>
      <c r="R6369" s="15"/>
      <c r="X6369" s="3"/>
      <c r="Z6369" s="28"/>
    </row>
    <row r="6370" spans="2:26">
      <c r="B6370" s="2"/>
      <c r="N6370" s="27"/>
      <c r="R6370" s="15"/>
      <c r="X6370" s="3"/>
      <c r="Z6370" s="28"/>
    </row>
    <row r="6371" spans="2:26">
      <c r="B6371" s="2"/>
      <c r="N6371" s="27"/>
      <c r="R6371" s="15"/>
      <c r="X6371" s="3"/>
      <c r="Z6371" s="28"/>
    </row>
    <row r="6372" spans="2:26">
      <c r="B6372" s="2"/>
      <c r="N6372" s="27"/>
      <c r="R6372" s="15"/>
      <c r="X6372" s="3"/>
      <c r="Z6372" s="28"/>
    </row>
    <row r="6373" spans="2:26">
      <c r="B6373" s="2"/>
      <c r="N6373" s="27"/>
      <c r="R6373" s="15"/>
      <c r="X6373" s="3"/>
      <c r="Z6373" s="28"/>
    </row>
    <row r="6374" spans="2:26">
      <c r="B6374" s="2"/>
      <c r="N6374" s="27"/>
      <c r="R6374" s="15"/>
      <c r="X6374" s="3"/>
      <c r="Z6374" s="28"/>
    </row>
    <row r="6375" spans="2:26">
      <c r="B6375" s="2"/>
      <c r="N6375" s="27"/>
      <c r="R6375" s="15"/>
      <c r="X6375" s="3"/>
      <c r="Z6375" s="28"/>
    </row>
    <row r="6376" spans="2:26">
      <c r="B6376" s="2"/>
      <c r="N6376" s="27"/>
      <c r="R6376" s="15"/>
      <c r="X6376" s="3"/>
      <c r="Z6376" s="28"/>
    </row>
    <row r="6377" spans="2:26">
      <c r="B6377" s="2"/>
      <c r="N6377" s="27"/>
      <c r="R6377" s="15"/>
      <c r="X6377" s="3"/>
      <c r="Z6377" s="28"/>
    </row>
    <row r="6378" spans="2:26">
      <c r="B6378" s="2"/>
      <c r="N6378" s="27"/>
      <c r="R6378" s="15"/>
      <c r="X6378" s="3"/>
      <c r="Z6378" s="28"/>
    </row>
    <row r="6379" spans="2:26">
      <c r="B6379" s="2"/>
      <c r="N6379" s="27"/>
      <c r="R6379" s="15"/>
      <c r="X6379" s="3"/>
      <c r="Z6379" s="28"/>
    </row>
    <row r="6380" spans="2:26">
      <c r="B6380" s="2"/>
      <c r="N6380" s="27"/>
      <c r="R6380" s="15"/>
      <c r="X6380" s="3"/>
      <c r="Z6380" s="28"/>
    </row>
    <row r="6381" spans="2:26">
      <c r="B6381" s="2"/>
      <c r="N6381" s="27"/>
      <c r="R6381" s="15"/>
      <c r="X6381" s="3"/>
      <c r="Z6381" s="28"/>
    </row>
    <row r="6382" spans="2:26">
      <c r="B6382" s="2"/>
      <c r="N6382" s="27"/>
      <c r="R6382" s="15"/>
      <c r="X6382" s="3"/>
      <c r="Z6382" s="28"/>
    </row>
    <row r="6383" spans="2:26">
      <c r="B6383" s="2"/>
      <c r="N6383" s="27"/>
      <c r="R6383" s="15"/>
      <c r="X6383" s="3"/>
      <c r="Z6383" s="28"/>
    </row>
    <row r="6384" spans="2:26">
      <c r="B6384" s="2"/>
      <c r="N6384" s="27"/>
      <c r="R6384" s="15"/>
      <c r="X6384" s="3"/>
      <c r="Z6384" s="28"/>
    </row>
    <row r="6385" spans="2:26">
      <c r="B6385" s="2"/>
      <c r="N6385" s="27"/>
      <c r="R6385" s="15"/>
      <c r="X6385" s="3"/>
      <c r="Z6385" s="28"/>
    </row>
    <row r="6386" spans="2:26">
      <c r="B6386" s="2"/>
      <c r="N6386" s="27"/>
      <c r="R6386" s="15"/>
      <c r="X6386" s="3"/>
      <c r="Z6386" s="28"/>
    </row>
    <row r="6387" spans="2:26">
      <c r="B6387" s="2"/>
      <c r="N6387" s="27"/>
      <c r="R6387" s="15"/>
      <c r="X6387" s="3"/>
      <c r="Z6387" s="28"/>
    </row>
    <row r="6388" spans="2:26">
      <c r="B6388" s="2"/>
      <c r="N6388" s="27"/>
      <c r="R6388" s="15"/>
      <c r="X6388" s="3"/>
      <c r="Z6388" s="28"/>
    </row>
    <row r="6389" spans="2:26">
      <c r="B6389" s="2"/>
      <c r="N6389" s="27"/>
      <c r="R6389" s="15"/>
      <c r="X6389" s="3"/>
      <c r="Z6389" s="28"/>
    </row>
    <row r="6390" spans="2:26">
      <c r="B6390" s="2"/>
      <c r="N6390" s="27"/>
      <c r="R6390" s="15"/>
      <c r="X6390" s="3"/>
      <c r="Z6390" s="28"/>
    </row>
    <row r="6391" spans="2:26">
      <c r="B6391" s="2"/>
      <c r="N6391" s="27"/>
      <c r="R6391" s="15"/>
      <c r="X6391" s="3"/>
      <c r="Z6391" s="28"/>
    </row>
    <row r="6392" spans="2:26">
      <c r="B6392" s="2"/>
      <c r="N6392" s="27"/>
      <c r="R6392" s="15"/>
      <c r="X6392" s="3"/>
      <c r="Z6392" s="28"/>
    </row>
    <row r="6393" spans="2:26">
      <c r="B6393" s="2"/>
      <c r="N6393" s="27"/>
      <c r="R6393" s="15"/>
      <c r="X6393" s="3"/>
      <c r="Z6393" s="28"/>
    </row>
    <row r="6394" spans="2:26">
      <c r="B6394" s="2"/>
      <c r="N6394" s="27"/>
      <c r="R6394" s="15"/>
      <c r="X6394" s="3"/>
      <c r="Z6394" s="28"/>
    </row>
    <row r="6395" spans="2:26">
      <c r="B6395" s="2"/>
      <c r="N6395" s="27"/>
      <c r="R6395" s="15"/>
      <c r="X6395" s="3"/>
      <c r="Z6395" s="28"/>
    </row>
    <row r="6396" spans="2:26">
      <c r="B6396" s="2"/>
      <c r="N6396" s="27"/>
      <c r="R6396" s="15"/>
      <c r="X6396" s="3"/>
      <c r="Z6396" s="28"/>
    </row>
    <row r="6397" spans="2:26">
      <c r="B6397" s="2"/>
      <c r="N6397" s="27"/>
      <c r="R6397" s="15"/>
      <c r="X6397" s="3"/>
      <c r="Z6397" s="28"/>
    </row>
    <row r="6398" spans="2:26">
      <c r="B6398" s="2"/>
      <c r="N6398" s="27"/>
      <c r="R6398" s="15"/>
      <c r="X6398" s="3"/>
      <c r="Z6398" s="28"/>
    </row>
    <row r="6399" spans="2:26">
      <c r="B6399" s="2"/>
      <c r="N6399" s="27"/>
      <c r="R6399" s="15"/>
      <c r="X6399" s="3"/>
      <c r="Z6399" s="28"/>
    </row>
    <row r="6400" spans="2:26">
      <c r="B6400" s="2"/>
      <c r="N6400" s="27"/>
      <c r="R6400" s="15"/>
      <c r="X6400" s="3"/>
      <c r="Z6400" s="28"/>
    </row>
    <row r="6401" spans="2:26">
      <c r="B6401" s="2"/>
      <c r="N6401" s="27"/>
      <c r="R6401" s="15"/>
      <c r="X6401" s="3"/>
      <c r="Z6401" s="28"/>
    </row>
    <row r="6402" spans="2:26">
      <c r="B6402" s="2"/>
      <c r="N6402" s="27"/>
      <c r="R6402" s="15"/>
      <c r="X6402" s="3"/>
      <c r="Z6402" s="28"/>
    </row>
    <row r="6403" spans="2:26">
      <c r="B6403" s="2"/>
      <c r="N6403" s="27"/>
      <c r="R6403" s="15"/>
      <c r="X6403" s="3"/>
      <c r="Z6403" s="28"/>
    </row>
    <row r="6404" spans="2:26">
      <c r="B6404" s="2"/>
      <c r="N6404" s="27"/>
      <c r="R6404" s="15"/>
      <c r="X6404" s="3"/>
      <c r="Z6404" s="28"/>
    </row>
    <row r="6405" spans="2:26">
      <c r="B6405" s="2"/>
      <c r="N6405" s="27"/>
      <c r="R6405" s="15"/>
      <c r="X6405" s="3"/>
      <c r="Z6405" s="28"/>
    </row>
    <row r="6406" spans="2:26">
      <c r="B6406" s="2"/>
      <c r="N6406" s="27"/>
      <c r="R6406" s="15"/>
      <c r="X6406" s="3"/>
      <c r="Z6406" s="28"/>
    </row>
    <row r="6407" spans="2:26">
      <c r="B6407" s="2"/>
      <c r="N6407" s="27"/>
      <c r="R6407" s="15"/>
      <c r="X6407" s="3"/>
      <c r="Z6407" s="28"/>
    </row>
    <row r="6408" spans="2:26">
      <c r="B6408" s="2"/>
      <c r="N6408" s="27"/>
      <c r="R6408" s="15"/>
      <c r="X6408" s="3"/>
      <c r="Z6408" s="28"/>
    </row>
    <row r="6409" spans="2:26">
      <c r="B6409" s="2"/>
      <c r="N6409" s="27"/>
      <c r="R6409" s="15"/>
      <c r="X6409" s="3"/>
      <c r="Z6409" s="28"/>
    </row>
    <row r="6410" spans="2:26">
      <c r="B6410" s="2"/>
      <c r="N6410" s="27"/>
      <c r="R6410" s="15"/>
      <c r="X6410" s="3"/>
      <c r="Z6410" s="28"/>
    </row>
    <row r="6411" spans="2:26">
      <c r="B6411" s="2"/>
      <c r="N6411" s="27"/>
      <c r="R6411" s="15"/>
      <c r="X6411" s="3"/>
      <c r="Z6411" s="28"/>
    </row>
    <row r="6412" spans="2:26">
      <c r="B6412" s="2"/>
      <c r="N6412" s="27"/>
      <c r="R6412" s="15"/>
      <c r="X6412" s="3"/>
      <c r="Z6412" s="28"/>
    </row>
    <row r="6413" spans="2:26">
      <c r="B6413" s="2"/>
      <c r="N6413" s="27"/>
      <c r="R6413" s="15"/>
      <c r="X6413" s="3"/>
      <c r="Z6413" s="28"/>
    </row>
    <row r="6414" spans="2:26">
      <c r="B6414" s="2"/>
      <c r="N6414" s="27"/>
      <c r="R6414" s="15"/>
      <c r="X6414" s="3"/>
      <c r="Z6414" s="28"/>
    </row>
    <row r="6415" spans="2:26">
      <c r="B6415" s="2"/>
      <c r="N6415" s="27"/>
      <c r="R6415" s="15"/>
      <c r="X6415" s="3"/>
      <c r="Z6415" s="28"/>
    </row>
    <row r="6416" spans="2:26">
      <c r="B6416" s="2"/>
      <c r="N6416" s="27"/>
      <c r="R6416" s="15"/>
      <c r="X6416" s="3"/>
      <c r="Z6416" s="28"/>
    </row>
    <row r="6417" spans="2:26">
      <c r="B6417" s="2"/>
      <c r="N6417" s="27"/>
      <c r="R6417" s="15"/>
      <c r="X6417" s="3"/>
      <c r="Z6417" s="28"/>
    </row>
    <row r="6418" spans="2:26">
      <c r="B6418" s="2"/>
      <c r="N6418" s="27"/>
      <c r="R6418" s="15"/>
      <c r="X6418" s="3"/>
      <c r="Z6418" s="28"/>
    </row>
    <row r="6419" spans="2:26">
      <c r="B6419" s="2"/>
      <c r="N6419" s="27"/>
      <c r="R6419" s="15"/>
      <c r="X6419" s="3"/>
      <c r="Z6419" s="28"/>
    </row>
    <row r="6420" spans="2:26">
      <c r="B6420" s="2"/>
      <c r="N6420" s="27"/>
      <c r="R6420" s="15"/>
      <c r="X6420" s="3"/>
      <c r="Z6420" s="28"/>
    </row>
    <row r="6421" spans="2:26">
      <c r="B6421" s="2"/>
      <c r="N6421" s="27"/>
      <c r="R6421" s="15"/>
      <c r="X6421" s="3"/>
      <c r="Z6421" s="28"/>
    </row>
    <row r="6422" spans="2:26">
      <c r="B6422" s="2"/>
      <c r="N6422" s="27"/>
      <c r="R6422" s="15"/>
      <c r="X6422" s="3"/>
      <c r="Z6422" s="28"/>
    </row>
    <row r="6423" spans="2:26">
      <c r="B6423" s="2"/>
      <c r="N6423" s="27"/>
      <c r="R6423" s="15"/>
      <c r="X6423" s="3"/>
      <c r="Z6423" s="28"/>
    </row>
    <row r="6424" spans="2:26">
      <c r="B6424" s="2"/>
      <c r="N6424" s="27"/>
      <c r="R6424" s="15"/>
      <c r="X6424" s="3"/>
      <c r="Z6424" s="28"/>
    </row>
    <row r="6425" spans="2:26">
      <c r="B6425" s="2"/>
      <c r="N6425" s="27"/>
      <c r="R6425" s="15"/>
      <c r="X6425" s="3"/>
      <c r="Z6425" s="28"/>
    </row>
    <row r="6426" spans="2:26">
      <c r="B6426" s="2"/>
      <c r="N6426" s="27"/>
      <c r="R6426" s="15"/>
      <c r="X6426" s="3"/>
      <c r="Z6426" s="28"/>
    </row>
    <row r="6427" spans="2:26">
      <c r="B6427" s="2"/>
      <c r="N6427" s="27"/>
      <c r="R6427" s="15"/>
      <c r="X6427" s="3"/>
      <c r="Z6427" s="28"/>
    </row>
    <row r="6428" spans="2:26">
      <c r="B6428" s="2"/>
      <c r="N6428" s="27"/>
      <c r="R6428" s="15"/>
      <c r="X6428" s="3"/>
      <c r="Z6428" s="28"/>
    </row>
    <row r="6429" spans="2:26">
      <c r="B6429" s="2"/>
      <c r="N6429" s="27"/>
      <c r="R6429" s="15"/>
      <c r="X6429" s="3"/>
      <c r="Z6429" s="28"/>
    </row>
    <row r="6430" spans="2:26">
      <c r="B6430" s="2"/>
      <c r="N6430" s="27"/>
      <c r="R6430" s="15"/>
      <c r="X6430" s="3"/>
      <c r="Z6430" s="28"/>
    </row>
    <row r="6431" spans="2:26">
      <c r="B6431" s="2"/>
      <c r="N6431" s="27"/>
      <c r="R6431" s="15"/>
      <c r="X6431" s="3"/>
      <c r="Z6431" s="28"/>
    </row>
    <row r="6432" spans="2:26">
      <c r="B6432" s="2"/>
      <c r="N6432" s="27"/>
      <c r="R6432" s="15"/>
      <c r="X6432" s="3"/>
      <c r="Z6432" s="28"/>
    </row>
    <row r="6433" spans="2:26">
      <c r="B6433" s="2"/>
      <c r="N6433" s="27"/>
      <c r="R6433" s="15"/>
      <c r="X6433" s="3"/>
      <c r="Z6433" s="28"/>
    </row>
    <row r="6434" spans="2:26">
      <c r="B6434" s="2"/>
      <c r="N6434" s="27"/>
      <c r="R6434" s="15"/>
      <c r="X6434" s="3"/>
      <c r="Z6434" s="28"/>
    </row>
    <row r="6435" spans="2:26">
      <c r="B6435" s="2"/>
      <c r="N6435" s="27"/>
      <c r="R6435" s="15"/>
      <c r="X6435" s="3"/>
      <c r="Z6435" s="28"/>
    </row>
    <row r="6436" spans="2:26">
      <c r="B6436" s="2"/>
      <c r="N6436" s="27"/>
      <c r="R6436" s="15"/>
      <c r="X6436" s="3"/>
      <c r="Z6436" s="28"/>
    </row>
    <row r="6437" spans="2:26">
      <c r="B6437" s="2"/>
      <c r="N6437" s="27"/>
      <c r="R6437" s="15"/>
      <c r="X6437" s="3"/>
      <c r="Z6437" s="28"/>
    </row>
    <row r="6438" spans="2:26">
      <c r="B6438" s="2"/>
      <c r="N6438" s="27"/>
      <c r="R6438" s="15"/>
      <c r="X6438" s="3"/>
      <c r="Z6438" s="28"/>
    </row>
    <row r="6439" spans="2:26">
      <c r="B6439" s="2"/>
      <c r="N6439" s="27"/>
      <c r="R6439" s="15"/>
      <c r="X6439" s="3"/>
      <c r="Z6439" s="28"/>
    </row>
    <row r="6440" spans="2:26">
      <c r="B6440" s="2"/>
      <c r="N6440" s="27"/>
      <c r="R6440" s="15"/>
      <c r="X6440" s="3"/>
      <c r="Z6440" s="28"/>
    </row>
    <row r="6441" spans="2:26">
      <c r="B6441" s="2"/>
      <c r="N6441" s="27"/>
      <c r="R6441" s="15"/>
      <c r="X6441" s="3"/>
      <c r="Z6441" s="28"/>
    </row>
    <row r="6442" spans="2:26">
      <c r="B6442" s="2"/>
      <c r="N6442" s="27"/>
      <c r="R6442" s="15"/>
      <c r="X6442" s="3"/>
      <c r="Z6442" s="28"/>
    </row>
    <row r="6443" spans="2:26">
      <c r="B6443" s="2"/>
      <c r="N6443" s="27"/>
      <c r="R6443" s="15"/>
      <c r="X6443" s="3"/>
      <c r="Z6443" s="28"/>
    </row>
    <row r="6444" spans="2:26">
      <c r="B6444" s="2"/>
      <c r="N6444" s="27"/>
      <c r="R6444" s="15"/>
      <c r="X6444" s="3"/>
      <c r="Z6444" s="28"/>
    </row>
    <row r="6445" spans="2:26">
      <c r="B6445" s="2"/>
      <c r="N6445" s="27"/>
      <c r="R6445" s="15"/>
      <c r="X6445" s="3"/>
      <c r="Z6445" s="28"/>
    </row>
    <row r="6446" spans="2:26">
      <c r="B6446" s="2"/>
      <c r="N6446" s="27"/>
      <c r="R6446" s="15"/>
      <c r="X6446" s="3"/>
      <c r="Z6446" s="28"/>
    </row>
    <row r="6447" spans="2:26">
      <c r="B6447" s="2"/>
      <c r="N6447" s="27"/>
      <c r="R6447" s="15"/>
      <c r="X6447" s="3"/>
      <c r="Z6447" s="28"/>
    </row>
    <row r="6448" spans="2:26">
      <c r="B6448" s="2"/>
      <c r="N6448" s="27"/>
      <c r="R6448" s="15"/>
      <c r="X6448" s="3"/>
      <c r="Z6448" s="28"/>
    </row>
    <row r="6449" spans="2:26">
      <c r="B6449" s="2"/>
      <c r="N6449" s="27"/>
      <c r="R6449" s="15"/>
      <c r="X6449" s="3"/>
      <c r="Z6449" s="28"/>
    </row>
    <row r="6450" spans="2:26">
      <c r="B6450" s="2"/>
      <c r="N6450" s="27"/>
      <c r="R6450" s="15"/>
      <c r="X6450" s="3"/>
      <c r="Z6450" s="28"/>
    </row>
    <row r="6451" spans="2:26">
      <c r="B6451" s="2"/>
      <c r="N6451" s="27"/>
      <c r="R6451" s="15"/>
      <c r="X6451" s="3"/>
      <c r="Z6451" s="28"/>
    </row>
    <row r="6452" spans="2:26">
      <c r="B6452" s="2"/>
      <c r="N6452" s="27"/>
      <c r="R6452" s="15"/>
      <c r="X6452" s="3"/>
      <c r="Z6452" s="28"/>
    </row>
    <row r="6453" spans="2:26">
      <c r="B6453" s="2"/>
      <c r="N6453" s="27"/>
      <c r="R6453" s="15"/>
      <c r="X6453" s="3"/>
      <c r="Z6453" s="28"/>
    </row>
    <row r="6454" spans="2:26">
      <c r="B6454" s="2"/>
      <c r="N6454" s="27"/>
      <c r="R6454" s="15"/>
      <c r="X6454" s="3"/>
      <c r="Z6454" s="28"/>
    </row>
    <row r="6455" spans="2:26">
      <c r="B6455" s="2"/>
      <c r="N6455" s="27"/>
      <c r="R6455" s="15"/>
      <c r="X6455" s="3"/>
      <c r="Z6455" s="28"/>
    </row>
    <row r="6456" spans="2:26">
      <c r="B6456" s="2"/>
      <c r="N6456" s="27"/>
      <c r="R6456" s="15"/>
      <c r="X6456" s="3"/>
      <c r="Z6456" s="28"/>
    </row>
    <row r="6457" spans="2:26">
      <c r="B6457" s="2"/>
      <c r="N6457" s="27"/>
      <c r="R6457" s="15"/>
      <c r="X6457" s="3"/>
      <c r="Z6457" s="28"/>
    </row>
    <row r="6458" spans="2:26">
      <c r="B6458" s="2"/>
      <c r="N6458" s="27"/>
      <c r="R6458" s="15"/>
      <c r="X6458" s="3"/>
      <c r="Z6458" s="28"/>
    </row>
    <row r="6459" spans="2:26">
      <c r="B6459" s="2"/>
      <c r="N6459" s="27"/>
      <c r="R6459" s="15"/>
      <c r="X6459" s="3"/>
      <c r="Z6459" s="28"/>
    </row>
    <row r="6460" spans="2:26">
      <c r="B6460" s="2"/>
      <c r="N6460" s="27"/>
      <c r="R6460" s="15"/>
      <c r="X6460" s="3"/>
      <c r="Z6460" s="28"/>
    </row>
    <row r="6461" spans="2:26">
      <c r="B6461" s="2"/>
      <c r="N6461" s="27"/>
      <c r="R6461" s="15"/>
      <c r="X6461" s="3"/>
      <c r="Z6461" s="28"/>
    </row>
    <row r="6462" spans="2:26">
      <c r="B6462" s="2"/>
      <c r="N6462" s="27"/>
      <c r="R6462" s="15"/>
      <c r="X6462" s="3"/>
      <c r="Z6462" s="28"/>
    </row>
    <row r="6463" spans="2:26">
      <c r="B6463" s="2"/>
      <c r="N6463" s="27"/>
      <c r="R6463" s="15"/>
      <c r="X6463" s="3"/>
      <c r="Z6463" s="28"/>
    </row>
    <row r="6464" spans="2:26">
      <c r="B6464" s="2"/>
      <c r="N6464" s="27"/>
      <c r="R6464" s="15"/>
      <c r="X6464" s="3"/>
      <c r="Z6464" s="28"/>
    </row>
    <row r="6465" spans="2:26">
      <c r="B6465" s="2"/>
      <c r="N6465" s="27"/>
      <c r="R6465" s="15"/>
      <c r="X6465" s="3"/>
      <c r="Z6465" s="28"/>
    </row>
    <row r="6466" spans="2:26">
      <c r="B6466" s="2"/>
      <c r="N6466" s="27"/>
      <c r="R6466" s="15"/>
      <c r="X6466" s="3"/>
      <c r="Z6466" s="28"/>
    </row>
    <row r="6467" spans="2:26">
      <c r="B6467" s="2"/>
      <c r="N6467" s="27"/>
      <c r="R6467" s="15"/>
      <c r="X6467" s="3"/>
      <c r="Z6467" s="28"/>
    </row>
    <row r="6468" spans="2:26">
      <c r="B6468" s="2"/>
      <c r="N6468" s="27"/>
      <c r="R6468" s="15"/>
      <c r="X6468" s="3"/>
      <c r="Z6468" s="28"/>
    </row>
    <row r="6469" spans="2:26">
      <c r="B6469" s="2"/>
      <c r="N6469" s="27"/>
      <c r="R6469" s="15"/>
      <c r="X6469" s="3"/>
      <c r="Z6469" s="28"/>
    </row>
    <row r="6470" spans="2:26">
      <c r="B6470" s="2"/>
      <c r="N6470" s="27"/>
      <c r="R6470" s="15"/>
      <c r="X6470" s="3"/>
      <c r="Z6470" s="28"/>
    </row>
    <row r="6471" spans="2:26">
      <c r="B6471" s="2"/>
      <c r="N6471" s="27"/>
      <c r="R6471" s="15"/>
      <c r="X6471" s="3"/>
      <c r="Z6471" s="28"/>
    </row>
    <row r="6472" spans="2:26">
      <c r="B6472" s="2"/>
      <c r="N6472" s="27"/>
      <c r="R6472" s="15"/>
      <c r="X6472" s="3"/>
      <c r="Z6472" s="28"/>
    </row>
    <row r="6473" spans="2:26">
      <c r="B6473" s="2"/>
      <c r="N6473" s="27"/>
      <c r="R6473" s="15"/>
      <c r="X6473" s="3"/>
      <c r="Z6473" s="28"/>
    </row>
    <row r="6474" spans="2:26">
      <c r="B6474" s="2"/>
      <c r="N6474" s="27"/>
      <c r="R6474" s="15"/>
      <c r="X6474" s="3"/>
      <c r="Z6474" s="28"/>
    </row>
    <row r="6475" spans="2:26">
      <c r="B6475" s="2"/>
      <c r="N6475" s="27"/>
      <c r="R6475" s="15"/>
      <c r="X6475" s="3"/>
      <c r="Z6475" s="28"/>
    </row>
    <row r="6476" spans="2:26">
      <c r="B6476" s="2"/>
      <c r="N6476" s="27"/>
      <c r="R6476" s="15"/>
      <c r="X6476" s="3"/>
      <c r="Z6476" s="28"/>
    </row>
    <row r="6477" spans="2:26">
      <c r="B6477" s="2"/>
      <c r="N6477" s="27"/>
      <c r="R6477" s="15"/>
      <c r="X6477" s="3"/>
      <c r="Z6477" s="28"/>
    </row>
    <row r="6478" spans="2:26">
      <c r="B6478" s="2"/>
      <c r="N6478" s="27"/>
      <c r="R6478" s="15"/>
      <c r="X6478" s="3"/>
      <c r="Z6478" s="28"/>
    </row>
    <row r="6479" spans="2:26">
      <c r="B6479" s="2"/>
      <c r="N6479" s="27"/>
      <c r="R6479" s="15"/>
      <c r="X6479" s="3"/>
      <c r="Z6479" s="28"/>
    </row>
    <row r="6480" spans="2:26">
      <c r="B6480" s="2"/>
      <c r="N6480" s="27"/>
      <c r="R6480" s="15"/>
      <c r="X6480" s="3"/>
      <c r="Z6480" s="28"/>
    </row>
    <row r="6481" spans="2:26">
      <c r="B6481" s="2"/>
      <c r="N6481" s="27"/>
      <c r="R6481" s="15"/>
      <c r="X6481" s="3"/>
      <c r="Z6481" s="28"/>
    </row>
    <row r="6482" spans="2:26">
      <c r="B6482" s="2"/>
      <c r="N6482" s="27"/>
      <c r="R6482" s="15"/>
      <c r="X6482" s="3"/>
      <c r="Z6482" s="28"/>
    </row>
    <row r="6483" spans="2:26">
      <c r="B6483" s="2"/>
      <c r="N6483" s="27"/>
      <c r="R6483" s="15"/>
      <c r="X6483" s="3"/>
      <c r="Z6483" s="28"/>
    </row>
    <row r="6484" spans="2:26">
      <c r="B6484" s="2"/>
      <c r="N6484" s="27"/>
      <c r="R6484" s="15"/>
      <c r="X6484" s="3"/>
      <c r="Z6484" s="28"/>
    </row>
    <row r="6485" spans="2:26">
      <c r="B6485" s="2"/>
      <c r="N6485" s="27"/>
      <c r="R6485" s="15"/>
      <c r="X6485" s="3"/>
      <c r="Z6485" s="28"/>
    </row>
    <row r="6486" spans="2:26">
      <c r="B6486" s="2"/>
      <c r="N6486" s="27"/>
      <c r="R6486" s="15"/>
      <c r="X6486" s="3"/>
      <c r="Z6486" s="28"/>
    </row>
    <row r="6487" spans="2:26">
      <c r="B6487" s="2"/>
      <c r="N6487" s="27"/>
      <c r="R6487" s="15"/>
      <c r="X6487" s="3"/>
      <c r="Z6487" s="28"/>
    </row>
    <row r="6488" spans="2:26">
      <c r="B6488" s="2"/>
      <c r="N6488" s="27"/>
      <c r="R6488" s="15"/>
      <c r="X6488" s="3"/>
      <c r="Z6488" s="28"/>
    </row>
    <row r="6489" spans="2:26">
      <c r="B6489" s="2"/>
      <c r="N6489" s="27"/>
      <c r="R6489" s="15"/>
      <c r="X6489" s="3"/>
      <c r="Z6489" s="28"/>
    </row>
    <row r="6490" spans="2:26">
      <c r="B6490" s="2"/>
      <c r="N6490" s="27"/>
      <c r="R6490" s="15"/>
      <c r="X6490" s="3"/>
      <c r="Z6490" s="28"/>
    </row>
    <row r="6491" spans="2:26">
      <c r="B6491" s="2"/>
      <c r="N6491" s="27"/>
      <c r="R6491" s="15"/>
      <c r="X6491" s="3"/>
      <c r="Z6491" s="28"/>
    </row>
    <row r="6492" spans="2:26">
      <c r="B6492" s="2"/>
      <c r="N6492" s="27"/>
      <c r="R6492" s="15"/>
      <c r="X6492" s="3"/>
      <c r="Z6492" s="28"/>
    </row>
    <row r="6493" spans="2:26">
      <c r="B6493" s="2"/>
      <c r="N6493" s="27"/>
      <c r="R6493" s="15"/>
      <c r="X6493" s="3"/>
      <c r="Z6493" s="28"/>
    </row>
    <row r="6494" spans="2:26">
      <c r="B6494" s="2"/>
      <c r="N6494" s="27"/>
      <c r="R6494" s="15"/>
      <c r="X6494" s="3"/>
      <c r="Z6494" s="28"/>
    </row>
    <row r="6495" spans="2:26">
      <c r="B6495" s="2"/>
      <c r="N6495" s="27"/>
      <c r="R6495" s="15"/>
      <c r="X6495" s="3"/>
      <c r="Z6495" s="28"/>
    </row>
    <row r="6496" spans="2:26">
      <c r="B6496" s="2"/>
      <c r="N6496" s="27"/>
      <c r="R6496" s="15"/>
      <c r="X6496" s="3"/>
      <c r="Z6496" s="28"/>
    </row>
    <row r="6497" spans="2:26">
      <c r="B6497" s="2"/>
      <c r="N6497" s="27"/>
      <c r="R6497" s="15"/>
      <c r="X6497" s="3"/>
      <c r="Z6497" s="28"/>
    </row>
    <row r="6498" spans="2:26">
      <c r="B6498" s="2"/>
      <c r="N6498" s="27"/>
      <c r="R6498" s="15"/>
      <c r="X6498" s="3"/>
      <c r="Z6498" s="28"/>
    </row>
    <row r="6499" spans="2:26">
      <c r="B6499" s="2"/>
      <c r="N6499" s="27"/>
      <c r="R6499" s="15"/>
      <c r="X6499" s="3"/>
      <c r="Z6499" s="28"/>
    </row>
    <row r="6500" spans="2:26">
      <c r="B6500" s="2"/>
      <c r="N6500" s="27"/>
      <c r="R6500" s="15"/>
      <c r="X6500" s="3"/>
      <c r="Z6500" s="28"/>
    </row>
    <row r="6501" spans="2:26">
      <c r="B6501" s="2"/>
      <c r="N6501" s="27"/>
      <c r="R6501" s="15"/>
      <c r="X6501" s="3"/>
      <c r="Z6501" s="28"/>
    </row>
    <row r="6502" spans="2:26">
      <c r="B6502" s="2"/>
      <c r="N6502" s="27"/>
      <c r="R6502" s="15"/>
      <c r="X6502" s="3"/>
      <c r="Z6502" s="28"/>
    </row>
    <row r="6503" spans="2:26">
      <c r="B6503" s="2"/>
      <c r="N6503" s="27"/>
      <c r="R6503" s="15"/>
      <c r="X6503" s="3"/>
      <c r="Z6503" s="28"/>
    </row>
    <row r="6504" spans="2:26">
      <c r="B6504" s="2"/>
      <c r="N6504" s="27"/>
      <c r="R6504" s="15"/>
      <c r="X6504" s="3"/>
      <c r="Z6504" s="28"/>
    </row>
    <row r="6505" spans="2:26">
      <c r="B6505" s="2"/>
      <c r="N6505" s="27"/>
      <c r="R6505" s="15"/>
      <c r="X6505" s="3"/>
      <c r="Z6505" s="28"/>
    </row>
    <row r="6506" spans="2:26">
      <c r="B6506" s="2"/>
      <c r="N6506" s="27"/>
      <c r="R6506" s="15"/>
      <c r="X6506" s="3"/>
      <c r="Z6506" s="28"/>
    </row>
    <row r="6507" spans="2:26">
      <c r="B6507" s="2"/>
      <c r="N6507" s="27"/>
      <c r="R6507" s="15"/>
      <c r="X6507" s="3"/>
      <c r="Z6507" s="28"/>
    </row>
    <row r="6508" spans="2:26">
      <c r="B6508" s="2"/>
      <c r="N6508" s="27"/>
      <c r="R6508" s="15"/>
      <c r="X6508" s="3"/>
      <c r="Z6508" s="28"/>
    </row>
    <row r="6509" spans="2:26">
      <c r="B6509" s="2"/>
      <c r="N6509" s="27"/>
      <c r="R6509" s="15"/>
      <c r="X6509" s="3"/>
      <c r="Z6509" s="28"/>
    </row>
    <row r="6510" spans="2:26">
      <c r="B6510" s="2"/>
      <c r="N6510" s="27"/>
      <c r="R6510" s="15"/>
      <c r="X6510" s="3"/>
      <c r="Z6510" s="28"/>
    </row>
    <row r="6511" spans="2:26">
      <c r="B6511" s="2"/>
      <c r="N6511" s="27"/>
      <c r="R6511" s="15"/>
      <c r="X6511" s="3"/>
      <c r="Z6511" s="28"/>
    </row>
    <row r="6512" spans="2:26">
      <c r="B6512" s="2"/>
      <c r="N6512" s="27"/>
      <c r="R6512" s="15"/>
      <c r="X6512" s="3"/>
      <c r="Z6512" s="28"/>
    </row>
    <row r="6513" spans="2:26">
      <c r="B6513" s="2"/>
      <c r="N6513" s="27"/>
      <c r="R6513" s="15"/>
      <c r="X6513" s="3"/>
      <c r="Z6513" s="28"/>
    </row>
    <row r="6514" spans="2:26">
      <c r="B6514" s="2"/>
      <c r="N6514" s="27"/>
      <c r="R6514" s="15"/>
      <c r="X6514" s="3"/>
      <c r="Z6514" s="28"/>
    </row>
    <row r="6515" spans="2:26">
      <c r="B6515" s="2"/>
      <c r="N6515" s="27"/>
      <c r="R6515" s="15"/>
      <c r="X6515" s="3"/>
      <c r="Z6515" s="28"/>
    </row>
    <row r="6516" spans="2:26">
      <c r="B6516" s="2"/>
      <c r="N6516" s="27"/>
      <c r="R6516" s="15"/>
      <c r="X6516" s="3"/>
      <c r="Z6516" s="28"/>
    </row>
    <row r="6517" spans="2:26">
      <c r="B6517" s="2"/>
      <c r="N6517" s="27"/>
      <c r="R6517" s="15"/>
      <c r="X6517" s="3"/>
      <c r="Z6517" s="28"/>
    </row>
    <row r="6518" spans="2:26">
      <c r="B6518" s="2"/>
      <c r="N6518" s="27"/>
      <c r="R6518" s="15"/>
      <c r="X6518" s="3"/>
      <c r="Z6518" s="28"/>
    </row>
    <row r="6519" spans="2:26">
      <c r="B6519" s="2"/>
      <c r="N6519" s="27"/>
      <c r="R6519" s="15"/>
      <c r="X6519" s="3"/>
      <c r="Z6519" s="28"/>
    </row>
    <row r="6520" spans="2:26">
      <c r="B6520" s="2"/>
      <c r="N6520" s="27"/>
      <c r="R6520" s="15"/>
      <c r="X6520" s="3"/>
      <c r="Z6520" s="28"/>
    </row>
    <row r="6521" spans="2:26">
      <c r="B6521" s="2"/>
      <c r="N6521" s="27"/>
      <c r="R6521" s="15"/>
      <c r="X6521" s="3"/>
      <c r="Z6521" s="28"/>
    </row>
    <row r="6522" spans="2:26">
      <c r="B6522" s="2"/>
      <c r="N6522" s="27"/>
      <c r="R6522" s="15"/>
      <c r="X6522" s="3"/>
      <c r="Z6522" s="28"/>
    </row>
    <row r="6523" spans="2:26">
      <c r="B6523" s="2"/>
      <c r="N6523" s="27"/>
      <c r="R6523" s="15"/>
      <c r="X6523" s="3"/>
      <c r="Z6523" s="28"/>
    </row>
    <row r="6524" spans="2:26">
      <c r="B6524" s="2"/>
      <c r="N6524" s="27"/>
      <c r="R6524" s="15"/>
      <c r="X6524" s="3"/>
      <c r="Z6524" s="28"/>
    </row>
    <row r="6525" spans="2:26">
      <c r="B6525" s="2"/>
      <c r="N6525" s="27"/>
      <c r="R6525" s="15"/>
      <c r="X6525" s="3"/>
      <c r="Z6525" s="28"/>
    </row>
    <row r="6526" spans="2:26">
      <c r="B6526" s="2"/>
      <c r="N6526" s="27"/>
      <c r="R6526" s="15"/>
      <c r="X6526" s="3"/>
      <c r="Z6526" s="28"/>
    </row>
    <row r="6527" spans="2:26">
      <c r="B6527" s="2"/>
      <c r="N6527" s="27"/>
      <c r="R6527" s="15"/>
      <c r="X6527" s="3"/>
      <c r="Z6527" s="28"/>
    </row>
    <row r="6528" spans="2:26">
      <c r="B6528" s="2"/>
      <c r="N6528" s="27"/>
      <c r="R6528" s="15"/>
      <c r="X6528" s="3"/>
      <c r="Z6528" s="28"/>
    </row>
    <row r="6529" spans="2:26">
      <c r="B6529" s="2"/>
      <c r="N6529" s="27"/>
      <c r="R6529" s="15"/>
      <c r="X6529" s="3"/>
      <c r="Z6529" s="28"/>
    </row>
    <row r="6530" spans="2:26">
      <c r="B6530" s="2"/>
      <c r="N6530" s="27"/>
      <c r="R6530" s="15"/>
      <c r="X6530" s="3"/>
      <c r="Z6530" s="28"/>
    </row>
    <row r="6531" spans="2:26">
      <c r="B6531" s="2"/>
      <c r="N6531" s="27"/>
      <c r="R6531" s="15"/>
      <c r="X6531" s="3"/>
      <c r="Z6531" s="28"/>
    </row>
    <row r="6532" spans="2:26">
      <c r="B6532" s="2"/>
      <c r="N6532" s="27"/>
      <c r="R6532" s="15"/>
      <c r="X6532" s="3"/>
      <c r="Z6532" s="28"/>
    </row>
    <row r="6533" spans="2:26">
      <c r="B6533" s="2"/>
      <c r="N6533" s="27"/>
      <c r="R6533" s="15"/>
      <c r="X6533" s="3"/>
      <c r="Z6533" s="28"/>
    </row>
    <row r="6534" spans="2:26">
      <c r="B6534" s="2"/>
      <c r="N6534" s="27"/>
      <c r="R6534" s="15"/>
      <c r="X6534" s="3"/>
      <c r="Z6534" s="28"/>
    </row>
    <row r="6535" spans="2:26">
      <c r="B6535" s="2"/>
      <c r="N6535" s="27"/>
      <c r="R6535" s="15"/>
      <c r="X6535" s="3"/>
      <c r="Z6535" s="28"/>
    </row>
    <row r="6536" spans="2:26">
      <c r="B6536" s="2"/>
      <c r="N6536" s="27"/>
      <c r="R6536" s="15"/>
      <c r="X6536" s="3"/>
      <c r="Z6536" s="28"/>
    </row>
    <row r="6537" spans="2:26">
      <c r="B6537" s="2"/>
      <c r="N6537" s="27"/>
      <c r="R6537" s="15"/>
      <c r="X6537" s="3"/>
      <c r="Z6537" s="28"/>
    </row>
    <row r="6538" spans="2:26">
      <c r="B6538" s="2"/>
      <c r="N6538" s="27"/>
      <c r="R6538" s="15"/>
      <c r="X6538" s="3"/>
      <c r="Z6538" s="28"/>
    </row>
    <row r="6539" spans="2:26">
      <c r="B6539" s="2"/>
      <c r="N6539" s="27"/>
      <c r="R6539" s="15"/>
      <c r="X6539" s="3"/>
      <c r="Z6539" s="28"/>
    </row>
    <row r="6540" spans="2:26">
      <c r="B6540" s="2"/>
      <c r="N6540" s="27"/>
      <c r="R6540" s="15"/>
      <c r="X6540" s="3"/>
      <c r="Z6540" s="28"/>
    </row>
    <row r="6541" spans="2:26">
      <c r="B6541" s="2"/>
      <c r="N6541" s="27"/>
      <c r="R6541" s="15"/>
      <c r="X6541" s="3"/>
      <c r="Z6541" s="28"/>
    </row>
    <row r="6542" spans="2:26">
      <c r="B6542" s="2"/>
      <c r="N6542" s="27"/>
      <c r="R6542" s="15"/>
      <c r="X6542" s="3"/>
      <c r="Z6542" s="28"/>
    </row>
    <row r="6543" spans="2:26">
      <c r="B6543" s="2"/>
      <c r="N6543" s="27"/>
      <c r="R6543" s="15"/>
      <c r="X6543" s="3"/>
      <c r="Z6543" s="28"/>
    </row>
    <row r="6544" spans="2:26">
      <c r="B6544" s="2"/>
      <c r="N6544" s="27"/>
      <c r="R6544" s="15"/>
      <c r="X6544" s="3"/>
      <c r="Z6544" s="28"/>
    </row>
    <row r="6545" spans="2:26">
      <c r="B6545" s="2"/>
      <c r="N6545" s="27"/>
      <c r="R6545" s="15"/>
      <c r="X6545" s="3"/>
      <c r="Z6545" s="28"/>
    </row>
    <row r="6546" spans="2:26">
      <c r="B6546" s="2"/>
      <c r="N6546" s="27"/>
      <c r="R6546" s="15"/>
      <c r="X6546" s="3"/>
      <c r="Z6546" s="28"/>
    </row>
    <row r="6547" spans="2:26">
      <c r="B6547" s="2"/>
      <c r="N6547" s="27"/>
      <c r="R6547" s="15"/>
      <c r="X6547" s="3"/>
      <c r="Z6547" s="28"/>
    </row>
    <row r="6548" spans="2:26">
      <c r="B6548" s="2"/>
      <c r="N6548" s="27"/>
      <c r="R6548" s="15"/>
      <c r="X6548" s="3"/>
      <c r="Z6548" s="28"/>
    </row>
    <row r="6549" spans="2:26">
      <c r="B6549" s="2"/>
      <c r="N6549" s="27"/>
      <c r="R6549" s="15"/>
      <c r="X6549" s="3"/>
      <c r="Z6549" s="28"/>
    </row>
    <row r="6550" spans="2:26">
      <c r="B6550" s="2"/>
      <c r="N6550" s="27"/>
      <c r="R6550" s="15"/>
      <c r="X6550" s="3"/>
      <c r="Z6550" s="28"/>
    </row>
    <row r="6551" spans="2:26">
      <c r="B6551" s="2"/>
      <c r="N6551" s="27"/>
      <c r="R6551" s="15"/>
      <c r="X6551" s="3"/>
      <c r="Z6551" s="28"/>
    </row>
    <row r="6552" spans="2:26">
      <c r="B6552" s="2"/>
      <c r="N6552" s="27"/>
      <c r="R6552" s="15"/>
      <c r="X6552" s="3"/>
      <c r="Z6552" s="28"/>
    </row>
    <row r="6553" spans="2:26">
      <c r="B6553" s="2"/>
      <c r="N6553" s="27"/>
      <c r="R6553" s="15"/>
      <c r="X6553" s="3"/>
      <c r="Z6553" s="28"/>
    </row>
    <row r="6554" spans="2:26">
      <c r="B6554" s="2"/>
      <c r="N6554" s="27"/>
      <c r="R6554" s="15"/>
      <c r="X6554" s="3"/>
      <c r="Z6554" s="28"/>
    </row>
    <row r="6555" spans="2:26">
      <c r="B6555" s="2"/>
      <c r="N6555" s="27"/>
      <c r="R6555" s="15"/>
      <c r="X6555" s="3"/>
      <c r="Z6555" s="28"/>
    </row>
    <row r="6556" spans="2:26">
      <c r="B6556" s="2"/>
      <c r="N6556" s="27"/>
      <c r="R6556" s="15"/>
      <c r="X6556" s="3"/>
      <c r="Z6556" s="28"/>
    </row>
    <row r="6557" spans="2:26">
      <c r="B6557" s="2"/>
      <c r="N6557" s="27"/>
      <c r="R6557" s="15"/>
      <c r="X6557" s="3"/>
      <c r="Z6557" s="28"/>
    </row>
    <row r="6558" spans="2:26">
      <c r="B6558" s="2"/>
      <c r="N6558" s="27"/>
      <c r="R6558" s="15"/>
      <c r="X6558" s="3"/>
      <c r="Z6558" s="28"/>
    </row>
    <row r="6559" spans="2:26">
      <c r="B6559" s="2"/>
      <c r="N6559" s="27"/>
      <c r="R6559" s="15"/>
      <c r="X6559" s="3"/>
      <c r="Z6559" s="28"/>
    </row>
    <row r="6560" spans="2:26">
      <c r="B6560" s="2"/>
      <c r="N6560" s="27"/>
      <c r="R6560" s="15"/>
      <c r="X6560" s="3"/>
      <c r="Z6560" s="28"/>
    </row>
    <row r="6561" spans="2:26">
      <c r="B6561" s="2"/>
      <c r="N6561" s="27"/>
      <c r="R6561" s="15"/>
      <c r="X6561" s="3"/>
      <c r="Z6561" s="28"/>
    </row>
    <row r="6562" spans="2:26">
      <c r="B6562" s="2"/>
      <c r="N6562" s="27"/>
      <c r="R6562" s="15"/>
      <c r="X6562" s="3"/>
      <c r="Z6562" s="28"/>
    </row>
    <row r="6563" spans="2:26">
      <c r="B6563" s="2"/>
      <c r="N6563" s="27"/>
      <c r="R6563" s="15"/>
      <c r="X6563" s="3"/>
      <c r="Z6563" s="28"/>
    </row>
    <row r="6564" spans="2:26">
      <c r="B6564" s="2"/>
      <c r="N6564" s="27"/>
      <c r="R6564" s="15"/>
      <c r="X6564" s="3"/>
      <c r="Z6564" s="28"/>
    </row>
    <row r="6565" spans="2:26">
      <c r="B6565" s="2"/>
      <c r="N6565" s="27"/>
      <c r="R6565" s="15"/>
      <c r="X6565" s="3"/>
      <c r="Z6565" s="28"/>
    </row>
    <row r="6566" spans="2:26">
      <c r="B6566" s="2"/>
      <c r="N6566" s="27"/>
      <c r="R6566" s="15"/>
      <c r="X6566" s="3"/>
      <c r="Z6566" s="28"/>
    </row>
    <row r="6567" spans="2:26">
      <c r="B6567" s="2"/>
      <c r="N6567" s="27"/>
      <c r="R6567" s="15"/>
      <c r="X6567" s="3"/>
      <c r="Z6567" s="28"/>
    </row>
    <row r="6568" spans="2:26">
      <c r="B6568" s="2"/>
      <c r="N6568" s="27"/>
      <c r="R6568" s="15"/>
      <c r="X6568" s="3"/>
      <c r="Z6568" s="28"/>
    </row>
    <row r="6569" spans="2:26">
      <c r="B6569" s="2"/>
      <c r="N6569" s="27"/>
      <c r="R6569" s="15"/>
      <c r="X6569" s="3"/>
      <c r="Z6569" s="28"/>
    </row>
    <row r="6570" spans="2:26">
      <c r="B6570" s="2"/>
      <c r="N6570" s="27"/>
      <c r="R6570" s="15"/>
      <c r="X6570" s="3"/>
      <c r="Z6570" s="28"/>
    </row>
    <row r="6571" spans="2:26">
      <c r="B6571" s="2"/>
      <c r="N6571" s="27"/>
      <c r="R6571" s="15"/>
      <c r="X6571" s="3"/>
      <c r="Z6571" s="28"/>
    </row>
    <row r="6572" spans="2:26">
      <c r="B6572" s="2"/>
      <c r="N6572" s="27"/>
      <c r="R6572" s="15"/>
      <c r="X6572" s="3"/>
      <c r="Z6572" s="28"/>
    </row>
    <row r="6573" spans="2:26">
      <c r="B6573" s="2"/>
      <c r="N6573" s="27"/>
      <c r="R6573" s="15"/>
      <c r="X6573" s="3"/>
      <c r="Z6573" s="28"/>
    </row>
    <row r="6574" spans="2:26">
      <c r="B6574" s="2"/>
      <c r="N6574" s="27"/>
      <c r="R6574" s="15"/>
      <c r="X6574" s="3"/>
      <c r="Z6574" s="28"/>
    </row>
    <row r="6575" spans="2:26">
      <c r="B6575" s="2"/>
      <c r="N6575" s="27"/>
      <c r="R6575" s="15"/>
      <c r="X6575" s="3"/>
      <c r="Z6575" s="28"/>
    </row>
    <row r="6576" spans="2:26">
      <c r="B6576" s="2"/>
      <c r="N6576" s="27"/>
      <c r="R6576" s="15"/>
      <c r="X6576" s="3"/>
      <c r="Z6576" s="28"/>
    </row>
    <row r="6577" spans="2:26">
      <c r="B6577" s="2"/>
      <c r="N6577" s="27"/>
      <c r="R6577" s="15"/>
      <c r="X6577" s="3"/>
      <c r="Z6577" s="28"/>
    </row>
    <row r="6578" spans="2:26">
      <c r="B6578" s="2"/>
      <c r="N6578" s="27"/>
      <c r="R6578" s="15"/>
      <c r="X6578" s="3"/>
      <c r="Z6578" s="28"/>
    </row>
    <row r="6579" spans="2:26">
      <c r="B6579" s="2"/>
      <c r="N6579" s="27"/>
      <c r="R6579" s="15"/>
      <c r="X6579" s="3"/>
      <c r="Z6579" s="28"/>
    </row>
    <row r="6580" spans="2:26">
      <c r="B6580" s="2"/>
      <c r="N6580" s="27"/>
      <c r="R6580" s="15"/>
      <c r="X6580" s="3"/>
      <c r="Z6580" s="28"/>
    </row>
    <row r="6581" spans="2:26">
      <c r="B6581" s="2"/>
      <c r="N6581" s="27"/>
      <c r="R6581" s="15"/>
      <c r="X6581" s="3"/>
      <c r="Z6581" s="28"/>
    </row>
    <row r="6582" spans="2:26">
      <c r="B6582" s="2"/>
      <c r="N6582" s="27"/>
      <c r="R6582" s="15"/>
      <c r="X6582" s="3"/>
      <c r="Z6582" s="28"/>
    </row>
    <row r="6583" spans="2:26">
      <c r="B6583" s="2"/>
      <c r="N6583" s="27"/>
      <c r="R6583" s="15"/>
      <c r="X6583" s="3"/>
      <c r="Z6583" s="28"/>
    </row>
    <row r="6584" spans="2:26">
      <c r="B6584" s="2"/>
      <c r="N6584" s="27"/>
      <c r="R6584" s="15"/>
      <c r="X6584" s="3"/>
      <c r="Z6584" s="28"/>
    </row>
    <row r="6585" spans="2:26">
      <c r="B6585" s="2"/>
      <c r="N6585" s="27"/>
      <c r="R6585" s="15"/>
      <c r="X6585" s="3"/>
      <c r="Z6585" s="28"/>
    </row>
    <row r="6586" spans="2:26">
      <c r="B6586" s="2"/>
      <c r="N6586" s="27"/>
      <c r="R6586" s="15"/>
      <c r="X6586" s="3"/>
      <c r="Z6586" s="28"/>
    </row>
    <row r="6587" spans="2:26">
      <c r="B6587" s="2"/>
      <c r="N6587" s="27"/>
      <c r="R6587" s="15"/>
      <c r="X6587" s="3"/>
      <c r="Z6587" s="28"/>
    </row>
    <row r="6588" spans="2:26">
      <c r="B6588" s="2"/>
      <c r="N6588" s="27"/>
      <c r="R6588" s="15"/>
      <c r="X6588" s="3"/>
      <c r="Z6588" s="28"/>
    </row>
    <row r="6589" spans="2:26">
      <c r="B6589" s="2"/>
      <c r="N6589" s="27"/>
      <c r="R6589" s="15"/>
      <c r="X6589" s="3"/>
      <c r="Z6589" s="28"/>
    </row>
    <row r="6590" spans="2:26">
      <c r="B6590" s="2"/>
      <c r="N6590" s="27"/>
      <c r="R6590" s="15"/>
      <c r="X6590" s="3"/>
      <c r="Z6590" s="28"/>
    </row>
    <row r="6591" spans="2:26">
      <c r="B6591" s="2"/>
      <c r="N6591" s="27"/>
      <c r="R6591" s="15"/>
      <c r="X6591" s="3"/>
      <c r="Z6591" s="28"/>
    </row>
    <row r="6592" spans="2:26">
      <c r="B6592" s="2"/>
      <c r="N6592" s="27"/>
      <c r="R6592" s="15"/>
      <c r="X6592" s="3"/>
      <c r="Z6592" s="28"/>
    </row>
    <row r="6593" spans="2:26">
      <c r="B6593" s="2"/>
      <c r="N6593" s="27"/>
      <c r="R6593" s="15"/>
      <c r="X6593" s="3"/>
      <c r="Z6593" s="28"/>
    </row>
    <row r="6594" spans="2:26">
      <c r="B6594" s="2"/>
      <c r="N6594" s="27"/>
      <c r="R6594" s="15"/>
      <c r="X6594" s="3"/>
      <c r="Z6594" s="28"/>
    </row>
    <row r="6595" spans="2:26">
      <c r="B6595" s="2"/>
      <c r="N6595" s="27"/>
      <c r="R6595" s="15"/>
      <c r="X6595" s="3"/>
      <c r="Z6595" s="28"/>
    </row>
    <row r="6596" spans="2:26">
      <c r="B6596" s="2"/>
      <c r="N6596" s="27"/>
      <c r="R6596" s="15"/>
      <c r="X6596" s="3"/>
      <c r="Z6596" s="28"/>
    </row>
    <row r="6597" spans="2:26">
      <c r="B6597" s="2"/>
      <c r="N6597" s="27"/>
      <c r="R6597" s="15"/>
      <c r="X6597" s="3"/>
      <c r="Z6597" s="28"/>
    </row>
    <row r="6598" spans="2:26">
      <c r="B6598" s="2"/>
      <c r="N6598" s="27"/>
      <c r="R6598" s="15"/>
      <c r="X6598" s="3"/>
      <c r="Z6598" s="28"/>
    </row>
    <row r="6599" spans="2:26">
      <c r="B6599" s="2"/>
      <c r="N6599" s="27"/>
      <c r="R6599" s="15"/>
      <c r="X6599" s="3"/>
      <c r="Z6599" s="28"/>
    </row>
    <row r="6600" spans="2:26">
      <c r="B6600" s="2"/>
      <c r="N6600" s="27"/>
      <c r="R6600" s="15"/>
      <c r="X6600" s="3"/>
      <c r="Z6600" s="28"/>
    </row>
    <row r="6601" spans="2:26">
      <c r="B6601" s="2"/>
      <c r="N6601" s="27"/>
      <c r="R6601" s="15"/>
      <c r="X6601" s="3"/>
      <c r="Z6601" s="28"/>
    </row>
    <row r="6602" spans="2:26">
      <c r="B6602" s="2"/>
      <c r="N6602" s="27"/>
      <c r="R6602" s="15"/>
      <c r="X6602" s="3"/>
      <c r="Z6602" s="28"/>
    </row>
    <row r="6603" spans="2:26">
      <c r="B6603" s="2"/>
      <c r="N6603" s="27"/>
      <c r="R6603" s="15"/>
      <c r="X6603" s="3"/>
      <c r="Z6603" s="28"/>
    </row>
    <row r="6604" spans="2:26">
      <c r="B6604" s="2"/>
      <c r="N6604" s="27"/>
      <c r="R6604" s="15"/>
      <c r="X6604" s="3"/>
      <c r="Z6604" s="28"/>
    </row>
    <row r="6605" spans="2:26">
      <c r="B6605" s="2"/>
      <c r="N6605" s="27"/>
      <c r="R6605" s="15"/>
      <c r="X6605" s="3"/>
      <c r="Z6605" s="28"/>
    </row>
    <row r="6606" spans="2:26">
      <c r="B6606" s="2"/>
      <c r="N6606" s="27"/>
      <c r="R6606" s="15"/>
      <c r="X6606" s="3"/>
      <c r="Z6606" s="28"/>
    </row>
    <row r="6607" spans="2:26">
      <c r="B6607" s="2"/>
      <c r="N6607" s="27"/>
      <c r="R6607" s="15"/>
      <c r="X6607" s="3"/>
      <c r="Z6607" s="28"/>
    </row>
    <row r="6608" spans="2:26">
      <c r="B6608" s="2"/>
      <c r="N6608" s="27"/>
      <c r="R6608" s="15"/>
      <c r="X6608" s="3"/>
      <c r="Z6608" s="28"/>
    </row>
    <row r="6609" spans="2:26">
      <c r="B6609" s="2"/>
      <c r="N6609" s="27"/>
      <c r="R6609" s="15"/>
      <c r="X6609" s="3"/>
      <c r="Z6609" s="28"/>
    </row>
    <row r="6610" spans="2:26">
      <c r="B6610" s="2"/>
      <c r="N6610" s="27"/>
      <c r="R6610" s="15"/>
      <c r="X6610" s="3"/>
      <c r="Z6610" s="28"/>
    </row>
    <row r="6611" spans="2:26">
      <c r="B6611" s="2"/>
      <c r="N6611" s="27"/>
      <c r="R6611" s="15"/>
      <c r="X6611" s="3"/>
      <c r="Z6611" s="28"/>
    </row>
    <row r="6612" spans="2:26">
      <c r="B6612" s="2"/>
      <c r="N6612" s="27"/>
      <c r="R6612" s="15"/>
      <c r="X6612" s="3"/>
      <c r="Z6612" s="28"/>
    </row>
    <row r="6613" spans="2:26">
      <c r="B6613" s="2"/>
      <c r="N6613" s="27"/>
      <c r="R6613" s="15"/>
      <c r="X6613" s="3"/>
      <c r="Z6613" s="28"/>
    </row>
    <row r="6614" spans="2:26">
      <c r="B6614" s="2"/>
      <c r="N6614" s="27"/>
      <c r="R6614" s="15"/>
      <c r="X6614" s="3"/>
      <c r="Z6614" s="28"/>
    </row>
    <row r="6615" spans="2:26">
      <c r="B6615" s="2"/>
      <c r="N6615" s="27"/>
      <c r="R6615" s="15"/>
      <c r="X6615" s="3"/>
      <c r="Z6615" s="28"/>
    </row>
    <row r="6616" spans="2:26">
      <c r="B6616" s="2"/>
      <c r="N6616" s="27"/>
      <c r="R6616" s="15"/>
      <c r="X6616" s="3"/>
      <c r="Z6616" s="28"/>
    </row>
    <row r="6617" spans="2:26">
      <c r="B6617" s="2"/>
      <c r="N6617" s="27"/>
      <c r="R6617" s="15"/>
      <c r="X6617" s="3"/>
      <c r="Z6617" s="28"/>
    </row>
    <row r="6618" spans="2:26">
      <c r="B6618" s="2"/>
      <c r="N6618" s="27"/>
      <c r="R6618" s="15"/>
      <c r="X6618" s="3"/>
      <c r="Z6618" s="28"/>
    </row>
    <row r="6619" spans="2:26">
      <c r="B6619" s="2"/>
      <c r="N6619" s="27"/>
      <c r="R6619" s="15"/>
      <c r="X6619" s="3"/>
      <c r="Z6619" s="28"/>
    </row>
    <row r="6620" spans="2:26">
      <c r="B6620" s="2"/>
      <c r="N6620" s="27"/>
      <c r="R6620" s="15"/>
      <c r="X6620" s="3"/>
      <c r="Z6620" s="28"/>
    </row>
    <row r="6621" spans="2:26">
      <c r="B6621" s="2"/>
      <c r="N6621" s="27"/>
      <c r="R6621" s="15"/>
      <c r="X6621" s="3"/>
      <c r="Z6621" s="28"/>
    </row>
    <row r="6622" spans="2:26">
      <c r="B6622" s="2"/>
      <c r="N6622" s="27"/>
      <c r="R6622" s="15"/>
      <c r="X6622" s="3"/>
      <c r="Z6622" s="28"/>
    </row>
    <row r="6623" spans="2:26">
      <c r="B6623" s="2"/>
      <c r="N6623" s="27"/>
      <c r="R6623" s="15"/>
      <c r="X6623" s="3"/>
      <c r="Z6623" s="28"/>
    </row>
    <row r="6624" spans="2:26">
      <c r="B6624" s="2"/>
      <c r="N6624" s="27"/>
      <c r="R6624" s="15"/>
      <c r="X6624" s="3"/>
      <c r="Z6624" s="28"/>
    </row>
    <row r="6625" spans="2:26">
      <c r="B6625" s="2"/>
      <c r="N6625" s="27"/>
      <c r="R6625" s="15"/>
      <c r="X6625" s="3"/>
      <c r="Z6625" s="28"/>
    </row>
    <row r="6626" spans="2:26">
      <c r="B6626" s="2"/>
      <c r="N6626" s="27"/>
      <c r="R6626" s="15"/>
      <c r="X6626" s="3"/>
      <c r="Z6626" s="28"/>
    </row>
    <row r="6627" spans="2:26">
      <c r="B6627" s="2"/>
      <c r="N6627" s="27"/>
      <c r="R6627" s="15"/>
      <c r="X6627" s="3"/>
      <c r="Z6627" s="28"/>
    </row>
    <row r="6628" spans="2:26">
      <c r="B6628" s="2"/>
      <c r="N6628" s="27"/>
      <c r="R6628" s="15"/>
      <c r="X6628" s="3"/>
      <c r="Z6628" s="28"/>
    </row>
    <row r="6629" spans="2:26">
      <c r="B6629" s="2"/>
      <c r="N6629" s="27"/>
      <c r="R6629" s="15"/>
      <c r="X6629" s="3"/>
      <c r="Z6629" s="28"/>
    </row>
    <row r="6630" spans="2:26">
      <c r="B6630" s="2"/>
      <c r="N6630" s="27"/>
      <c r="R6630" s="15"/>
      <c r="X6630" s="3"/>
      <c r="Z6630" s="28"/>
    </row>
    <row r="6631" spans="2:26">
      <c r="B6631" s="2"/>
      <c r="N6631" s="27"/>
      <c r="R6631" s="15"/>
      <c r="X6631" s="3"/>
      <c r="Z6631" s="28"/>
    </row>
    <row r="6632" spans="2:26">
      <c r="B6632" s="2"/>
      <c r="N6632" s="27"/>
      <c r="R6632" s="15"/>
      <c r="X6632" s="3"/>
      <c r="Z6632" s="28"/>
    </row>
    <row r="6633" spans="2:26">
      <c r="B6633" s="2"/>
      <c r="N6633" s="27"/>
      <c r="R6633" s="15"/>
      <c r="X6633" s="3"/>
      <c r="Z6633" s="28"/>
    </row>
    <row r="6634" spans="2:26">
      <c r="B6634" s="2"/>
      <c r="N6634" s="27"/>
      <c r="R6634" s="15"/>
      <c r="X6634" s="3"/>
      <c r="Z6634" s="28"/>
    </row>
    <row r="6635" spans="2:26">
      <c r="B6635" s="2"/>
      <c r="N6635" s="27"/>
      <c r="R6635" s="15"/>
      <c r="X6635" s="3"/>
      <c r="Z6635" s="28"/>
    </row>
    <row r="6636" spans="2:26">
      <c r="B6636" s="2"/>
      <c r="N6636" s="27"/>
      <c r="R6636" s="15"/>
      <c r="X6636" s="3"/>
      <c r="Z6636" s="28"/>
    </row>
    <row r="6637" spans="2:26">
      <c r="B6637" s="2"/>
      <c r="N6637" s="27"/>
      <c r="R6637" s="15"/>
      <c r="X6637" s="3"/>
      <c r="Z6637" s="28"/>
    </row>
    <row r="6638" spans="2:26">
      <c r="B6638" s="2"/>
      <c r="N6638" s="27"/>
      <c r="R6638" s="15"/>
      <c r="X6638" s="3"/>
      <c r="Z6638" s="28"/>
    </row>
    <row r="6639" spans="2:26">
      <c r="B6639" s="2"/>
      <c r="N6639" s="27"/>
      <c r="R6639" s="15"/>
      <c r="X6639" s="3"/>
      <c r="Z6639" s="28"/>
    </row>
    <row r="6640" spans="2:26">
      <c r="B6640" s="2"/>
      <c r="N6640" s="27"/>
      <c r="R6640" s="15"/>
      <c r="X6640" s="3"/>
      <c r="Z6640" s="28"/>
    </row>
    <row r="6641" spans="2:26">
      <c r="B6641" s="2"/>
      <c r="N6641" s="27"/>
      <c r="R6641" s="15"/>
      <c r="X6641" s="3"/>
      <c r="Z6641" s="28"/>
    </row>
    <row r="6642" spans="2:26">
      <c r="B6642" s="2"/>
      <c r="N6642" s="27"/>
      <c r="R6642" s="15"/>
      <c r="X6642" s="3"/>
      <c r="Z6642" s="28"/>
    </row>
    <row r="6643" spans="2:26">
      <c r="B6643" s="2"/>
      <c r="N6643" s="27"/>
      <c r="R6643" s="15"/>
      <c r="X6643" s="3"/>
      <c r="Z6643" s="28"/>
    </row>
    <row r="6644" spans="2:26">
      <c r="B6644" s="2"/>
      <c r="N6644" s="27"/>
      <c r="R6644" s="15"/>
      <c r="X6644" s="3"/>
      <c r="Z6644" s="28"/>
    </row>
    <row r="6645" spans="2:26">
      <c r="B6645" s="2"/>
      <c r="N6645" s="27"/>
      <c r="R6645" s="15"/>
      <c r="X6645" s="3"/>
      <c r="Z6645" s="28"/>
    </row>
    <row r="6646" spans="2:26">
      <c r="B6646" s="2"/>
      <c r="N6646" s="27"/>
      <c r="R6646" s="15"/>
      <c r="X6646" s="3"/>
      <c r="Z6646" s="28"/>
    </row>
    <row r="6647" spans="2:26">
      <c r="B6647" s="2"/>
      <c r="N6647" s="27"/>
      <c r="R6647" s="15"/>
      <c r="X6647" s="3"/>
      <c r="Z6647" s="28"/>
    </row>
    <row r="6648" spans="2:26">
      <c r="B6648" s="2"/>
      <c r="N6648" s="27"/>
      <c r="R6648" s="15"/>
      <c r="X6648" s="3"/>
      <c r="Z6648" s="28"/>
    </row>
    <row r="6649" spans="2:26">
      <c r="B6649" s="2"/>
      <c r="N6649" s="27"/>
      <c r="R6649" s="15"/>
      <c r="X6649" s="3"/>
      <c r="Z6649" s="28"/>
    </row>
    <row r="6650" spans="2:26">
      <c r="B6650" s="2"/>
      <c r="N6650" s="27"/>
      <c r="R6650" s="15"/>
      <c r="X6650" s="3"/>
      <c r="Z6650" s="28"/>
    </row>
    <row r="6651" spans="2:26">
      <c r="B6651" s="2"/>
      <c r="N6651" s="27"/>
      <c r="R6651" s="15"/>
      <c r="X6651" s="3"/>
      <c r="Z6651" s="28"/>
    </row>
    <row r="6652" spans="2:26">
      <c r="B6652" s="2"/>
      <c r="N6652" s="27"/>
      <c r="R6652" s="15"/>
      <c r="X6652" s="3"/>
      <c r="Z6652" s="28"/>
    </row>
    <row r="6653" spans="2:26">
      <c r="B6653" s="2"/>
      <c r="N6653" s="27"/>
      <c r="R6653" s="15"/>
      <c r="X6653" s="3"/>
      <c r="Z6653" s="28"/>
    </row>
    <row r="6654" spans="2:26">
      <c r="B6654" s="2"/>
      <c r="N6654" s="27"/>
      <c r="R6654" s="15"/>
      <c r="X6654" s="3"/>
      <c r="Z6654" s="28"/>
    </row>
    <row r="6655" spans="2:26">
      <c r="B6655" s="2"/>
      <c r="N6655" s="27"/>
      <c r="R6655" s="15"/>
      <c r="X6655" s="3"/>
      <c r="Z6655" s="28"/>
    </row>
    <row r="6656" spans="2:26">
      <c r="B6656" s="2"/>
      <c r="N6656" s="27"/>
      <c r="R6656" s="15"/>
      <c r="X6656" s="3"/>
      <c r="Z6656" s="28"/>
    </row>
    <row r="6657" spans="2:26">
      <c r="B6657" s="2"/>
      <c r="N6657" s="27"/>
      <c r="R6657" s="15"/>
      <c r="X6657" s="3"/>
      <c r="Z6657" s="28"/>
    </row>
    <row r="6658" spans="2:26">
      <c r="B6658" s="2"/>
      <c r="N6658" s="27"/>
      <c r="R6658" s="15"/>
      <c r="X6658" s="3"/>
      <c r="Z6658" s="28"/>
    </row>
    <row r="6659" spans="2:26">
      <c r="B6659" s="2"/>
      <c r="N6659" s="27"/>
      <c r="R6659" s="15"/>
      <c r="X6659" s="3"/>
      <c r="Z6659" s="28"/>
    </row>
    <row r="6660" spans="2:26">
      <c r="B6660" s="2"/>
      <c r="N6660" s="27"/>
      <c r="R6660" s="15"/>
      <c r="X6660" s="3"/>
      <c r="Z6660" s="28"/>
    </row>
    <row r="6661" spans="2:26">
      <c r="B6661" s="2"/>
      <c r="N6661" s="27"/>
      <c r="R6661" s="15"/>
      <c r="X6661" s="3"/>
      <c r="Z6661" s="28"/>
    </row>
    <row r="6662" spans="2:26">
      <c r="B6662" s="2"/>
      <c r="N6662" s="27"/>
      <c r="R6662" s="15"/>
      <c r="X6662" s="3"/>
      <c r="Z6662" s="28"/>
    </row>
    <row r="6663" spans="2:26">
      <c r="B6663" s="2"/>
      <c r="N6663" s="27"/>
      <c r="R6663" s="15"/>
      <c r="X6663" s="3"/>
      <c r="Z6663" s="28"/>
    </row>
    <row r="6664" spans="2:26">
      <c r="B6664" s="2"/>
      <c r="N6664" s="27"/>
      <c r="R6664" s="15"/>
      <c r="X6664" s="3"/>
      <c r="Z6664" s="28"/>
    </row>
    <row r="6665" spans="2:26">
      <c r="B6665" s="2"/>
      <c r="N6665" s="27"/>
      <c r="R6665" s="15"/>
      <c r="X6665" s="3"/>
      <c r="Z6665" s="28"/>
    </row>
    <row r="6666" spans="2:26">
      <c r="B6666" s="2"/>
      <c r="N6666" s="27"/>
      <c r="R6666" s="15"/>
      <c r="X6666" s="3"/>
      <c r="Z6666" s="28"/>
    </row>
    <row r="6667" spans="2:26">
      <c r="B6667" s="2"/>
      <c r="N6667" s="27"/>
      <c r="R6667" s="15"/>
      <c r="X6667" s="3"/>
      <c r="Z6667" s="28"/>
    </row>
    <row r="6668" spans="2:26">
      <c r="B6668" s="2"/>
      <c r="N6668" s="27"/>
      <c r="R6668" s="15"/>
      <c r="X6668" s="3"/>
      <c r="Z6668" s="28"/>
    </row>
    <row r="6669" spans="2:26">
      <c r="B6669" s="2"/>
      <c r="N6669" s="27"/>
      <c r="R6669" s="15"/>
      <c r="X6669" s="3"/>
      <c r="Z6669" s="28"/>
    </row>
    <row r="6670" spans="2:26">
      <c r="B6670" s="2"/>
      <c r="N6670" s="27"/>
      <c r="R6670" s="15"/>
      <c r="X6670" s="3"/>
      <c r="Z6670" s="28"/>
    </row>
    <row r="6671" spans="2:26">
      <c r="B6671" s="2"/>
      <c r="N6671" s="27"/>
      <c r="R6671" s="15"/>
      <c r="X6671" s="3"/>
      <c r="Z6671" s="28"/>
    </row>
    <row r="6672" spans="2:26">
      <c r="B6672" s="2"/>
      <c r="N6672" s="27"/>
      <c r="R6672" s="15"/>
      <c r="X6672" s="3"/>
      <c r="Z6672" s="28"/>
    </row>
    <row r="6673" spans="2:26">
      <c r="B6673" s="2"/>
      <c r="N6673" s="27"/>
      <c r="R6673" s="15"/>
      <c r="X6673" s="3"/>
      <c r="Z6673" s="28"/>
    </row>
    <row r="6674" spans="2:26">
      <c r="B6674" s="2"/>
      <c r="N6674" s="27"/>
      <c r="R6674" s="15"/>
      <c r="X6674" s="3"/>
      <c r="Z6674" s="28"/>
    </row>
    <row r="6675" spans="2:26">
      <c r="B6675" s="2"/>
      <c r="N6675" s="27"/>
      <c r="R6675" s="15"/>
      <c r="X6675" s="3"/>
      <c r="Z6675" s="28"/>
    </row>
    <row r="6676" spans="2:26">
      <c r="B6676" s="2"/>
      <c r="N6676" s="27"/>
      <c r="R6676" s="15"/>
      <c r="X6676" s="3"/>
      <c r="Z6676" s="28"/>
    </row>
    <row r="6677" spans="2:26">
      <c r="B6677" s="2"/>
      <c r="N6677" s="27"/>
      <c r="R6677" s="15"/>
      <c r="X6677" s="3"/>
      <c r="Z6677" s="28"/>
    </row>
    <row r="6678" spans="2:26">
      <c r="B6678" s="2"/>
      <c r="N6678" s="27"/>
      <c r="R6678" s="15"/>
      <c r="X6678" s="3"/>
      <c r="Z6678" s="28"/>
    </row>
    <row r="6679" spans="2:26">
      <c r="B6679" s="2"/>
      <c r="N6679" s="27"/>
      <c r="R6679" s="15"/>
      <c r="X6679" s="3"/>
      <c r="Z6679" s="28"/>
    </row>
    <row r="6680" spans="2:26">
      <c r="B6680" s="2"/>
      <c r="N6680" s="27"/>
      <c r="R6680" s="15"/>
      <c r="X6680" s="3"/>
      <c r="Z6680" s="28"/>
    </row>
    <row r="6681" spans="2:26">
      <c r="B6681" s="2"/>
      <c r="N6681" s="27"/>
      <c r="R6681" s="15"/>
      <c r="X6681" s="3"/>
      <c r="Z6681" s="28"/>
    </row>
    <row r="6682" spans="2:26">
      <c r="B6682" s="2"/>
      <c r="N6682" s="27"/>
      <c r="R6682" s="15"/>
      <c r="X6682" s="3"/>
      <c r="Z6682" s="28"/>
    </row>
    <row r="6683" spans="2:26">
      <c r="B6683" s="2"/>
      <c r="N6683" s="27"/>
      <c r="R6683" s="15"/>
      <c r="X6683" s="3"/>
      <c r="Z6683" s="28"/>
    </row>
    <row r="6684" spans="2:26">
      <c r="B6684" s="2"/>
      <c r="N6684" s="27"/>
      <c r="R6684" s="15"/>
      <c r="X6684" s="3"/>
      <c r="Z6684" s="28"/>
    </row>
    <row r="6685" spans="2:26">
      <c r="B6685" s="2"/>
      <c r="N6685" s="27"/>
      <c r="R6685" s="15"/>
      <c r="X6685" s="3"/>
      <c r="Z6685" s="28"/>
    </row>
    <row r="6686" spans="2:26">
      <c r="B6686" s="2"/>
      <c r="N6686" s="27"/>
      <c r="R6686" s="15"/>
      <c r="X6686" s="3"/>
      <c r="Z6686" s="28"/>
    </row>
    <row r="6687" spans="2:26">
      <c r="B6687" s="2"/>
      <c r="N6687" s="27"/>
      <c r="R6687" s="15"/>
      <c r="X6687" s="3"/>
      <c r="Z6687" s="28"/>
    </row>
    <row r="6688" spans="2:26">
      <c r="B6688" s="2"/>
      <c r="N6688" s="27"/>
      <c r="R6688" s="15"/>
      <c r="X6688" s="3"/>
      <c r="Z6688" s="28"/>
    </row>
    <row r="6689" spans="2:26">
      <c r="B6689" s="2"/>
      <c r="N6689" s="27"/>
      <c r="R6689" s="15"/>
      <c r="X6689" s="3"/>
      <c r="Z6689" s="28"/>
    </row>
    <row r="6690" spans="2:26">
      <c r="B6690" s="2"/>
      <c r="N6690" s="27"/>
      <c r="R6690" s="15"/>
      <c r="X6690" s="3"/>
      <c r="Z6690" s="28"/>
    </row>
    <row r="6691" spans="2:26">
      <c r="B6691" s="2"/>
      <c r="N6691" s="27"/>
      <c r="R6691" s="15"/>
      <c r="X6691" s="3"/>
      <c r="Z6691" s="28"/>
    </row>
    <row r="6692" spans="2:26">
      <c r="B6692" s="2"/>
      <c r="N6692" s="27"/>
      <c r="R6692" s="15"/>
      <c r="X6692" s="3"/>
      <c r="Z6692" s="28"/>
    </row>
    <row r="6693" spans="2:26">
      <c r="B6693" s="2"/>
      <c r="N6693" s="27"/>
      <c r="R6693" s="15"/>
      <c r="X6693" s="3"/>
      <c r="Z6693" s="28"/>
    </row>
    <row r="6694" spans="2:26">
      <c r="B6694" s="2"/>
      <c r="N6694" s="27"/>
      <c r="R6694" s="15"/>
      <c r="X6694" s="3"/>
      <c r="Z6694" s="28"/>
    </row>
    <row r="6695" spans="2:26">
      <c r="B6695" s="2"/>
      <c r="N6695" s="27"/>
      <c r="R6695" s="15"/>
      <c r="X6695" s="3"/>
      <c r="Z6695" s="28"/>
    </row>
    <row r="6696" spans="2:26">
      <c r="B6696" s="2"/>
      <c r="N6696" s="27"/>
      <c r="R6696" s="15"/>
      <c r="X6696" s="3"/>
      <c r="Z6696" s="28"/>
    </row>
    <row r="6697" spans="2:26">
      <c r="B6697" s="2"/>
      <c r="N6697" s="27"/>
      <c r="R6697" s="15"/>
      <c r="X6697" s="3"/>
      <c r="Z6697" s="28"/>
    </row>
    <row r="6698" spans="2:26">
      <c r="B6698" s="2"/>
      <c r="N6698" s="27"/>
      <c r="R6698" s="15"/>
      <c r="X6698" s="3"/>
      <c r="Z6698" s="28"/>
    </row>
    <row r="6699" spans="2:26">
      <c r="B6699" s="2"/>
      <c r="N6699" s="27"/>
      <c r="R6699" s="15"/>
      <c r="X6699" s="3"/>
      <c r="Z6699" s="28"/>
    </row>
    <row r="6700" spans="2:26">
      <c r="B6700" s="2"/>
      <c r="N6700" s="27"/>
      <c r="R6700" s="15"/>
      <c r="X6700" s="3"/>
      <c r="Z6700" s="28"/>
    </row>
    <row r="6701" spans="2:26">
      <c r="B6701" s="2"/>
      <c r="N6701" s="27"/>
      <c r="R6701" s="15"/>
      <c r="X6701" s="3"/>
      <c r="Z6701" s="28"/>
    </row>
    <row r="6702" spans="2:26">
      <c r="B6702" s="2"/>
      <c r="N6702" s="27"/>
      <c r="R6702" s="15"/>
      <c r="X6702" s="3"/>
      <c r="Z6702" s="28"/>
    </row>
    <row r="6703" spans="2:26">
      <c r="B6703" s="2"/>
      <c r="N6703" s="27"/>
      <c r="R6703" s="15"/>
      <c r="X6703" s="3"/>
      <c r="Z6703" s="28"/>
    </row>
    <row r="6704" spans="2:26">
      <c r="B6704" s="2"/>
      <c r="N6704" s="27"/>
      <c r="R6704" s="15"/>
      <c r="X6704" s="3"/>
      <c r="Z6704" s="28"/>
    </row>
    <row r="6705" spans="2:26">
      <c r="B6705" s="2"/>
      <c r="N6705" s="27"/>
      <c r="R6705" s="15"/>
      <c r="X6705" s="3"/>
      <c r="Z6705" s="28"/>
    </row>
    <row r="6706" spans="2:26">
      <c r="B6706" s="2"/>
      <c r="N6706" s="27"/>
      <c r="R6706" s="15"/>
      <c r="X6706" s="3"/>
      <c r="Z6706" s="28"/>
    </row>
    <row r="6707" spans="2:26">
      <c r="B6707" s="2"/>
      <c r="N6707" s="27"/>
      <c r="R6707" s="15"/>
      <c r="X6707" s="3"/>
      <c r="Z6707" s="28"/>
    </row>
    <row r="6708" spans="2:26">
      <c r="B6708" s="2"/>
      <c r="N6708" s="27"/>
      <c r="R6708" s="15"/>
      <c r="X6708" s="3"/>
      <c r="Z6708" s="28"/>
    </row>
    <row r="6709" spans="2:26">
      <c r="B6709" s="2"/>
      <c r="N6709" s="27"/>
      <c r="R6709" s="15"/>
      <c r="X6709" s="3"/>
      <c r="Z6709" s="28"/>
    </row>
    <row r="6710" spans="2:26">
      <c r="B6710" s="2"/>
      <c r="N6710" s="27"/>
      <c r="R6710" s="15"/>
      <c r="X6710" s="3"/>
      <c r="Z6710" s="28"/>
    </row>
    <row r="6711" spans="2:26">
      <c r="B6711" s="2"/>
      <c r="N6711" s="27"/>
      <c r="R6711" s="15"/>
      <c r="X6711" s="3"/>
      <c r="Z6711" s="28"/>
    </row>
    <row r="6712" spans="2:26">
      <c r="B6712" s="2"/>
      <c r="N6712" s="27"/>
      <c r="R6712" s="15"/>
      <c r="X6712" s="3"/>
      <c r="Z6712" s="28"/>
    </row>
    <row r="6713" spans="2:26">
      <c r="B6713" s="2"/>
      <c r="N6713" s="27"/>
      <c r="R6713" s="15"/>
      <c r="X6713" s="3"/>
      <c r="Z6713" s="28"/>
    </row>
    <row r="6714" spans="2:26">
      <c r="B6714" s="2"/>
      <c r="N6714" s="27"/>
      <c r="R6714" s="15"/>
      <c r="X6714" s="3"/>
      <c r="Z6714" s="28"/>
    </row>
    <row r="6715" spans="2:26">
      <c r="B6715" s="2"/>
      <c r="N6715" s="27"/>
      <c r="R6715" s="15"/>
      <c r="X6715" s="3"/>
      <c r="Z6715" s="28"/>
    </row>
    <row r="6716" spans="2:26">
      <c r="B6716" s="2"/>
      <c r="N6716" s="27"/>
      <c r="R6716" s="15"/>
      <c r="X6716" s="3"/>
      <c r="Z6716" s="28"/>
    </row>
    <row r="6717" spans="2:26">
      <c r="B6717" s="2"/>
      <c r="N6717" s="27"/>
      <c r="R6717" s="15"/>
      <c r="X6717" s="3"/>
      <c r="Z6717" s="28"/>
    </row>
    <row r="6718" spans="2:26">
      <c r="B6718" s="2"/>
      <c r="N6718" s="27"/>
      <c r="R6718" s="15"/>
      <c r="X6718" s="3"/>
      <c r="Z6718" s="28"/>
    </row>
    <row r="6719" spans="2:26">
      <c r="B6719" s="2"/>
      <c r="N6719" s="27"/>
      <c r="R6719" s="15"/>
      <c r="X6719" s="3"/>
      <c r="Z6719" s="28"/>
    </row>
    <row r="6720" spans="2:26">
      <c r="B6720" s="2"/>
      <c r="N6720" s="27"/>
      <c r="R6720" s="15"/>
      <c r="X6720" s="3"/>
      <c r="Z6720" s="28"/>
    </row>
    <row r="6721" spans="2:26">
      <c r="B6721" s="2"/>
      <c r="N6721" s="27"/>
      <c r="R6721" s="15"/>
      <c r="X6721" s="3"/>
      <c r="Z6721" s="28"/>
    </row>
    <row r="6722" spans="2:26">
      <c r="B6722" s="2"/>
      <c r="N6722" s="27"/>
      <c r="R6722" s="15"/>
      <c r="X6722" s="3"/>
      <c r="Z6722" s="28"/>
    </row>
    <row r="6723" spans="2:26">
      <c r="B6723" s="2"/>
      <c r="N6723" s="27"/>
      <c r="R6723" s="15"/>
      <c r="X6723" s="3"/>
      <c r="Z6723" s="28"/>
    </row>
    <row r="6724" spans="2:26">
      <c r="B6724" s="2"/>
      <c r="N6724" s="27"/>
      <c r="R6724" s="15"/>
      <c r="X6724" s="3"/>
      <c r="Z6724" s="28"/>
    </row>
    <row r="6725" spans="2:26">
      <c r="B6725" s="2"/>
      <c r="N6725" s="27"/>
      <c r="R6725" s="15"/>
      <c r="X6725" s="3"/>
      <c r="Z6725" s="28"/>
    </row>
    <row r="6726" spans="2:26">
      <c r="B6726" s="2"/>
      <c r="N6726" s="27"/>
      <c r="R6726" s="15"/>
      <c r="X6726" s="3"/>
      <c r="Z6726" s="28"/>
    </row>
    <row r="6727" spans="2:26">
      <c r="B6727" s="2"/>
      <c r="N6727" s="27"/>
      <c r="R6727" s="15"/>
      <c r="X6727" s="3"/>
      <c r="Z6727" s="28"/>
    </row>
    <row r="6728" spans="2:26">
      <c r="B6728" s="2"/>
      <c r="N6728" s="27"/>
      <c r="R6728" s="15"/>
      <c r="X6728" s="3"/>
      <c r="Z6728" s="28"/>
    </row>
    <row r="6729" spans="2:26">
      <c r="B6729" s="2"/>
      <c r="N6729" s="27"/>
      <c r="R6729" s="15"/>
      <c r="X6729" s="3"/>
      <c r="Z6729" s="28"/>
    </row>
    <row r="6730" spans="2:26">
      <c r="B6730" s="2"/>
      <c r="N6730" s="27"/>
      <c r="R6730" s="15"/>
      <c r="X6730" s="3"/>
      <c r="Z6730" s="28"/>
    </row>
    <row r="6731" spans="2:26">
      <c r="B6731" s="2"/>
      <c r="N6731" s="27"/>
      <c r="R6731" s="15"/>
      <c r="X6731" s="3"/>
      <c r="Z6731" s="28"/>
    </row>
    <row r="6732" spans="2:26">
      <c r="B6732" s="2"/>
      <c r="N6732" s="27"/>
      <c r="R6732" s="15"/>
      <c r="X6732" s="3"/>
      <c r="Z6732" s="28"/>
    </row>
    <row r="6733" spans="2:26">
      <c r="B6733" s="2"/>
      <c r="N6733" s="27"/>
      <c r="R6733" s="15"/>
      <c r="X6733" s="3"/>
      <c r="Z6733" s="28"/>
    </row>
    <row r="6734" spans="2:26">
      <c r="B6734" s="2"/>
      <c r="N6734" s="27"/>
      <c r="R6734" s="15"/>
      <c r="X6734" s="3"/>
      <c r="Z6734" s="28"/>
    </row>
    <row r="6735" spans="2:26">
      <c r="B6735" s="2"/>
      <c r="N6735" s="27"/>
      <c r="R6735" s="15"/>
      <c r="X6735" s="3"/>
      <c r="Z6735" s="28"/>
    </row>
    <row r="6736" spans="2:26">
      <c r="B6736" s="2"/>
      <c r="N6736" s="27"/>
      <c r="R6736" s="15"/>
      <c r="X6736" s="3"/>
      <c r="Z6736" s="28"/>
    </row>
    <row r="6737" spans="2:26">
      <c r="B6737" s="2"/>
      <c r="N6737" s="27"/>
      <c r="R6737" s="15"/>
      <c r="X6737" s="3"/>
      <c r="Z6737" s="28"/>
    </row>
    <row r="6738" spans="2:26">
      <c r="B6738" s="2"/>
      <c r="N6738" s="27"/>
      <c r="R6738" s="15"/>
      <c r="X6738" s="3"/>
      <c r="Z6738" s="28"/>
    </row>
    <row r="6739" spans="2:26">
      <c r="B6739" s="2"/>
      <c r="N6739" s="27"/>
      <c r="R6739" s="15"/>
      <c r="X6739" s="3"/>
      <c r="Z6739" s="28"/>
    </row>
    <row r="6740" spans="2:26">
      <c r="B6740" s="2"/>
      <c r="N6740" s="27"/>
      <c r="R6740" s="15"/>
      <c r="X6740" s="3"/>
      <c r="Z6740" s="28"/>
    </row>
    <row r="6741" spans="2:26">
      <c r="B6741" s="2"/>
      <c r="N6741" s="27"/>
      <c r="R6741" s="15"/>
      <c r="X6741" s="3"/>
      <c r="Z6741" s="28"/>
    </row>
    <row r="6742" spans="2:26">
      <c r="B6742" s="2"/>
      <c r="N6742" s="27"/>
      <c r="R6742" s="15"/>
      <c r="X6742" s="3"/>
      <c r="Z6742" s="28"/>
    </row>
    <row r="6743" spans="2:26">
      <c r="B6743" s="2"/>
      <c r="N6743" s="27"/>
      <c r="R6743" s="15"/>
      <c r="X6743" s="3"/>
      <c r="Z6743" s="28"/>
    </row>
    <row r="6744" spans="2:26">
      <c r="B6744" s="2"/>
      <c r="N6744" s="27"/>
      <c r="R6744" s="15"/>
      <c r="X6744" s="3"/>
      <c r="Z6744" s="28"/>
    </row>
    <row r="6745" spans="2:26">
      <c r="B6745" s="2"/>
      <c r="N6745" s="27"/>
      <c r="R6745" s="15"/>
      <c r="X6745" s="3"/>
      <c r="Z6745" s="28"/>
    </row>
    <row r="6746" spans="2:26">
      <c r="B6746" s="2"/>
      <c r="N6746" s="27"/>
      <c r="R6746" s="15"/>
      <c r="X6746" s="3"/>
      <c r="Z6746" s="28"/>
    </row>
    <row r="6747" spans="2:26">
      <c r="B6747" s="2"/>
      <c r="N6747" s="27"/>
      <c r="R6747" s="15"/>
      <c r="X6747" s="3"/>
      <c r="Z6747" s="28"/>
    </row>
    <row r="6748" spans="2:26">
      <c r="B6748" s="2"/>
      <c r="N6748" s="27"/>
      <c r="R6748" s="15"/>
      <c r="X6748" s="3"/>
      <c r="Z6748" s="28"/>
    </row>
    <row r="6749" spans="2:26">
      <c r="B6749" s="2"/>
      <c r="N6749" s="27"/>
      <c r="R6749" s="15"/>
      <c r="X6749" s="3"/>
      <c r="Z6749" s="28"/>
    </row>
    <row r="6750" spans="2:26">
      <c r="B6750" s="2"/>
      <c r="N6750" s="27"/>
      <c r="R6750" s="15"/>
      <c r="X6750" s="3"/>
      <c r="Z6750" s="28"/>
    </row>
    <row r="6751" spans="2:26">
      <c r="B6751" s="2"/>
      <c r="N6751" s="27"/>
      <c r="R6751" s="15"/>
      <c r="X6751" s="3"/>
      <c r="Z6751" s="28"/>
    </row>
    <row r="6752" spans="2:26">
      <c r="B6752" s="2"/>
      <c r="N6752" s="27"/>
      <c r="R6752" s="15"/>
      <c r="X6752" s="3"/>
      <c r="Z6752" s="28"/>
    </row>
    <row r="6753" spans="2:26">
      <c r="B6753" s="2"/>
      <c r="N6753" s="27"/>
      <c r="R6753" s="15"/>
      <c r="X6753" s="3"/>
      <c r="Z6753" s="28"/>
    </row>
    <row r="6754" spans="2:26">
      <c r="B6754" s="2"/>
      <c r="N6754" s="27"/>
      <c r="R6754" s="15"/>
      <c r="X6754" s="3"/>
      <c r="Z6754" s="28"/>
    </row>
    <row r="6755" spans="2:26">
      <c r="B6755" s="2"/>
      <c r="N6755" s="27"/>
      <c r="R6755" s="15"/>
      <c r="X6755" s="3"/>
      <c r="Z6755" s="28"/>
    </row>
    <row r="6756" spans="2:26">
      <c r="B6756" s="2"/>
      <c r="N6756" s="27"/>
      <c r="R6756" s="15"/>
      <c r="X6756" s="3"/>
      <c r="Z6756" s="28"/>
    </row>
    <row r="6757" spans="2:26">
      <c r="B6757" s="2"/>
      <c r="N6757" s="27"/>
      <c r="R6757" s="15"/>
      <c r="X6757" s="3"/>
      <c r="Z6757" s="28"/>
    </row>
    <row r="6758" spans="2:26">
      <c r="B6758" s="2"/>
      <c r="N6758" s="27"/>
      <c r="R6758" s="15"/>
      <c r="X6758" s="3"/>
      <c r="Z6758" s="28"/>
    </row>
    <row r="6759" spans="2:26">
      <c r="B6759" s="2"/>
      <c r="N6759" s="27"/>
      <c r="R6759" s="15"/>
      <c r="X6759" s="3"/>
      <c r="Z6759" s="28"/>
    </row>
    <row r="6760" spans="2:26">
      <c r="B6760" s="2"/>
      <c r="N6760" s="27"/>
      <c r="R6760" s="15"/>
      <c r="X6760" s="3"/>
      <c r="Z6760" s="28"/>
    </row>
    <row r="6761" spans="2:26">
      <c r="B6761" s="2"/>
      <c r="N6761" s="27"/>
      <c r="R6761" s="15"/>
      <c r="X6761" s="3"/>
      <c r="Z6761" s="28"/>
    </row>
    <row r="6762" spans="2:26">
      <c r="B6762" s="2"/>
      <c r="N6762" s="27"/>
      <c r="R6762" s="15"/>
      <c r="X6762" s="3"/>
      <c r="Z6762" s="28"/>
    </row>
    <row r="6763" spans="2:26">
      <c r="B6763" s="2"/>
      <c r="N6763" s="27"/>
      <c r="R6763" s="15"/>
      <c r="X6763" s="3"/>
      <c r="Z6763" s="28"/>
    </row>
    <row r="6764" spans="2:26">
      <c r="B6764" s="2"/>
      <c r="N6764" s="27"/>
      <c r="R6764" s="15"/>
      <c r="X6764" s="3"/>
      <c r="Z6764" s="28"/>
    </row>
    <row r="6765" spans="2:26">
      <c r="B6765" s="2"/>
      <c r="N6765" s="27"/>
      <c r="R6765" s="15"/>
      <c r="X6765" s="3"/>
      <c r="Z6765" s="28"/>
    </row>
    <row r="6766" spans="2:26">
      <c r="B6766" s="2"/>
      <c r="N6766" s="27"/>
      <c r="R6766" s="15"/>
      <c r="X6766" s="3"/>
      <c r="Z6766" s="28"/>
    </row>
    <row r="6767" spans="2:26">
      <c r="B6767" s="2"/>
      <c r="N6767" s="27"/>
      <c r="R6767" s="15"/>
      <c r="X6767" s="3"/>
      <c r="Z6767" s="28"/>
    </row>
    <row r="6768" spans="2:26">
      <c r="B6768" s="2"/>
      <c r="N6768" s="27"/>
      <c r="R6768" s="15"/>
      <c r="X6768" s="3"/>
      <c r="Z6768" s="28"/>
    </row>
    <row r="6769" spans="2:26">
      <c r="B6769" s="2"/>
      <c r="N6769" s="27"/>
      <c r="R6769" s="15"/>
      <c r="X6769" s="3"/>
      <c r="Z6769" s="28"/>
    </row>
    <row r="6770" spans="2:26">
      <c r="B6770" s="2"/>
      <c r="N6770" s="27"/>
      <c r="R6770" s="15"/>
      <c r="X6770" s="3"/>
      <c r="Z6770" s="28"/>
    </row>
    <row r="6771" spans="2:26">
      <c r="B6771" s="2"/>
      <c r="N6771" s="27"/>
      <c r="R6771" s="15"/>
      <c r="X6771" s="3"/>
      <c r="Z6771" s="28"/>
    </row>
    <row r="6772" spans="2:26">
      <c r="B6772" s="2"/>
      <c r="N6772" s="27"/>
      <c r="R6772" s="15"/>
      <c r="X6772" s="3"/>
      <c r="Z6772" s="28"/>
    </row>
    <row r="6773" spans="2:26">
      <c r="B6773" s="2"/>
      <c r="N6773" s="27"/>
      <c r="R6773" s="15"/>
      <c r="X6773" s="3"/>
      <c r="Z6773" s="28"/>
    </row>
    <row r="6774" spans="2:26">
      <c r="B6774" s="2"/>
      <c r="N6774" s="27"/>
      <c r="R6774" s="15"/>
      <c r="X6774" s="3"/>
      <c r="Z6774" s="28"/>
    </row>
    <row r="6775" spans="2:26">
      <c r="B6775" s="2"/>
      <c r="N6775" s="27"/>
      <c r="R6775" s="15"/>
      <c r="X6775" s="3"/>
      <c r="Z6775" s="28"/>
    </row>
    <row r="6776" spans="2:26">
      <c r="B6776" s="2"/>
      <c r="N6776" s="27"/>
      <c r="R6776" s="15"/>
      <c r="X6776" s="3"/>
      <c r="Z6776" s="28"/>
    </row>
    <row r="6777" spans="2:26">
      <c r="B6777" s="2"/>
      <c r="N6777" s="27"/>
      <c r="R6777" s="15"/>
      <c r="X6777" s="3"/>
      <c r="Z6777" s="28"/>
    </row>
    <row r="6778" spans="2:26">
      <c r="B6778" s="2"/>
      <c r="N6778" s="27"/>
      <c r="R6778" s="15"/>
      <c r="X6778" s="3"/>
      <c r="Z6778" s="28"/>
    </row>
    <row r="6779" spans="2:26">
      <c r="B6779" s="2"/>
      <c r="N6779" s="27"/>
      <c r="R6779" s="15"/>
      <c r="X6779" s="3"/>
      <c r="Z6779" s="28"/>
    </row>
    <row r="6780" spans="2:26">
      <c r="B6780" s="2"/>
      <c r="N6780" s="27"/>
      <c r="R6780" s="15"/>
      <c r="X6780" s="3"/>
      <c r="Z6780" s="28"/>
    </row>
    <row r="6781" spans="2:26">
      <c r="B6781" s="2"/>
      <c r="N6781" s="27"/>
      <c r="R6781" s="15"/>
      <c r="X6781" s="3"/>
      <c r="Z6781" s="28"/>
    </row>
    <row r="6782" spans="2:26">
      <c r="B6782" s="2"/>
      <c r="N6782" s="27"/>
      <c r="R6782" s="15"/>
      <c r="X6782" s="3"/>
      <c r="Z6782" s="28"/>
    </row>
    <row r="6783" spans="2:26">
      <c r="B6783" s="2"/>
      <c r="N6783" s="27"/>
      <c r="R6783" s="15"/>
      <c r="X6783" s="3"/>
      <c r="Z6783" s="28"/>
    </row>
    <row r="6784" spans="2:26">
      <c r="B6784" s="2"/>
      <c r="N6784" s="27"/>
      <c r="R6784" s="15"/>
      <c r="X6784" s="3"/>
      <c r="Z6784" s="28"/>
    </row>
    <row r="6785" spans="2:26">
      <c r="B6785" s="2"/>
      <c r="N6785" s="27"/>
      <c r="R6785" s="15"/>
      <c r="X6785" s="3"/>
      <c r="Z6785" s="28"/>
    </row>
    <row r="6786" spans="2:26">
      <c r="B6786" s="2"/>
      <c r="N6786" s="27"/>
      <c r="R6786" s="15"/>
      <c r="X6786" s="3"/>
      <c r="Z6786" s="28"/>
    </row>
    <row r="6787" spans="2:26">
      <c r="B6787" s="2"/>
      <c r="N6787" s="27"/>
      <c r="R6787" s="15"/>
      <c r="X6787" s="3"/>
      <c r="Z6787" s="28"/>
    </row>
    <row r="6788" spans="2:26">
      <c r="B6788" s="2"/>
      <c r="N6788" s="27"/>
      <c r="R6788" s="15"/>
      <c r="X6788" s="3"/>
      <c r="Z6788" s="28"/>
    </row>
    <row r="6789" spans="2:26">
      <c r="B6789" s="2"/>
      <c r="N6789" s="27"/>
      <c r="R6789" s="15"/>
      <c r="X6789" s="3"/>
      <c r="Z6789" s="28"/>
    </row>
    <row r="6790" spans="2:26">
      <c r="B6790" s="2"/>
      <c r="N6790" s="27"/>
      <c r="R6790" s="15"/>
      <c r="X6790" s="3"/>
      <c r="Z6790" s="28"/>
    </row>
    <row r="6791" spans="2:26">
      <c r="B6791" s="2"/>
      <c r="N6791" s="27"/>
      <c r="R6791" s="15"/>
      <c r="X6791" s="3"/>
      <c r="Z6791" s="28"/>
    </row>
    <row r="6792" spans="2:26">
      <c r="B6792" s="2"/>
      <c r="N6792" s="27"/>
      <c r="R6792" s="15"/>
      <c r="X6792" s="3"/>
      <c r="Z6792" s="28"/>
    </row>
    <row r="6793" spans="2:26">
      <c r="B6793" s="2"/>
      <c r="N6793" s="27"/>
      <c r="R6793" s="15"/>
      <c r="X6793" s="3"/>
      <c r="Z6793" s="28"/>
    </row>
    <row r="6794" spans="2:26">
      <c r="B6794" s="2"/>
      <c r="N6794" s="27"/>
      <c r="R6794" s="15"/>
      <c r="X6794" s="3"/>
      <c r="Z6794" s="28"/>
    </row>
    <row r="6795" spans="2:26">
      <c r="B6795" s="2"/>
      <c r="N6795" s="27"/>
      <c r="R6795" s="15"/>
      <c r="X6795" s="3"/>
      <c r="Z6795" s="28"/>
    </row>
    <row r="6796" spans="2:26">
      <c r="B6796" s="2"/>
      <c r="N6796" s="27"/>
      <c r="R6796" s="15"/>
      <c r="X6796" s="3"/>
      <c r="Z6796" s="28"/>
    </row>
    <row r="6797" spans="2:26">
      <c r="B6797" s="2"/>
      <c r="N6797" s="27"/>
      <c r="R6797" s="15"/>
      <c r="X6797" s="3"/>
      <c r="Z6797" s="28"/>
    </row>
    <row r="6798" spans="2:26">
      <c r="B6798" s="2"/>
      <c r="N6798" s="27"/>
      <c r="R6798" s="15"/>
      <c r="X6798" s="3"/>
      <c r="Z6798" s="28"/>
    </row>
    <row r="6799" spans="2:26">
      <c r="B6799" s="2"/>
      <c r="N6799" s="27"/>
      <c r="R6799" s="15"/>
      <c r="X6799" s="3"/>
      <c r="Z6799" s="28"/>
    </row>
    <row r="6800" spans="2:26">
      <c r="B6800" s="2"/>
      <c r="N6800" s="27"/>
      <c r="R6800" s="15"/>
      <c r="X6800" s="3"/>
      <c r="Z6800" s="28"/>
    </row>
    <row r="6801" spans="2:26">
      <c r="B6801" s="2"/>
      <c r="N6801" s="27"/>
      <c r="R6801" s="15"/>
      <c r="X6801" s="3"/>
      <c r="Z6801" s="28"/>
    </row>
    <row r="6802" spans="2:26">
      <c r="B6802" s="2"/>
      <c r="N6802" s="27"/>
      <c r="R6802" s="15"/>
      <c r="X6802" s="3"/>
      <c r="Z6802" s="28"/>
    </row>
    <row r="6803" spans="2:26">
      <c r="B6803" s="2"/>
      <c r="N6803" s="27"/>
      <c r="R6803" s="15"/>
      <c r="X6803" s="3"/>
      <c r="Z6803" s="28"/>
    </row>
    <row r="6804" spans="2:26">
      <c r="B6804" s="2"/>
      <c r="N6804" s="27"/>
      <c r="R6804" s="15"/>
      <c r="X6804" s="3"/>
      <c r="Z6804" s="28"/>
    </row>
    <row r="6805" spans="2:26">
      <c r="B6805" s="2"/>
      <c r="N6805" s="27"/>
      <c r="R6805" s="15"/>
      <c r="X6805" s="3"/>
      <c r="Z6805" s="28"/>
    </row>
    <row r="6806" spans="2:26">
      <c r="B6806" s="2"/>
      <c r="N6806" s="27"/>
      <c r="R6806" s="15"/>
      <c r="X6806" s="3"/>
      <c r="Z6806" s="28"/>
    </row>
    <row r="6807" spans="2:26">
      <c r="B6807" s="2"/>
      <c r="N6807" s="27"/>
      <c r="R6807" s="15"/>
      <c r="X6807" s="3"/>
      <c r="Z6807" s="28"/>
    </row>
    <row r="6808" spans="2:26">
      <c r="B6808" s="2"/>
      <c r="N6808" s="27"/>
      <c r="R6808" s="15"/>
      <c r="X6808" s="3"/>
      <c r="Z6808" s="28"/>
    </row>
    <row r="6809" spans="2:26">
      <c r="B6809" s="2"/>
      <c r="N6809" s="27"/>
      <c r="R6809" s="15"/>
      <c r="X6809" s="3"/>
      <c r="Z6809" s="28"/>
    </row>
    <row r="6810" spans="2:26">
      <c r="B6810" s="2"/>
      <c r="N6810" s="27"/>
      <c r="R6810" s="15"/>
      <c r="X6810" s="3"/>
      <c r="Z6810" s="28"/>
    </row>
    <row r="6811" spans="2:26">
      <c r="B6811" s="2"/>
      <c r="N6811" s="27"/>
      <c r="R6811" s="15"/>
      <c r="X6811" s="3"/>
      <c r="Z6811" s="28"/>
    </row>
    <row r="6812" spans="2:26">
      <c r="B6812" s="2"/>
      <c r="N6812" s="27"/>
      <c r="R6812" s="15"/>
      <c r="X6812" s="3"/>
      <c r="Z6812" s="28"/>
    </row>
    <row r="6813" spans="2:26">
      <c r="B6813" s="2"/>
      <c r="N6813" s="27"/>
      <c r="R6813" s="15"/>
      <c r="X6813" s="3"/>
      <c r="Z6813" s="28"/>
    </row>
    <row r="6814" spans="2:26">
      <c r="B6814" s="2"/>
      <c r="N6814" s="27"/>
      <c r="R6814" s="15"/>
      <c r="X6814" s="3"/>
      <c r="Z6814" s="28"/>
    </row>
    <row r="6815" spans="2:26">
      <c r="B6815" s="2"/>
      <c r="N6815" s="27"/>
      <c r="R6815" s="15"/>
      <c r="X6815" s="3"/>
      <c r="Z6815" s="28"/>
    </row>
    <row r="6816" spans="2:26">
      <c r="B6816" s="2"/>
      <c r="N6816" s="27"/>
      <c r="R6816" s="15"/>
      <c r="X6816" s="3"/>
      <c r="Z6816" s="28"/>
    </row>
    <row r="6817" spans="2:26">
      <c r="B6817" s="2"/>
      <c r="N6817" s="27"/>
      <c r="R6817" s="15"/>
      <c r="X6817" s="3"/>
      <c r="Z6817" s="28"/>
    </row>
    <row r="6818" spans="2:26">
      <c r="B6818" s="2"/>
      <c r="N6818" s="27"/>
      <c r="R6818" s="15"/>
      <c r="X6818" s="3"/>
      <c r="Z6818" s="28"/>
    </row>
    <row r="6819" spans="2:26">
      <c r="B6819" s="2"/>
      <c r="N6819" s="27"/>
      <c r="R6819" s="15"/>
      <c r="X6819" s="3"/>
      <c r="Z6819" s="28"/>
    </row>
    <row r="6820" spans="2:26">
      <c r="B6820" s="2"/>
      <c r="N6820" s="27"/>
      <c r="R6820" s="15"/>
      <c r="X6820" s="3"/>
      <c r="Z6820" s="28"/>
    </row>
    <row r="6821" spans="2:26">
      <c r="B6821" s="2"/>
      <c r="N6821" s="27"/>
      <c r="R6821" s="15"/>
      <c r="X6821" s="3"/>
      <c r="Z6821" s="28"/>
    </row>
    <row r="6822" spans="2:26">
      <c r="B6822" s="2"/>
      <c r="N6822" s="27"/>
      <c r="R6822" s="15"/>
      <c r="X6822" s="3"/>
      <c r="Z6822" s="28"/>
    </row>
    <row r="6823" spans="2:26">
      <c r="B6823" s="2"/>
      <c r="N6823" s="27"/>
      <c r="R6823" s="15"/>
      <c r="X6823" s="3"/>
      <c r="Z6823" s="28"/>
    </row>
    <row r="6824" spans="2:26">
      <c r="B6824" s="2"/>
      <c r="N6824" s="27"/>
      <c r="R6824" s="15"/>
      <c r="X6824" s="3"/>
      <c r="Z6824" s="28"/>
    </row>
    <row r="6825" spans="2:26">
      <c r="B6825" s="2"/>
      <c r="N6825" s="27"/>
      <c r="R6825" s="15"/>
      <c r="X6825" s="3"/>
      <c r="Z6825" s="28"/>
    </row>
    <row r="6826" spans="2:26">
      <c r="B6826" s="2"/>
      <c r="N6826" s="27"/>
      <c r="R6826" s="15"/>
      <c r="X6826" s="3"/>
      <c r="Z6826" s="28"/>
    </row>
    <row r="6827" spans="2:26">
      <c r="B6827" s="2"/>
      <c r="N6827" s="27"/>
      <c r="R6827" s="15"/>
      <c r="X6827" s="3"/>
      <c r="Z6827" s="28"/>
    </row>
    <row r="6828" spans="2:26">
      <c r="B6828" s="2"/>
      <c r="N6828" s="27"/>
      <c r="R6828" s="15"/>
      <c r="X6828" s="3"/>
      <c r="Z6828" s="28"/>
    </row>
    <row r="6829" spans="2:26">
      <c r="B6829" s="2"/>
      <c r="N6829" s="27"/>
      <c r="R6829" s="15"/>
      <c r="X6829" s="3"/>
      <c r="Z6829" s="28"/>
    </row>
    <row r="6830" spans="2:26">
      <c r="B6830" s="2"/>
      <c r="N6830" s="27"/>
      <c r="R6830" s="15"/>
      <c r="X6830" s="3"/>
      <c r="Z6830" s="28"/>
    </row>
    <row r="6831" spans="2:26">
      <c r="B6831" s="2"/>
      <c r="N6831" s="27"/>
      <c r="R6831" s="15"/>
      <c r="X6831" s="3"/>
      <c r="Z6831" s="28"/>
    </row>
    <row r="6832" spans="2:26">
      <c r="B6832" s="2"/>
      <c r="N6832" s="27"/>
      <c r="R6832" s="15"/>
      <c r="X6832" s="3"/>
      <c r="Z6832" s="28"/>
    </row>
    <row r="6833" spans="2:26">
      <c r="B6833" s="2"/>
      <c r="N6833" s="27"/>
      <c r="R6833" s="15"/>
      <c r="X6833" s="3"/>
      <c r="Z6833" s="28"/>
    </row>
    <row r="6834" spans="2:26">
      <c r="B6834" s="2"/>
      <c r="N6834" s="27"/>
      <c r="R6834" s="15"/>
      <c r="X6834" s="3"/>
      <c r="Z6834" s="28"/>
    </row>
    <row r="6835" spans="2:26">
      <c r="B6835" s="2"/>
      <c r="N6835" s="27"/>
      <c r="R6835" s="15"/>
      <c r="X6835" s="3"/>
      <c r="Z6835" s="28"/>
    </row>
    <row r="6836" spans="2:26">
      <c r="B6836" s="2"/>
      <c r="N6836" s="27"/>
      <c r="R6836" s="15"/>
      <c r="X6836" s="3"/>
      <c r="Z6836" s="28"/>
    </row>
    <row r="6837" spans="2:26">
      <c r="B6837" s="2"/>
      <c r="N6837" s="27"/>
      <c r="R6837" s="15"/>
      <c r="X6837" s="3"/>
      <c r="Z6837" s="28"/>
    </row>
    <row r="6838" spans="2:26">
      <c r="B6838" s="2"/>
      <c r="N6838" s="27"/>
      <c r="R6838" s="15"/>
      <c r="X6838" s="3"/>
      <c r="Z6838" s="28"/>
    </row>
    <row r="6839" spans="2:26">
      <c r="B6839" s="2"/>
      <c r="N6839" s="27"/>
      <c r="R6839" s="15"/>
      <c r="X6839" s="3"/>
      <c r="Z6839" s="28"/>
    </row>
    <row r="6840" spans="2:26">
      <c r="B6840" s="2"/>
      <c r="N6840" s="27"/>
      <c r="R6840" s="15"/>
      <c r="X6840" s="3"/>
      <c r="Z6840" s="28"/>
    </row>
    <row r="6841" spans="2:26">
      <c r="B6841" s="2"/>
      <c r="N6841" s="27"/>
      <c r="R6841" s="15"/>
      <c r="X6841" s="3"/>
      <c r="Z6841" s="28"/>
    </row>
    <row r="6842" spans="2:26">
      <c r="B6842" s="2"/>
      <c r="N6842" s="27"/>
      <c r="R6842" s="15"/>
      <c r="X6842" s="3"/>
      <c r="Z6842" s="28"/>
    </row>
    <row r="6843" spans="2:26">
      <c r="B6843" s="2"/>
      <c r="N6843" s="27"/>
      <c r="R6843" s="15"/>
      <c r="X6843" s="3"/>
      <c r="Z6843" s="28"/>
    </row>
    <row r="6844" spans="2:26">
      <c r="B6844" s="2"/>
      <c r="N6844" s="27"/>
      <c r="R6844" s="15"/>
      <c r="X6844" s="3"/>
      <c r="Z6844" s="28"/>
    </row>
    <row r="6845" spans="2:26">
      <c r="B6845" s="2"/>
      <c r="N6845" s="27"/>
      <c r="R6845" s="15"/>
      <c r="X6845" s="3"/>
      <c r="Z6845" s="28"/>
    </row>
    <row r="6846" spans="2:26">
      <c r="B6846" s="2"/>
      <c r="N6846" s="27"/>
      <c r="R6846" s="15"/>
      <c r="X6846" s="3"/>
      <c r="Z6846" s="28"/>
    </row>
    <row r="6847" spans="2:26">
      <c r="B6847" s="2"/>
      <c r="N6847" s="27"/>
      <c r="R6847" s="15"/>
      <c r="X6847" s="3"/>
      <c r="Z6847" s="28"/>
    </row>
    <row r="6848" spans="2:26">
      <c r="B6848" s="2"/>
      <c r="N6848" s="27"/>
      <c r="R6848" s="15"/>
      <c r="X6848" s="3"/>
      <c r="Z6848" s="28"/>
    </row>
    <row r="6849" spans="2:26">
      <c r="B6849" s="2"/>
      <c r="N6849" s="27"/>
      <c r="R6849" s="15"/>
      <c r="X6849" s="3"/>
      <c r="Z6849" s="28"/>
    </row>
    <row r="6850" spans="2:26">
      <c r="B6850" s="2"/>
      <c r="N6850" s="27"/>
      <c r="R6850" s="15"/>
      <c r="X6850" s="3"/>
      <c r="Z6850" s="28"/>
    </row>
    <row r="6851" spans="2:26">
      <c r="B6851" s="2"/>
      <c r="N6851" s="27"/>
      <c r="R6851" s="15"/>
      <c r="X6851" s="3"/>
      <c r="Z6851" s="28"/>
    </row>
    <row r="6852" spans="2:26">
      <c r="B6852" s="2"/>
      <c r="N6852" s="27"/>
      <c r="R6852" s="15"/>
      <c r="X6852" s="3"/>
      <c r="Z6852" s="28"/>
    </row>
    <row r="6853" spans="2:26">
      <c r="B6853" s="2"/>
      <c r="N6853" s="27"/>
      <c r="R6853" s="15"/>
      <c r="X6853" s="3"/>
      <c r="Z6853" s="28"/>
    </row>
    <row r="6854" spans="2:26">
      <c r="B6854" s="2"/>
      <c r="N6854" s="27"/>
      <c r="R6854" s="15"/>
      <c r="X6854" s="3"/>
      <c r="Z6854" s="28"/>
    </row>
    <row r="6855" spans="2:26">
      <c r="B6855" s="2"/>
      <c r="N6855" s="27"/>
      <c r="R6855" s="15"/>
      <c r="X6855" s="3"/>
      <c r="Z6855" s="28"/>
    </row>
    <row r="6856" spans="2:26">
      <c r="B6856" s="2"/>
      <c r="N6856" s="27"/>
      <c r="R6856" s="15"/>
      <c r="X6856" s="3"/>
      <c r="Z6856" s="28"/>
    </row>
    <row r="6857" spans="2:26">
      <c r="B6857" s="2"/>
      <c r="N6857" s="27"/>
      <c r="R6857" s="15"/>
      <c r="X6857" s="3"/>
      <c r="Z6857" s="28"/>
    </row>
    <row r="6858" spans="2:26">
      <c r="B6858" s="2"/>
      <c r="N6858" s="27"/>
      <c r="R6858" s="15"/>
      <c r="X6858" s="3"/>
      <c r="Z6858" s="28"/>
    </row>
    <row r="6859" spans="2:26">
      <c r="B6859" s="2"/>
      <c r="N6859" s="27"/>
      <c r="R6859" s="15"/>
      <c r="X6859" s="3"/>
      <c r="Z6859" s="28"/>
    </row>
    <row r="6860" spans="2:26">
      <c r="B6860" s="2"/>
      <c r="N6860" s="27"/>
      <c r="R6860" s="15"/>
      <c r="X6860" s="3"/>
      <c r="Z6860" s="28"/>
    </row>
    <row r="6861" spans="2:26">
      <c r="B6861" s="2"/>
      <c r="N6861" s="27"/>
      <c r="R6861" s="15"/>
      <c r="X6861" s="3"/>
      <c r="Z6861" s="28"/>
    </row>
    <row r="6862" spans="2:26">
      <c r="B6862" s="2"/>
      <c r="N6862" s="27"/>
      <c r="R6862" s="15"/>
      <c r="X6862" s="3"/>
      <c r="Z6862" s="28"/>
    </row>
    <row r="6863" spans="2:26">
      <c r="B6863" s="2"/>
      <c r="N6863" s="27"/>
      <c r="R6863" s="15"/>
      <c r="X6863" s="3"/>
      <c r="Z6863" s="28"/>
    </row>
    <row r="6864" spans="2:26">
      <c r="B6864" s="2"/>
      <c r="N6864" s="27"/>
      <c r="R6864" s="15"/>
      <c r="X6864" s="3"/>
      <c r="Z6864" s="28"/>
    </row>
    <row r="6865" spans="2:26">
      <c r="B6865" s="2"/>
      <c r="N6865" s="27"/>
      <c r="R6865" s="15"/>
      <c r="X6865" s="3"/>
      <c r="Z6865" s="28"/>
    </row>
    <row r="6866" spans="2:26">
      <c r="B6866" s="2"/>
      <c r="N6866" s="27"/>
      <c r="R6866" s="15"/>
      <c r="X6866" s="3"/>
      <c r="Z6866" s="28"/>
    </row>
    <row r="6867" spans="2:26">
      <c r="B6867" s="2"/>
      <c r="N6867" s="27"/>
      <c r="R6867" s="15"/>
      <c r="X6867" s="3"/>
      <c r="Z6867" s="28"/>
    </row>
    <row r="6868" spans="2:26">
      <c r="B6868" s="2"/>
      <c r="N6868" s="27"/>
      <c r="R6868" s="15"/>
      <c r="X6868" s="3"/>
      <c r="Z6868" s="28"/>
    </row>
    <row r="6869" spans="2:26">
      <c r="B6869" s="2"/>
      <c r="N6869" s="27"/>
      <c r="R6869" s="15"/>
      <c r="X6869" s="3"/>
      <c r="Z6869" s="28"/>
    </row>
    <row r="6870" spans="2:26">
      <c r="B6870" s="2"/>
      <c r="N6870" s="27"/>
      <c r="R6870" s="15"/>
      <c r="X6870" s="3"/>
      <c r="Z6870" s="28"/>
    </row>
    <row r="6871" spans="2:26">
      <c r="B6871" s="2"/>
      <c r="N6871" s="27"/>
      <c r="R6871" s="15"/>
      <c r="X6871" s="3"/>
      <c r="Z6871" s="28"/>
    </row>
    <row r="6872" spans="2:26">
      <c r="B6872" s="2"/>
      <c r="N6872" s="27"/>
      <c r="R6872" s="15"/>
      <c r="X6872" s="3"/>
      <c r="Z6872" s="28"/>
    </row>
    <row r="6873" spans="2:26">
      <c r="B6873" s="2"/>
      <c r="N6873" s="27"/>
      <c r="R6873" s="15"/>
      <c r="X6873" s="3"/>
      <c r="Z6873" s="28"/>
    </row>
    <row r="6874" spans="2:26">
      <c r="B6874" s="2"/>
      <c r="N6874" s="27"/>
      <c r="R6874" s="15"/>
      <c r="X6874" s="3"/>
      <c r="Z6874" s="28"/>
    </row>
    <row r="6875" spans="2:26">
      <c r="B6875" s="2"/>
      <c r="N6875" s="27"/>
      <c r="R6875" s="15"/>
      <c r="X6875" s="3"/>
      <c r="Z6875" s="28"/>
    </row>
    <row r="6876" spans="2:26">
      <c r="B6876" s="2"/>
      <c r="N6876" s="27"/>
      <c r="R6876" s="15"/>
      <c r="X6876" s="3"/>
      <c r="Z6876" s="28"/>
    </row>
    <row r="6877" spans="2:26">
      <c r="B6877" s="2"/>
      <c r="N6877" s="27"/>
      <c r="R6877" s="15"/>
      <c r="X6877" s="3"/>
      <c r="Z6877" s="28"/>
    </row>
    <row r="6878" spans="2:26">
      <c r="B6878" s="2"/>
      <c r="N6878" s="27"/>
      <c r="R6878" s="15"/>
      <c r="X6878" s="3"/>
      <c r="Z6878" s="28"/>
    </row>
    <row r="6879" spans="2:26">
      <c r="B6879" s="2"/>
      <c r="N6879" s="27"/>
      <c r="R6879" s="15"/>
      <c r="X6879" s="3"/>
      <c r="Z6879" s="28"/>
    </row>
    <row r="6880" spans="2:26">
      <c r="B6880" s="2"/>
      <c r="N6880" s="27"/>
      <c r="R6880" s="15"/>
      <c r="X6880" s="3"/>
      <c r="Z6880" s="28"/>
    </row>
    <row r="6881" spans="2:26">
      <c r="B6881" s="2"/>
      <c r="N6881" s="27"/>
      <c r="R6881" s="15"/>
      <c r="X6881" s="3"/>
      <c r="Z6881" s="28"/>
    </row>
    <row r="6882" spans="2:26">
      <c r="B6882" s="2"/>
      <c r="N6882" s="27"/>
      <c r="R6882" s="15"/>
      <c r="X6882" s="3"/>
      <c r="Z6882" s="28"/>
    </row>
    <row r="6883" spans="2:26">
      <c r="B6883" s="2"/>
      <c r="N6883" s="27"/>
      <c r="R6883" s="15"/>
      <c r="X6883" s="3"/>
      <c r="Z6883" s="28"/>
    </row>
    <row r="6884" spans="2:26">
      <c r="B6884" s="2"/>
      <c r="N6884" s="27"/>
      <c r="R6884" s="15"/>
      <c r="X6884" s="3"/>
      <c r="Z6884" s="28"/>
    </row>
    <row r="6885" spans="2:26">
      <c r="B6885" s="2"/>
      <c r="N6885" s="27"/>
      <c r="R6885" s="15"/>
      <c r="X6885" s="3"/>
      <c r="Z6885" s="28"/>
    </row>
    <row r="6886" spans="2:26">
      <c r="B6886" s="2"/>
      <c r="N6886" s="27"/>
      <c r="R6886" s="15"/>
      <c r="X6886" s="3"/>
      <c r="Z6886" s="28"/>
    </row>
    <row r="6887" spans="2:26">
      <c r="B6887" s="2"/>
      <c r="N6887" s="27"/>
      <c r="R6887" s="15"/>
      <c r="X6887" s="3"/>
      <c r="Z6887" s="28"/>
    </row>
    <row r="6888" spans="2:26">
      <c r="B6888" s="2"/>
      <c r="N6888" s="27"/>
      <c r="R6888" s="15"/>
      <c r="X6888" s="3"/>
      <c r="Z6888" s="28"/>
    </row>
    <row r="6889" spans="2:26">
      <c r="B6889" s="2"/>
      <c r="N6889" s="27"/>
      <c r="R6889" s="15"/>
      <c r="X6889" s="3"/>
      <c r="Z6889" s="28"/>
    </row>
    <row r="6890" spans="2:26">
      <c r="B6890" s="2"/>
      <c r="N6890" s="27"/>
      <c r="R6890" s="15"/>
      <c r="X6890" s="3"/>
      <c r="Z6890" s="28"/>
    </row>
    <row r="6891" spans="2:26">
      <c r="B6891" s="2"/>
      <c r="N6891" s="27"/>
      <c r="R6891" s="15"/>
      <c r="X6891" s="3"/>
      <c r="Z6891" s="28"/>
    </row>
    <row r="6892" spans="2:26">
      <c r="B6892" s="2"/>
      <c r="N6892" s="27"/>
      <c r="R6892" s="15"/>
      <c r="X6892" s="3"/>
      <c r="Z6892" s="28"/>
    </row>
    <row r="6893" spans="2:26">
      <c r="B6893" s="2"/>
      <c r="N6893" s="27"/>
      <c r="R6893" s="15"/>
      <c r="X6893" s="3"/>
      <c r="Z6893" s="28"/>
    </row>
    <row r="6894" spans="2:26">
      <c r="B6894" s="2"/>
      <c r="N6894" s="27"/>
      <c r="R6894" s="15"/>
      <c r="X6894" s="3"/>
      <c r="Z6894" s="28"/>
    </row>
    <row r="6895" spans="2:26">
      <c r="B6895" s="2"/>
      <c r="N6895" s="27"/>
      <c r="R6895" s="15"/>
      <c r="X6895" s="3"/>
      <c r="Z6895" s="28"/>
    </row>
    <row r="6896" spans="2:26">
      <c r="B6896" s="2"/>
      <c r="N6896" s="27"/>
      <c r="R6896" s="15"/>
      <c r="X6896" s="3"/>
      <c r="Z6896" s="28"/>
    </row>
    <row r="6897" spans="2:26">
      <c r="B6897" s="2"/>
      <c r="N6897" s="27"/>
      <c r="R6897" s="15"/>
      <c r="X6897" s="3"/>
      <c r="Z6897" s="28"/>
    </row>
    <row r="6898" spans="2:26">
      <c r="B6898" s="2"/>
      <c r="N6898" s="27"/>
      <c r="R6898" s="15"/>
      <c r="X6898" s="3"/>
      <c r="Z6898" s="28"/>
    </row>
    <row r="6899" spans="2:26">
      <c r="B6899" s="2"/>
      <c r="N6899" s="27"/>
      <c r="R6899" s="15"/>
      <c r="X6899" s="3"/>
      <c r="Z6899" s="28"/>
    </row>
    <row r="6900" spans="2:26">
      <c r="B6900" s="2"/>
      <c r="N6900" s="27"/>
      <c r="R6900" s="15"/>
      <c r="X6900" s="3"/>
      <c r="Z6900" s="28"/>
    </row>
    <row r="6901" spans="2:26">
      <c r="B6901" s="2"/>
      <c r="N6901" s="27"/>
      <c r="R6901" s="15"/>
      <c r="X6901" s="3"/>
      <c r="Z6901" s="28"/>
    </row>
    <row r="6902" spans="2:26">
      <c r="B6902" s="2"/>
      <c r="N6902" s="27"/>
      <c r="R6902" s="15"/>
      <c r="X6902" s="3"/>
      <c r="Z6902" s="28"/>
    </row>
    <row r="6903" spans="2:26">
      <c r="B6903" s="2"/>
      <c r="N6903" s="27"/>
      <c r="R6903" s="15"/>
      <c r="X6903" s="3"/>
      <c r="Z6903" s="28"/>
    </row>
    <row r="6904" spans="2:26">
      <c r="B6904" s="2"/>
      <c r="N6904" s="27"/>
      <c r="R6904" s="15"/>
      <c r="X6904" s="3"/>
      <c r="Z6904" s="28"/>
    </row>
    <row r="6905" spans="2:26">
      <c r="B6905" s="2"/>
      <c r="N6905" s="27"/>
      <c r="R6905" s="15"/>
      <c r="X6905" s="3"/>
      <c r="Z6905" s="28"/>
    </row>
    <row r="6906" spans="2:26">
      <c r="B6906" s="2"/>
      <c r="N6906" s="27"/>
      <c r="R6906" s="15"/>
      <c r="X6906" s="3"/>
      <c r="Z6906" s="28"/>
    </row>
    <row r="6907" spans="2:26">
      <c r="B6907" s="2"/>
      <c r="N6907" s="27"/>
      <c r="R6907" s="15"/>
      <c r="X6907" s="3"/>
      <c r="Z6907" s="28"/>
    </row>
    <row r="6908" spans="2:26">
      <c r="B6908" s="2"/>
      <c r="N6908" s="27"/>
      <c r="R6908" s="15"/>
      <c r="X6908" s="3"/>
      <c r="Z6908" s="28"/>
    </row>
    <row r="6909" spans="2:26">
      <c r="B6909" s="2"/>
      <c r="N6909" s="27"/>
      <c r="R6909" s="15"/>
      <c r="X6909" s="3"/>
      <c r="Z6909" s="28"/>
    </row>
    <row r="6910" spans="2:26">
      <c r="B6910" s="2"/>
      <c r="N6910" s="27"/>
      <c r="R6910" s="15"/>
      <c r="X6910" s="3"/>
      <c r="Z6910" s="28"/>
    </row>
    <row r="6911" spans="2:26">
      <c r="B6911" s="2"/>
      <c r="N6911" s="27"/>
      <c r="R6911" s="15"/>
      <c r="X6911" s="3"/>
      <c r="Z6911" s="28"/>
    </row>
    <row r="6912" spans="2:26">
      <c r="B6912" s="2"/>
      <c r="N6912" s="27"/>
      <c r="R6912" s="15"/>
      <c r="X6912" s="3"/>
      <c r="Z6912" s="28"/>
    </row>
    <row r="6913" spans="2:26">
      <c r="B6913" s="2"/>
      <c r="N6913" s="27"/>
      <c r="R6913" s="15"/>
      <c r="X6913" s="3"/>
      <c r="Z6913" s="28"/>
    </row>
    <row r="6914" spans="2:26">
      <c r="B6914" s="2"/>
      <c r="N6914" s="27"/>
      <c r="R6914" s="15"/>
      <c r="X6914" s="3"/>
      <c r="Z6914" s="28"/>
    </row>
    <row r="6915" spans="2:26">
      <c r="B6915" s="2"/>
      <c r="N6915" s="27"/>
      <c r="R6915" s="15"/>
      <c r="X6915" s="3"/>
      <c r="Z6915" s="28"/>
    </row>
    <row r="6916" spans="2:26">
      <c r="B6916" s="2"/>
      <c r="N6916" s="27"/>
      <c r="R6916" s="15"/>
      <c r="X6916" s="3"/>
      <c r="Z6916" s="28"/>
    </row>
    <row r="6917" spans="2:26">
      <c r="B6917" s="2"/>
      <c r="N6917" s="27"/>
      <c r="R6917" s="15"/>
      <c r="X6917" s="3"/>
      <c r="Z6917" s="28"/>
    </row>
    <row r="6918" spans="2:26">
      <c r="B6918" s="2"/>
      <c r="N6918" s="27"/>
      <c r="R6918" s="15"/>
      <c r="X6918" s="3"/>
      <c r="Z6918" s="28"/>
    </row>
    <row r="6919" spans="2:26">
      <c r="B6919" s="2"/>
      <c r="N6919" s="27"/>
      <c r="R6919" s="15"/>
      <c r="X6919" s="3"/>
      <c r="Z6919" s="28"/>
    </row>
    <row r="6920" spans="2:26">
      <c r="B6920" s="2"/>
      <c r="N6920" s="27"/>
      <c r="R6920" s="15"/>
      <c r="X6920" s="3"/>
      <c r="Z6920" s="28"/>
    </row>
    <row r="6921" spans="2:26">
      <c r="B6921" s="2"/>
      <c r="N6921" s="27"/>
      <c r="R6921" s="15"/>
      <c r="X6921" s="3"/>
      <c r="Z6921" s="28"/>
    </row>
    <row r="6922" spans="2:26">
      <c r="B6922" s="2"/>
      <c r="N6922" s="27"/>
      <c r="R6922" s="15"/>
      <c r="X6922" s="3"/>
      <c r="Z6922" s="28"/>
    </row>
    <row r="6923" spans="2:26">
      <c r="B6923" s="2"/>
      <c r="N6923" s="27"/>
      <c r="R6923" s="15"/>
      <c r="X6923" s="3"/>
      <c r="Z6923" s="28"/>
    </row>
    <row r="6924" spans="2:26">
      <c r="B6924" s="2"/>
      <c r="N6924" s="27"/>
      <c r="R6924" s="15"/>
      <c r="X6924" s="3"/>
      <c r="Z6924" s="28"/>
    </row>
    <row r="6925" spans="2:26">
      <c r="B6925" s="2"/>
      <c r="N6925" s="27"/>
      <c r="R6925" s="15"/>
      <c r="X6925" s="3"/>
      <c r="Z6925" s="28"/>
    </row>
    <row r="6926" spans="2:26">
      <c r="B6926" s="2"/>
      <c r="N6926" s="27"/>
      <c r="R6926" s="15"/>
      <c r="X6926" s="3"/>
      <c r="Z6926" s="28"/>
    </row>
    <row r="6927" spans="2:26">
      <c r="B6927" s="2"/>
      <c r="N6927" s="27"/>
      <c r="R6927" s="15"/>
      <c r="X6927" s="3"/>
      <c r="Z6927" s="28"/>
    </row>
    <row r="6928" spans="2:26">
      <c r="B6928" s="2"/>
      <c r="N6928" s="27"/>
      <c r="R6928" s="15"/>
      <c r="X6928" s="3"/>
      <c r="Z6928" s="28"/>
    </row>
    <row r="6929" spans="2:26">
      <c r="B6929" s="2"/>
      <c r="N6929" s="27"/>
      <c r="R6929" s="15"/>
      <c r="X6929" s="3"/>
      <c r="Z6929" s="28"/>
    </row>
    <row r="6930" spans="2:26">
      <c r="B6930" s="2"/>
      <c r="N6930" s="27"/>
      <c r="R6930" s="15"/>
      <c r="X6930" s="3"/>
      <c r="Z6930" s="28"/>
    </row>
    <row r="6931" spans="2:26">
      <c r="B6931" s="2"/>
      <c r="N6931" s="27"/>
      <c r="R6931" s="15"/>
      <c r="X6931" s="3"/>
      <c r="Z6931" s="28"/>
    </row>
    <row r="6932" spans="2:26">
      <c r="B6932" s="2"/>
      <c r="N6932" s="27"/>
      <c r="R6932" s="15"/>
      <c r="X6932" s="3"/>
      <c r="Z6932" s="28"/>
    </row>
    <row r="6933" spans="2:26">
      <c r="B6933" s="2"/>
      <c r="N6933" s="27"/>
      <c r="R6933" s="15"/>
      <c r="X6933" s="3"/>
      <c r="Z6933" s="28"/>
    </row>
    <row r="6934" spans="2:26">
      <c r="B6934" s="2"/>
      <c r="N6934" s="27"/>
      <c r="R6934" s="15"/>
      <c r="X6934" s="3"/>
      <c r="Z6934" s="28"/>
    </row>
    <row r="6935" spans="2:26">
      <c r="B6935" s="2"/>
      <c r="N6935" s="27"/>
      <c r="R6935" s="15"/>
      <c r="X6935" s="3"/>
      <c r="Z6935" s="28"/>
    </row>
    <row r="6936" spans="2:26">
      <c r="B6936" s="2"/>
      <c r="N6936" s="27"/>
      <c r="R6936" s="15"/>
      <c r="X6936" s="3"/>
      <c r="Z6936" s="28"/>
    </row>
    <row r="6937" spans="2:26">
      <c r="B6937" s="2"/>
      <c r="N6937" s="27"/>
      <c r="R6937" s="15"/>
      <c r="X6937" s="3"/>
      <c r="Z6937" s="28"/>
    </row>
    <row r="6938" spans="2:26">
      <c r="B6938" s="2"/>
      <c r="N6938" s="27"/>
      <c r="R6938" s="15"/>
      <c r="X6938" s="3"/>
      <c r="Z6938" s="28"/>
    </row>
    <row r="6939" spans="2:26">
      <c r="B6939" s="2"/>
      <c r="N6939" s="27"/>
      <c r="R6939" s="15"/>
      <c r="X6939" s="3"/>
      <c r="Z6939" s="28"/>
    </row>
    <row r="6940" spans="2:26">
      <c r="B6940" s="2"/>
      <c r="N6940" s="27"/>
      <c r="R6940" s="15"/>
      <c r="X6940" s="3"/>
      <c r="Z6940" s="28"/>
    </row>
    <row r="6941" spans="2:26">
      <c r="B6941" s="2"/>
      <c r="N6941" s="27"/>
      <c r="R6941" s="15"/>
      <c r="X6941" s="3"/>
      <c r="Z6941" s="28"/>
    </row>
    <row r="6942" spans="2:26">
      <c r="B6942" s="2"/>
      <c r="N6942" s="27"/>
      <c r="R6942" s="15"/>
      <c r="X6942" s="3"/>
      <c r="Z6942" s="28"/>
    </row>
    <row r="6943" spans="2:26">
      <c r="B6943" s="2"/>
      <c r="N6943" s="27"/>
      <c r="R6943" s="15"/>
      <c r="X6943" s="3"/>
      <c r="Z6943" s="28"/>
    </row>
    <row r="6944" spans="2:26">
      <c r="B6944" s="2"/>
      <c r="N6944" s="27"/>
      <c r="R6944" s="15"/>
      <c r="X6944" s="3"/>
      <c r="Z6944" s="28"/>
    </row>
    <row r="6945" spans="2:26">
      <c r="B6945" s="2"/>
      <c r="N6945" s="27"/>
      <c r="R6945" s="15"/>
      <c r="X6945" s="3"/>
      <c r="Z6945" s="28"/>
    </row>
    <row r="6946" spans="2:26">
      <c r="B6946" s="2"/>
      <c r="N6946" s="27"/>
      <c r="R6946" s="15"/>
      <c r="X6946" s="3"/>
      <c r="Z6946" s="28"/>
    </row>
    <row r="6947" spans="2:26">
      <c r="B6947" s="2"/>
      <c r="N6947" s="27"/>
      <c r="R6947" s="15"/>
      <c r="X6947" s="3"/>
      <c r="Z6947" s="28"/>
    </row>
    <row r="6948" spans="2:26">
      <c r="B6948" s="2"/>
      <c r="N6948" s="27"/>
      <c r="R6948" s="15"/>
      <c r="X6948" s="3"/>
      <c r="Z6948" s="28"/>
    </row>
    <row r="6949" spans="2:26">
      <c r="B6949" s="2"/>
      <c r="N6949" s="27"/>
      <c r="R6949" s="15"/>
      <c r="X6949" s="3"/>
      <c r="Z6949" s="28"/>
    </row>
    <row r="6950" spans="2:26">
      <c r="B6950" s="2"/>
      <c r="N6950" s="27"/>
      <c r="R6950" s="15"/>
      <c r="X6950" s="3"/>
      <c r="Z6950" s="28"/>
    </row>
    <row r="6951" spans="2:26">
      <c r="B6951" s="2"/>
      <c r="N6951" s="27"/>
      <c r="R6951" s="15"/>
      <c r="X6951" s="3"/>
      <c r="Z6951" s="28"/>
    </row>
    <row r="6952" spans="2:26">
      <c r="B6952" s="2"/>
      <c r="N6952" s="27"/>
      <c r="R6952" s="15"/>
      <c r="X6952" s="3"/>
      <c r="Z6952" s="28"/>
    </row>
    <row r="6953" spans="2:26">
      <c r="B6953" s="2"/>
      <c r="N6953" s="27"/>
      <c r="R6953" s="15"/>
      <c r="X6953" s="3"/>
      <c r="Z6953" s="28"/>
    </row>
    <row r="6954" spans="2:26">
      <c r="B6954" s="2"/>
      <c r="N6954" s="27"/>
      <c r="R6954" s="15"/>
      <c r="X6954" s="3"/>
      <c r="Z6954" s="28"/>
    </row>
    <row r="6955" spans="2:26">
      <c r="B6955" s="2"/>
      <c r="N6955" s="27"/>
      <c r="R6955" s="15"/>
      <c r="X6955" s="3"/>
      <c r="Z6955" s="28"/>
    </row>
    <row r="6956" spans="2:26">
      <c r="B6956" s="2"/>
      <c r="N6956" s="27"/>
      <c r="R6956" s="15"/>
      <c r="X6956" s="3"/>
      <c r="Z6956" s="28"/>
    </row>
    <row r="6957" spans="2:26">
      <c r="B6957" s="2"/>
      <c r="N6957" s="27"/>
      <c r="R6957" s="15"/>
      <c r="X6957" s="3"/>
      <c r="Z6957" s="28"/>
    </row>
    <row r="6958" spans="2:26">
      <c r="B6958" s="2"/>
      <c r="N6958" s="27"/>
      <c r="R6958" s="15"/>
      <c r="X6958" s="3"/>
      <c r="Z6958" s="28"/>
    </row>
    <row r="6959" spans="2:26">
      <c r="B6959" s="2"/>
      <c r="N6959" s="27"/>
      <c r="R6959" s="15"/>
      <c r="X6959" s="3"/>
      <c r="Z6959" s="28"/>
    </row>
    <row r="6960" spans="2:26">
      <c r="B6960" s="2"/>
      <c r="N6960" s="27"/>
      <c r="R6960" s="15"/>
      <c r="X6960" s="3"/>
      <c r="Z6960" s="28"/>
    </row>
    <row r="6961" spans="2:26">
      <c r="B6961" s="2"/>
      <c r="N6961" s="27"/>
      <c r="R6961" s="15"/>
      <c r="X6961" s="3"/>
      <c r="Z6961" s="28"/>
    </row>
    <row r="6962" spans="2:26">
      <c r="B6962" s="2"/>
      <c r="N6962" s="27"/>
      <c r="R6962" s="15"/>
      <c r="X6962" s="3"/>
      <c r="Z6962" s="28"/>
    </row>
    <row r="6963" spans="2:26">
      <c r="B6963" s="2"/>
      <c r="N6963" s="27"/>
      <c r="R6963" s="15"/>
      <c r="X6963" s="3"/>
      <c r="Z6963" s="28"/>
    </row>
    <row r="6964" spans="2:26">
      <c r="B6964" s="2"/>
      <c r="N6964" s="27"/>
      <c r="R6964" s="15"/>
      <c r="X6964" s="3"/>
      <c r="Z6964" s="28"/>
    </row>
    <row r="6965" spans="2:26">
      <c r="B6965" s="2"/>
      <c r="N6965" s="27"/>
      <c r="R6965" s="15"/>
      <c r="X6965" s="3"/>
      <c r="Z6965" s="28"/>
    </row>
    <row r="6966" spans="2:26">
      <c r="B6966" s="2"/>
      <c r="N6966" s="27"/>
      <c r="R6966" s="15"/>
      <c r="X6966" s="3"/>
      <c r="Z6966" s="28"/>
    </row>
    <row r="6967" spans="2:26">
      <c r="B6967" s="2"/>
      <c r="N6967" s="27"/>
      <c r="R6967" s="15"/>
      <c r="X6967" s="3"/>
      <c r="Z6967" s="28"/>
    </row>
    <row r="6968" spans="2:26">
      <c r="B6968" s="2"/>
      <c r="N6968" s="27"/>
      <c r="R6968" s="15"/>
      <c r="X6968" s="3"/>
      <c r="Z6968" s="28"/>
    </row>
    <row r="6969" spans="2:26">
      <c r="B6969" s="2"/>
      <c r="N6969" s="27"/>
      <c r="R6969" s="15"/>
      <c r="X6969" s="3"/>
      <c r="Z6969" s="28"/>
    </row>
    <row r="6970" spans="2:26">
      <c r="B6970" s="2"/>
      <c r="N6970" s="27"/>
      <c r="R6970" s="15"/>
      <c r="X6970" s="3"/>
      <c r="Z6970" s="28"/>
    </row>
    <row r="6971" spans="2:26">
      <c r="B6971" s="2"/>
      <c r="N6971" s="27"/>
      <c r="R6971" s="15"/>
      <c r="X6971" s="3"/>
      <c r="Z6971" s="28"/>
    </row>
    <row r="6972" spans="2:26">
      <c r="B6972" s="2"/>
      <c r="N6972" s="27"/>
      <c r="R6972" s="15"/>
      <c r="X6972" s="3"/>
      <c r="Z6972" s="28"/>
    </row>
    <row r="6973" spans="2:26">
      <c r="B6973" s="2"/>
      <c r="N6973" s="27"/>
      <c r="R6973" s="15"/>
      <c r="X6973" s="3"/>
      <c r="Z6973" s="28"/>
    </row>
    <row r="6974" spans="2:26">
      <c r="B6974" s="2"/>
      <c r="N6974" s="27"/>
      <c r="R6974" s="15"/>
      <c r="X6974" s="3"/>
      <c r="Z6974" s="28"/>
    </row>
    <row r="6975" spans="2:26">
      <c r="B6975" s="2"/>
      <c r="N6975" s="27"/>
      <c r="R6975" s="15"/>
      <c r="X6975" s="3"/>
      <c r="Z6975" s="28"/>
    </row>
    <row r="6976" spans="2:26">
      <c r="B6976" s="2"/>
      <c r="N6976" s="27"/>
      <c r="R6976" s="15"/>
      <c r="X6976" s="3"/>
      <c r="Z6976" s="28"/>
    </row>
    <row r="6977" spans="2:26">
      <c r="B6977" s="2"/>
      <c r="N6977" s="27"/>
      <c r="R6977" s="15"/>
      <c r="X6977" s="3"/>
      <c r="Z6977" s="28"/>
    </row>
    <row r="6978" spans="2:26">
      <c r="B6978" s="2"/>
      <c r="N6978" s="27"/>
      <c r="R6978" s="15"/>
      <c r="X6978" s="3"/>
      <c r="Z6978" s="28"/>
    </row>
    <row r="6979" spans="2:26">
      <c r="B6979" s="2"/>
      <c r="N6979" s="27"/>
      <c r="R6979" s="15"/>
      <c r="X6979" s="3"/>
      <c r="Z6979" s="28"/>
    </row>
    <row r="6980" spans="2:26">
      <c r="B6980" s="2"/>
      <c r="N6980" s="27"/>
      <c r="R6980" s="15"/>
      <c r="X6980" s="3"/>
      <c r="Z6980" s="28"/>
    </row>
    <row r="6981" spans="2:26">
      <c r="B6981" s="2"/>
      <c r="N6981" s="27"/>
      <c r="R6981" s="15"/>
      <c r="X6981" s="3"/>
      <c r="Z6981" s="28"/>
    </row>
    <row r="6982" spans="2:26">
      <c r="B6982" s="2"/>
      <c r="N6982" s="27"/>
      <c r="R6982" s="15"/>
      <c r="X6982" s="3"/>
      <c r="Z6982" s="28"/>
    </row>
    <row r="6983" spans="2:26">
      <c r="B6983" s="2"/>
      <c r="N6983" s="27"/>
      <c r="R6983" s="15"/>
      <c r="X6983" s="3"/>
      <c r="Z6983" s="28"/>
    </row>
    <row r="6984" spans="2:26">
      <c r="B6984" s="2"/>
      <c r="N6984" s="27"/>
      <c r="R6984" s="15"/>
      <c r="X6984" s="3"/>
      <c r="Z6984" s="28"/>
    </row>
    <row r="6985" spans="2:26">
      <c r="B6985" s="2"/>
      <c r="N6985" s="27"/>
      <c r="R6985" s="15"/>
      <c r="X6985" s="3"/>
      <c r="Z6985" s="28"/>
    </row>
    <row r="6986" spans="2:26">
      <c r="B6986" s="2"/>
      <c r="N6986" s="27"/>
      <c r="R6986" s="15"/>
      <c r="X6986" s="3"/>
      <c r="Z6986" s="28"/>
    </row>
    <row r="6987" spans="2:26">
      <c r="B6987" s="2"/>
      <c r="N6987" s="27"/>
      <c r="R6987" s="15"/>
      <c r="X6987" s="3"/>
      <c r="Z6987" s="28"/>
    </row>
    <row r="6988" spans="2:26">
      <c r="B6988" s="2"/>
      <c r="N6988" s="27"/>
      <c r="R6988" s="15"/>
      <c r="X6988" s="3"/>
      <c r="Z6988" s="28"/>
    </row>
    <row r="6989" spans="2:26">
      <c r="B6989" s="2"/>
      <c r="N6989" s="27"/>
      <c r="R6989" s="15"/>
      <c r="X6989" s="3"/>
      <c r="Z6989" s="28"/>
    </row>
    <row r="6990" spans="2:26">
      <c r="B6990" s="2"/>
      <c r="N6990" s="27"/>
      <c r="R6990" s="15"/>
      <c r="X6990" s="3"/>
      <c r="Z6990" s="28"/>
    </row>
    <row r="6991" spans="2:26">
      <c r="B6991" s="2"/>
      <c r="N6991" s="27"/>
      <c r="R6991" s="15"/>
      <c r="X6991" s="3"/>
      <c r="Z6991" s="28"/>
    </row>
    <row r="6992" spans="2:26">
      <c r="B6992" s="2"/>
      <c r="N6992" s="27"/>
      <c r="R6992" s="15"/>
      <c r="X6992" s="3"/>
      <c r="Z6992" s="28"/>
    </row>
    <row r="6993" spans="2:26">
      <c r="B6993" s="2"/>
      <c r="N6993" s="27"/>
      <c r="R6993" s="15"/>
      <c r="X6993" s="3"/>
      <c r="Z6993" s="28"/>
    </row>
    <row r="6994" spans="2:26">
      <c r="B6994" s="2"/>
      <c r="N6994" s="27"/>
      <c r="R6994" s="15"/>
      <c r="X6994" s="3"/>
      <c r="Z6994" s="28"/>
    </row>
    <row r="6995" spans="2:26">
      <c r="B6995" s="2"/>
      <c r="N6995" s="27"/>
      <c r="R6995" s="15"/>
      <c r="X6995" s="3"/>
      <c r="Z6995" s="28"/>
    </row>
    <row r="6996" spans="2:26">
      <c r="B6996" s="2"/>
      <c r="N6996" s="27"/>
      <c r="R6996" s="15"/>
      <c r="X6996" s="3"/>
      <c r="Z6996" s="28"/>
    </row>
    <row r="6997" spans="2:26">
      <c r="B6997" s="2"/>
      <c r="N6997" s="27"/>
      <c r="R6997" s="15"/>
      <c r="X6997" s="3"/>
      <c r="Z6997" s="28"/>
    </row>
    <row r="6998" spans="2:26">
      <c r="B6998" s="2"/>
      <c r="N6998" s="27"/>
      <c r="R6998" s="15"/>
      <c r="X6998" s="3"/>
      <c r="Z6998" s="28"/>
    </row>
    <row r="6999" spans="2:26">
      <c r="B6999" s="2"/>
      <c r="N6999" s="27"/>
      <c r="R6999" s="15"/>
      <c r="X6999" s="3"/>
      <c r="Z6999" s="28"/>
    </row>
    <row r="7000" spans="2:26">
      <c r="B7000" s="2"/>
      <c r="N7000" s="27"/>
      <c r="R7000" s="15"/>
      <c r="X7000" s="3"/>
      <c r="Z7000" s="28"/>
    </row>
    <row r="7001" spans="2:26">
      <c r="B7001" s="2"/>
      <c r="N7001" s="27"/>
      <c r="R7001" s="15"/>
      <c r="X7001" s="3"/>
      <c r="Z7001" s="28"/>
    </row>
    <row r="7002" spans="2:26">
      <c r="B7002" s="2"/>
      <c r="N7002" s="27"/>
      <c r="R7002" s="15"/>
      <c r="X7002" s="3"/>
      <c r="Z7002" s="28"/>
    </row>
    <row r="7003" spans="2:26">
      <c r="B7003" s="2"/>
      <c r="N7003" s="27"/>
      <c r="R7003" s="15"/>
      <c r="X7003" s="3"/>
      <c r="Z7003" s="28"/>
    </row>
    <row r="7004" spans="2:26">
      <c r="B7004" s="2"/>
      <c r="N7004" s="27"/>
      <c r="R7004" s="15"/>
      <c r="X7004" s="3"/>
      <c r="Z7004" s="28"/>
    </row>
    <row r="7005" spans="2:26">
      <c r="B7005" s="2"/>
      <c r="N7005" s="27"/>
      <c r="R7005" s="15"/>
      <c r="X7005" s="3"/>
      <c r="Z7005" s="28"/>
    </row>
    <row r="7006" spans="2:26">
      <c r="B7006" s="2"/>
      <c r="N7006" s="27"/>
      <c r="R7006" s="15"/>
      <c r="X7006" s="3"/>
      <c r="Z7006" s="28"/>
    </row>
    <row r="7007" spans="2:26">
      <c r="B7007" s="2"/>
      <c r="N7007" s="27"/>
      <c r="R7007" s="15"/>
      <c r="X7007" s="3"/>
      <c r="Z7007" s="28"/>
    </row>
    <row r="7008" spans="2:26">
      <c r="B7008" s="2"/>
      <c r="N7008" s="27"/>
      <c r="R7008" s="15"/>
      <c r="X7008" s="3"/>
      <c r="Z7008" s="28"/>
    </row>
    <row r="7009" spans="2:26">
      <c r="B7009" s="2"/>
      <c r="N7009" s="27"/>
      <c r="R7009" s="15"/>
      <c r="X7009" s="3"/>
      <c r="Z7009" s="28"/>
    </row>
    <row r="7010" spans="2:26">
      <c r="B7010" s="2"/>
      <c r="N7010" s="27"/>
      <c r="R7010" s="15"/>
      <c r="X7010" s="3"/>
      <c r="Z7010" s="28"/>
    </row>
    <row r="7011" spans="2:26">
      <c r="B7011" s="2"/>
      <c r="N7011" s="27"/>
      <c r="R7011" s="15"/>
      <c r="X7011" s="3"/>
      <c r="Z7011" s="28"/>
    </row>
    <row r="7012" spans="2:26">
      <c r="B7012" s="2"/>
      <c r="N7012" s="27"/>
      <c r="R7012" s="15"/>
      <c r="X7012" s="3"/>
      <c r="Z7012" s="28"/>
    </row>
    <row r="7013" spans="2:26">
      <c r="B7013" s="2"/>
      <c r="N7013" s="27"/>
      <c r="R7013" s="15"/>
      <c r="X7013" s="3"/>
      <c r="Z7013" s="28"/>
    </row>
    <row r="7014" spans="2:26">
      <c r="B7014" s="2"/>
      <c r="N7014" s="27"/>
      <c r="R7014" s="15"/>
      <c r="X7014" s="3"/>
      <c r="Z7014" s="28"/>
    </row>
    <row r="7015" spans="2:26">
      <c r="B7015" s="2"/>
      <c r="N7015" s="27"/>
      <c r="R7015" s="15"/>
      <c r="X7015" s="3"/>
      <c r="Z7015" s="28"/>
    </row>
    <row r="7016" spans="2:26">
      <c r="B7016" s="2"/>
      <c r="N7016" s="27"/>
      <c r="R7016" s="15"/>
      <c r="X7016" s="3"/>
      <c r="Z7016" s="28"/>
    </row>
    <row r="7017" spans="2:26">
      <c r="B7017" s="2"/>
      <c r="N7017" s="27"/>
      <c r="R7017" s="15"/>
      <c r="X7017" s="3"/>
      <c r="Z7017" s="28"/>
    </row>
    <row r="7018" spans="2:26">
      <c r="B7018" s="2"/>
      <c r="N7018" s="27"/>
      <c r="R7018" s="15"/>
      <c r="X7018" s="3"/>
      <c r="Z7018" s="28"/>
    </row>
    <row r="7019" spans="2:26">
      <c r="B7019" s="2"/>
      <c r="N7019" s="27"/>
      <c r="R7019" s="15"/>
      <c r="X7019" s="3"/>
      <c r="Z7019" s="28"/>
    </row>
    <row r="7020" spans="2:26">
      <c r="B7020" s="2"/>
      <c r="N7020" s="27"/>
      <c r="R7020" s="15"/>
      <c r="X7020" s="3"/>
      <c r="Z7020" s="28"/>
    </row>
    <row r="7021" spans="2:26">
      <c r="B7021" s="2"/>
      <c r="N7021" s="27"/>
      <c r="R7021" s="15"/>
      <c r="X7021" s="3"/>
      <c r="Z7021" s="28"/>
    </row>
    <row r="7022" spans="2:26">
      <c r="B7022" s="2"/>
      <c r="N7022" s="27"/>
      <c r="R7022" s="15"/>
      <c r="X7022" s="3"/>
      <c r="Z7022" s="28"/>
    </row>
    <row r="7023" spans="2:26">
      <c r="B7023" s="2"/>
      <c r="N7023" s="27"/>
      <c r="R7023" s="15"/>
      <c r="X7023" s="3"/>
      <c r="Z7023" s="28"/>
    </row>
    <row r="7024" spans="2:26">
      <c r="B7024" s="2"/>
      <c r="N7024" s="27"/>
      <c r="R7024" s="15"/>
      <c r="X7024" s="3"/>
      <c r="Z7024" s="28"/>
    </row>
    <row r="7025" spans="2:26">
      <c r="B7025" s="2"/>
      <c r="N7025" s="27"/>
      <c r="R7025" s="15"/>
      <c r="X7025" s="3"/>
      <c r="Z7025" s="28"/>
    </row>
    <row r="7026" spans="2:26">
      <c r="B7026" s="2"/>
      <c r="N7026" s="27"/>
      <c r="R7026" s="15"/>
      <c r="X7026" s="3"/>
      <c r="Z7026" s="28"/>
    </row>
    <row r="7027" spans="2:26">
      <c r="B7027" s="2"/>
      <c r="N7027" s="27"/>
      <c r="R7027" s="15"/>
      <c r="X7027" s="3"/>
      <c r="Z7027" s="28"/>
    </row>
    <row r="7028" spans="2:26">
      <c r="B7028" s="2"/>
      <c r="N7028" s="27"/>
      <c r="R7028" s="15"/>
      <c r="X7028" s="3"/>
      <c r="Z7028" s="28"/>
    </row>
    <row r="7029" spans="2:26">
      <c r="B7029" s="2"/>
      <c r="N7029" s="27"/>
      <c r="R7029" s="15"/>
      <c r="X7029" s="3"/>
      <c r="Z7029" s="28"/>
    </row>
    <row r="7030" spans="2:26">
      <c r="B7030" s="2"/>
      <c r="N7030" s="27"/>
      <c r="R7030" s="15"/>
      <c r="X7030" s="3"/>
      <c r="Z7030" s="28"/>
    </row>
    <row r="7031" spans="2:26">
      <c r="B7031" s="2"/>
      <c r="N7031" s="27"/>
      <c r="R7031" s="15"/>
      <c r="X7031" s="3"/>
      <c r="Z7031" s="28"/>
    </row>
    <row r="7032" spans="2:26">
      <c r="B7032" s="2"/>
      <c r="N7032" s="27"/>
      <c r="R7032" s="15"/>
      <c r="X7032" s="3"/>
      <c r="Z7032" s="28"/>
    </row>
    <row r="7033" spans="2:26">
      <c r="B7033" s="2"/>
      <c r="N7033" s="27"/>
      <c r="R7033" s="15"/>
      <c r="X7033" s="3"/>
      <c r="Z7033" s="28"/>
    </row>
    <row r="7034" spans="2:26">
      <c r="B7034" s="2"/>
      <c r="N7034" s="27"/>
      <c r="R7034" s="15"/>
      <c r="X7034" s="3"/>
      <c r="Z7034" s="28"/>
    </row>
    <row r="7035" spans="2:26">
      <c r="B7035" s="2"/>
      <c r="N7035" s="27"/>
      <c r="R7035" s="15"/>
      <c r="X7035" s="3"/>
      <c r="Z7035" s="28"/>
    </row>
    <row r="7036" spans="2:26">
      <c r="B7036" s="2"/>
      <c r="N7036" s="27"/>
      <c r="R7036" s="15"/>
      <c r="X7036" s="3"/>
      <c r="Z7036" s="28"/>
    </row>
    <row r="7037" spans="2:26">
      <c r="B7037" s="2"/>
      <c r="N7037" s="27"/>
      <c r="R7037" s="15"/>
      <c r="X7037" s="3"/>
      <c r="Z7037" s="28"/>
    </row>
    <row r="7038" spans="2:26">
      <c r="B7038" s="2"/>
      <c r="N7038" s="27"/>
      <c r="R7038" s="15"/>
      <c r="X7038" s="3"/>
      <c r="Z7038" s="28"/>
    </row>
    <row r="7039" spans="2:26">
      <c r="B7039" s="2"/>
      <c r="N7039" s="27"/>
      <c r="R7039" s="15"/>
      <c r="X7039" s="3"/>
      <c r="Z7039" s="28"/>
    </row>
    <row r="7040" spans="2:26">
      <c r="B7040" s="2"/>
      <c r="N7040" s="27"/>
      <c r="R7040" s="15"/>
      <c r="X7040" s="3"/>
      <c r="Z7040" s="28"/>
    </row>
    <row r="7041" spans="2:26">
      <c r="B7041" s="2"/>
      <c r="N7041" s="27"/>
      <c r="R7041" s="15"/>
      <c r="X7041" s="3"/>
      <c r="Z7041" s="28"/>
    </row>
    <row r="7042" spans="2:26">
      <c r="B7042" s="2"/>
      <c r="N7042" s="27"/>
      <c r="R7042" s="15"/>
      <c r="X7042" s="3"/>
      <c r="Z7042" s="28"/>
    </row>
    <row r="7043" spans="2:26">
      <c r="B7043" s="2"/>
      <c r="N7043" s="27"/>
      <c r="R7043" s="15"/>
      <c r="X7043" s="3"/>
      <c r="Z7043" s="28"/>
    </row>
    <row r="7044" spans="2:26">
      <c r="B7044" s="2"/>
      <c r="N7044" s="27"/>
      <c r="R7044" s="15"/>
      <c r="X7044" s="3"/>
      <c r="Z7044" s="28"/>
    </row>
    <row r="7045" spans="2:26">
      <c r="B7045" s="2"/>
      <c r="N7045" s="27"/>
      <c r="R7045" s="15"/>
      <c r="X7045" s="3"/>
      <c r="Z7045" s="28"/>
    </row>
    <row r="7046" spans="2:26">
      <c r="B7046" s="2"/>
      <c r="N7046" s="27"/>
      <c r="R7046" s="15"/>
      <c r="X7046" s="3"/>
      <c r="Z7046" s="28"/>
    </row>
    <row r="7047" spans="2:26">
      <c r="B7047" s="2"/>
      <c r="N7047" s="27"/>
      <c r="R7047" s="15"/>
      <c r="X7047" s="3"/>
      <c r="Z7047" s="28"/>
    </row>
    <row r="7048" spans="2:26">
      <c r="B7048" s="2"/>
      <c r="N7048" s="27"/>
      <c r="R7048" s="15"/>
      <c r="X7048" s="3"/>
      <c r="Z7048" s="28"/>
    </row>
    <row r="7049" spans="2:26">
      <c r="B7049" s="2"/>
      <c r="N7049" s="27"/>
      <c r="R7049" s="15"/>
      <c r="X7049" s="3"/>
      <c r="Z7049" s="28"/>
    </row>
    <row r="7050" spans="2:26">
      <c r="B7050" s="2"/>
      <c r="N7050" s="27"/>
      <c r="R7050" s="15"/>
      <c r="X7050" s="3"/>
      <c r="Z7050" s="28"/>
    </row>
    <row r="7051" spans="2:26">
      <c r="B7051" s="2"/>
      <c r="N7051" s="27"/>
      <c r="R7051" s="15"/>
      <c r="X7051" s="3"/>
      <c r="Z7051" s="28"/>
    </row>
    <row r="7052" spans="2:26">
      <c r="B7052" s="2"/>
      <c r="N7052" s="27"/>
      <c r="R7052" s="15"/>
      <c r="X7052" s="3"/>
      <c r="Z7052" s="28"/>
    </row>
    <row r="7053" spans="2:26">
      <c r="B7053" s="2"/>
      <c r="N7053" s="27"/>
      <c r="R7053" s="15"/>
      <c r="X7053" s="3"/>
      <c r="Z7053" s="28"/>
    </row>
    <row r="7054" spans="2:26">
      <c r="B7054" s="2"/>
      <c r="N7054" s="27"/>
      <c r="R7054" s="15"/>
      <c r="X7054" s="3"/>
      <c r="Z7054" s="28"/>
    </row>
    <row r="7055" spans="2:26">
      <c r="B7055" s="2"/>
      <c r="N7055" s="27"/>
      <c r="R7055" s="15"/>
      <c r="X7055" s="3"/>
      <c r="Z7055" s="28"/>
    </row>
    <row r="7056" spans="2:26">
      <c r="B7056" s="2"/>
      <c r="N7056" s="27"/>
      <c r="R7056" s="15"/>
      <c r="X7056" s="3"/>
      <c r="Z7056" s="28"/>
    </row>
    <row r="7057" spans="2:26">
      <c r="B7057" s="2"/>
      <c r="N7057" s="27"/>
      <c r="R7057" s="15"/>
      <c r="X7057" s="3"/>
      <c r="Z7057" s="28"/>
    </row>
    <row r="7058" spans="2:26">
      <c r="B7058" s="2"/>
      <c r="N7058" s="27"/>
      <c r="R7058" s="15"/>
      <c r="X7058" s="3"/>
      <c r="Z7058" s="28"/>
    </row>
    <row r="7059" spans="2:26">
      <c r="B7059" s="2"/>
      <c r="N7059" s="27"/>
      <c r="R7059" s="15"/>
      <c r="X7059" s="3"/>
      <c r="Z7059" s="28"/>
    </row>
    <row r="7060" spans="2:26">
      <c r="B7060" s="2"/>
      <c r="N7060" s="27"/>
      <c r="R7060" s="15"/>
      <c r="X7060" s="3"/>
      <c r="Z7060" s="28"/>
    </row>
    <row r="7061" spans="2:26">
      <c r="B7061" s="2"/>
      <c r="N7061" s="27"/>
      <c r="R7061" s="15"/>
      <c r="X7061" s="3"/>
      <c r="Z7061" s="28"/>
    </row>
    <row r="7062" spans="2:26">
      <c r="B7062" s="2"/>
      <c r="N7062" s="27"/>
      <c r="R7062" s="15"/>
      <c r="X7062" s="3"/>
      <c r="Z7062" s="28"/>
    </row>
    <row r="7063" spans="2:26">
      <c r="B7063" s="2"/>
      <c r="N7063" s="27"/>
      <c r="R7063" s="15"/>
      <c r="X7063" s="3"/>
      <c r="Z7063" s="28"/>
    </row>
    <row r="7064" spans="2:26">
      <c r="B7064" s="2"/>
      <c r="N7064" s="27"/>
      <c r="R7064" s="15"/>
      <c r="X7064" s="3"/>
      <c r="Z7064" s="28"/>
    </row>
    <row r="7065" spans="2:26">
      <c r="B7065" s="2"/>
      <c r="N7065" s="27"/>
      <c r="R7065" s="15"/>
      <c r="X7065" s="3"/>
      <c r="Z7065" s="28"/>
    </row>
    <row r="7066" spans="2:26">
      <c r="B7066" s="2"/>
      <c r="N7066" s="27"/>
      <c r="R7066" s="15"/>
      <c r="X7066" s="3"/>
      <c r="Z7066" s="28"/>
    </row>
    <row r="7067" spans="2:26">
      <c r="B7067" s="2"/>
      <c r="N7067" s="27"/>
      <c r="R7067" s="15"/>
      <c r="X7067" s="3"/>
      <c r="Z7067" s="28"/>
    </row>
    <row r="7068" spans="2:26">
      <c r="B7068" s="2"/>
      <c r="N7068" s="27"/>
      <c r="R7068" s="15"/>
      <c r="X7068" s="3"/>
      <c r="Z7068" s="28"/>
    </row>
    <row r="7069" spans="2:26">
      <c r="B7069" s="2"/>
      <c r="N7069" s="27"/>
      <c r="R7069" s="15"/>
      <c r="X7069" s="3"/>
      <c r="Z7069" s="28"/>
    </row>
    <row r="7070" spans="2:26">
      <c r="B7070" s="2"/>
      <c r="N7070" s="27"/>
      <c r="R7070" s="15"/>
      <c r="X7070" s="3"/>
      <c r="Z7070" s="28"/>
    </row>
    <row r="7071" spans="2:26">
      <c r="B7071" s="2"/>
      <c r="N7071" s="27"/>
      <c r="R7071" s="15"/>
      <c r="X7071" s="3"/>
      <c r="Z7071" s="28"/>
    </row>
    <row r="7072" spans="2:26">
      <c r="B7072" s="2"/>
      <c r="N7072" s="27"/>
      <c r="R7072" s="15"/>
      <c r="X7072" s="3"/>
      <c r="Z7072" s="28"/>
    </row>
    <row r="7073" spans="2:26">
      <c r="B7073" s="2"/>
      <c r="N7073" s="27"/>
      <c r="R7073" s="15"/>
      <c r="X7073" s="3"/>
      <c r="Z7073" s="28"/>
    </row>
    <row r="7074" spans="2:26">
      <c r="B7074" s="2"/>
      <c r="N7074" s="27"/>
      <c r="R7074" s="15"/>
      <c r="X7074" s="3"/>
      <c r="Z7074" s="28"/>
    </row>
    <row r="7075" spans="2:26">
      <c r="B7075" s="2"/>
      <c r="N7075" s="27"/>
      <c r="R7075" s="15"/>
      <c r="X7075" s="3"/>
      <c r="Z7075" s="28"/>
    </row>
    <row r="7076" spans="2:26">
      <c r="B7076" s="2"/>
      <c r="N7076" s="27"/>
      <c r="R7076" s="15"/>
      <c r="X7076" s="3"/>
      <c r="Z7076" s="28"/>
    </row>
    <row r="7077" spans="2:26">
      <c r="B7077" s="2"/>
      <c r="N7077" s="27"/>
      <c r="R7077" s="15"/>
      <c r="X7077" s="3"/>
      <c r="Z7077" s="28"/>
    </row>
    <row r="7078" spans="2:26">
      <c r="B7078" s="2"/>
      <c r="N7078" s="27"/>
      <c r="R7078" s="15"/>
      <c r="X7078" s="3"/>
      <c r="Z7078" s="28"/>
    </row>
    <row r="7079" spans="2:26">
      <c r="B7079" s="2"/>
      <c r="N7079" s="27"/>
      <c r="R7079" s="15"/>
      <c r="X7079" s="3"/>
      <c r="Z7079" s="28"/>
    </row>
    <row r="7080" spans="2:26">
      <c r="B7080" s="2"/>
      <c r="N7080" s="27"/>
      <c r="R7080" s="15"/>
      <c r="X7080" s="3"/>
      <c r="Z7080" s="28"/>
    </row>
    <row r="7081" spans="2:26">
      <c r="B7081" s="2"/>
      <c r="N7081" s="27"/>
      <c r="R7081" s="15"/>
      <c r="X7081" s="3"/>
      <c r="Z7081" s="28"/>
    </row>
    <row r="7082" spans="2:26">
      <c r="B7082" s="2"/>
      <c r="N7082" s="27"/>
      <c r="R7082" s="15"/>
      <c r="X7082" s="3"/>
      <c r="Z7082" s="28"/>
    </row>
    <row r="7083" spans="2:26">
      <c r="B7083" s="2"/>
      <c r="N7083" s="27"/>
      <c r="R7083" s="15"/>
      <c r="X7083" s="3"/>
      <c r="Z7083" s="28"/>
    </row>
    <row r="7084" spans="2:26">
      <c r="B7084" s="2"/>
      <c r="N7084" s="27"/>
      <c r="R7084" s="15"/>
      <c r="X7084" s="3"/>
      <c r="Z7084" s="28"/>
    </row>
    <row r="7085" spans="2:26">
      <c r="B7085" s="2"/>
      <c r="N7085" s="27"/>
      <c r="R7085" s="15"/>
      <c r="X7085" s="3"/>
      <c r="Z7085" s="28"/>
    </row>
    <row r="7086" spans="2:26">
      <c r="B7086" s="2"/>
      <c r="N7086" s="27"/>
      <c r="R7086" s="15"/>
      <c r="X7086" s="3"/>
      <c r="Z7086" s="28"/>
    </row>
    <row r="7087" spans="2:26">
      <c r="B7087" s="2"/>
      <c r="N7087" s="27"/>
      <c r="R7087" s="15"/>
      <c r="X7087" s="3"/>
      <c r="Z7087" s="28"/>
    </row>
    <row r="7088" spans="2:26">
      <c r="B7088" s="2"/>
      <c r="N7088" s="27"/>
      <c r="R7088" s="15"/>
      <c r="X7088" s="3"/>
      <c r="Z7088" s="28"/>
    </row>
    <row r="7089" spans="2:26">
      <c r="B7089" s="2"/>
      <c r="N7089" s="27"/>
      <c r="R7089" s="15"/>
      <c r="X7089" s="3"/>
      <c r="Z7089" s="28"/>
    </row>
    <row r="7090" spans="2:26">
      <c r="B7090" s="2"/>
      <c r="N7090" s="27"/>
      <c r="R7090" s="15"/>
      <c r="X7090" s="3"/>
      <c r="Z7090" s="28"/>
    </row>
    <row r="7091" spans="2:26">
      <c r="B7091" s="2"/>
      <c r="N7091" s="27"/>
      <c r="R7091" s="15"/>
      <c r="X7091" s="3"/>
      <c r="Z7091" s="28"/>
    </row>
    <row r="7092" spans="2:26">
      <c r="B7092" s="2"/>
      <c r="N7092" s="27"/>
      <c r="R7092" s="15"/>
      <c r="X7092" s="3"/>
      <c r="Z7092" s="28"/>
    </row>
    <row r="7093" spans="2:26">
      <c r="B7093" s="2"/>
      <c r="N7093" s="27"/>
      <c r="R7093" s="15"/>
      <c r="X7093" s="3"/>
      <c r="Z7093" s="28"/>
    </row>
    <row r="7094" spans="2:26">
      <c r="B7094" s="2"/>
      <c r="N7094" s="27"/>
      <c r="R7094" s="15"/>
      <c r="X7094" s="3"/>
      <c r="Z7094" s="28"/>
    </row>
    <row r="7095" spans="2:26">
      <c r="B7095" s="2"/>
      <c r="N7095" s="27"/>
      <c r="R7095" s="15"/>
      <c r="X7095" s="3"/>
      <c r="Z7095" s="28"/>
    </row>
    <row r="7096" spans="2:26">
      <c r="B7096" s="2"/>
      <c r="N7096" s="27"/>
      <c r="R7096" s="15"/>
      <c r="X7096" s="3"/>
      <c r="Z7096" s="28"/>
    </row>
    <row r="7097" spans="2:26">
      <c r="B7097" s="2"/>
      <c r="N7097" s="27"/>
      <c r="R7097" s="15"/>
      <c r="X7097" s="3"/>
      <c r="Z7097" s="28"/>
    </row>
    <row r="7098" spans="2:26">
      <c r="B7098" s="2"/>
      <c r="N7098" s="27"/>
      <c r="R7098" s="15"/>
      <c r="X7098" s="3"/>
      <c r="Z7098" s="28"/>
    </row>
    <row r="7099" spans="2:26">
      <c r="B7099" s="2"/>
      <c r="N7099" s="27"/>
      <c r="R7099" s="15"/>
      <c r="X7099" s="3"/>
      <c r="Z7099" s="28"/>
    </row>
    <row r="7100" spans="2:26">
      <c r="B7100" s="2"/>
      <c r="N7100" s="27"/>
      <c r="R7100" s="15"/>
      <c r="X7100" s="3"/>
      <c r="Z7100" s="28"/>
    </row>
    <row r="7101" spans="2:26">
      <c r="B7101" s="2"/>
      <c r="N7101" s="27"/>
      <c r="R7101" s="15"/>
      <c r="X7101" s="3"/>
      <c r="Z7101" s="28"/>
    </row>
    <row r="7102" spans="2:26">
      <c r="B7102" s="2"/>
      <c r="N7102" s="27"/>
      <c r="R7102" s="15"/>
      <c r="X7102" s="3"/>
      <c r="Z7102" s="28"/>
    </row>
    <row r="7103" spans="2:26">
      <c r="B7103" s="2"/>
      <c r="N7103" s="27"/>
      <c r="R7103" s="15"/>
      <c r="X7103" s="3"/>
      <c r="Z7103" s="28"/>
    </row>
    <row r="7104" spans="2:26">
      <c r="B7104" s="2"/>
      <c r="N7104" s="27"/>
      <c r="R7104" s="15"/>
      <c r="X7104" s="3"/>
      <c r="Z7104" s="28"/>
    </row>
    <row r="7105" spans="2:26">
      <c r="B7105" s="2"/>
      <c r="N7105" s="27"/>
      <c r="R7105" s="15"/>
      <c r="X7105" s="3"/>
      <c r="Z7105" s="28"/>
    </row>
    <row r="7106" spans="2:26">
      <c r="B7106" s="2"/>
      <c r="N7106" s="27"/>
      <c r="R7106" s="15"/>
      <c r="X7106" s="3"/>
      <c r="Z7106" s="28"/>
    </row>
    <row r="7107" spans="2:26">
      <c r="B7107" s="2"/>
      <c r="N7107" s="27"/>
      <c r="R7107" s="15"/>
      <c r="X7107" s="3"/>
      <c r="Z7107" s="28"/>
    </row>
    <row r="7108" spans="2:26">
      <c r="B7108" s="2"/>
      <c r="N7108" s="27"/>
      <c r="R7108" s="15"/>
      <c r="X7108" s="3"/>
      <c r="Z7108" s="28"/>
    </row>
    <row r="7109" spans="2:26">
      <c r="B7109" s="2"/>
      <c r="N7109" s="27"/>
      <c r="R7109" s="15"/>
      <c r="X7109" s="3"/>
      <c r="Z7109" s="28"/>
    </row>
    <row r="7110" spans="2:26">
      <c r="B7110" s="2"/>
      <c r="N7110" s="27"/>
      <c r="R7110" s="15"/>
      <c r="X7110" s="3"/>
      <c r="Z7110" s="28"/>
    </row>
    <row r="7111" spans="2:26">
      <c r="B7111" s="2"/>
      <c r="N7111" s="27"/>
      <c r="R7111" s="15"/>
      <c r="X7111" s="3"/>
      <c r="Z7111" s="28"/>
    </row>
    <row r="7112" spans="2:26">
      <c r="B7112" s="2"/>
      <c r="N7112" s="27"/>
      <c r="R7112" s="15"/>
      <c r="X7112" s="3"/>
      <c r="Z7112" s="28"/>
    </row>
    <row r="7113" spans="2:26">
      <c r="B7113" s="2"/>
      <c r="N7113" s="27"/>
      <c r="R7113" s="15"/>
      <c r="X7113" s="3"/>
      <c r="Z7113" s="28"/>
    </row>
    <row r="7114" spans="2:26">
      <c r="B7114" s="2"/>
      <c r="N7114" s="27"/>
      <c r="R7114" s="15"/>
      <c r="X7114" s="3"/>
      <c r="Z7114" s="28"/>
    </row>
    <row r="7115" spans="2:26">
      <c r="B7115" s="2"/>
      <c r="N7115" s="27"/>
      <c r="R7115" s="15"/>
      <c r="X7115" s="3"/>
      <c r="Z7115" s="28"/>
    </row>
    <row r="7116" spans="2:26">
      <c r="B7116" s="2"/>
      <c r="N7116" s="27"/>
      <c r="R7116" s="15"/>
      <c r="X7116" s="3"/>
      <c r="Z7116" s="28"/>
    </row>
    <row r="7117" spans="2:26">
      <c r="B7117" s="2"/>
      <c r="N7117" s="27"/>
      <c r="R7117" s="15"/>
      <c r="X7117" s="3"/>
      <c r="Z7117" s="28"/>
    </row>
    <row r="7118" spans="2:26">
      <c r="B7118" s="2"/>
      <c r="N7118" s="27"/>
      <c r="R7118" s="15"/>
      <c r="X7118" s="3"/>
      <c r="Z7118" s="28"/>
    </row>
    <row r="7119" spans="2:26">
      <c r="B7119" s="2"/>
      <c r="N7119" s="27"/>
      <c r="R7119" s="15"/>
      <c r="X7119" s="3"/>
      <c r="Z7119" s="28"/>
    </row>
    <row r="7120" spans="2:26">
      <c r="B7120" s="2"/>
      <c r="N7120" s="27"/>
      <c r="R7120" s="15"/>
      <c r="X7120" s="3"/>
      <c r="Z7120" s="28"/>
    </row>
    <row r="7121" spans="2:26">
      <c r="B7121" s="2"/>
      <c r="N7121" s="27"/>
      <c r="R7121" s="15"/>
      <c r="X7121" s="3"/>
      <c r="Z7121" s="28"/>
    </row>
    <row r="7122" spans="2:26">
      <c r="B7122" s="2"/>
      <c r="N7122" s="27"/>
      <c r="R7122" s="15"/>
      <c r="X7122" s="3"/>
      <c r="Z7122" s="28"/>
    </row>
    <row r="7123" spans="2:26">
      <c r="B7123" s="2"/>
      <c r="N7123" s="27"/>
      <c r="R7123" s="15"/>
      <c r="X7123" s="3"/>
      <c r="Z7123" s="28"/>
    </row>
    <row r="7124" spans="2:26">
      <c r="B7124" s="2"/>
      <c r="N7124" s="27"/>
      <c r="R7124" s="15"/>
      <c r="X7124" s="3"/>
      <c r="Z7124" s="28"/>
    </row>
    <row r="7125" spans="2:26">
      <c r="B7125" s="2"/>
      <c r="N7125" s="27"/>
      <c r="R7125" s="15"/>
      <c r="X7125" s="3"/>
      <c r="Z7125" s="28"/>
    </row>
    <row r="7126" spans="2:26">
      <c r="B7126" s="2"/>
      <c r="N7126" s="27"/>
      <c r="R7126" s="15"/>
      <c r="X7126" s="3"/>
      <c r="Z7126" s="28"/>
    </row>
    <row r="7127" spans="2:26">
      <c r="B7127" s="2"/>
      <c r="N7127" s="27"/>
      <c r="R7127" s="15"/>
      <c r="X7127" s="3"/>
      <c r="Z7127" s="28"/>
    </row>
    <row r="7128" spans="2:26">
      <c r="B7128" s="2"/>
      <c r="N7128" s="27"/>
      <c r="R7128" s="15"/>
      <c r="X7128" s="3"/>
      <c r="Z7128" s="28"/>
    </row>
    <row r="7129" spans="2:26">
      <c r="B7129" s="2"/>
      <c r="N7129" s="27"/>
      <c r="R7129" s="15"/>
      <c r="X7129" s="3"/>
      <c r="Z7129" s="28"/>
    </row>
    <row r="7130" spans="2:26">
      <c r="B7130" s="2"/>
      <c r="N7130" s="27"/>
      <c r="R7130" s="15"/>
      <c r="X7130" s="3"/>
      <c r="Z7130" s="28"/>
    </row>
    <row r="7131" spans="2:26">
      <c r="B7131" s="2"/>
      <c r="N7131" s="27"/>
      <c r="R7131" s="15"/>
      <c r="X7131" s="3"/>
      <c r="Z7131" s="28"/>
    </row>
    <row r="7132" spans="2:26">
      <c r="B7132" s="2"/>
      <c r="N7132" s="27"/>
      <c r="R7132" s="15"/>
      <c r="X7132" s="3"/>
      <c r="Z7132" s="28"/>
    </row>
    <row r="7133" spans="2:26">
      <c r="B7133" s="2"/>
      <c r="N7133" s="27"/>
      <c r="R7133" s="15"/>
      <c r="X7133" s="3"/>
      <c r="Z7133" s="28"/>
    </row>
    <row r="7134" spans="2:26">
      <c r="B7134" s="2"/>
      <c r="N7134" s="27"/>
      <c r="R7134" s="15"/>
      <c r="X7134" s="3"/>
      <c r="Z7134" s="28"/>
    </row>
    <row r="7135" spans="2:26">
      <c r="B7135" s="2"/>
      <c r="N7135" s="27"/>
      <c r="R7135" s="15"/>
      <c r="X7135" s="3"/>
      <c r="Z7135" s="28"/>
    </row>
    <row r="7136" spans="2:26">
      <c r="B7136" s="2"/>
      <c r="N7136" s="27"/>
      <c r="R7136" s="15"/>
      <c r="X7136" s="3"/>
      <c r="Z7136" s="28"/>
    </row>
    <row r="7137" spans="2:26">
      <c r="B7137" s="2"/>
      <c r="N7137" s="27"/>
      <c r="R7137" s="15"/>
      <c r="X7137" s="3"/>
      <c r="Z7137" s="28"/>
    </row>
    <row r="7138" spans="2:26">
      <c r="B7138" s="2"/>
      <c r="N7138" s="27"/>
      <c r="R7138" s="15"/>
      <c r="X7138" s="3"/>
      <c r="Z7138" s="28"/>
    </row>
    <row r="7139" spans="2:26">
      <c r="B7139" s="2"/>
      <c r="N7139" s="27"/>
      <c r="R7139" s="15"/>
      <c r="X7139" s="3"/>
      <c r="Z7139" s="28"/>
    </row>
    <row r="7140" spans="2:26">
      <c r="B7140" s="2"/>
      <c r="N7140" s="27"/>
      <c r="R7140" s="15"/>
      <c r="X7140" s="3"/>
      <c r="Z7140" s="28"/>
    </row>
    <row r="7141" spans="2:26">
      <c r="B7141" s="2"/>
      <c r="N7141" s="27"/>
      <c r="R7141" s="15"/>
      <c r="X7141" s="3"/>
      <c r="Z7141" s="28"/>
    </row>
    <row r="7142" spans="2:26">
      <c r="B7142" s="2"/>
      <c r="N7142" s="27"/>
      <c r="R7142" s="15"/>
      <c r="X7142" s="3"/>
      <c r="Z7142" s="28"/>
    </row>
    <row r="7143" spans="2:26">
      <c r="B7143" s="2"/>
      <c r="N7143" s="27"/>
      <c r="R7143" s="15"/>
      <c r="X7143" s="3"/>
      <c r="Z7143" s="28"/>
    </row>
    <row r="7144" spans="2:26">
      <c r="B7144" s="2"/>
      <c r="N7144" s="27"/>
      <c r="R7144" s="15"/>
      <c r="X7144" s="3"/>
      <c r="Z7144" s="28"/>
    </row>
    <row r="7145" spans="2:26">
      <c r="B7145" s="2"/>
      <c r="N7145" s="27"/>
      <c r="R7145" s="15"/>
      <c r="X7145" s="3"/>
      <c r="Z7145" s="28"/>
    </row>
    <row r="7146" spans="2:26">
      <c r="B7146" s="2"/>
      <c r="N7146" s="27"/>
      <c r="R7146" s="15"/>
      <c r="X7146" s="3"/>
      <c r="Z7146" s="28"/>
    </row>
    <row r="7147" spans="2:26">
      <c r="B7147" s="2"/>
      <c r="N7147" s="27"/>
      <c r="R7147" s="15"/>
      <c r="X7147" s="3"/>
      <c r="Z7147" s="28"/>
    </row>
    <row r="7148" spans="2:26">
      <c r="B7148" s="2"/>
      <c r="N7148" s="27"/>
      <c r="R7148" s="15"/>
      <c r="X7148" s="3"/>
      <c r="Z7148" s="28"/>
    </row>
    <row r="7149" spans="2:26">
      <c r="B7149" s="2"/>
      <c r="N7149" s="27"/>
      <c r="R7149" s="15"/>
      <c r="X7149" s="3"/>
      <c r="Z7149" s="28"/>
    </row>
    <row r="7150" spans="2:26">
      <c r="B7150" s="2"/>
      <c r="N7150" s="27"/>
      <c r="R7150" s="15"/>
      <c r="X7150" s="3"/>
      <c r="Z7150" s="28"/>
    </row>
    <row r="7151" spans="2:26">
      <c r="B7151" s="2"/>
      <c r="N7151" s="27"/>
      <c r="R7151" s="15"/>
      <c r="X7151" s="3"/>
      <c r="Z7151" s="28"/>
    </row>
    <row r="7152" spans="2:26">
      <c r="B7152" s="2"/>
      <c r="N7152" s="27"/>
      <c r="R7152" s="15"/>
      <c r="X7152" s="3"/>
      <c r="Z7152" s="28"/>
    </row>
    <row r="7153" spans="2:26">
      <c r="B7153" s="2"/>
      <c r="N7153" s="27"/>
      <c r="R7153" s="15"/>
      <c r="X7153" s="3"/>
      <c r="Z7153" s="28"/>
    </row>
    <row r="7154" spans="2:26">
      <c r="B7154" s="2"/>
      <c r="N7154" s="27"/>
      <c r="R7154" s="15"/>
      <c r="X7154" s="3"/>
      <c r="Z7154" s="28"/>
    </row>
    <row r="7155" spans="2:26">
      <c r="B7155" s="2"/>
      <c r="N7155" s="27"/>
      <c r="R7155" s="15"/>
      <c r="X7155" s="3"/>
      <c r="Z7155" s="28"/>
    </row>
    <row r="7156" spans="2:26">
      <c r="B7156" s="2"/>
      <c r="N7156" s="27"/>
      <c r="R7156" s="15"/>
      <c r="X7156" s="3"/>
      <c r="Z7156" s="28"/>
    </row>
    <row r="7157" spans="2:26">
      <c r="B7157" s="2"/>
      <c r="N7157" s="27"/>
      <c r="R7157" s="15"/>
      <c r="X7157" s="3"/>
      <c r="Z7157" s="28"/>
    </row>
    <row r="7158" spans="2:26">
      <c r="B7158" s="2"/>
      <c r="N7158" s="27"/>
      <c r="R7158" s="15"/>
      <c r="X7158" s="3"/>
      <c r="Z7158" s="28"/>
    </row>
    <row r="7159" spans="2:26">
      <c r="B7159" s="2"/>
      <c r="N7159" s="27"/>
      <c r="R7159" s="15"/>
      <c r="X7159" s="3"/>
      <c r="Z7159" s="28"/>
    </row>
    <row r="7160" spans="2:26">
      <c r="B7160" s="2"/>
      <c r="N7160" s="27"/>
      <c r="R7160" s="15"/>
      <c r="X7160" s="3"/>
      <c r="Z7160" s="28"/>
    </row>
    <row r="7161" spans="2:26">
      <c r="B7161" s="2"/>
      <c r="N7161" s="27"/>
      <c r="R7161" s="15"/>
      <c r="X7161" s="3"/>
      <c r="Z7161" s="28"/>
    </row>
    <row r="7162" spans="2:26">
      <c r="B7162" s="2"/>
      <c r="N7162" s="27"/>
      <c r="R7162" s="15"/>
      <c r="X7162" s="3"/>
      <c r="Z7162" s="28"/>
    </row>
    <row r="7163" spans="2:26">
      <c r="B7163" s="2"/>
      <c r="N7163" s="27"/>
      <c r="R7163" s="15"/>
      <c r="X7163" s="3"/>
      <c r="Z7163" s="28"/>
    </row>
    <row r="7164" spans="2:26">
      <c r="B7164" s="2"/>
      <c r="N7164" s="27"/>
      <c r="R7164" s="15"/>
      <c r="X7164" s="3"/>
      <c r="Z7164" s="28"/>
    </row>
    <row r="7165" spans="2:26">
      <c r="B7165" s="2"/>
      <c r="N7165" s="27"/>
      <c r="R7165" s="15"/>
      <c r="X7165" s="3"/>
      <c r="Z7165" s="28"/>
    </row>
    <row r="7166" spans="2:26">
      <c r="B7166" s="2"/>
      <c r="N7166" s="27"/>
      <c r="R7166" s="15"/>
      <c r="X7166" s="3"/>
      <c r="Z7166" s="28"/>
    </row>
    <row r="7167" spans="2:26">
      <c r="B7167" s="2"/>
      <c r="N7167" s="27"/>
      <c r="R7167" s="15"/>
      <c r="X7167" s="3"/>
      <c r="Z7167" s="28"/>
    </row>
    <row r="7168" spans="2:26">
      <c r="B7168" s="2"/>
      <c r="N7168" s="27"/>
      <c r="R7168" s="15"/>
      <c r="X7168" s="3"/>
      <c r="Z7168" s="28"/>
    </row>
    <row r="7169" spans="2:26">
      <c r="B7169" s="2"/>
      <c r="N7169" s="27"/>
      <c r="R7169" s="15"/>
      <c r="X7169" s="3"/>
      <c r="Z7169" s="28"/>
    </row>
    <row r="7170" spans="2:26">
      <c r="B7170" s="2"/>
      <c r="N7170" s="27"/>
      <c r="R7170" s="15"/>
      <c r="X7170" s="3"/>
      <c r="Z7170" s="28"/>
    </row>
    <row r="7171" spans="2:26">
      <c r="B7171" s="2"/>
      <c r="N7171" s="27"/>
      <c r="R7171" s="15"/>
      <c r="X7171" s="3"/>
      <c r="Z7171" s="28"/>
    </row>
    <row r="7172" spans="2:26">
      <c r="B7172" s="2"/>
      <c r="N7172" s="27"/>
      <c r="R7172" s="15"/>
      <c r="X7172" s="3"/>
      <c r="Z7172" s="28"/>
    </row>
    <row r="7173" spans="2:26">
      <c r="B7173" s="2"/>
      <c r="N7173" s="27"/>
      <c r="R7173" s="15"/>
      <c r="X7173" s="3"/>
      <c r="Z7173" s="28"/>
    </row>
    <row r="7174" spans="2:26">
      <c r="B7174" s="2"/>
      <c r="N7174" s="27"/>
      <c r="R7174" s="15"/>
      <c r="X7174" s="3"/>
      <c r="Z7174" s="28"/>
    </row>
    <row r="7175" spans="2:26">
      <c r="B7175" s="2"/>
      <c r="N7175" s="27"/>
      <c r="R7175" s="15"/>
      <c r="X7175" s="3"/>
      <c r="Z7175" s="28"/>
    </row>
    <row r="7176" spans="2:26">
      <c r="B7176" s="2"/>
      <c r="N7176" s="27"/>
      <c r="R7176" s="15"/>
      <c r="X7176" s="3"/>
      <c r="Z7176" s="28"/>
    </row>
    <row r="7177" spans="2:26">
      <c r="B7177" s="2"/>
      <c r="N7177" s="27"/>
      <c r="R7177" s="15"/>
      <c r="X7177" s="3"/>
      <c r="Z7177" s="28"/>
    </row>
    <row r="7178" spans="2:26">
      <c r="B7178" s="2"/>
      <c r="N7178" s="27"/>
      <c r="R7178" s="15"/>
      <c r="X7178" s="3"/>
      <c r="Z7178" s="28"/>
    </row>
    <row r="7179" spans="2:26">
      <c r="B7179" s="2"/>
      <c r="N7179" s="27"/>
      <c r="R7179" s="15"/>
      <c r="X7179" s="3"/>
      <c r="Z7179" s="28"/>
    </row>
    <row r="7180" spans="2:26">
      <c r="B7180" s="2"/>
      <c r="N7180" s="27"/>
      <c r="R7180" s="15"/>
      <c r="X7180" s="3"/>
      <c r="Z7180" s="28"/>
    </row>
    <row r="7181" spans="2:26">
      <c r="B7181" s="2"/>
      <c r="N7181" s="27"/>
      <c r="R7181" s="15"/>
      <c r="X7181" s="3"/>
      <c r="Z7181" s="28"/>
    </row>
    <row r="7182" spans="2:26">
      <c r="B7182" s="2"/>
      <c r="N7182" s="27"/>
      <c r="R7182" s="15"/>
      <c r="X7182" s="3"/>
      <c r="Z7182" s="28"/>
    </row>
    <row r="7183" spans="2:26">
      <c r="B7183" s="2"/>
      <c r="N7183" s="27"/>
      <c r="R7183" s="15"/>
      <c r="X7183" s="3"/>
      <c r="Z7183" s="28"/>
    </row>
    <row r="7184" spans="2:26">
      <c r="B7184" s="2"/>
      <c r="N7184" s="27"/>
      <c r="R7184" s="15"/>
      <c r="X7184" s="3"/>
      <c r="Z7184" s="28"/>
    </row>
    <row r="7185" spans="2:26">
      <c r="B7185" s="2"/>
      <c r="N7185" s="27"/>
      <c r="R7185" s="15"/>
      <c r="X7185" s="3"/>
      <c r="Z7185" s="28"/>
    </row>
    <row r="7186" spans="2:26">
      <c r="B7186" s="2"/>
      <c r="N7186" s="27"/>
      <c r="R7186" s="15"/>
      <c r="X7186" s="3"/>
      <c r="Z7186" s="28"/>
    </row>
    <row r="7187" spans="2:26">
      <c r="B7187" s="2"/>
      <c r="N7187" s="27"/>
      <c r="R7187" s="15"/>
      <c r="X7187" s="3"/>
      <c r="Z7187" s="28"/>
    </row>
    <row r="7188" spans="2:26">
      <c r="B7188" s="2"/>
      <c r="N7188" s="27"/>
      <c r="R7188" s="15"/>
      <c r="X7188" s="3"/>
      <c r="Z7188" s="28"/>
    </row>
    <row r="7189" spans="2:26">
      <c r="B7189" s="2"/>
      <c r="N7189" s="27"/>
      <c r="R7189" s="15"/>
      <c r="X7189" s="3"/>
      <c r="Z7189" s="28"/>
    </row>
    <row r="7190" spans="2:26">
      <c r="B7190" s="2"/>
      <c r="N7190" s="27"/>
      <c r="R7190" s="15"/>
      <c r="X7190" s="3"/>
      <c r="Z7190" s="28"/>
    </row>
    <row r="7191" spans="2:26">
      <c r="B7191" s="2"/>
      <c r="N7191" s="27"/>
      <c r="R7191" s="15"/>
      <c r="X7191" s="3"/>
      <c r="Z7191" s="28"/>
    </row>
    <row r="7192" spans="2:26">
      <c r="B7192" s="2"/>
      <c r="N7192" s="27"/>
      <c r="R7192" s="15"/>
      <c r="X7192" s="3"/>
      <c r="Z7192" s="28"/>
    </row>
    <row r="7193" spans="2:26">
      <c r="B7193" s="2"/>
      <c r="N7193" s="27"/>
      <c r="R7193" s="15"/>
      <c r="X7193" s="3"/>
      <c r="Z7193" s="28"/>
    </row>
    <row r="7194" spans="2:26">
      <c r="B7194" s="2"/>
      <c r="N7194" s="27"/>
      <c r="R7194" s="15"/>
      <c r="X7194" s="3"/>
      <c r="Z7194" s="28"/>
    </row>
    <row r="7195" spans="2:26">
      <c r="B7195" s="2"/>
      <c r="N7195" s="27"/>
      <c r="R7195" s="15"/>
      <c r="X7195" s="3"/>
      <c r="Z7195" s="28"/>
    </row>
    <row r="7196" spans="2:26">
      <c r="B7196" s="2"/>
      <c r="N7196" s="27"/>
      <c r="R7196" s="15"/>
      <c r="X7196" s="3"/>
      <c r="Z7196" s="28"/>
    </row>
    <row r="7197" spans="2:26">
      <c r="B7197" s="2"/>
      <c r="N7197" s="27"/>
      <c r="R7197" s="15"/>
      <c r="X7197" s="3"/>
      <c r="Z7197" s="28"/>
    </row>
    <row r="7198" spans="2:26">
      <c r="B7198" s="2"/>
      <c r="N7198" s="27"/>
      <c r="R7198" s="15"/>
      <c r="X7198" s="3"/>
      <c r="Z7198" s="28"/>
    </row>
    <row r="7199" spans="2:26">
      <c r="B7199" s="2"/>
      <c r="N7199" s="27"/>
      <c r="R7199" s="15"/>
      <c r="X7199" s="3"/>
      <c r="Z7199" s="28"/>
    </row>
    <row r="7200" spans="2:26">
      <c r="B7200" s="2"/>
      <c r="N7200" s="27"/>
      <c r="R7200" s="15"/>
      <c r="X7200" s="3"/>
      <c r="Z7200" s="28"/>
    </row>
    <row r="7201" spans="2:26">
      <c r="B7201" s="2"/>
      <c r="N7201" s="27"/>
      <c r="R7201" s="15"/>
      <c r="X7201" s="3"/>
      <c r="Z7201" s="28"/>
    </row>
    <row r="7202" spans="2:26">
      <c r="B7202" s="2"/>
      <c r="N7202" s="27"/>
      <c r="R7202" s="15"/>
      <c r="X7202" s="3"/>
      <c r="Z7202" s="28"/>
    </row>
    <row r="7203" spans="2:26">
      <c r="B7203" s="2"/>
      <c r="N7203" s="27"/>
      <c r="R7203" s="15"/>
      <c r="X7203" s="3"/>
      <c r="Z7203" s="28"/>
    </row>
    <row r="7204" spans="2:26">
      <c r="B7204" s="2"/>
      <c r="N7204" s="27"/>
      <c r="R7204" s="15"/>
      <c r="X7204" s="3"/>
      <c r="Z7204" s="28"/>
    </row>
    <row r="7205" spans="2:26">
      <c r="B7205" s="2"/>
      <c r="N7205" s="27"/>
      <c r="R7205" s="15"/>
      <c r="X7205" s="3"/>
      <c r="Z7205" s="28"/>
    </row>
    <row r="7206" spans="2:26">
      <c r="B7206" s="2"/>
      <c r="N7206" s="27"/>
      <c r="R7206" s="15"/>
      <c r="X7206" s="3"/>
      <c r="Z7206" s="28"/>
    </row>
    <row r="7207" spans="2:26">
      <c r="B7207" s="2"/>
      <c r="N7207" s="27"/>
      <c r="R7207" s="15"/>
      <c r="X7207" s="3"/>
      <c r="Z7207" s="28"/>
    </row>
    <row r="7208" spans="2:26">
      <c r="B7208" s="2"/>
      <c r="N7208" s="27"/>
      <c r="R7208" s="15"/>
      <c r="X7208" s="3"/>
      <c r="Z7208" s="28"/>
    </row>
    <row r="7209" spans="2:26">
      <c r="B7209" s="2"/>
      <c r="N7209" s="27"/>
      <c r="R7209" s="15"/>
      <c r="X7209" s="3"/>
      <c r="Z7209" s="28"/>
    </row>
    <row r="7210" spans="2:26">
      <c r="B7210" s="2"/>
      <c r="N7210" s="27"/>
      <c r="R7210" s="15"/>
      <c r="X7210" s="3"/>
      <c r="Z7210" s="28"/>
    </row>
    <row r="7211" spans="2:26">
      <c r="B7211" s="2"/>
      <c r="N7211" s="27"/>
      <c r="R7211" s="15"/>
      <c r="X7211" s="3"/>
      <c r="Z7211" s="28"/>
    </row>
    <row r="7212" spans="2:26">
      <c r="B7212" s="2"/>
      <c r="N7212" s="27"/>
      <c r="R7212" s="15"/>
      <c r="X7212" s="3"/>
      <c r="Z7212" s="28"/>
    </row>
    <row r="7213" spans="2:26">
      <c r="B7213" s="2"/>
      <c r="N7213" s="27"/>
      <c r="R7213" s="15"/>
      <c r="X7213" s="3"/>
      <c r="Z7213" s="28"/>
    </row>
    <row r="7214" spans="2:26">
      <c r="B7214" s="2"/>
      <c r="N7214" s="27"/>
      <c r="R7214" s="15"/>
      <c r="X7214" s="3"/>
      <c r="Z7214" s="28"/>
    </row>
    <row r="7215" spans="2:26">
      <c r="B7215" s="2"/>
      <c r="N7215" s="27"/>
      <c r="R7215" s="15"/>
      <c r="X7215" s="3"/>
      <c r="Z7215" s="28"/>
    </row>
    <row r="7216" spans="2:26">
      <c r="B7216" s="2"/>
      <c r="N7216" s="27"/>
      <c r="R7216" s="15"/>
      <c r="X7216" s="3"/>
      <c r="Z7216" s="28"/>
    </row>
    <row r="7217" spans="2:26">
      <c r="B7217" s="2"/>
      <c r="N7217" s="27"/>
      <c r="R7217" s="15"/>
      <c r="X7217" s="3"/>
      <c r="Z7217" s="28"/>
    </row>
    <row r="7218" spans="2:26">
      <c r="B7218" s="2"/>
      <c r="N7218" s="27"/>
      <c r="R7218" s="15"/>
      <c r="X7218" s="3"/>
      <c r="Z7218" s="28"/>
    </row>
    <row r="7219" spans="2:26">
      <c r="B7219" s="2"/>
      <c r="N7219" s="27"/>
      <c r="R7219" s="15"/>
      <c r="X7219" s="3"/>
      <c r="Z7219" s="28"/>
    </row>
    <row r="7220" spans="2:26">
      <c r="B7220" s="2"/>
      <c r="N7220" s="27"/>
      <c r="R7220" s="15"/>
      <c r="X7220" s="3"/>
      <c r="Z7220" s="28"/>
    </row>
    <row r="7221" spans="2:26">
      <c r="B7221" s="2"/>
      <c r="N7221" s="27"/>
      <c r="R7221" s="15"/>
      <c r="X7221" s="3"/>
      <c r="Z7221" s="28"/>
    </row>
    <row r="7222" spans="2:26">
      <c r="B7222" s="2"/>
      <c r="N7222" s="27"/>
      <c r="R7222" s="15"/>
      <c r="X7222" s="3"/>
      <c r="Z7222" s="28"/>
    </row>
    <row r="7223" spans="2:26">
      <c r="B7223" s="2"/>
      <c r="N7223" s="27"/>
      <c r="R7223" s="15"/>
      <c r="X7223" s="3"/>
      <c r="Z7223" s="28"/>
    </row>
    <row r="7224" spans="2:26">
      <c r="B7224" s="2"/>
      <c r="N7224" s="27"/>
      <c r="R7224" s="15"/>
      <c r="X7224" s="3"/>
      <c r="Z7224" s="28"/>
    </row>
    <row r="7225" spans="2:26">
      <c r="B7225" s="2"/>
      <c r="N7225" s="27"/>
      <c r="R7225" s="15"/>
      <c r="X7225" s="3"/>
      <c r="Z7225" s="28"/>
    </row>
    <row r="7226" spans="2:26">
      <c r="B7226" s="2"/>
      <c r="N7226" s="27"/>
      <c r="R7226" s="15"/>
      <c r="X7226" s="3"/>
      <c r="Z7226" s="28"/>
    </row>
    <row r="7227" spans="2:26">
      <c r="B7227" s="2"/>
      <c r="N7227" s="27"/>
      <c r="R7227" s="15"/>
      <c r="X7227" s="3"/>
      <c r="Z7227" s="28"/>
    </row>
    <row r="7228" spans="2:26">
      <c r="B7228" s="2"/>
      <c r="N7228" s="27"/>
      <c r="R7228" s="15"/>
      <c r="X7228" s="3"/>
      <c r="Z7228" s="28"/>
    </row>
    <row r="7229" spans="2:26">
      <c r="B7229" s="2"/>
      <c r="N7229" s="27"/>
      <c r="R7229" s="15"/>
      <c r="X7229" s="3"/>
      <c r="Z7229" s="28"/>
    </row>
    <row r="7230" spans="2:26">
      <c r="B7230" s="2"/>
      <c r="N7230" s="27"/>
      <c r="R7230" s="15"/>
      <c r="X7230" s="3"/>
      <c r="Z7230" s="28"/>
    </row>
    <row r="7231" spans="2:26">
      <c r="B7231" s="2"/>
      <c r="N7231" s="27"/>
      <c r="R7231" s="15"/>
      <c r="X7231" s="3"/>
      <c r="Z7231" s="28"/>
    </row>
    <row r="7232" spans="2:26">
      <c r="B7232" s="2"/>
      <c r="N7232" s="27"/>
      <c r="R7232" s="15"/>
      <c r="X7232" s="3"/>
      <c r="Z7232" s="28"/>
    </row>
    <row r="7233" spans="2:26">
      <c r="B7233" s="2"/>
      <c r="N7233" s="27"/>
      <c r="R7233" s="15"/>
      <c r="X7233" s="3"/>
      <c r="Z7233" s="28"/>
    </row>
    <row r="7234" spans="2:26">
      <c r="B7234" s="2"/>
      <c r="N7234" s="27"/>
      <c r="R7234" s="15"/>
      <c r="X7234" s="3"/>
      <c r="Z7234" s="28"/>
    </row>
    <row r="7235" spans="2:26">
      <c r="B7235" s="2"/>
      <c r="N7235" s="27"/>
      <c r="R7235" s="15"/>
      <c r="X7235" s="3"/>
      <c r="Z7235" s="28"/>
    </row>
    <row r="7236" spans="2:26">
      <c r="B7236" s="2"/>
      <c r="N7236" s="27"/>
      <c r="R7236" s="15"/>
      <c r="X7236" s="3"/>
      <c r="Z7236" s="28"/>
    </row>
    <row r="7237" spans="2:26">
      <c r="B7237" s="2"/>
      <c r="N7237" s="27"/>
      <c r="R7237" s="15"/>
      <c r="X7237" s="3"/>
      <c r="Z7237" s="28"/>
    </row>
    <row r="7238" spans="2:26">
      <c r="B7238" s="2"/>
      <c r="N7238" s="27"/>
      <c r="R7238" s="15"/>
      <c r="X7238" s="3"/>
      <c r="Z7238" s="28"/>
    </row>
    <row r="7239" spans="2:26">
      <c r="B7239" s="2"/>
      <c r="N7239" s="27"/>
      <c r="R7239" s="15"/>
      <c r="X7239" s="3"/>
      <c r="Z7239" s="28"/>
    </row>
    <row r="7240" spans="2:26">
      <c r="B7240" s="2"/>
      <c r="N7240" s="27"/>
      <c r="R7240" s="15"/>
      <c r="X7240" s="3"/>
      <c r="Z7240" s="28"/>
    </row>
    <row r="7241" spans="2:26">
      <c r="B7241" s="2"/>
      <c r="N7241" s="27"/>
      <c r="R7241" s="15"/>
      <c r="X7241" s="3"/>
      <c r="Z7241" s="28"/>
    </row>
    <row r="7242" spans="2:26">
      <c r="B7242" s="2"/>
      <c r="N7242" s="27"/>
      <c r="R7242" s="15"/>
      <c r="X7242" s="3"/>
      <c r="Z7242" s="28"/>
    </row>
    <row r="7243" spans="2:26">
      <c r="B7243" s="2"/>
      <c r="N7243" s="27"/>
      <c r="R7243" s="15"/>
      <c r="X7243" s="3"/>
      <c r="Z7243" s="28"/>
    </row>
    <row r="7244" spans="2:26">
      <c r="B7244" s="2"/>
      <c r="N7244" s="27"/>
      <c r="R7244" s="15"/>
      <c r="X7244" s="3"/>
      <c r="Z7244" s="28"/>
    </row>
    <row r="7245" spans="2:26">
      <c r="B7245" s="2"/>
      <c r="N7245" s="27"/>
      <c r="R7245" s="15"/>
      <c r="X7245" s="3"/>
      <c r="Z7245" s="28"/>
    </row>
    <row r="7246" spans="2:26">
      <c r="B7246" s="2"/>
      <c r="N7246" s="27"/>
      <c r="R7246" s="15"/>
      <c r="X7246" s="3"/>
      <c r="Z7246" s="28"/>
    </row>
    <row r="7247" spans="2:26">
      <c r="B7247" s="2"/>
      <c r="N7247" s="27"/>
      <c r="R7247" s="15"/>
      <c r="X7247" s="3"/>
      <c r="Z7247" s="28"/>
    </row>
    <row r="7248" spans="2:26">
      <c r="B7248" s="2"/>
      <c r="N7248" s="27"/>
      <c r="R7248" s="15"/>
      <c r="X7248" s="3"/>
      <c r="Z7248" s="28"/>
    </row>
    <row r="7249" spans="2:26">
      <c r="B7249" s="2"/>
      <c r="N7249" s="27"/>
      <c r="R7249" s="15"/>
      <c r="X7249" s="3"/>
      <c r="Z7249" s="28"/>
    </row>
    <row r="7250" spans="2:26">
      <c r="B7250" s="2"/>
      <c r="N7250" s="27"/>
      <c r="R7250" s="15"/>
      <c r="X7250" s="3"/>
      <c r="Z7250" s="28"/>
    </row>
    <row r="7251" spans="2:26">
      <c r="B7251" s="2"/>
      <c r="N7251" s="27"/>
      <c r="R7251" s="15"/>
      <c r="X7251" s="3"/>
      <c r="Z7251" s="28"/>
    </row>
    <row r="7252" spans="2:26">
      <c r="B7252" s="2"/>
      <c r="N7252" s="27"/>
      <c r="R7252" s="15"/>
      <c r="X7252" s="3"/>
      <c r="Z7252" s="28"/>
    </row>
    <row r="7253" spans="2:26">
      <c r="B7253" s="2"/>
      <c r="N7253" s="27"/>
      <c r="R7253" s="15"/>
      <c r="X7253" s="3"/>
      <c r="Z7253" s="28"/>
    </row>
    <row r="7254" spans="2:26">
      <c r="B7254" s="2"/>
      <c r="N7254" s="27"/>
      <c r="R7254" s="15"/>
      <c r="X7254" s="3"/>
      <c r="Z7254" s="28"/>
    </row>
    <row r="7255" spans="2:26">
      <c r="B7255" s="2"/>
      <c r="N7255" s="27"/>
      <c r="R7255" s="15"/>
      <c r="X7255" s="3"/>
      <c r="Z7255" s="28"/>
    </row>
    <row r="7256" spans="2:26">
      <c r="B7256" s="2"/>
      <c r="N7256" s="27"/>
      <c r="R7256" s="15"/>
      <c r="X7256" s="3"/>
      <c r="Z7256" s="28"/>
    </row>
    <row r="7257" spans="2:26">
      <c r="B7257" s="2"/>
      <c r="N7257" s="27"/>
      <c r="R7257" s="15"/>
      <c r="X7257" s="3"/>
      <c r="Z7257" s="28"/>
    </row>
    <row r="7258" spans="2:26">
      <c r="B7258" s="2"/>
      <c r="N7258" s="27"/>
      <c r="R7258" s="15"/>
      <c r="X7258" s="3"/>
      <c r="Z7258" s="28"/>
    </row>
    <row r="7259" spans="2:26">
      <c r="B7259" s="2"/>
      <c r="N7259" s="27"/>
      <c r="R7259" s="15"/>
      <c r="X7259" s="3"/>
      <c r="Z7259" s="28"/>
    </row>
    <row r="7260" spans="2:26">
      <c r="B7260" s="2"/>
      <c r="N7260" s="27"/>
      <c r="R7260" s="15"/>
      <c r="X7260" s="3"/>
      <c r="Z7260" s="28"/>
    </row>
    <row r="7261" spans="2:26">
      <c r="B7261" s="2"/>
      <c r="N7261" s="27"/>
      <c r="R7261" s="15"/>
      <c r="X7261" s="3"/>
      <c r="Z7261" s="28"/>
    </row>
    <row r="7262" spans="2:26">
      <c r="B7262" s="2"/>
      <c r="N7262" s="27"/>
      <c r="R7262" s="15"/>
      <c r="X7262" s="3"/>
      <c r="Z7262" s="28"/>
    </row>
    <row r="7263" spans="2:26">
      <c r="B7263" s="2"/>
      <c r="N7263" s="27"/>
      <c r="R7263" s="15"/>
      <c r="X7263" s="3"/>
      <c r="Z7263" s="28"/>
    </row>
    <row r="7264" spans="2:26">
      <c r="B7264" s="2"/>
      <c r="N7264" s="27"/>
      <c r="R7264" s="15"/>
      <c r="X7264" s="3"/>
      <c r="Z7264" s="28"/>
    </row>
    <row r="7265" spans="2:26">
      <c r="B7265" s="2"/>
      <c r="N7265" s="27"/>
      <c r="R7265" s="15"/>
      <c r="X7265" s="3"/>
      <c r="Z7265" s="28"/>
    </row>
    <row r="7266" spans="2:26">
      <c r="B7266" s="2"/>
      <c r="N7266" s="27"/>
      <c r="R7266" s="15"/>
      <c r="X7266" s="3"/>
      <c r="Z7266" s="28"/>
    </row>
    <row r="7267" spans="2:26">
      <c r="B7267" s="2"/>
      <c r="N7267" s="27"/>
      <c r="R7267" s="15"/>
      <c r="X7267" s="3"/>
      <c r="Z7267" s="28"/>
    </row>
    <row r="7268" spans="2:26">
      <c r="B7268" s="2"/>
      <c r="N7268" s="27"/>
      <c r="R7268" s="15"/>
      <c r="X7268" s="3"/>
      <c r="Z7268" s="28"/>
    </row>
    <row r="7269" spans="2:26">
      <c r="B7269" s="2"/>
      <c r="N7269" s="27"/>
      <c r="R7269" s="15"/>
      <c r="X7269" s="3"/>
      <c r="Z7269" s="28"/>
    </row>
    <row r="7270" spans="2:26">
      <c r="B7270" s="2"/>
      <c r="N7270" s="27"/>
      <c r="R7270" s="15"/>
      <c r="X7270" s="3"/>
      <c r="Z7270" s="28"/>
    </row>
    <row r="7271" spans="2:26">
      <c r="B7271" s="2"/>
      <c r="N7271" s="27"/>
      <c r="R7271" s="15"/>
      <c r="X7271" s="3"/>
      <c r="Z7271" s="28"/>
    </row>
    <row r="7272" spans="2:26">
      <c r="B7272" s="2"/>
      <c r="N7272" s="27"/>
      <c r="R7272" s="15"/>
      <c r="X7272" s="3"/>
      <c r="Z7272" s="28"/>
    </row>
    <row r="7273" spans="2:26">
      <c r="B7273" s="2"/>
      <c r="N7273" s="27"/>
      <c r="R7273" s="15"/>
      <c r="X7273" s="3"/>
      <c r="Z7273" s="28"/>
    </row>
    <row r="7274" spans="2:26">
      <c r="B7274" s="2"/>
      <c r="N7274" s="27"/>
      <c r="R7274" s="15"/>
      <c r="X7274" s="3"/>
      <c r="Z7274" s="28"/>
    </row>
    <row r="7275" spans="2:26">
      <c r="B7275" s="2"/>
      <c r="N7275" s="27"/>
      <c r="R7275" s="15"/>
      <c r="X7275" s="3"/>
      <c r="Z7275" s="28"/>
    </row>
    <row r="7276" spans="2:26">
      <c r="B7276" s="2"/>
      <c r="N7276" s="27"/>
      <c r="R7276" s="15"/>
      <c r="X7276" s="3"/>
      <c r="Z7276" s="28"/>
    </row>
    <row r="7277" spans="2:26">
      <c r="B7277" s="2"/>
      <c r="N7277" s="27"/>
      <c r="R7277" s="15"/>
      <c r="X7277" s="3"/>
      <c r="Z7277" s="28"/>
    </row>
    <row r="7278" spans="2:26">
      <c r="B7278" s="2"/>
      <c r="N7278" s="27"/>
      <c r="R7278" s="15"/>
      <c r="X7278" s="3"/>
      <c r="Z7278" s="28"/>
    </row>
    <row r="7279" spans="2:26">
      <c r="B7279" s="2"/>
      <c r="N7279" s="27"/>
      <c r="R7279" s="15"/>
      <c r="X7279" s="3"/>
      <c r="Z7279" s="28"/>
    </row>
    <row r="7280" spans="2:26">
      <c r="B7280" s="2"/>
      <c r="N7280" s="27"/>
      <c r="R7280" s="15"/>
      <c r="X7280" s="3"/>
      <c r="Z7280" s="28"/>
    </row>
    <row r="7281" spans="2:26">
      <c r="B7281" s="2"/>
      <c r="N7281" s="27"/>
      <c r="R7281" s="15"/>
      <c r="X7281" s="3"/>
      <c r="Z7281" s="28"/>
    </row>
    <row r="7282" spans="2:26">
      <c r="B7282" s="2"/>
      <c r="N7282" s="27"/>
      <c r="R7282" s="15"/>
      <c r="X7282" s="3"/>
      <c r="Z7282" s="28"/>
    </row>
    <row r="7283" spans="2:26">
      <c r="B7283" s="2"/>
      <c r="N7283" s="27"/>
      <c r="R7283" s="15"/>
      <c r="X7283" s="3"/>
      <c r="Z7283" s="28"/>
    </row>
    <row r="7284" spans="2:26">
      <c r="B7284" s="2"/>
      <c r="N7284" s="27"/>
      <c r="R7284" s="15"/>
      <c r="X7284" s="3"/>
      <c r="Z7284" s="28"/>
    </row>
    <row r="7285" spans="2:26">
      <c r="B7285" s="2"/>
      <c r="N7285" s="27"/>
      <c r="R7285" s="15"/>
      <c r="X7285" s="3"/>
      <c r="Z7285" s="28"/>
    </row>
    <row r="7286" spans="2:26">
      <c r="B7286" s="2"/>
      <c r="N7286" s="27"/>
      <c r="R7286" s="15"/>
      <c r="X7286" s="3"/>
      <c r="Z7286" s="28"/>
    </row>
    <row r="7287" spans="2:26">
      <c r="B7287" s="2"/>
      <c r="N7287" s="27"/>
      <c r="R7287" s="15"/>
      <c r="X7287" s="3"/>
      <c r="Z7287" s="28"/>
    </row>
    <row r="7288" spans="2:26">
      <c r="B7288" s="2"/>
      <c r="N7288" s="27"/>
      <c r="R7288" s="15"/>
      <c r="X7288" s="3"/>
      <c r="Z7288" s="28"/>
    </row>
    <row r="7289" spans="2:26">
      <c r="B7289" s="2"/>
      <c r="N7289" s="27"/>
      <c r="R7289" s="15"/>
      <c r="X7289" s="3"/>
      <c r="Z7289" s="28"/>
    </row>
    <row r="7290" spans="2:26">
      <c r="B7290" s="2"/>
      <c r="N7290" s="27"/>
      <c r="R7290" s="15"/>
      <c r="X7290" s="3"/>
      <c r="Z7290" s="28"/>
    </row>
    <row r="7291" spans="2:26">
      <c r="B7291" s="2"/>
      <c r="N7291" s="27"/>
      <c r="R7291" s="15"/>
      <c r="X7291" s="3"/>
      <c r="Z7291" s="28"/>
    </row>
    <row r="7292" spans="2:26">
      <c r="B7292" s="2"/>
      <c r="N7292" s="27"/>
      <c r="R7292" s="15"/>
      <c r="X7292" s="3"/>
      <c r="Z7292" s="28"/>
    </row>
    <row r="7293" spans="2:26">
      <c r="B7293" s="2"/>
      <c r="N7293" s="27"/>
      <c r="R7293" s="15"/>
      <c r="X7293" s="3"/>
      <c r="Z7293" s="28"/>
    </row>
    <row r="7294" spans="2:26">
      <c r="B7294" s="2"/>
      <c r="N7294" s="27"/>
      <c r="R7294" s="15"/>
      <c r="X7294" s="3"/>
      <c r="Z7294" s="28"/>
    </row>
    <row r="7295" spans="2:26">
      <c r="B7295" s="2"/>
      <c r="N7295" s="27"/>
      <c r="R7295" s="15"/>
      <c r="X7295" s="3"/>
      <c r="Z7295" s="28"/>
    </row>
    <row r="7296" spans="2:26">
      <c r="B7296" s="2"/>
      <c r="N7296" s="27"/>
      <c r="R7296" s="15"/>
      <c r="X7296" s="3"/>
      <c r="Z7296" s="28"/>
    </row>
    <row r="7297" spans="2:26">
      <c r="B7297" s="2"/>
      <c r="N7297" s="27"/>
      <c r="R7297" s="15"/>
      <c r="X7297" s="3"/>
      <c r="Z7297" s="28"/>
    </row>
    <row r="7298" spans="2:26">
      <c r="B7298" s="2"/>
      <c r="N7298" s="27"/>
      <c r="R7298" s="15"/>
      <c r="X7298" s="3"/>
      <c r="Z7298" s="28"/>
    </row>
    <row r="7299" spans="2:26">
      <c r="B7299" s="2"/>
      <c r="N7299" s="27"/>
      <c r="R7299" s="15"/>
      <c r="X7299" s="3"/>
      <c r="Z7299" s="28"/>
    </row>
    <row r="7300" spans="2:26">
      <c r="B7300" s="2"/>
      <c r="N7300" s="27"/>
      <c r="R7300" s="15"/>
      <c r="X7300" s="3"/>
      <c r="Z7300" s="28"/>
    </row>
    <row r="7301" spans="2:26">
      <c r="B7301" s="2"/>
      <c r="N7301" s="27"/>
      <c r="R7301" s="15"/>
      <c r="X7301" s="3"/>
      <c r="Z7301" s="28"/>
    </row>
    <row r="7302" spans="2:26">
      <c r="B7302" s="2"/>
      <c r="N7302" s="27"/>
      <c r="R7302" s="15"/>
      <c r="X7302" s="3"/>
      <c r="Z7302" s="28"/>
    </row>
    <row r="7303" spans="2:26">
      <c r="B7303" s="2"/>
      <c r="N7303" s="27"/>
      <c r="R7303" s="15"/>
      <c r="X7303" s="3"/>
      <c r="Z7303" s="28"/>
    </row>
    <row r="7304" spans="2:26">
      <c r="B7304" s="2"/>
      <c r="N7304" s="27"/>
      <c r="R7304" s="15"/>
      <c r="X7304" s="3"/>
      <c r="Z7304" s="28"/>
    </row>
    <row r="7305" spans="2:26">
      <c r="B7305" s="2"/>
      <c r="N7305" s="27"/>
      <c r="R7305" s="15"/>
      <c r="X7305" s="3"/>
      <c r="Z7305" s="28"/>
    </row>
    <row r="7306" spans="2:26">
      <c r="B7306" s="2"/>
      <c r="N7306" s="27"/>
      <c r="R7306" s="15"/>
      <c r="X7306" s="3"/>
      <c r="Z7306" s="28"/>
    </row>
    <row r="7307" spans="2:26">
      <c r="B7307" s="2"/>
      <c r="N7307" s="27"/>
      <c r="R7307" s="15"/>
      <c r="X7307" s="3"/>
      <c r="Z7307" s="28"/>
    </row>
    <row r="7308" spans="2:26">
      <c r="B7308" s="2"/>
      <c r="N7308" s="27"/>
      <c r="R7308" s="15"/>
      <c r="X7308" s="3"/>
      <c r="Z7308" s="28"/>
    </row>
    <row r="7309" spans="2:26">
      <c r="B7309" s="2"/>
      <c r="N7309" s="27"/>
      <c r="R7309" s="15"/>
      <c r="X7309" s="3"/>
      <c r="Z7309" s="28"/>
    </row>
    <row r="7310" spans="2:26">
      <c r="B7310" s="2"/>
      <c r="N7310" s="27"/>
      <c r="R7310" s="15"/>
      <c r="X7310" s="3"/>
      <c r="Z7310" s="28"/>
    </row>
    <row r="7311" spans="2:26">
      <c r="B7311" s="2"/>
      <c r="N7311" s="27"/>
      <c r="R7311" s="15"/>
      <c r="X7311" s="3"/>
      <c r="Z7311" s="28"/>
    </row>
    <row r="7312" spans="2:26">
      <c r="B7312" s="2"/>
      <c r="N7312" s="27"/>
      <c r="R7312" s="15"/>
      <c r="X7312" s="3"/>
      <c r="Z7312" s="28"/>
    </row>
    <row r="7313" spans="2:26">
      <c r="B7313" s="2"/>
      <c r="N7313" s="27"/>
      <c r="R7313" s="15"/>
      <c r="X7313" s="3"/>
      <c r="Z7313" s="28"/>
    </row>
    <row r="7314" spans="2:26">
      <c r="B7314" s="2"/>
      <c r="N7314" s="27"/>
      <c r="R7314" s="15"/>
      <c r="X7314" s="3"/>
      <c r="Z7314" s="28"/>
    </row>
    <row r="7315" spans="2:26">
      <c r="B7315" s="2"/>
      <c r="N7315" s="27"/>
      <c r="R7315" s="15"/>
      <c r="X7315" s="3"/>
      <c r="Z7315" s="28"/>
    </row>
    <row r="7316" spans="2:26">
      <c r="B7316" s="2"/>
      <c r="N7316" s="27"/>
      <c r="R7316" s="15"/>
      <c r="X7316" s="3"/>
      <c r="Z7316" s="28"/>
    </row>
    <row r="7317" spans="2:26">
      <c r="B7317" s="2"/>
      <c r="N7317" s="27"/>
      <c r="R7317" s="15"/>
      <c r="X7317" s="3"/>
      <c r="Z7317" s="28"/>
    </row>
    <row r="7318" spans="2:26">
      <c r="B7318" s="2"/>
      <c r="N7318" s="27"/>
      <c r="R7318" s="15"/>
      <c r="X7318" s="3"/>
      <c r="Z7318" s="28"/>
    </row>
    <row r="7319" spans="2:26">
      <c r="B7319" s="2"/>
      <c r="N7319" s="27"/>
      <c r="R7319" s="15"/>
      <c r="X7319" s="3"/>
      <c r="Z7319" s="28"/>
    </row>
    <row r="7320" spans="2:26">
      <c r="B7320" s="2"/>
      <c r="N7320" s="27"/>
      <c r="R7320" s="15"/>
      <c r="X7320" s="3"/>
      <c r="Z7320" s="28"/>
    </row>
    <row r="7321" spans="2:26">
      <c r="B7321" s="2"/>
      <c r="N7321" s="27"/>
      <c r="R7321" s="15"/>
      <c r="X7321" s="3"/>
      <c r="Z7321" s="28"/>
    </row>
    <row r="7322" spans="2:26">
      <c r="B7322" s="2"/>
      <c r="N7322" s="27"/>
      <c r="R7322" s="15"/>
      <c r="X7322" s="3"/>
      <c r="Z7322" s="28"/>
    </row>
    <row r="7323" spans="2:26">
      <c r="B7323" s="2"/>
      <c r="N7323" s="27"/>
      <c r="R7323" s="15"/>
      <c r="X7323" s="3"/>
      <c r="Z7323" s="28"/>
    </row>
    <row r="7324" spans="2:26">
      <c r="B7324" s="2"/>
      <c r="N7324" s="27"/>
      <c r="R7324" s="15"/>
      <c r="X7324" s="3"/>
      <c r="Z7324" s="28"/>
    </row>
    <row r="7325" spans="2:26">
      <c r="B7325" s="2"/>
      <c r="N7325" s="27"/>
      <c r="R7325" s="15"/>
      <c r="X7325" s="3"/>
      <c r="Z7325" s="28"/>
    </row>
    <row r="7326" spans="2:26">
      <c r="B7326" s="2"/>
      <c r="N7326" s="27"/>
      <c r="R7326" s="15"/>
      <c r="X7326" s="3"/>
      <c r="Z7326" s="28"/>
    </row>
    <row r="7327" spans="2:26">
      <c r="B7327" s="2"/>
      <c r="N7327" s="27"/>
      <c r="R7327" s="15"/>
      <c r="X7327" s="3"/>
      <c r="Z7327" s="28"/>
    </row>
    <row r="7328" spans="2:26">
      <c r="B7328" s="2"/>
      <c r="N7328" s="27"/>
      <c r="R7328" s="15"/>
      <c r="X7328" s="3"/>
      <c r="Z7328" s="28"/>
    </row>
    <row r="7329" spans="2:26">
      <c r="B7329" s="2"/>
      <c r="N7329" s="27"/>
      <c r="R7329" s="15"/>
      <c r="X7329" s="3"/>
      <c r="Z7329" s="28"/>
    </row>
    <row r="7330" spans="2:26">
      <c r="B7330" s="2"/>
      <c r="N7330" s="27"/>
      <c r="R7330" s="15"/>
      <c r="X7330" s="3"/>
      <c r="Z7330" s="28"/>
    </row>
    <row r="7331" spans="2:26">
      <c r="B7331" s="2"/>
      <c r="N7331" s="27"/>
      <c r="R7331" s="15"/>
      <c r="X7331" s="3"/>
      <c r="Z7331" s="28"/>
    </row>
    <row r="7332" spans="2:26">
      <c r="B7332" s="2"/>
      <c r="N7332" s="27"/>
      <c r="R7332" s="15"/>
      <c r="X7332" s="3"/>
      <c r="Z7332" s="28"/>
    </row>
    <row r="7333" spans="2:26">
      <c r="B7333" s="2"/>
      <c r="N7333" s="27"/>
      <c r="R7333" s="15"/>
      <c r="X7333" s="3"/>
      <c r="Z7333" s="28"/>
    </row>
    <row r="7334" spans="2:26">
      <c r="B7334" s="2"/>
      <c r="N7334" s="27"/>
      <c r="R7334" s="15"/>
      <c r="X7334" s="3"/>
      <c r="Z7334" s="28"/>
    </row>
    <row r="7335" spans="2:26">
      <c r="B7335" s="2"/>
      <c r="N7335" s="27"/>
      <c r="R7335" s="15"/>
      <c r="X7335" s="3"/>
      <c r="Z7335" s="28"/>
    </row>
    <row r="7336" spans="2:26">
      <c r="B7336" s="2"/>
      <c r="N7336" s="27"/>
      <c r="R7336" s="15"/>
      <c r="X7336" s="3"/>
      <c r="Z7336" s="28"/>
    </row>
    <row r="7337" spans="2:26">
      <c r="B7337" s="2"/>
      <c r="N7337" s="27"/>
      <c r="R7337" s="15"/>
      <c r="X7337" s="3"/>
      <c r="Z7337" s="28"/>
    </row>
    <row r="7338" spans="2:26">
      <c r="B7338" s="2"/>
      <c r="N7338" s="27"/>
      <c r="R7338" s="15"/>
      <c r="X7338" s="3"/>
      <c r="Z7338" s="28"/>
    </row>
    <row r="7339" spans="2:26">
      <c r="B7339" s="2"/>
      <c r="N7339" s="27"/>
      <c r="R7339" s="15"/>
      <c r="X7339" s="3"/>
      <c r="Z7339" s="28"/>
    </row>
    <row r="7340" spans="2:26">
      <c r="B7340" s="2"/>
      <c r="N7340" s="27"/>
      <c r="R7340" s="15"/>
      <c r="X7340" s="3"/>
      <c r="Z7340" s="28"/>
    </row>
    <row r="7341" spans="2:26">
      <c r="B7341" s="2"/>
      <c r="N7341" s="27"/>
      <c r="R7341" s="15"/>
      <c r="X7341" s="3"/>
      <c r="Z7341" s="28"/>
    </row>
    <row r="7342" spans="2:26">
      <c r="B7342" s="2"/>
      <c r="N7342" s="27"/>
      <c r="R7342" s="15"/>
      <c r="X7342" s="3"/>
      <c r="Z7342" s="28"/>
    </row>
    <row r="7343" spans="2:26">
      <c r="B7343" s="2"/>
      <c r="N7343" s="27"/>
      <c r="R7343" s="15"/>
      <c r="X7343" s="3"/>
      <c r="Z7343" s="28"/>
    </row>
    <row r="7344" spans="2:26">
      <c r="B7344" s="2"/>
      <c r="N7344" s="27"/>
      <c r="R7344" s="15"/>
      <c r="X7344" s="3"/>
      <c r="Z7344" s="28"/>
    </row>
    <row r="7345" spans="2:26">
      <c r="B7345" s="2"/>
      <c r="N7345" s="27"/>
      <c r="R7345" s="15"/>
      <c r="X7345" s="3"/>
      <c r="Z7345" s="28"/>
    </row>
    <row r="7346" spans="2:26">
      <c r="B7346" s="2"/>
      <c r="N7346" s="27"/>
      <c r="R7346" s="15"/>
      <c r="X7346" s="3"/>
      <c r="Z7346" s="28"/>
    </row>
    <row r="7347" spans="2:26">
      <c r="B7347" s="2"/>
      <c r="N7347" s="27"/>
      <c r="R7347" s="15"/>
      <c r="X7347" s="3"/>
      <c r="Z7347" s="28"/>
    </row>
    <row r="7348" spans="2:26">
      <c r="B7348" s="2"/>
      <c r="N7348" s="27"/>
      <c r="R7348" s="15"/>
      <c r="X7348" s="3"/>
      <c r="Z7348" s="28"/>
    </row>
    <row r="7349" spans="2:26">
      <c r="B7349" s="2"/>
      <c r="N7349" s="27"/>
      <c r="R7349" s="15"/>
      <c r="X7349" s="3"/>
      <c r="Z7349" s="28"/>
    </row>
    <row r="7350" spans="2:26">
      <c r="B7350" s="2"/>
      <c r="N7350" s="27"/>
      <c r="R7350" s="15"/>
      <c r="X7350" s="3"/>
      <c r="Z7350" s="28"/>
    </row>
    <row r="7351" spans="2:26">
      <c r="B7351" s="2"/>
      <c r="N7351" s="27"/>
      <c r="R7351" s="15"/>
      <c r="X7351" s="3"/>
      <c r="Z7351" s="28"/>
    </row>
    <row r="7352" spans="2:26">
      <c r="B7352" s="2"/>
      <c r="N7352" s="27"/>
      <c r="R7352" s="15"/>
      <c r="X7352" s="3"/>
      <c r="Z7352" s="28"/>
    </row>
    <row r="7353" spans="2:26">
      <c r="B7353" s="2"/>
      <c r="N7353" s="27"/>
      <c r="R7353" s="15"/>
      <c r="X7353" s="3"/>
      <c r="Z7353" s="28"/>
    </row>
    <row r="7354" spans="2:26">
      <c r="B7354" s="2"/>
      <c r="N7354" s="27"/>
      <c r="R7354" s="15"/>
      <c r="X7354" s="3"/>
      <c r="Z7354" s="28"/>
    </row>
    <row r="7355" spans="2:26">
      <c r="B7355" s="2"/>
      <c r="N7355" s="27"/>
      <c r="R7355" s="15"/>
      <c r="X7355" s="3"/>
      <c r="Z7355" s="28"/>
    </row>
    <row r="7356" spans="2:26">
      <c r="B7356" s="2"/>
      <c r="N7356" s="27"/>
      <c r="R7356" s="15"/>
      <c r="X7356" s="3"/>
      <c r="Z7356" s="28"/>
    </row>
    <row r="7357" spans="2:26">
      <c r="B7357" s="2"/>
      <c r="N7357" s="27"/>
      <c r="R7357" s="15"/>
      <c r="X7357" s="3"/>
      <c r="Z7357" s="28"/>
    </row>
    <row r="7358" spans="2:26">
      <c r="B7358" s="2"/>
      <c r="N7358" s="27"/>
      <c r="R7358" s="15"/>
      <c r="X7358" s="3"/>
      <c r="Z7358" s="28"/>
    </row>
    <row r="7359" spans="2:26">
      <c r="B7359" s="2"/>
      <c r="N7359" s="27"/>
      <c r="R7359" s="15"/>
      <c r="X7359" s="3"/>
      <c r="Z7359" s="28"/>
    </row>
    <row r="7360" spans="2:26">
      <c r="B7360" s="2"/>
      <c r="N7360" s="27"/>
      <c r="R7360" s="15"/>
      <c r="X7360" s="3"/>
      <c r="Z7360" s="28"/>
    </row>
    <row r="7361" spans="2:26">
      <c r="B7361" s="2"/>
      <c r="N7361" s="27"/>
      <c r="R7361" s="15"/>
      <c r="X7361" s="3"/>
      <c r="Z7361" s="28"/>
    </row>
    <row r="7362" spans="2:26">
      <c r="B7362" s="2"/>
      <c r="N7362" s="27"/>
      <c r="R7362" s="15"/>
      <c r="X7362" s="3"/>
      <c r="Z7362" s="28"/>
    </row>
    <row r="7363" spans="2:26">
      <c r="B7363" s="2"/>
      <c r="N7363" s="27"/>
      <c r="R7363" s="15"/>
      <c r="X7363" s="3"/>
      <c r="Z7363" s="28"/>
    </row>
    <row r="7364" spans="2:26">
      <c r="B7364" s="2"/>
      <c r="N7364" s="27"/>
      <c r="R7364" s="15"/>
      <c r="X7364" s="3"/>
      <c r="Z7364" s="28"/>
    </row>
    <row r="7365" spans="2:26">
      <c r="B7365" s="2"/>
      <c r="N7365" s="27"/>
      <c r="R7365" s="15"/>
      <c r="X7365" s="3"/>
      <c r="Z7365" s="28"/>
    </row>
    <row r="7366" spans="2:26">
      <c r="B7366" s="2"/>
      <c r="N7366" s="27"/>
      <c r="R7366" s="15"/>
      <c r="X7366" s="3"/>
      <c r="Z7366" s="28"/>
    </row>
    <row r="7367" spans="2:26">
      <c r="B7367" s="2"/>
      <c r="N7367" s="27"/>
      <c r="R7367" s="15"/>
      <c r="X7367" s="3"/>
      <c r="Z7367" s="28"/>
    </row>
    <row r="7368" spans="2:26">
      <c r="B7368" s="2"/>
      <c r="N7368" s="27"/>
      <c r="R7368" s="15"/>
      <c r="X7368" s="3"/>
      <c r="Z7368" s="28"/>
    </row>
    <row r="7369" spans="2:26">
      <c r="B7369" s="2"/>
      <c r="N7369" s="27"/>
      <c r="R7369" s="15"/>
      <c r="X7369" s="3"/>
      <c r="Z7369" s="28"/>
    </row>
    <row r="7370" spans="2:26">
      <c r="B7370" s="2"/>
      <c r="N7370" s="27"/>
      <c r="R7370" s="15"/>
      <c r="X7370" s="3"/>
      <c r="Z7370" s="28"/>
    </row>
    <row r="7371" spans="2:26">
      <c r="B7371" s="2"/>
      <c r="N7371" s="27"/>
      <c r="R7371" s="15"/>
      <c r="X7371" s="3"/>
      <c r="Z7371" s="28"/>
    </row>
    <row r="7372" spans="2:26">
      <c r="B7372" s="2"/>
      <c r="N7372" s="27"/>
      <c r="R7372" s="15"/>
      <c r="X7372" s="3"/>
      <c r="Z7372" s="28"/>
    </row>
    <row r="7373" spans="2:26">
      <c r="B7373" s="2"/>
      <c r="N7373" s="27"/>
      <c r="R7373" s="15"/>
      <c r="X7373" s="3"/>
      <c r="Z7373" s="28"/>
    </row>
    <row r="7374" spans="2:26">
      <c r="B7374" s="2"/>
      <c r="N7374" s="27"/>
      <c r="R7374" s="15"/>
      <c r="X7374" s="3"/>
      <c r="Z7374" s="28"/>
    </row>
    <row r="7375" spans="2:26">
      <c r="B7375" s="2"/>
      <c r="N7375" s="27"/>
      <c r="R7375" s="15"/>
      <c r="X7375" s="3"/>
      <c r="Z7375" s="28"/>
    </row>
    <row r="7376" spans="2:26">
      <c r="B7376" s="2"/>
      <c r="N7376" s="27"/>
      <c r="R7376" s="15"/>
      <c r="X7376" s="3"/>
      <c r="Z7376" s="28"/>
    </row>
    <row r="7377" spans="2:26">
      <c r="B7377" s="2"/>
      <c r="N7377" s="27"/>
      <c r="R7377" s="15"/>
      <c r="X7377" s="3"/>
      <c r="Z7377" s="28"/>
    </row>
    <row r="7378" spans="2:26">
      <c r="B7378" s="2"/>
      <c r="N7378" s="27"/>
      <c r="R7378" s="15"/>
      <c r="X7378" s="3"/>
      <c r="Z7378" s="28"/>
    </row>
    <row r="7379" spans="2:26">
      <c r="B7379" s="2"/>
      <c r="N7379" s="27"/>
      <c r="R7379" s="15"/>
      <c r="X7379" s="3"/>
      <c r="Z7379" s="28"/>
    </row>
    <row r="7380" spans="2:26">
      <c r="B7380" s="2"/>
      <c r="N7380" s="27"/>
      <c r="R7380" s="15"/>
      <c r="X7380" s="3"/>
      <c r="Z7380" s="28"/>
    </row>
    <row r="7381" spans="2:26">
      <c r="B7381" s="2"/>
      <c r="N7381" s="27"/>
      <c r="R7381" s="15"/>
      <c r="X7381" s="3"/>
      <c r="Z7381" s="28"/>
    </row>
    <row r="7382" spans="2:26">
      <c r="B7382" s="2"/>
      <c r="N7382" s="27"/>
      <c r="R7382" s="15"/>
      <c r="X7382" s="3"/>
      <c r="Z7382" s="28"/>
    </row>
    <row r="7383" spans="2:26">
      <c r="B7383" s="2"/>
      <c r="N7383" s="27"/>
      <c r="R7383" s="15"/>
      <c r="X7383" s="3"/>
      <c r="Z7383" s="28"/>
    </row>
    <row r="7384" spans="2:26">
      <c r="B7384" s="2"/>
      <c r="N7384" s="27"/>
      <c r="R7384" s="15"/>
      <c r="X7384" s="3"/>
      <c r="Z7384" s="28"/>
    </row>
    <row r="7385" spans="2:26">
      <c r="B7385" s="2"/>
      <c r="N7385" s="27"/>
      <c r="R7385" s="15"/>
      <c r="X7385" s="3"/>
      <c r="Z7385" s="28"/>
    </row>
    <row r="7386" spans="2:26">
      <c r="B7386" s="2"/>
      <c r="N7386" s="27"/>
      <c r="R7386" s="15"/>
      <c r="X7386" s="3"/>
      <c r="Z7386" s="28"/>
    </row>
    <row r="7387" spans="2:26">
      <c r="B7387" s="2"/>
      <c r="N7387" s="27"/>
      <c r="R7387" s="15"/>
      <c r="X7387" s="3"/>
      <c r="Z7387" s="28"/>
    </row>
    <row r="7388" spans="2:26">
      <c r="B7388" s="2"/>
      <c r="N7388" s="27"/>
      <c r="R7388" s="15"/>
      <c r="X7388" s="3"/>
      <c r="Z7388" s="28"/>
    </row>
    <row r="7389" spans="2:26">
      <c r="B7389" s="2"/>
      <c r="N7389" s="27"/>
      <c r="R7389" s="15"/>
      <c r="X7389" s="3"/>
      <c r="Z7389" s="28"/>
    </row>
    <row r="7390" spans="2:26">
      <c r="B7390" s="2"/>
      <c r="N7390" s="27"/>
      <c r="R7390" s="15"/>
      <c r="X7390" s="3"/>
      <c r="Z7390" s="28"/>
    </row>
    <row r="7391" spans="2:26">
      <c r="B7391" s="2"/>
      <c r="N7391" s="27"/>
      <c r="R7391" s="15"/>
      <c r="X7391" s="3"/>
      <c r="Z7391" s="28"/>
    </row>
    <row r="7392" spans="2:26">
      <c r="B7392" s="2"/>
      <c r="N7392" s="27"/>
      <c r="R7392" s="15"/>
      <c r="X7392" s="3"/>
      <c r="Z7392" s="28"/>
    </row>
    <row r="7393" spans="2:26">
      <c r="B7393" s="2"/>
      <c r="N7393" s="27"/>
      <c r="R7393" s="15"/>
      <c r="X7393" s="3"/>
      <c r="Z7393" s="28"/>
    </row>
    <row r="7394" spans="2:26">
      <c r="B7394" s="2"/>
      <c r="N7394" s="27"/>
      <c r="R7394" s="15"/>
      <c r="X7394" s="3"/>
      <c r="Z7394" s="28"/>
    </row>
    <row r="7395" spans="2:26">
      <c r="B7395" s="2"/>
      <c r="N7395" s="27"/>
      <c r="R7395" s="15"/>
      <c r="X7395" s="3"/>
      <c r="Z7395" s="28"/>
    </row>
    <row r="7396" spans="2:26">
      <c r="B7396" s="2"/>
      <c r="N7396" s="27"/>
      <c r="R7396" s="15"/>
      <c r="X7396" s="3"/>
      <c r="Z7396" s="28"/>
    </row>
    <row r="7397" spans="2:26">
      <c r="B7397" s="2"/>
      <c r="N7397" s="27"/>
      <c r="R7397" s="15"/>
      <c r="X7397" s="3"/>
      <c r="Z7397" s="28"/>
    </row>
    <row r="7398" spans="2:26">
      <c r="B7398" s="2"/>
      <c r="N7398" s="27"/>
      <c r="R7398" s="15"/>
      <c r="X7398" s="3"/>
      <c r="Z7398" s="28"/>
    </row>
    <row r="7399" spans="2:26">
      <c r="B7399" s="2"/>
      <c r="N7399" s="27"/>
      <c r="R7399" s="15"/>
      <c r="X7399" s="3"/>
      <c r="Z7399" s="28"/>
    </row>
    <row r="7400" spans="2:26">
      <c r="B7400" s="2"/>
      <c r="N7400" s="27"/>
      <c r="R7400" s="15"/>
      <c r="X7400" s="3"/>
      <c r="Z7400" s="28"/>
    </row>
    <row r="7401" spans="2:26">
      <c r="B7401" s="2"/>
      <c r="N7401" s="27"/>
      <c r="R7401" s="15"/>
      <c r="X7401" s="3"/>
      <c r="Z7401" s="28"/>
    </row>
    <row r="7402" spans="2:26">
      <c r="B7402" s="2"/>
      <c r="N7402" s="27"/>
      <c r="R7402" s="15"/>
      <c r="X7402" s="3"/>
      <c r="Z7402" s="28"/>
    </row>
    <row r="7403" spans="2:26">
      <c r="B7403" s="2"/>
      <c r="N7403" s="27"/>
      <c r="R7403" s="15"/>
      <c r="X7403" s="3"/>
      <c r="Z7403" s="28"/>
    </row>
    <row r="7404" spans="2:26">
      <c r="B7404" s="2"/>
      <c r="N7404" s="27"/>
      <c r="R7404" s="15"/>
      <c r="X7404" s="3"/>
      <c r="Z7404" s="28"/>
    </row>
    <row r="7405" spans="2:26">
      <c r="B7405" s="2"/>
      <c r="N7405" s="27"/>
      <c r="R7405" s="15"/>
      <c r="X7405" s="3"/>
      <c r="Z7405" s="28"/>
    </row>
    <row r="7406" spans="2:26">
      <c r="B7406" s="2"/>
      <c r="N7406" s="27"/>
      <c r="R7406" s="15"/>
      <c r="X7406" s="3"/>
      <c r="Z7406" s="28"/>
    </row>
    <row r="7407" spans="2:26">
      <c r="B7407" s="2"/>
      <c r="N7407" s="27"/>
      <c r="R7407" s="15"/>
      <c r="X7407" s="3"/>
      <c r="Z7407" s="28"/>
    </row>
    <row r="7408" spans="2:26">
      <c r="B7408" s="2"/>
      <c r="N7408" s="27"/>
      <c r="R7408" s="15"/>
      <c r="X7408" s="3"/>
      <c r="Z7408" s="28"/>
    </row>
    <row r="7409" spans="2:26">
      <c r="B7409" s="2"/>
      <c r="N7409" s="27"/>
      <c r="R7409" s="15"/>
      <c r="X7409" s="3"/>
      <c r="Z7409" s="28"/>
    </row>
    <row r="7410" spans="2:26">
      <c r="B7410" s="2"/>
      <c r="N7410" s="27"/>
      <c r="R7410" s="15"/>
      <c r="X7410" s="3"/>
      <c r="Z7410" s="28"/>
    </row>
    <row r="7411" spans="2:26">
      <c r="B7411" s="2"/>
      <c r="N7411" s="27"/>
      <c r="R7411" s="15"/>
      <c r="X7411" s="3"/>
      <c r="Z7411" s="28"/>
    </row>
    <row r="7412" spans="2:26">
      <c r="B7412" s="2"/>
      <c r="N7412" s="27"/>
      <c r="R7412" s="15"/>
      <c r="X7412" s="3"/>
      <c r="Z7412" s="28"/>
    </row>
    <row r="7413" spans="2:26">
      <c r="B7413" s="2"/>
      <c r="N7413" s="27"/>
      <c r="R7413" s="15"/>
      <c r="X7413" s="3"/>
      <c r="Z7413" s="28"/>
    </row>
    <row r="7414" spans="2:26">
      <c r="B7414" s="2"/>
      <c r="N7414" s="27"/>
      <c r="R7414" s="15"/>
      <c r="X7414" s="3"/>
      <c r="Z7414" s="28"/>
    </row>
    <row r="7415" spans="2:26">
      <c r="B7415" s="2"/>
      <c r="N7415" s="27"/>
      <c r="R7415" s="15"/>
      <c r="X7415" s="3"/>
      <c r="Z7415" s="28"/>
    </row>
    <row r="7416" spans="2:26">
      <c r="B7416" s="2"/>
      <c r="N7416" s="27"/>
      <c r="R7416" s="15"/>
      <c r="X7416" s="3"/>
      <c r="Z7416" s="28"/>
    </row>
    <row r="7417" spans="2:26">
      <c r="B7417" s="2"/>
      <c r="N7417" s="27"/>
      <c r="R7417" s="15"/>
      <c r="X7417" s="3"/>
      <c r="Z7417" s="28"/>
    </row>
    <row r="7418" spans="2:26">
      <c r="B7418" s="2"/>
      <c r="N7418" s="27"/>
      <c r="R7418" s="15"/>
      <c r="X7418" s="3"/>
      <c r="Z7418" s="28"/>
    </row>
    <row r="7419" spans="2:26">
      <c r="B7419" s="2"/>
      <c r="N7419" s="27"/>
      <c r="R7419" s="15"/>
      <c r="X7419" s="3"/>
      <c r="Z7419" s="28"/>
    </row>
    <row r="7420" spans="2:26">
      <c r="B7420" s="2"/>
      <c r="N7420" s="27"/>
      <c r="R7420" s="15"/>
      <c r="X7420" s="3"/>
      <c r="Z7420" s="28"/>
    </row>
    <row r="7421" spans="2:26">
      <c r="B7421" s="2"/>
      <c r="N7421" s="27"/>
      <c r="R7421" s="15"/>
      <c r="X7421" s="3"/>
      <c r="Z7421" s="28"/>
    </row>
    <row r="7422" spans="2:26">
      <c r="B7422" s="2"/>
      <c r="N7422" s="27"/>
      <c r="R7422" s="15"/>
      <c r="X7422" s="3"/>
      <c r="Z7422" s="28"/>
    </row>
    <row r="7423" spans="2:26">
      <c r="B7423" s="2"/>
      <c r="N7423" s="27"/>
      <c r="R7423" s="15"/>
      <c r="X7423" s="3"/>
      <c r="Z7423" s="28"/>
    </row>
    <row r="7424" spans="2:26">
      <c r="B7424" s="2"/>
      <c r="N7424" s="27"/>
      <c r="R7424" s="15"/>
      <c r="X7424" s="3"/>
      <c r="Z7424" s="28"/>
    </row>
    <row r="7425" spans="2:26">
      <c r="B7425" s="2"/>
      <c r="N7425" s="27"/>
      <c r="R7425" s="15"/>
      <c r="X7425" s="3"/>
      <c r="Z7425" s="28"/>
    </row>
    <row r="7426" spans="2:26">
      <c r="B7426" s="2"/>
      <c r="N7426" s="27"/>
      <c r="R7426" s="15"/>
      <c r="X7426" s="3"/>
      <c r="Z7426" s="28"/>
    </row>
    <row r="7427" spans="2:26">
      <c r="B7427" s="2"/>
      <c r="N7427" s="27"/>
      <c r="R7427" s="15"/>
      <c r="X7427" s="3"/>
      <c r="Z7427" s="28"/>
    </row>
    <row r="7428" spans="2:26">
      <c r="B7428" s="2"/>
      <c r="N7428" s="27"/>
      <c r="R7428" s="15"/>
      <c r="X7428" s="3"/>
      <c r="Z7428" s="28"/>
    </row>
    <row r="7429" spans="2:26">
      <c r="B7429" s="2"/>
      <c r="N7429" s="27"/>
      <c r="R7429" s="15"/>
      <c r="X7429" s="3"/>
      <c r="Z7429" s="28"/>
    </row>
    <row r="7430" spans="2:26">
      <c r="B7430" s="2"/>
      <c r="N7430" s="27"/>
      <c r="R7430" s="15"/>
      <c r="X7430" s="3"/>
      <c r="Z7430" s="28"/>
    </row>
    <row r="7431" spans="2:26">
      <c r="B7431" s="2"/>
      <c r="N7431" s="27"/>
      <c r="R7431" s="15"/>
      <c r="X7431" s="3"/>
      <c r="Z7431" s="28"/>
    </row>
    <row r="7432" spans="2:26">
      <c r="B7432" s="2"/>
      <c r="N7432" s="27"/>
      <c r="R7432" s="15"/>
      <c r="X7432" s="3"/>
      <c r="Z7432" s="28"/>
    </row>
    <row r="7433" spans="2:26">
      <c r="B7433" s="2"/>
      <c r="N7433" s="27"/>
      <c r="R7433" s="15"/>
      <c r="X7433" s="3"/>
      <c r="Z7433" s="28"/>
    </row>
    <row r="7434" spans="2:26">
      <c r="B7434" s="2"/>
      <c r="N7434" s="27"/>
      <c r="R7434" s="15"/>
      <c r="X7434" s="3"/>
      <c r="Z7434" s="28"/>
    </row>
    <row r="7435" spans="2:26">
      <c r="B7435" s="2"/>
      <c r="N7435" s="27"/>
      <c r="R7435" s="15"/>
      <c r="X7435" s="3"/>
      <c r="Z7435" s="28"/>
    </row>
    <row r="7436" spans="2:26">
      <c r="B7436" s="2"/>
      <c r="N7436" s="27"/>
      <c r="R7436" s="15"/>
      <c r="X7436" s="3"/>
      <c r="Z7436" s="28"/>
    </row>
    <row r="7437" spans="2:26">
      <c r="B7437" s="2"/>
      <c r="N7437" s="27"/>
      <c r="R7437" s="15"/>
      <c r="X7437" s="3"/>
      <c r="Z7437" s="28"/>
    </row>
    <row r="7438" spans="2:26">
      <c r="B7438" s="2"/>
      <c r="N7438" s="27"/>
      <c r="R7438" s="15"/>
      <c r="X7438" s="3"/>
      <c r="Z7438" s="28"/>
    </row>
    <row r="7439" spans="2:26">
      <c r="B7439" s="2"/>
      <c r="N7439" s="27"/>
      <c r="R7439" s="15"/>
      <c r="X7439" s="3"/>
      <c r="Z7439" s="28"/>
    </row>
    <row r="7440" spans="2:26">
      <c r="B7440" s="2"/>
      <c r="N7440" s="27"/>
      <c r="R7440" s="15"/>
      <c r="X7440" s="3"/>
      <c r="Z7440" s="28"/>
    </row>
    <row r="7441" spans="2:26">
      <c r="B7441" s="2"/>
      <c r="N7441" s="27"/>
      <c r="R7441" s="15"/>
      <c r="X7441" s="3"/>
      <c r="Z7441" s="28"/>
    </row>
    <row r="7442" spans="2:26">
      <c r="B7442" s="2"/>
      <c r="N7442" s="27"/>
      <c r="R7442" s="15"/>
      <c r="X7442" s="3"/>
      <c r="Z7442" s="28"/>
    </row>
    <row r="7443" spans="2:26">
      <c r="B7443" s="2"/>
      <c r="N7443" s="27"/>
      <c r="R7443" s="15"/>
      <c r="X7443" s="3"/>
      <c r="Z7443" s="28"/>
    </row>
    <row r="7444" spans="2:26">
      <c r="B7444" s="2"/>
      <c r="N7444" s="27"/>
      <c r="R7444" s="15"/>
      <c r="X7444" s="3"/>
      <c r="Z7444" s="28"/>
    </row>
    <row r="7445" spans="2:26">
      <c r="B7445" s="2"/>
      <c r="N7445" s="27"/>
      <c r="R7445" s="15"/>
      <c r="X7445" s="3"/>
      <c r="Z7445" s="28"/>
    </row>
    <row r="7446" spans="2:26">
      <c r="B7446" s="2"/>
      <c r="N7446" s="27"/>
      <c r="R7446" s="15"/>
      <c r="X7446" s="3"/>
      <c r="Z7446" s="28"/>
    </row>
    <row r="7447" spans="2:26">
      <c r="B7447" s="2"/>
      <c r="N7447" s="27"/>
      <c r="R7447" s="15"/>
      <c r="X7447" s="3"/>
      <c r="Z7447" s="28"/>
    </row>
    <row r="7448" spans="2:26">
      <c r="B7448" s="2"/>
      <c r="N7448" s="27"/>
      <c r="R7448" s="15"/>
      <c r="X7448" s="3"/>
      <c r="Z7448" s="28"/>
    </row>
    <row r="7449" spans="2:26">
      <c r="B7449" s="2"/>
      <c r="N7449" s="27"/>
      <c r="R7449" s="15"/>
      <c r="X7449" s="3"/>
      <c r="Z7449" s="28"/>
    </row>
    <row r="7450" spans="2:26">
      <c r="B7450" s="2"/>
      <c r="N7450" s="27"/>
      <c r="R7450" s="15"/>
      <c r="X7450" s="3"/>
      <c r="Z7450" s="28"/>
    </row>
    <row r="7451" spans="2:26">
      <c r="B7451" s="2"/>
      <c r="N7451" s="27"/>
      <c r="R7451" s="15"/>
      <c r="X7451" s="3"/>
      <c r="Z7451" s="28"/>
    </row>
    <row r="7452" spans="2:26">
      <c r="B7452" s="2"/>
      <c r="N7452" s="27"/>
      <c r="R7452" s="15"/>
      <c r="X7452" s="3"/>
      <c r="Z7452" s="28"/>
    </row>
    <row r="7453" spans="2:26">
      <c r="B7453" s="2"/>
      <c r="N7453" s="27"/>
      <c r="R7453" s="15"/>
      <c r="X7453" s="3"/>
      <c r="Z7453" s="28"/>
    </row>
    <row r="7454" spans="2:26">
      <c r="B7454" s="2"/>
      <c r="N7454" s="27"/>
      <c r="R7454" s="15"/>
      <c r="X7454" s="3"/>
      <c r="Z7454" s="28"/>
    </row>
    <row r="7455" spans="2:26">
      <c r="B7455" s="2"/>
      <c r="N7455" s="27"/>
      <c r="R7455" s="15"/>
      <c r="X7455" s="3"/>
      <c r="Z7455" s="28"/>
    </row>
    <row r="7456" spans="2:26">
      <c r="B7456" s="2"/>
      <c r="N7456" s="27"/>
      <c r="R7456" s="15"/>
      <c r="X7456" s="3"/>
      <c r="Z7456" s="28"/>
    </row>
    <row r="7457" spans="2:26">
      <c r="B7457" s="2"/>
      <c r="N7457" s="27"/>
      <c r="R7457" s="15"/>
      <c r="X7457" s="3"/>
      <c r="Z7457" s="28"/>
    </row>
    <row r="7458" spans="2:26">
      <c r="B7458" s="2"/>
      <c r="N7458" s="27"/>
      <c r="R7458" s="15"/>
      <c r="X7458" s="3"/>
      <c r="Z7458" s="28"/>
    </row>
    <row r="7459" spans="2:26">
      <c r="B7459" s="2"/>
      <c r="N7459" s="27"/>
      <c r="R7459" s="15"/>
      <c r="X7459" s="3"/>
      <c r="Z7459" s="28"/>
    </row>
    <row r="7460" spans="2:26">
      <c r="B7460" s="2"/>
      <c r="N7460" s="27"/>
      <c r="R7460" s="15"/>
      <c r="X7460" s="3"/>
      <c r="Z7460" s="28"/>
    </row>
    <row r="7461" spans="2:26">
      <c r="B7461" s="2"/>
      <c r="N7461" s="27"/>
      <c r="R7461" s="15"/>
      <c r="X7461" s="3"/>
      <c r="Z7461" s="28"/>
    </row>
    <row r="7462" spans="2:26">
      <c r="B7462" s="2"/>
      <c r="N7462" s="27"/>
      <c r="R7462" s="15"/>
      <c r="X7462" s="3"/>
      <c r="Z7462" s="28"/>
    </row>
    <row r="7463" spans="2:26">
      <c r="B7463" s="2"/>
      <c r="N7463" s="27"/>
      <c r="R7463" s="15"/>
      <c r="X7463" s="3"/>
      <c r="Z7463" s="28"/>
    </row>
    <row r="7464" spans="2:26">
      <c r="B7464" s="2"/>
      <c r="N7464" s="27"/>
      <c r="R7464" s="15"/>
      <c r="X7464" s="3"/>
      <c r="Z7464" s="28"/>
    </row>
    <row r="7465" spans="2:26">
      <c r="B7465" s="2"/>
      <c r="N7465" s="27"/>
      <c r="R7465" s="15"/>
      <c r="X7465" s="3"/>
      <c r="Z7465" s="28"/>
    </row>
    <row r="7466" spans="2:26">
      <c r="B7466" s="2"/>
      <c r="N7466" s="27"/>
      <c r="R7466" s="15"/>
      <c r="X7466" s="3"/>
      <c r="Z7466" s="28"/>
    </row>
    <row r="7467" spans="2:26">
      <c r="B7467" s="2"/>
      <c r="N7467" s="27"/>
      <c r="R7467" s="15"/>
      <c r="X7467" s="3"/>
      <c r="Z7467" s="28"/>
    </row>
    <row r="7468" spans="2:26">
      <c r="B7468" s="2"/>
      <c r="N7468" s="27"/>
      <c r="R7468" s="15"/>
      <c r="X7468" s="3"/>
      <c r="Z7468" s="28"/>
    </row>
    <row r="7469" spans="2:26">
      <c r="B7469" s="2"/>
      <c r="N7469" s="27"/>
      <c r="R7469" s="15"/>
      <c r="X7469" s="3"/>
      <c r="Z7469" s="28"/>
    </row>
    <row r="7470" spans="2:26">
      <c r="B7470" s="2"/>
      <c r="N7470" s="27"/>
      <c r="R7470" s="15"/>
      <c r="X7470" s="3"/>
      <c r="Z7470" s="28"/>
    </row>
    <row r="7471" spans="2:26">
      <c r="B7471" s="2"/>
      <c r="N7471" s="27"/>
      <c r="R7471" s="15"/>
      <c r="X7471" s="3"/>
      <c r="Z7471" s="28"/>
    </row>
    <row r="7472" spans="2:26">
      <c r="B7472" s="2"/>
      <c r="N7472" s="27"/>
      <c r="R7472" s="15"/>
      <c r="X7472" s="3"/>
      <c r="Z7472" s="28"/>
    </row>
    <row r="7473" spans="2:26">
      <c r="B7473" s="2"/>
      <c r="N7473" s="27"/>
      <c r="R7473" s="15"/>
      <c r="X7473" s="3"/>
      <c r="Z7473" s="28"/>
    </row>
    <row r="7474" spans="2:26">
      <c r="B7474" s="2"/>
      <c r="N7474" s="27"/>
      <c r="R7474" s="15"/>
      <c r="X7474" s="3"/>
      <c r="Z7474" s="28"/>
    </row>
    <row r="7475" spans="2:26">
      <c r="B7475" s="2"/>
      <c r="N7475" s="27"/>
      <c r="R7475" s="15"/>
      <c r="X7475" s="3"/>
      <c r="Z7475" s="28"/>
    </row>
    <row r="7476" spans="2:26">
      <c r="B7476" s="2"/>
      <c r="N7476" s="27"/>
      <c r="R7476" s="15"/>
      <c r="X7476" s="3"/>
      <c r="Z7476" s="28"/>
    </row>
    <row r="7477" spans="2:26">
      <c r="B7477" s="2"/>
      <c r="N7477" s="27"/>
      <c r="R7477" s="15"/>
      <c r="X7477" s="3"/>
      <c r="Z7477" s="28"/>
    </row>
    <row r="7478" spans="2:26">
      <c r="B7478" s="2"/>
      <c r="N7478" s="27"/>
      <c r="R7478" s="15"/>
      <c r="X7478" s="3"/>
      <c r="Z7478" s="28"/>
    </row>
    <row r="7479" spans="2:26">
      <c r="B7479" s="2"/>
      <c r="N7479" s="27"/>
      <c r="R7479" s="15"/>
      <c r="X7479" s="3"/>
      <c r="Z7479" s="28"/>
    </row>
    <row r="7480" spans="2:26">
      <c r="B7480" s="2"/>
      <c r="N7480" s="27"/>
      <c r="R7480" s="15"/>
      <c r="X7480" s="3"/>
      <c r="Z7480" s="28"/>
    </row>
    <row r="7481" spans="2:26">
      <c r="B7481" s="2"/>
      <c r="N7481" s="27"/>
      <c r="R7481" s="15"/>
      <c r="X7481" s="3"/>
      <c r="Z7481" s="28"/>
    </row>
    <row r="7482" spans="2:26">
      <c r="B7482" s="2"/>
      <c r="N7482" s="27"/>
      <c r="R7482" s="15"/>
      <c r="X7482" s="3"/>
      <c r="Z7482" s="28"/>
    </row>
    <row r="7483" spans="2:26">
      <c r="B7483" s="2"/>
      <c r="N7483" s="27"/>
      <c r="R7483" s="15"/>
      <c r="X7483" s="3"/>
      <c r="Z7483" s="28"/>
    </row>
    <row r="7484" spans="2:26">
      <c r="B7484" s="2"/>
      <c r="N7484" s="27"/>
      <c r="R7484" s="15"/>
      <c r="X7484" s="3"/>
      <c r="Z7484" s="28"/>
    </row>
    <row r="7485" spans="2:26">
      <c r="B7485" s="2"/>
      <c r="N7485" s="27"/>
      <c r="R7485" s="15"/>
      <c r="X7485" s="3"/>
      <c r="Z7485" s="28"/>
    </row>
    <row r="7486" spans="2:26">
      <c r="B7486" s="2"/>
      <c r="N7486" s="27"/>
      <c r="R7486" s="15"/>
      <c r="X7486" s="3"/>
      <c r="Z7486" s="28"/>
    </row>
    <row r="7487" spans="2:26">
      <c r="B7487" s="2"/>
      <c r="N7487" s="27"/>
      <c r="R7487" s="15"/>
      <c r="X7487" s="3"/>
      <c r="Z7487" s="28"/>
    </row>
    <row r="7488" spans="2:26">
      <c r="B7488" s="2"/>
      <c r="N7488" s="27"/>
      <c r="R7488" s="15"/>
      <c r="X7488" s="3"/>
      <c r="Z7488" s="28"/>
    </row>
    <row r="7489" spans="2:26">
      <c r="B7489" s="2"/>
      <c r="N7489" s="27"/>
      <c r="R7489" s="15"/>
      <c r="X7489" s="3"/>
      <c r="Z7489" s="28"/>
    </row>
    <row r="7490" spans="2:26">
      <c r="B7490" s="2"/>
      <c r="N7490" s="27"/>
      <c r="R7490" s="15"/>
      <c r="X7490" s="3"/>
      <c r="Z7490" s="28"/>
    </row>
    <row r="7491" spans="2:26">
      <c r="B7491" s="2"/>
      <c r="N7491" s="27"/>
      <c r="R7491" s="15"/>
      <c r="X7491" s="3"/>
      <c r="Z7491" s="28"/>
    </row>
    <row r="7492" spans="2:26">
      <c r="B7492" s="2"/>
      <c r="N7492" s="27"/>
      <c r="R7492" s="15"/>
      <c r="X7492" s="3"/>
      <c r="Z7492" s="28"/>
    </row>
    <row r="7493" spans="2:26">
      <c r="B7493" s="2"/>
      <c r="N7493" s="27"/>
      <c r="R7493" s="15"/>
      <c r="X7493" s="3"/>
      <c r="Z7493" s="28"/>
    </row>
    <row r="7494" spans="2:26">
      <c r="B7494" s="2"/>
      <c r="N7494" s="27"/>
      <c r="R7494" s="15"/>
      <c r="X7494" s="3"/>
      <c r="Z7494" s="28"/>
    </row>
    <row r="7495" spans="2:26">
      <c r="B7495" s="2"/>
      <c r="N7495" s="27"/>
      <c r="R7495" s="15"/>
      <c r="X7495" s="3"/>
      <c r="Z7495" s="28"/>
    </row>
    <row r="7496" spans="2:26">
      <c r="B7496" s="2"/>
      <c r="N7496" s="27"/>
      <c r="R7496" s="15"/>
      <c r="X7496" s="3"/>
      <c r="Z7496" s="28"/>
    </row>
    <row r="7497" spans="2:26">
      <c r="B7497" s="2"/>
      <c r="N7497" s="27"/>
      <c r="R7497" s="15"/>
      <c r="X7497" s="3"/>
      <c r="Z7497" s="28"/>
    </row>
    <row r="7498" spans="2:26">
      <c r="B7498" s="2"/>
      <c r="N7498" s="27"/>
      <c r="R7498" s="15"/>
      <c r="X7498" s="3"/>
      <c r="Z7498" s="28"/>
    </row>
    <row r="7499" spans="2:26">
      <c r="B7499" s="2"/>
      <c r="N7499" s="27"/>
      <c r="R7499" s="15"/>
      <c r="X7499" s="3"/>
      <c r="Z7499" s="28"/>
    </row>
    <row r="7500" spans="2:26">
      <c r="B7500" s="2"/>
      <c r="N7500" s="27"/>
      <c r="R7500" s="15"/>
      <c r="X7500" s="3"/>
      <c r="Z7500" s="28"/>
    </row>
    <row r="7501" spans="2:26">
      <c r="B7501" s="2"/>
      <c r="N7501" s="27"/>
      <c r="R7501" s="15"/>
      <c r="X7501" s="3"/>
      <c r="Z7501" s="28"/>
    </row>
    <row r="7502" spans="2:26">
      <c r="B7502" s="2"/>
      <c r="N7502" s="27"/>
      <c r="R7502" s="15"/>
      <c r="X7502" s="3"/>
      <c r="Z7502" s="28"/>
    </row>
    <row r="7503" spans="2:26">
      <c r="B7503" s="2"/>
      <c r="N7503" s="27"/>
      <c r="R7503" s="15"/>
      <c r="X7503" s="3"/>
      <c r="Z7503" s="28"/>
    </row>
    <row r="7504" spans="2:26">
      <c r="B7504" s="2"/>
      <c r="N7504" s="27"/>
      <c r="R7504" s="15"/>
      <c r="X7504" s="3"/>
      <c r="Z7504" s="28"/>
    </row>
    <row r="7505" spans="2:26">
      <c r="B7505" s="2"/>
      <c r="N7505" s="27"/>
      <c r="R7505" s="15"/>
      <c r="X7505" s="3"/>
      <c r="Z7505" s="28"/>
    </row>
    <row r="7506" spans="2:26">
      <c r="B7506" s="2"/>
      <c r="N7506" s="27"/>
      <c r="R7506" s="15"/>
      <c r="X7506" s="3"/>
      <c r="Z7506" s="28"/>
    </row>
    <row r="7507" spans="2:26">
      <c r="B7507" s="2"/>
      <c r="N7507" s="27"/>
      <c r="R7507" s="15"/>
      <c r="X7507" s="3"/>
      <c r="Z7507" s="28"/>
    </row>
    <row r="7508" spans="2:26">
      <c r="B7508" s="2"/>
      <c r="N7508" s="27"/>
      <c r="R7508" s="15"/>
      <c r="X7508" s="3"/>
      <c r="Z7508" s="28"/>
    </row>
    <row r="7509" spans="2:26">
      <c r="B7509" s="2"/>
      <c r="N7509" s="27"/>
      <c r="R7509" s="15"/>
      <c r="X7509" s="3"/>
      <c r="Z7509" s="28"/>
    </row>
    <row r="7510" spans="2:26">
      <c r="B7510" s="2"/>
      <c r="N7510" s="27"/>
      <c r="R7510" s="15"/>
      <c r="X7510" s="3"/>
      <c r="Z7510" s="28"/>
    </row>
    <row r="7511" spans="2:26">
      <c r="B7511" s="2"/>
      <c r="N7511" s="27"/>
      <c r="R7511" s="15"/>
      <c r="X7511" s="3"/>
      <c r="Z7511" s="28"/>
    </row>
    <row r="7512" spans="2:26">
      <c r="B7512" s="2"/>
      <c r="N7512" s="27"/>
      <c r="R7512" s="15"/>
      <c r="X7512" s="3"/>
      <c r="Z7512" s="28"/>
    </row>
    <row r="7513" spans="2:26">
      <c r="B7513" s="2"/>
      <c r="N7513" s="27"/>
      <c r="R7513" s="15"/>
      <c r="X7513" s="3"/>
      <c r="Z7513" s="28"/>
    </row>
    <row r="7514" spans="2:26">
      <c r="B7514" s="2"/>
      <c r="N7514" s="27"/>
      <c r="R7514" s="15"/>
      <c r="X7514" s="3"/>
      <c r="Z7514" s="28"/>
    </row>
    <row r="7515" spans="2:26">
      <c r="B7515" s="2"/>
      <c r="N7515" s="27"/>
      <c r="R7515" s="15"/>
      <c r="X7515" s="3"/>
      <c r="Z7515" s="28"/>
    </row>
    <row r="7516" spans="2:26">
      <c r="B7516" s="2"/>
      <c r="N7516" s="27"/>
      <c r="R7516" s="15"/>
      <c r="X7516" s="3"/>
      <c r="Z7516" s="28"/>
    </row>
    <row r="7517" spans="2:26">
      <c r="B7517" s="2"/>
      <c r="N7517" s="27"/>
      <c r="R7517" s="15"/>
      <c r="X7517" s="3"/>
      <c r="Z7517" s="28"/>
    </row>
    <row r="7518" spans="2:26">
      <c r="B7518" s="2"/>
      <c r="N7518" s="27"/>
      <c r="R7518" s="15"/>
      <c r="X7518" s="3"/>
      <c r="Z7518" s="28"/>
    </row>
    <row r="7519" spans="2:26">
      <c r="B7519" s="2"/>
      <c r="N7519" s="27"/>
      <c r="R7519" s="15"/>
      <c r="X7519" s="3"/>
      <c r="Z7519" s="28"/>
    </row>
    <row r="7520" spans="2:26">
      <c r="B7520" s="2"/>
      <c r="N7520" s="27"/>
      <c r="R7520" s="15"/>
      <c r="X7520" s="3"/>
      <c r="Z7520" s="28"/>
    </row>
    <row r="7521" spans="2:26">
      <c r="B7521" s="2"/>
      <c r="N7521" s="27"/>
      <c r="R7521" s="15"/>
      <c r="X7521" s="3"/>
      <c r="Z7521" s="28"/>
    </row>
    <row r="7522" spans="2:26">
      <c r="B7522" s="2"/>
      <c r="N7522" s="27"/>
      <c r="R7522" s="15"/>
      <c r="X7522" s="3"/>
      <c r="Z7522" s="28"/>
    </row>
    <row r="7523" spans="2:26">
      <c r="B7523" s="2"/>
      <c r="N7523" s="27"/>
      <c r="R7523" s="15"/>
      <c r="X7523" s="3"/>
      <c r="Z7523" s="28"/>
    </row>
    <row r="7524" spans="2:26">
      <c r="B7524" s="2"/>
      <c r="N7524" s="27"/>
      <c r="R7524" s="15"/>
      <c r="X7524" s="3"/>
      <c r="Z7524" s="28"/>
    </row>
    <row r="7525" spans="2:26">
      <c r="B7525" s="2"/>
      <c r="N7525" s="27"/>
      <c r="R7525" s="15"/>
      <c r="X7525" s="3"/>
      <c r="Z7525" s="28"/>
    </row>
    <row r="7526" spans="2:26">
      <c r="B7526" s="2"/>
      <c r="N7526" s="27"/>
      <c r="R7526" s="15"/>
      <c r="X7526" s="3"/>
      <c r="Z7526" s="28"/>
    </row>
    <row r="7527" spans="2:26">
      <c r="B7527" s="2"/>
      <c r="N7527" s="27"/>
      <c r="R7527" s="15"/>
      <c r="X7527" s="3"/>
      <c r="Z7527" s="28"/>
    </row>
    <row r="7528" spans="2:26">
      <c r="B7528" s="2"/>
      <c r="N7528" s="27"/>
      <c r="R7528" s="15"/>
      <c r="X7528" s="3"/>
      <c r="Z7528" s="28"/>
    </row>
    <row r="7529" spans="2:26">
      <c r="B7529" s="2"/>
      <c r="N7529" s="27"/>
      <c r="R7529" s="15"/>
      <c r="X7529" s="3"/>
      <c r="Z7529" s="28"/>
    </row>
    <row r="7530" spans="2:26">
      <c r="B7530" s="2"/>
      <c r="N7530" s="27"/>
      <c r="R7530" s="15"/>
      <c r="X7530" s="3"/>
      <c r="Z7530" s="28"/>
    </row>
    <row r="7531" spans="2:26">
      <c r="B7531" s="2"/>
      <c r="N7531" s="27"/>
      <c r="R7531" s="15"/>
      <c r="X7531" s="3"/>
      <c r="Z7531" s="28"/>
    </row>
    <row r="7532" spans="2:26">
      <c r="B7532" s="2"/>
      <c r="N7532" s="27"/>
      <c r="R7532" s="15"/>
      <c r="X7532" s="3"/>
      <c r="Z7532" s="28"/>
    </row>
    <row r="7533" spans="2:26">
      <c r="B7533" s="2"/>
      <c r="N7533" s="27"/>
      <c r="R7533" s="15"/>
      <c r="X7533" s="3"/>
      <c r="Z7533" s="28"/>
    </row>
    <row r="7534" spans="2:26">
      <c r="B7534" s="2"/>
      <c r="N7534" s="27"/>
      <c r="R7534" s="15"/>
      <c r="X7534" s="3"/>
      <c r="Z7534" s="28"/>
    </row>
    <row r="7535" spans="2:26">
      <c r="B7535" s="2"/>
      <c r="N7535" s="27"/>
      <c r="R7535" s="15"/>
      <c r="X7535" s="3"/>
      <c r="Z7535" s="28"/>
    </row>
    <row r="7536" spans="2:26">
      <c r="B7536" s="2"/>
      <c r="N7536" s="27"/>
      <c r="R7536" s="15"/>
      <c r="X7536" s="3"/>
      <c r="Z7536" s="28"/>
    </row>
    <row r="7537" spans="2:26">
      <c r="B7537" s="2"/>
      <c r="N7537" s="27"/>
      <c r="R7537" s="15"/>
      <c r="X7537" s="3"/>
      <c r="Z7537" s="28"/>
    </row>
    <row r="7538" spans="2:26">
      <c r="B7538" s="2"/>
      <c r="N7538" s="27"/>
      <c r="R7538" s="15"/>
      <c r="X7538" s="3"/>
      <c r="Z7538" s="28"/>
    </row>
    <row r="7539" spans="2:26">
      <c r="B7539" s="2"/>
      <c r="N7539" s="27"/>
      <c r="R7539" s="15"/>
      <c r="X7539" s="3"/>
      <c r="Z7539" s="28"/>
    </row>
    <row r="7540" spans="2:26">
      <c r="B7540" s="2"/>
      <c r="N7540" s="27"/>
      <c r="R7540" s="15"/>
      <c r="X7540" s="3"/>
      <c r="Z7540" s="28"/>
    </row>
    <row r="7541" spans="2:26">
      <c r="B7541" s="2"/>
      <c r="N7541" s="27"/>
      <c r="R7541" s="15"/>
      <c r="X7541" s="3"/>
      <c r="Z7541" s="28"/>
    </row>
    <row r="7542" spans="2:26">
      <c r="B7542" s="2"/>
      <c r="N7542" s="27"/>
      <c r="R7542" s="15"/>
      <c r="X7542" s="3"/>
      <c r="Z7542" s="28"/>
    </row>
    <row r="7543" spans="2:26">
      <c r="B7543" s="2"/>
      <c r="N7543" s="27"/>
      <c r="R7543" s="15"/>
      <c r="X7543" s="3"/>
      <c r="Z7543" s="28"/>
    </row>
    <row r="7544" spans="2:26">
      <c r="B7544" s="2"/>
      <c r="N7544" s="27"/>
      <c r="R7544" s="15"/>
      <c r="X7544" s="3"/>
      <c r="Z7544" s="28"/>
    </row>
    <row r="7545" spans="2:26">
      <c r="B7545" s="2"/>
      <c r="N7545" s="27"/>
      <c r="R7545" s="15"/>
      <c r="X7545" s="3"/>
      <c r="Z7545" s="28"/>
    </row>
    <row r="7546" spans="2:26">
      <c r="B7546" s="2"/>
      <c r="N7546" s="27"/>
      <c r="R7546" s="15"/>
      <c r="X7546" s="3"/>
      <c r="Z7546" s="28"/>
    </row>
    <row r="7547" spans="2:26">
      <c r="B7547" s="2"/>
      <c r="N7547" s="27"/>
      <c r="R7547" s="15"/>
      <c r="X7547" s="3"/>
      <c r="Z7547" s="28"/>
    </row>
    <row r="7548" spans="2:26">
      <c r="B7548" s="2"/>
      <c r="N7548" s="27"/>
      <c r="R7548" s="15"/>
      <c r="X7548" s="3"/>
      <c r="Z7548" s="28"/>
    </row>
    <row r="7549" spans="2:26">
      <c r="B7549" s="2"/>
      <c r="N7549" s="27"/>
      <c r="R7549" s="15"/>
      <c r="X7549" s="3"/>
      <c r="Z7549" s="28"/>
    </row>
    <row r="7550" spans="2:26">
      <c r="B7550" s="2"/>
      <c r="N7550" s="27"/>
      <c r="R7550" s="15"/>
      <c r="X7550" s="3"/>
      <c r="Z7550" s="28"/>
    </row>
    <row r="7551" spans="2:26">
      <c r="B7551" s="2"/>
      <c r="N7551" s="27"/>
      <c r="R7551" s="15"/>
      <c r="X7551" s="3"/>
      <c r="Z7551" s="28"/>
    </row>
    <row r="7552" spans="2:26">
      <c r="B7552" s="2"/>
      <c r="N7552" s="27"/>
      <c r="R7552" s="15"/>
      <c r="X7552" s="3"/>
      <c r="Z7552" s="28"/>
    </row>
    <row r="7553" spans="2:26">
      <c r="B7553" s="2"/>
      <c r="N7553" s="27"/>
      <c r="R7553" s="15"/>
      <c r="X7553" s="3"/>
      <c r="Z7553" s="28"/>
    </row>
    <row r="7554" spans="2:26">
      <c r="B7554" s="2"/>
      <c r="N7554" s="27"/>
      <c r="R7554" s="15"/>
      <c r="X7554" s="3"/>
      <c r="Z7554" s="28"/>
    </row>
    <row r="7555" spans="2:26">
      <c r="B7555" s="2"/>
      <c r="N7555" s="27"/>
      <c r="R7555" s="15"/>
      <c r="X7555" s="3"/>
      <c r="Z7555" s="28"/>
    </row>
    <row r="7556" spans="2:26">
      <c r="B7556" s="2"/>
      <c r="N7556" s="27"/>
      <c r="R7556" s="15"/>
      <c r="X7556" s="3"/>
      <c r="Z7556" s="28"/>
    </row>
    <row r="7557" spans="2:26">
      <c r="B7557" s="2"/>
      <c r="N7557" s="27"/>
      <c r="R7557" s="15"/>
      <c r="X7557" s="3"/>
      <c r="Z7557" s="28"/>
    </row>
    <row r="7558" spans="2:26">
      <c r="B7558" s="2"/>
      <c r="N7558" s="27"/>
      <c r="R7558" s="15"/>
      <c r="X7558" s="3"/>
      <c r="Z7558" s="28"/>
    </row>
    <row r="7559" spans="2:26">
      <c r="B7559" s="2"/>
      <c r="N7559" s="27"/>
      <c r="R7559" s="15"/>
      <c r="X7559" s="3"/>
      <c r="Z7559" s="28"/>
    </row>
    <row r="7560" spans="2:26">
      <c r="B7560" s="2"/>
      <c r="N7560" s="27"/>
      <c r="R7560" s="15"/>
      <c r="X7560" s="3"/>
      <c r="Z7560" s="28"/>
    </row>
    <row r="7561" spans="2:26">
      <c r="B7561" s="2"/>
      <c r="N7561" s="27"/>
      <c r="R7561" s="15"/>
      <c r="X7561" s="3"/>
      <c r="Z7561" s="28"/>
    </row>
    <row r="7562" spans="2:26">
      <c r="B7562" s="2"/>
      <c r="N7562" s="27"/>
      <c r="R7562" s="15"/>
      <c r="X7562" s="3"/>
      <c r="Z7562" s="28"/>
    </row>
    <row r="7563" spans="2:26">
      <c r="B7563" s="2"/>
      <c r="N7563" s="27"/>
      <c r="R7563" s="15"/>
      <c r="X7563" s="3"/>
      <c r="Z7563" s="28"/>
    </row>
    <row r="7564" spans="2:26">
      <c r="B7564" s="2"/>
      <c r="N7564" s="27"/>
      <c r="R7564" s="15"/>
      <c r="X7564" s="3"/>
      <c r="Z7564" s="28"/>
    </row>
    <row r="7565" spans="2:26">
      <c r="B7565" s="2"/>
      <c r="N7565" s="27"/>
      <c r="R7565" s="15"/>
      <c r="X7565" s="3"/>
      <c r="Z7565" s="28"/>
    </row>
    <row r="7566" spans="2:26">
      <c r="B7566" s="2"/>
      <c r="N7566" s="27"/>
      <c r="R7566" s="15"/>
      <c r="X7566" s="3"/>
      <c r="Z7566" s="28"/>
    </row>
    <row r="7567" spans="2:26">
      <c r="B7567" s="2"/>
      <c r="N7567" s="27"/>
      <c r="R7567" s="15"/>
      <c r="X7567" s="3"/>
      <c r="Z7567" s="28"/>
    </row>
    <row r="7568" spans="2:26">
      <c r="B7568" s="2"/>
      <c r="N7568" s="27"/>
      <c r="R7568" s="15"/>
      <c r="X7568" s="3"/>
      <c r="Z7568" s="28"/>
    </row>
    <row r="7569" spans="2:26">
      <c r="B7569" s="2"/>
      <c r="N7569" s="27"/>
      <c r="R7569" s="15"/>
      <c r="X7569" s="3"/>
      <c r="Z7569" s="28"/>
    </row>
    <row r="7570" spans="2:26">
      <c r="B7570" s="2"/>
      <c r="N7570" s="27"/>
      <c r="R7570" s="15"/>
      <c r="X7570" s="3"/>
      <c r="Z7570" s="28"/>
    </row>
    <row r="7571" spans="2:26">
      <c r="B7571" s="2"/>
      <c r="N7571" s="27"/>
      <c r="R7571" s="15"/>
      <c r="X7571" s="3"/>
      <c r="Z7571" s="28"/>
    </row>
    <row r="7572" spans="2:26">
      <c r="B7572" s="2"/>
      <c r="N7572" s="27"/>
      <c r="R7572" s="15"/>
      <c r="X7572" s="3"/>
      <c r="Z7572" s="28"/>
    </row>
    <row r="7573" spans="2:26">
      <c r="B7573" s="2"/>
      <c r="N7573" s="27"/>
      <c r="R7573" s="15"/>
      <c r="X7573" s="3"/>
      <c r="Z7573" s="28"/>
    </row>
    <row r="7574" spans="2:26">
      <c r="B7574" s="2"/>
      <c r="N7574" s="27"/>
      <c r="R7574" s="15"/>
      <c r="X7574" s="3"/>
      <c r="Z7574" s="28"/>
    </row>
    <row r="7575" spans="2:26">
      <c r="B7575" s="2"/>
      <c r="N7575" s="27"/>
      <c r="R7575" s="15"/>
      <c r="X7575" s="3"/>
      <c r="Z7575" s="28"/>
    </row>
    <row r="7576" spans="2:26">
      <c r="B7576" s="2"/>
      <c r="N7576" s="27"/>
      <c r="R7576" s="15"/>
      <c r="X7576" s="3"/>
      <c r="Z7576" s="28"/>
    </row>
    <row r="7577" spans="2:26">
      <c r="B7577" s="2"/>
      <c r="N7577" s="27"/>
      <c r="R7577" s="15"/>
      <c r="X7577" s="3"/>
      <c r="Z7577" s="28"/>
    </row>
    <row r="7578" spans="2:26">
      <c r="B7578" s="2"/>
      <c r="N7578" s="27"/>
      <c r="R7578" s="15"/>
      <c r="X7578" s="3"/>
      <c r="Z7578" s="28"/>
    </row>
    <row r="7579" spans="2:26">
      <c r="B7579" s="2"/>
      <c r="N7579" s="27"/>
      <c r="R7579" s="15"/>
      <c r="X7579" s="3"/>
      <c r="Z7579" s="28"/>
    </row>
    <row r="7580" spans="2:26">
      <c r="B7580" s="2"/>
      <c r="N7580" s="27"/>
      <c r="R7580" s="15"/>
      <c r="X7580" s="3"/>
      <c r="Z7580" s="28"/>
    </row>
    <row r="7581" spans="2:26">
      <c r="B7581" s="2"/>
      <c r="N7581" s="27"/>
      <c r="R7581" s="15"/>
      <c r="X7581" s="3"/>
      <c r="Z7581" s="28"/>
    </row>
    <row r="7582" spans="2:26">
      <c r="B7582" s="2"/>
      <c r="N7582" s="27"/>
      <c r="R7582" s="15"/>
      <c r="X7582" s="3"/>
      <c r="Z7582" s="28"/>
    </row>
    <row r="7583" spans="2:26">
      <c r="B7583" s="2"/>
      <c r="N7583" s="27"/>
      <c r="R7583" s="15"/>
      <c r="X7583" s="3"/>
      <c r="Z7583" s="28"/>
    </row>
    <row r="7584" spans="2:26">
      <c r="B7584" s="2"/>
      <c r="N7584" s="27"/>
      <c r="R7584" s="15"/>
      <c r="X7584" s="3"/>
      <c r="Z7584" s="28"/>
    </row>
    <row r="7585" spans="2:26">
      <c r="B7585" s="2"/>
      <c r="N7585" s="27"/>
      <c r="R7585" s="15"/>
      <c r="X7585" s="3"/>
      <c r="Z7585" s="28"/>
    </row>
    <row r="7586" spans="2:26">
      <c r="B7586" s="2"/>
      <c r="N7586" s="27"/>
      <c r="R7586" s="15"/>
      <c r="X7586" s="3"/>
      <c r="Z7586" s="28"/>
    </row>
    <row r="7587" spans="2:26">
      <c r="B7587" s="2"/>
      <c r="N7587" s="27"/>
      <c r="R7587" s="15"/>
      <c r="X7587" s="3"/>
      <c r="Z7587" s="28"/>
    </row>
    <row r="7588" spans="2:26">
      <c r="B7588" s="2"/>
      <c r="N7588" s="27"/>
      <c r="R7588" s="15"/>
      <c r="X7588" s="3"/>
      <c r="Z7588" s="28"/>
    </row>
    <row r="7589" spans="2:26">
      <c r="B7589" s="2"/>
      <c r="N7589" s="27"/>
      <c r="R7589" s="15"/>
      <c r="X7589" s="3"/>
      <c r="Z7589" s="28"/>
    </row>
    <row r="7590" spans="2:26">
      <c r="B7590" s="2"/>
      <c r="N7590" s="27"/>
      <c r="R7590" s="15"/>
      <c r="X7590" s="3"/>
      <c r="Z7590" s="28"/>
    </row>
    <row r="7591" spans="2:26">
      <c r="B7591" s="2"/>
      <c r="N7591" s="27"/>
      <c r="R7591" s="15"/>
      <c r="X7591" s="3"/>
      <c r="Z7591" s="28"/>
    </row>
    <row r="7592" spans="2:26">
      <c r="B7592" s="2"/>
      <c r="N7592" s="27"/>
      <c r="R7592" s="15"/>
      <c r="X7592" s="3"/>
      <c r="Z7592" s="28"/>
    </row>
    <row r="7593" spans="2:26">
      <c r="B7593" s="2"/>
      <c r="N7593" s="27"/>
      <c r="R7593" s="15"/>
      <c r="X7593" s="3"/>
      <c r="Z7593" s="28"/>
    </row>
    <row r="7594" spans="2:26">
      <c r="B7594" s="2"/>
      <c r="N7594" s="27"/>
      <c r="R7594" s="15"/>
      <c r="X7594" s="3"/>
      <c r="Z7594" s="28"/>
    </row>
    <row r="7595" spans="2:26">
      <c r="B7595" s="2"/>
      <c r="N7595" s="27"/>
      <c r="R7595" s="15"/>
      <c r="X7595" s="3"/>
      <c r="Z7595" s="28"/>
    </row>
    <row r="7596" spans="2:26">
      <c r="B7596" s="2"/>
      <c r="N7596" s="27"/>
      <c r="R7596" s="15"/>
      <c r="X7596" s="3"/>
      <c r="Z7596" s="28"/>
    </row>
    <row r="7597" spans="2:26">
      <c r="B7597" s="2"/>
      <c r="N7597" s="27"/>
      <c r="R7597" s="15"/>
      <c r="X7597" s="3"/>
      <c r="Z7597" s="28"/>
    </row>
    <row r="7598" spans="2:26">
      <c r="B7598" s="2"/>
      <c r="N7598" s="27"/>
      <c r="R7598" s="15"/>
      <c r="X7598" s="3"/>
      <c r="Z7598" s="28"/>
    </row>
    <row r="7599" spans="2:26">
      <c r="B7599" s="2"/>
      <c r="N7599" s="27"/>
      <c r="R7599" s="15"/>
      <c r="X7599" s="3"/>
      <c r="Z7599" s="28"/>
    </row>
    <row r="7600" spans="2:26">
      <c r="B7600" s="2"/>
      <c r="N7600" s="27"/>
      <c r="R7600" s="15"/>
      <c r="X7600" s="3"/>
      <c r="Z7600" s="28"/>
    </row>
    <row r="7601" spans="2:26">
      <c r="B7601" s="2"/>
      <c r="N7601" s="27"/>
      <c r="R7601" s="15"/>
      <c r="X7601" s="3"/>
      <c r="Z7601" s="28"/>
    </row>
    <row r="7602" spans="2:26">
      <c r="B7602" s="2"/>
      <c r="N7602" s="27"/>
      <c r="R7602" s="15"/>
      <c r="X7602" s="3"/>
      <c r="Z7602" s="28"/>
    </row>
    <row r="7603" spans="2:26">
      <c r="B7603" s="2"/>
      <c r="N7603" s="27"/>
      <c r="R7603" s="15"/>
      <c r="X7603" s="3"/>
      <c r="Z7603" s="28"/>
    </row>
    <row r="7604" spans="2:26">
      <c r="B7604" s="2"/>
      <c r="N7604" s="27"/>
      <c r="R7604" s="15"/>
      <c r="X7604" s="3"/>
      <c r="Z7604" s="28"/>
    </row>
    <row r="7605" spans="2:26">
      <c r="B7605" s="2"/>
      <c r="N7605" s="27"/>
      <c r="R7605" s="15"/>
      <c r="X7605" s="3"/>
      <c r="Z7605" s="28"/>
    </row>
    <row r="7606" spans="2:26">
      <c r="B7606" s="2"/>
      <c r="N7606" s="27"/>
      <c r="R7606" s="15"/>
      <c r="X7606" s="3"/>
      <c r="Z7606" s="28"/>
    </row>
    <row r="7607" spans="2:26">
      <c r="B7607" s="2"/>
      <c r="N7607" s="27"/>
      <c r="R7607" s="15"/>
      <c r="X7607" s="3"/>
      <c r="Z7607" s="28"/>
    </row>
    <row r="7608" spans="2:26">
      <c r="B7608" s="2"/>
      <c r="N7608" s="27"/>
      <c r="R7608" s="15"/>
      <c r="X7608" s="3"/>
      <c r="Z7608" s="28"/>
    </row>
    <row r="7609" spans="2:26">
      <c r="B7609" s="2"/>
      <c r="N7609" s="27"/>
      <c r="R7609" s="15"/>
      <c r="X7609" s="3"/>
      <c r="Z7609" s="28"/>
    </row>
    <row r="7610" spans="2:26">
      <c r="B7610" s="2"/>
      <c r="N7610" s="27"/>
      <c r="R7610" s="15"/>
      <c r="X7610" s="3"/>
      <c r="Z7610" s="28"/>
    </row>
    <row r="7611" spans="2:26">
      <c r="B7611" s="2"/>
      <c r="N7611" s="27"/>
      <c r="R7611" s="15"/>
      <c r="X7611" s="3"/>
      <c r="Z7611" s="28"/>
    </row>
    <row r="7612" spans="2:26">
      <c r="B7612" s="2"/>
      <c r="N7612" s="27"/>
      <c r="R7612" s="15"/>
      <c r="X7612" s="3"/>
      <c r="Z7612" s="28"/>
    </row>
    <row r="7613" spans="2:26">
      <c r="B7613" s="2"/>
      <c r="N7613" s="27"/>
      <c r="R7613" s="15"/>
      <c r="X7613" s="3"/>
      <c r="Z7613" s="28"/>
    </row>
    <row r="7614" spans="2:26">
      <c r="B7614" s="2"/>
      <c r="N7614" s="27"/>
      <c r="R7614" s="15"/>
      <c r="X7614" s="3"/>
      <c r="Z7614" s="28"/>
    </row>
    <row r="7615" spans="2:26">
      <c r="B7615" s="2"/>
      <c r="N7615" s="27"/>
      <c r="R7615" s="15"/>
      <c r="X7615" s="3"/>
      <c r="Z7615" s="28"/>
    </row>
    <row r="7616" spans="2:26">
      <c r="B7616" s="2"/>
      <c r="N7616" s="27"/>
      <c r="R7616" s="15"/>
      <c r="X7616" s="3"/>
      <c r="Z7616" s="28"/>
    </row>
    <row r="7617" spans="2:26">
      <c r="B7617" s="2"/>
      <c r="N7617" s="27"/>
      <c r="R7617" s="15"/>
      <c r="X7617" s="3"/>
      <c r="Z7617" s="28"/>
    </row>
    <row r="7618" spans="2:26">
      <c r="B7618" s="2"/>
      <c r="N7618" s="27"/>
      <c r="R7618" s="15"/>
      <c r="X7618" s="3"/>
      <c r="Z7618" s="28"/>
    </row>
    <row r="7619" spans="2:26">
      <c r="B7619" s="2"/>
      <c r="N7619" s="27"/>
      <c r="R7619" s="15"/>
      <c r="X7619" s="3"/>
      <c r="Z7619" s="28"/>
    </row>
    <row r="7620" spans="2:26">
      <c r="B7620" s="2"/>
      <c r="N7620" s="27"/>
      <c r="R7620" s="15"/>
      <c r="X7620" s="3"/>
      <c r="Z7620" s="28"/>
    </row>
    <row r="7621" spans="2:26">
      <c r="B7621" s="2"/>
      <c r="N7621" s="27"/>
      <c r="R7621" s="15"/>
      <c r="X7621" s="3"/>
      <c r="Z7621" s="28"/>
    </row>
    <row r="7622" spans="2:26">
      <c r="B7622" s="2"/>
      <c r="N7622" s="27"/>
      <c r="R7622" s="15"/>
      <c r="X7622" s="3"/>
      <c r="Z7622" s="28"/>
    </row>
    <row r="7623" spans="2:26">
      <c r="B7623" s="2"/>
      <c r="N7623" s="27"/>
      <c r="R7623" s="15"/>
      <c r="X7623" s="3"/>
      <c r="Z7623" s="28"/>
    </row>
    <row r="7624" spans="2:26">
      <c r="B7624" s="2"/>
      <c r="N7624" s="27"/>
      <c r="R7624" s="15"/>
      <c r="X7624" s="3"/>
      <c r="Z7624" s="28"/>
    </row>
    <row r="7625" spans="2:26">
      <c r="B7625" s="2"/>
      <c r="N7625" s="27"/>
      <c r="R7625" s="15"/>
      <c r="X7625" s="3"/>
      <c r="Z7625" s="28"/>
    </row>
    <row r="7626" spans="2:26">
      <c r="B7626" s="2"/>
      <c r="N7626" s="27"/>
      <c r="R7626" s="15"/>
      <c r="X7626" s="3"/>
      <c r="Z7626" s="28"/>
    </row>
    <row r="7627" spans="2:26">
      <c r="B7627" s="2"/>
      <c r="N7627" s="27"/>
      <c r="R7627" s="15"/>
      <c r="X7627" s="3"/>
      <c r="Z7627" s="28"/>
    </row>
    <row r="7628" spans="2:26">
      <c r="B7628" s="2"/>
      <c r="N7628" s="27"/>
      <c r="R7628" s="15"/>
      <c r="X7628" s="3"/>
      <c r="Z7628" s="28"/>
    </row>
    <row r="7629" spans="2:26">
      <c r="B7629" s="2"/>
      <c r="N7629" s="27"/>
      <c r="R7629" s="15"/>
      <c r="X7629" s="3"/>
      <c r="Z7629" s="28"/>
    </row>
    <row r="7630" spans="2:26">
      <c r="B7630" s="2"/>
      <c r="N7630" s="27"/>
      <c r="R7630" s="15"/>
      <c r="X7630" s="3"/>
      <c r="Z7630" s="28"/>
    </row>
    <row r="7631" spans="2:26">
      <c r="B7631" s="2"/>
      <c r="N7631" s="27"/>
      <c r="R7631" s="15"/>
      <c r="X7631" s="3"/>
      <c r="Z7631" s="28"/>
    </row>
    <row r="7632" spans="2:26">
      <c r="B7632" s="2"/>
      <c r="N7632" s="27"/>
      <c r="R7632" s="15"/>
      <c r="X7632" s="3"/>
      <c r="Z7632" s="28"/>
    </row>
    <row r="7633" spans="2:26">
      <c r="B7633" s="2"/>
      <c r="N7633" s="27"/>
      <c r="R7633" s="15"/>
      <c r="X7633" s="3"/>
      <c r="Z7633" s="28"/>
    </row>
    <row r="7634" spans="2:26">
      <c r="B7634" s="2"/>
      <c r="N7634" s="27"/>
      <c r="R7634" s="15"/>
      <c r="X7634" s="3"/>
      <c r="Z7634" s="28"/>
    </row>
    <row r="7635" spans="2:26">
      <c r="B7635" s="2"/>
      <c r="N7635" s="27"/>
      <c r="R7635" s="15"/>
      <c r="X7635" s="3"/>
      <c r="Z7635" s="28"/>
    </row>
    <row r="7636" spans="2:26">
      <c r="B7636" s="2"/>
      <c r="N7636" s="27"/>
      <c r="R7636" s="15"/>
      <c r="X7636" s="3"/>
      <c r="Z7636" s="28"/>
    </row>
    <row r="7637" spans="2:26">
      <c r="B7637" s="2"/>
      <c r="N7637" s="27"/>
      <c r="R7637" s="15"/>
      <c r="X7637" s="3"/>
      <c r="Z7637" s="28"/>
    </row>
    <row r="7638" spans="2:26">
      <c r="B7638" s="2"/>
      <c r="N7638" s="27"/>
      <c r="R7638" s="15"/>
      <c r="X7638" s="3"/>
      <c r="Z7638" s="28"/>
    </row>
    <row r="7639" spans="2:26">
      <c r="B7639" s="2"/>
      <c r="N7639" s="27"/>
      <c r="R7639" s="15"/>
      <c r="X7639" s="3"/>
      <c r="Z7639" s="28"/>
    </row>
    <row r="7640" spans="2:26">
      <c r="B7640" s="2"/>
      <c r="N7640" s="27"/>
      <c r="R7640" s="15"/>
      <c r="X7640" s="3"/>
      <c r="Z7640" s="28"/>
    </row>
    <row r="7641" spans="2:26">
      <c r="B7641" s="2"/>
      <c r="N7641" s="27"/>
      <c r="R7641" s="15"/>
      <c r="X7641" s="3"/>
      <c r="Z7641" s="28"/>
    </row>
    <row r="7642" spans="2:26">
      <c r="B7642" s="2"/>
      <c r="N7642" s="27"/>
      <c r="R7642" s="15"/>
      <c r="X7642" s="3"/>
      <c r="Z7642" s="28"/>
    </row>
    <row r="7643" spans="2:26">
      <c r="B7643" s="2"/>
      <c r="N7643" s="27"/>
      <c r="R7643" s="15"/>
      <c r="X7643" s="3"/>
      <c r="Z7643" s="28"/>
    </row>
    <row r="7644" spans="2:26">
      <c r="B7644" s="2"/>
      <c r="N7644" s="27"/>
      <c r="R7644" s="15"/>
      <c r="X7644" s="3"/>
      <c r="Z7644" s="28"/>
    </row>
    <row r="7645" spans="2:26">
      <c r="B7645" s="2"/>
      <c r="N7645" s="27"/>
      <c r="R7645" s="15"/>
      <c r="X7645" s="3"/>
      <c r="Z7645" s="28"/>
    </row>
    <row r="7646" spans="2:26">
      <c r="B7646" s="2"/>
      <c r="N7646" s="27"/>
      <c r="R7646" s="15"/>
      <c r="X7646" s="3"/>
      <c r="Z7646" s="28"/>
    </row>
    <row r="7647" spans="2:26">
      <c r="B7647" s="2"/>
      <c r="N7647" s="27"/>
      <c r="R7647" s="15"/>
      <c r="X7647" s="3"/>
      <c r="Z7647" s="28"/>
    </row>
    <row r="7648" spans="2:26">
      <c r="B7648" s="2"/>
      <c r="N7648" s="27"/>
      <c r="R7648" s="15"/>
      <c r="X7648" s="3"/>
      <c r="Z7648" s="28"/>
    </row>
    <row r="7649" spans="2:26">
      <c r="B7649" s="2"/>
      <c r="N7649" s="27"/>
      <c r="R7649" s="15"/>
      <c r="X7649" s="3"/>
      <c r="Z7649" s="28"/>
    </row>
    <row r="7650" spans="2:26">
      <c r="B7650" s="2"/>
      <c r="N7650" s="27"/>
      <c r="R7650" s="15"/>
      <c r="X7650" s="3"/>
      <c r="Z7650" s="28"/>
    </row>
    <row r="7651" spans="2:26">
      <c r="B7651" s="2"/>
      <c r="N7651" s="27"/>
      <c r="R7651" s="15"/>
      <c r="X7651" s="3"/>
      <c r="Z7651" s="28"/>
    </row>
    <row r="7652" spans="2:26">
      <c r="B7652" s="2"/>
      <c r="N7652" s="27"/>
      <c r="R7652" s="15"/>
      <c r="X7652" s="3"/>
      <c r="Z7652" s="28"/>
    </row>
    <row r="7653" spans="2:26">
      <c r="B7653" s="2"/>
      <c r="N7653" s="27"/>
      <c r="R7653" s="15"/>
      <c r="X7653" s="3"/>
      <c r="Z7653" s="28"/>
    </row>
    <row r="7654" spans="2:26">
      <c r="B7654" s="2"/>
      <c r="N7654" s="27"/>
      <c r="R7654" s="15"/>
      <c r="X7654" s="3"/>
      <c r="Z7654" s="28"/>
    </row>
    <row r="7655" spans="2:26">
      <c r="B7655" s="2"/>
      <c r="N7655" s="27"/>
      <c r="R7655" s="15"/>
      <c r="X7655" s="3"/>
      <c r="Z7655" s="28"/>
    </row>
    <row r="7656" spans="2:26">
      <c r="B7656" s="2"/>
      <c r="N7656" s="27"/>
      <c r="R7656" s="15"/>
      <c r="X7656" s="3"/>
      <c r="Z7656" s="28"/>
    </row>
    <row r="7657" spans="2:26">
      <c r="B7657" s="2"/>
      <c r="N7657" s="27"/>
      <c r="R7657" s="15"/>
      <c r="X7657" s="3"/>
      <c r="Z7657" s="28"/>
    </row>
    <row r="7658" spans="2:26">
      <c r="B7658" s="2"/>
      <c r="N7658" s="27"/>
      <c r="R7658" s="15"/>
      <c r="X7658" s="3"/>
      <c r="Z7658" s="28"/>
    </row>
    <row r="7659" spans="2:26">
      <c r="B7659" s="2"/>
      <c r="N7659" s="27"/>
      <c r="R7659" s="15"/>
      <c r="X7659" s="3"/>
      <c r="Z7659" s="28"/>
    </row>
    <row r="7660" spans="2:26">
      <c r="B7660" s="2"/>
      <c r="N7660" s="27"/>
      <c r="R7660" s="15"/>
      <c r="X7660" s="3"/>
      <c r="Z7660" s="28"/>
    </row>
    <row r="7661" spans="2:26">
      <c r="B7661" s="2"/>
      <c r="N7661" s="27"/>
      <c r="R7661" s="15"/>
      <c r="X7661" s="3"/>
      <c r="Z7661" s="28"/>
    </row>
    <row r="7662" spans="2:26">
      <c r="B7662" s="2"/>
      <c r="N7662" s="27"/>
      <c r="R7662" s="15"/>
      <c r="X7662" s="3"/>
      <c r="Z7662" s="28"/>
    </row>
    <row r="7663" spans="2:26">
      <c r="B7663" s="2"/>
      <c r="N7663" s="27"/>
      <c r="R7663" s="15"/>
      <c r="X7663" s="3"/>
      <c r="Z7663" s="28"/>
    </row>
    <row r="7664" spans="2:26">
      <c r="B7664" s="2"/>
      <c r="N7664" s="27"/>
      <c r="R7664" s="15"/>
      <c r="X7664" s="3"/>
      <c r="Z7664" s="28"/>
    </row>
    <row r="7665" spans="2:26">
      <c r="B7665" s="2"/>
      <c r="N7665" s="27"/>
      <c r="R7665" s="15"/>
      <c r="X7665" s="3"/>
      <c r="Z7665" s="28"/>
    </row>
    <row r="7666" spans="2:26">
      <c r="B7666" s="2"/>
      <c r="N7666" s="27"/>
      <c r="R7666" s="15"/>
      <c r="X7666" s="3"/>
      <c r="Z7666" s="28"/>
    </row>
    <row r="7667" spans="2:26">
      <c r="B7667" s="2"/>
      <c r="N7667" s="27"/>
      <c r="R7667" s="15"/>
      <c r="X7667" s="3"/>
      <c r="Z7667" s="28"/>
    </row>
    <row r="7668" spans="2:26">
      <c r="B7668" s="2"/>
      <c r="N7668" s="27"/>
      <c r="R7668" s="15"/>
      <c r="X7668" s="3"/>
      <c r="Z7668" s="28"/>
    </row>
    <row r="7669" spans="2:26">
      <c r="B7669" s="2"/>
      <c r="N7669" s="27"/>
      <c r="R7669" s="15"/>
      <c r="X7669" s="3"/>
      <c r="Z7669" s="28"/>
    </row>
    <row r="7670" spans="2:26">
      <c r="B7670" s="2"/>
      <c r="N7670" s="27"/>
      <c r="R7670" s="15"/>
      <c r="X7670" s="3"/>
      <c r="Z7670" s="28"/>
    </row>
    <row r="7671" spans="2:26">
      <c r="B7671" s="2"/>
      <c r="N7671" s="27"/>
      <c r="R7671" s="15"/>
      <c r="X7671" s="3"/>
      <c r="Z7671" s="28"/>
    </row>
    <row r="7672" spans="2:26">
      <c r="B7672" s="2"/>
      <c r="N7672" s="27"/>
      <c r="R7672" s="15"/>
      <c r="X7672" s="3"/>
      <c r="Z7672" s="28"/>
    </row>
    <row r="7673" spans="2:26">
      <c r="B7673" s="2"/>
      <c r="N7673" s="27"/>
      <c r="R7673" s="15"/>
      <c r="X7673" s="3"/>
      <c r="Z7673" s="28"/>
    </row>
    <row r="7674" spans="2:26">
      <c r="B7674" s="2"/>
      <c r="N7674" s="27"/>
      <c r="R7674" s="15"/>
      <c r="X7674" s="3"/>
      <c r="Z7674" s="28"/>
    </row>
    <row r="7675" spans="2:26">
      <c r="B7675" s="2"/>
      <c r="N7675" s="27"/>
      <c r="R7675" s="15"/>
      <c r="X7675" s="3"/>
      <c r="Z7675" s="28"/>
    </row>
    <row r="7676" spans="2:26">
      <c r="B7676" s="2"/>
      <c r="N7676" s="27"/>
      <c r="R7676" s="15"/>
      <c r="X7676" s="3"/>
      <c r="Z7676" s="28"/>
    </row>
    <row r="7677" spans="2:26">
      <c r="B7677" s="2"/>
      <c r="N7677" s="27"/>
      <c r="R7677" s="15"/>
      <c r="X7677" s="3"/>
      <c r="Z7677" s="28"/>
    </row>
    <row r="7678" spans="2:26">
      <c r="B7678" s="2"/>
      <c r="N7678" s="27"/>
      <c r="R7678" s="15"/>
      <c r="X7678" s="3"/>
      <c r="Z7678" s="28"/>
    </row>
    <row r="7679" spans="2:26">
      <c r="B7679" s="2"/>
      <c r="N7679" s="27"/>
      <c r="R7679" s="15"/>
      <c r="X7679" s="3"/>
      <c r="Z7679" s="28"/>
    </row>
    <row r="7680" spans="2:26">
      <c r="B7680" s="2"/>
      <c r="N7680" s="27"/>
      <c r="R7680" s="15"/>
      <c r="X7680" s="3"/>
      <c r="Z7680" s="28"/>
    </row>
    <row r="7681" spans="2:26">
      <c r="B7681" s="2"/>
      <c r="N7681" s="27"/>
      <c r="R7681" s="15"/>
      <c r="X7681" s="3"/>
      <c r="Z7681" s="28"/>
    </row>
    <row r="7682" spans="2:26">
      <c r="B7682" s="2"/>
      <c r="N7682" s="27"/>
      <c r="R7682" s="15"/>
      <c r="X7682" s="3"/>
      <c r="Z7682" s="28"/>
    </row>
    <row r="7683" spans="2:26">
      <c r="B7683" s="2"/>
      <c r="N7683" s="27"/>
      <c r="R7683" s="15"/>
      <c r="X7683" s="3"/>
      <c r="Z7683" s="28"/>
    </row>
    <row r="7684" spans="2:26">
      <c r="B7684" s="2"/>
      <c r="N7684" s="27"/>
      <c r="R7684" s="15"/>
      <c r="X7684" s="3"/>
      <c r="Z7684" s="28"/>
    </row>
    <row r="7685" spans="2:26">
      <c r="B7685" s="2"/>
      <c r="N7685" s="27"/>
      <c r="R7685" s="15"/>
      <c r="X7685" s="3"/>
      <c r="Z7685" s="28"/>
    </row>
    <row r="7686" spans="2:26">
      <c r="B7686" s="2"/>
      <c r="N7686" s="27"/>
      <c r="R7686" s="15"/>
      <c r="X7686" s="3"/>
      <c r="Z7686" s="28"/>
    </row>
    <row r="7687" spans="2:26">
      <c r="B7687" s="2"/>
      <c r="N7687" s="27"/>
      <c r="R7687" s="15"/>
      <c r="X7687" s="3"/>
      <c r="Z7687" s="28"/>
    </row>
    <row r="7688" spans="2:26">
      <c r="B7688" s="2"/>
      <c r="N7688" s="27"/>
      <c r="R7688" s="15"/>
      <c r="X7688" s="3"/>
      <c r="Z7688" s="28"/>
    </row>
    <row r="7689" spans="2:26">
      <c r="B7689" s="2"/>
      <c r="N7689" s="27"/>
      <c r="R7689" s="15"/>
      <c r="X7689" s="3"/>
      <c r="Z7689" s="28"/>
    </row>
    <row r="7690" spans="2:26">
      <c r="B7690" s="2"/>
      <c r="N7690" s="27"/>
      <c r="R7690" s="15"/>
      <c r="X7690" s="3"/>
      <c r="Z7690" s="28"/>
    </row>
    <row r="7691" spans="2:26">
      <c r="B7691" s="2"/>
      <c r="N7691" s="27"/>
      <c r="R7691" s="15"/>
      <c r="X7691" s="3"/>
      <c r="Z7691" s="28"/>
    </row>
    <row r="7692" spans="2:26">
      <c r="B7692" s="2"/>
      <c r="N7692" s="27"/>
      <c r="R7692" s="15"/>
      <c r="X7692" s="3"/>
      <c r="Z7692" s="28"/>
    </row>
    <row r="7693" spans="2:26">
      <c r="B7693" s="2"/>
      <c r="N7693" s="27"/>
      <c r="R7693" s="15"/>
      <c r="X7693" s="3"/>
      <c r="Z7693" s="28"/>
    </row>
    <row r="7694" spans="2:26">
      <c r="B7694" s="2"/>
      <c r="N7694" s="27"/>
      <c r="R7694" s="15"/>
      <c r="X7694" s="3"/>
      <c r="Z7694" s="28"/>
    </row>
    <row r="7695" spans="2:26">
      <c r="B7695" s="2"/>
      <c r="N7695" s="27"/>
      <c r="R7695" s="15"/>
      <c r="X7695" s="3"/>
      <c r="Z7695" s="28"/>
    </row>
    <row r="7696" spans="2:26">
      <c r="B7696" s="2"/>
      <c r="N7696" s="27"/>
      <c r="R7696" s="15"/>
      <c r="X7696" s="3"/>
      <c r="Z7696" s="28"/>
    </row>
    <row r="7697" spans="2:26">
      <c r="B7697" s="2"/>
      <c r="N7697" s="27"/>
      <c r="R7697" s="15"/>
      <c r="X7697" s="3"/>
      <c r="Z7697" s="28"/>
    </row>
    <row r="7698" spans="2:26">
      <c r="B7698" s="2"/>
      <c r="N7698" s="27"/>
      <c r="R7698" s="15"/>
      <c r="X7698" s="3"/>
      <c r="Z7698" s="28"/>
    </row>
    <row r="7699" spans="2:26">
      <c r="B7699" s="2"/>
      <c r="N7699" s="27"/>
      <c r="R7699" s="15"/>
      <c r="X7699" s="3"/>
      <c r="Z7699" s="28"/>
    </row>
    <row r="7700" spans="2:26">
      <c r="B7700" s="2"/>
      <c r="N7700" s="27"/>
      <c r="R7700" s="15"/>
      <c r="X7700" s="3"/>
      <c r="Z7700" s="28"/>
    </row>
    <row r="7701" spans="2:26">
      <c r="B7701" s="2"/>
      <c r="N7701" s="27"/>
      <c r="R7701" s="15"/>
      <c r="X7701" s="3"/>
      <c r="Z7701" s="28"/>
    </row>
    <row r="7702" spans="2:26">
      <c r="B7702" s="2"/>
      <c r="N7702" s="27"/>
      <c r="R7702" s="15"/>
      <c r="X7702" s="3"/>
      <c r="Z7702" s="28"/>
    </row>
    <row r="7703" spans="2:26">
      <c r="B7703" s="2"/>
      <c r="N7703" s="27"/>
      <c r="R7703" s="15"/>
      <c r="X7703" s="3"/>
      <c r="Z7703" s="28"/>
    </row>
    <row r="7704" spans="2:26">
      <c r="B7704" s="2"/>
      <c r="N7704" s="27"/>
      <c r="R7704" s="15"/>
      <c r="X7704" s="3"/>
      <c r="Z7704" s="28"/>
    </row>
    <row r="7705" spans="2:26">
      <c r="B7705" s="2"/>
      <c r="N7705" s="27"/>
      <c r="R7705" s="15"/>
      <c r="X7705" s="3"/>
      <c r="Z7705" s="28"/>
    </row>
    <row r="7706" spans="2:26">
      <c r="B7706" s="2"/>
      <c r="N7706" s="27"/>
      <c r="R7706" s="15"/>
      <c r="X7706" s="3"/>
      <c r="Z7706" s="28"/>
    </row>
    <row r="7707" spans="2:26">
      <c r="B7707" s="2"/>
      <c r="N7707" s="27"/>
      <c r="R7707" s="15"/>
      <c r="X7707" s="3"/>
      <c r="Z7707" s="28"/>
    </row>
    <row r="7708" spans="2:26">
      <c r="B7708" s="2"/>
      <c r="N7708" s="27"/>
      <c r="R7708" s="15"/>
      <c r="X7708" s="3"/>
      <c r="Z7708" s="28"/>
    </row>
    <row r="7709" spans="2:26">
      <c r="B7709" s="2"/>
      <c r="N7709" s="27"/>
      <c r="R7709" s="15"/>
      <c r="X7709" s="3"/>
      <c r="Z7709" s="28"/>
    </row>
    <row r="7710" spans="2:26">
      <c r="B7710" s="2"/>
      <c r="N7710" s="27"/>
      <c r="R7710" s="15"/>
      <c r="X7710" s="3"/>
      <c r="Z7710" s="28"/>
    </row>
    <row r="7711" spans="2:26">
      <c r="B7711" s="2"/>
      <c r="N7711" s="27"/>
      <c r="R7711" s="15"/>
      <c r="X7711" s="3"/>
      <c r="Z7711" s="28"/>
    </row>
    <row r="7712" spans="2:26">
      <c r="B7712" s="2"/>
      <c r="N7712" s="27"/>
      <c r="R7712" s="15"/>
      <c r="X7712" s="3"/>
      <c r="Z7712" s="28"/>
    </row>
    <row r="7713" spans="2:26">
      <c r="B7713" s="2"/>
      <c r="N7713" s="27"/>
      <c r="R7713" s="15"/>
      <c r="X7713" s="3"/>
      <c r="Z7713" s="28"/>
    </row>
    <row r="7714" spans="2:26">
      <c r="B7714" s="2"/>
      <c r="N7714" s="27"/>
      <c r="R7714" s="15"/>
      <c r="X7714" s="3"/>
      <c r="Z7714" s="28"/>
    </row>
    <row r="7715" spans="2:26">
      <c r="B7715" s="2"/>
      <c r="N7715" s="27"/>
      <c r="R7715" s="15"/>
      <c r="X7715" s="3"/>
      <c r="Z7715" s="28"/>
    </row>
    <row r="7716" spans="2:26">
      <c r="B7716" s="2"/>
      <c r="N7716" s="27"/>
      <c r="R7716" s="15"/>
      <c r="X7716" s="3"/>
      <c r="Z7716" s="28"/>
    </row>
    <row r="7717" spans="2:26">
      <c r="B7717" s="2"/>
      <c r="N7717" s="27"/>
      <c r="R7717" s="15"/>
      <c r="X7717" s="3"/>
      <c r="Z7717" s="28"/>
    </row>
    <row r="7718" spans="2:26">
      <c r="B7718" s="2"/>
      <c r="N7718" s="27"/>
      <c r="R7718" s="15"/>
      <c r="X7718" s="3"/>
      <c r="Z7718" s="28"/>
    </row>
    <row r="7719" spans="2:26">
      <c r="B7719" s="2"/>
      <c r="N7719" s="27"/>
      <c r="R7719" s="15"/>
      <c r="X7719" s="3"/>
      <c r="Z7719" s="28"/>
    </row>
    <row r="7720" spans="2:26">
      <c r="B7720" s="2"/>
      <c r="N7720" s="27"/>
      <c r="R7720" s="15"/>
      <c r="X7720" s="3"/>
      <c r="Z7720" s="28"/>
    </row>
    <row r="7721" spans="2:26">
      <c r="B7721" s="2"/>
      <c r="N7721" s="27"/>
      <c r="R7721" s="15"/>
      <c r="X7721" s="3"/>
      <c r="Z7721" s="28"/>
    </row>
    <row r="7722" spans="2:26">
      <c r="B7722" s="2"/>
      <c r="N7722" s="27"/>
      <c r="R7722" s="15"/>
      <c r="X7722" s="3"/>
      <c r="Z7722" s="28"/>
    </row>
    <row r="7723" spans="2:26">
      <c r="B7723" s="2"/>
      <c r="N7723" s="27"/>
      <c r="R7723" s="15"/>
      <c r="X7723" s="3"/>
      <c r="Z7723" s="28"/>
    </row>
    <row r="7724" spans="2:26">
      <c r="B7724" s="2"/>
      <c r="N7724" s="27"/>
      <c r="R7724" s="15"/>
      <c r="X7724" s="3"/>
      <c r="Z7724" s="28"/>
    </row>
    <row r="7725" spans="2:26">
      <c r="B7725" s="2"/>
      <c r="N7725" s="27"/>
      <c r="R7725" s="15"/>
      <c r="X7725" s="3"/>
      <c r="Z7725" s="28"/>
    </row>
    <row r="7726" spans="2:26">
      <c r="B7726" s="2"/>
      <c r="N7726" s="27"/>
      <c r="R7726" s="15"/>
      <c r="X7726" s="3"/>
      <c r="Z7726" s="28"/>
    </row>
    <row r="7727" spans="2:26">
      <c r="B7727" s="2"/>
      <c r="N7727" s="27"/>
      <c r="R7727" s="15"/>
      <c r="X7727" s="3"/>
      <c r="Z7727" s="28"/>
    </row>
    <row r="7728" spans="2:26">
      <c r="B7728" s="2"/>
      <c r="N7728" s="27"/>
      <c r="R7728" s="15"/>
      <c r="X7728" s="3"/>
      <c r="Z7728" s="28"/>
    </row>
    <row r="7729" spans="2:26">
      <c r="B7729" s="2"/>
      <c r="N7729" s="27"/>
      <c r="R7729" s="15"/>
      <c r="X7729" s="3"/>
      <c r="Z7729" s="28"/>
    </row>
    <row r="7730" spans="2:26">
      <c r="B7730" s="2"/>
      <c r="N7730" s="27"/>
      <c r="R7730" s="15"/>
      <c r="X7730" s="3"/>
      <c r="Z7730" s="28"/>
    </row>
    <row r="7731" spans="2:26">
      <c r="B7731" s="2"/>
      <c r="N7731" s="27"/>
      <c r="R7731" s="15"/>
      <c r="X7731" s="3"/>
      <c r="Z7731" s="28"/>
    </row>
    <row r="7732" spans="2:26">
      <c r="B7732" s="2"/>
      <c r="N7732" s="27"/>
      <c r="R7732" s="15"/>
      <c r="X7732" s="3"/>
      <c r="Z7732" s="28"/>
    </row>
    <row r="7733" spans="2:26">
      <c r="B7733" s="2"/>
      <c r="N7733" s="27"/>
      <c r="R7733" s="15"/>
      <c r="X7733" s="3"/>
      <c r="Z7733" s="28"/>
    </row>
    <row r="7734" spans="2:26">
      <c r="B7734" s="2"/>
      <c r="N7734" s="27"/>
      <c r="R7734" s="15"/>
      <c r="X7734" s="3"/>
      <c r="Z7734" s="28"/>
    </row>
    <row r="7735" spans="2:26">
      <c r="B7735" s="2"/>
      <c r="N7735" s="27"/>
      <c r="R7735" s="15"/>
      <c r="X7735" s="3"/>
      <c r="Z7735" s="28"/>
    </row>
    <row r="7736" spans="2:26">
      <c r="B7736" s="2"/>
      <c r="N7736" s="27"/>
      <c r="R7736" s="15"/>
      <c r="X7736" s="3"/>
      <c r="Z7736" s="28"/>
    </row>
    <row r="7737" spans="2:26">
      <c r="B7737" s="2"/>
      <c r="N7737" s="27"/>
      <c r="R7737" s="15"/>
      <c r="X7737" s="3"/>
      <c r="Z7737" s="28"/>
    </row>
    <row r="7738" spans="2:26">
      <c r="B7738" s="2"/>
      <c r="N7738" s="27"/>
      <c r="R7738" s="15"/>
      <c r="X7738" s="3"/>
      <c r="Z7738" s="28"/>
    </row>
    <row r="7739" spans="2:26">
      <c r="B7739" s="2"/>
      <c r="N7739" s="27"/>
      <c r="R7739" s="15"/>
      <c r="X7739" s="3"/>
      <c r="Z7739" s="28"/>
    </row>
    <row r="7740" spans="2:26">
      <c r="B7740" s="2"/>
      <c r="N7740" s="27"/>
      <c r="R7740" s="15"/>
      <c r="X7740" s="3"/>
      <c r="Z7740" s="28"/>
    </row>
    <row r="7741" spans="2:26">
      <c r="B7741" s="2"/>
      <c r="N7741" s="27"/>
      <c r="R7741" s="15"/>
      <c r="X7741" s="3"/>
      <c r="Z7741" s="28"/>
    </row>
    <row r="7742" spans="2:26">
      <c r="B7742" s="2"/>
      <c r="N7742" s="27"/>
      <c r="R7742" s="15"/>
      <c r="X7742" s="3"/>
      <c r="Z7742" s="28"/>
    </row>
    <row r="7743" spans="2:26">
      <c r="B7743" s="2"/>
      <c r="N7743" s="27"/>
      <c r="R7743" s="15"/>
      <c r="X7743" s="3"/>
      <c r="Z7743" s="28"/>
    </row>
    <row r="7744" spans="2:26">
      <c r="B7744" s="2"/>
      <c r="N7744" s="27"/>
      <c r="R7744" s="15"/>
      <c r="X7744" s="3"/>
      <c r="Z7744" s="28"/>
    </row>
    <row r="7745" spans="2:26">
      <c r="B7745" s="2"/>
      <c r="N7745" s="27"/>
      <c r="R7745" s="15"/>
      <c r="X7745" s="3"/>
      <c r="Z7745" s="28"/>
    </row>
    <row r="7746" spans="2:26">
      <c r="B7746" s="2"/>
      <c r="N7746" s="27"/>
      <c r="R7746" s="15"/>
      <c r="X7746" s="3"/>
      <c r="Z7746" s="28"/>
    </row>
    <row r="7747" spans="2:26">
      <c r="B7747" s="2"/>
      <c r="N7747" s="27"/>
      <c r="R7747" s="15"/>
      <c r="X7747" s="3"/>
      <c r="Z7747" s="28"/>
    </row>
    <row r="7748" spans="2:26">
      <c r="B7748" s="2"/>
      <c r="N7748" s="27"/>
      <c r="R7748" s="15"/>
      <c r="X7748" s="3"/>
      <c r="Z7748" s="28"/>
    </row>
    <row r="7749" spans="2:26">
      <c r="B7749" s="2"/>
      <c r="N7749" s="27"/>
      <c r="R7749" s="15"/>
      <c r="X7749" s="3"/>
      <c r="Z7749" s="28"/>
    </row>
    <row r="7750" spans="2:26">
      <c r="B7750" s="2"/>
      <c r="N7750" s="27"/>
      <c r="R7750" s="15"/>
      <c r="X7750" s="3"/>
      <c r="Z7750" s="28"/>
    </row>
    <row r="7751" spans="2:26">
      <c r="B7751" s="2"/>
      <c r="N7751" s="27"/>
      <c r="R7751" s="15"/>
      <c r="X7751" s="3"/>
      <c r="Z7751" s="28"/>
    </row>
    <row r="7752" spans="2:26">
      <c r="B7752" s="2"/>
      <c r="N7752" s="27"/>
      <c r="R7752" s="15"/>
      <c r="X7752" s="3"/>
      <c r="Z7752" s="28"/>
    </row>
    <row r="7753" spans="2:26">
      <c r="B7753" s="2"/>
      <c r="N7753" s="27"/>
      <c r="R7753" s="15"/>
      <c r="X7753" s="3"/>
      <c r="Z7753" s="28"/>
    </row>
    <row r="7754" spans="2:26">
      <c r="B7754" s="2"/>
      <c r="N7754" s="27"/>
      <c r="R7754" s="15"/>
      <c r="X7754" s="3"/>
      <c r="Z7754" s="28"/>
    </row>
    <row r="7755" spans="2:26">
      <c r="B7755" s="2"/>
      <c r="N7755" s="27"/>
      <c r="R7755" s="15"/>
      <c r="X7755" s="3"/>
      <c r="Z7755" s="28"/>
    </row>
    <row r="7756" spans="2:26">
      <c r="B7756" s="2"/>
      <c r="N7756" s="27"/>
      <c r="R7756" s="15"/>
      <c r="X7756" s="3"/>
      <c r="Z7756" s="28"/>
    </row>
    <row r="7757" spans="2:26">
      <c r="B7757" s="2"/>
      <c r="N7757" s="27"/>
      <c r="R7757" s="15"/>
      <c r="X7757" s="3"/>
      <c r="Z7757" s="28"/>
    </row>
    <row r="7758" spans="2:26">
      <c r="B7758" s="2"/>
      <c r="N7758" s="27"/>
      <c r="R7758" s="15"/>
      <c r="X7758" s="3"/>
      <c r="Z7758" s="28"/>
    </row>
    <row r="7759" spans="2:26">
      <c r="B7759" s="2"/>
      <c r="N7759" s="27"/>
      <c r="R7759" s="15"/>
      <c r="X7759" s="3"/>
      <c r="Z7759" s="28"/>
    </row>
    <row r="7760" spans="2:26">
      <c r="B7760" s="2"/>
      <c r="N7760" s="27"/>
      <c r="R7760" s="15"/>
      <c r="X7760" s="3"/>
      <c r="Z7760" s="28"/>
    </row>
    <row r="7761" spans="2:26">
      <c r="B7761" s="2"/>
      <c r="N7761" s="27"/>
      <c r="R7761" s="15"/>
      <c r="X7761" s="3"/>
      <c r="Z7761" s="28"/>
    </row>
    <row r="7762" spans="2:26">
      <c r="B7762" s="2"/>
      <c r="N7762" s="27"/>
      <c r="R7762" s="15"/>
      <c r="X7762" s="3"/>
      <c r="Z7762" s="28"/>
    </row>
    <row r="7763" spans="2:26">
      <c r="B7763" s="2"/>
      <c r="N7763" s="27"/>
      <c r="R7763" s="15"/>
      <c r="X7763" s="3"/>
      <c r="Z7763" s="28"/>
    </row>
    <row r="7764" spans="2:26">
      <c r="B7764" s="2"/>
      <c r="N7764" s="27"/>
      <c r="R7764" s="15"/>
      <c r="X7764" s="3"/>
      <c r="Z7764" s="28"/>
    </row>
    <row r="7765" spans="2:26">
      <c r="B7765" s="2"/>
      <c r="N7765" s="27"/>
      <c r="R7765" s="15"/>
      <c r="X7765" s="3"/>
      <c r="Z7765" s="28"/>
    </row>
    <row r="7766" spans="2:26">
      <c r="B7766" s="2"/>
      <c r="N7766" s="27"/>
      <c r="R7766" s="15"/>
      <c r="X7766" s="3"/>
      <c r="Z7766" s="28"/>
    </row>
    <row r="7767" spans="2:26">
      <c r="B7767" s="2"/>
      <c r="N7767" s="27"/>
      <c r="R7767" s="15"/>
      <c r="X7767" s="3"/>
      <c r="Z7767" s="28"/>
    </row>
    <row r="7768" spans="2:26">
      <c r="B7768" s="2"/>
      <c r="N7768" s="27"/>
      <c r="R7768" s="15"/>
      <c r="X7768" s="3"/>
      <c r="Z7768" s="28"/>
    </row>
    <row r="7769" spans="2:26">
      <c r="B7769" s="2"/>
      <c r="N7769" s="27"/>
      <c r="R7769" s="15"/>
      <c r="X7769" s="3"/>
      <c r="Z7769" s="28"/>
    </row>
    <row r="7770" spans="2:26">
      <c r="B7770" s="2"/>
      <c r="N7770" s="27"/>
      <c r="R7770" s="15"/>
      <c r="X7770" s="3"/>
      <c r="Z7770" s="28"/>
    </row>
    <row r="7771" spans="2:26">
      <c r="B7771" s="2"/>
      <c r="N7771" s="27"/>
      <c r="R7771" s="15"/>
      <c r="X7771" s="3"/>
      <c r="Z7771" s="28"/>
    </row>
    <row r="7772" spans="2:26">
      <c r="B7772" s="2"/>
      <c r="N7772" s="27"/>
      <c r="R7772" s="15"/>
      <c r="X7772" s="3"/>
      <c r="Z7772" s="28"/>
    </row>
    <row r="7773" spans="2:26">
      <c r="B7773" s="2"/>
      <c r="N7773" s="27"/>
      <c r="R7773" s="15"/>
      <c r="X7773" s="3"/>
      <c r="Z7773" s="28"/>
    </row>
    <row r="7774" spans="2:26">
      <c r="B7774" s="2"/>
      <c r="N7774" s="27"/>
      <c r="R7774" s="15"/>
      <c r="X7774" s="3"/>
      <c r="Z7774" s="28"/>
    </row>
    <row r="7775" spans="2:26">
      <c r="B7775" s="2"/>
      <c r="N7775" s="27"/>
      <c r="R7775" s="15"/>
      <c r="X7775" s="3"/>
      <c r="Z7775" s="28"/>
    </row>
    <row r="7776" spans="2:26">
      <c r="B7776" s="2"/>
      <c r="N7776" s="27"/>
      <c r="R7776" s="15"/>
      <c r="X7776" s="3"/>
      <c r="Z7776" s="28"/>
    </row>
    <row r="7777" spans="2:26">
      <c r="B7777" s="2"/>
      <c r="N7777" s="27"/>
      <c r="R7777" s="15"/>
      <c r="X7777" s="3"/>
      <c r="Z7777" s="28"/>
    </row>
    <row r="7778" spans="2:26">
      <c r="B7778" s="2"/>
      <c r="N7778" s="27"/>
      <c r="R7778" s="15"/>
      <c r="X7778" s="3"/>
      <c r="Z7778" s="28"/>
    </row>
    <row r="7779" spans="2:26">
      <c r="B7779" s="2"/>
      <c r="N7779" s="27"/>
      <c r="R7779" s="15"/>
      <c r="X7779" s="3"/>
      <c r="Z7779" s="28"/>
    </row>
    <row r="7780" spans="2:26">
      <c r="B7780" s="2"/>
      <c r="N7780" s="27"/>
      <c r="R7780" s="15"/>
      <c r="X7780" s="3"/>
      <c r="Z7780" s="28"/>
    </row>
    <row r="7781" spans="2:26">
      <c r="B7781" s="2"/>
      <c r="N7781" s="27"/>
      <c r="R7781" s="15"/>
      <c r="X7781" s="3"/>
      <c r="Z7781" s="28"/>
    </row>
    <row r="7782" spans="2:26">
      <c r="B7782" s="2"/>
      <c r="N7782" s="27"/>
      <c r="R7782" s="15"/>
      <c r="X7782" s="3"/>
      <c r="Z7782" s="28"/>
    </row>
    <row r="7783" spans="2:26">
      <c r="B7783" s="2"/>
      <c r="N7783" s="27"/>
      <c r="R7783" s="15"/>
      <c r="X7783" s="3"/>
      <c r="Z7783" s="28"/>
    </row>
    <row r="7784" spans="2:26">
      <c r="B7784" s="2"/>
      <c r="N7784" s="27"/>
      <c r="R7784" s="15"/>
      <c r="X7784" s="3"/>
      <c r="Z7784" s="28"/>
    </row>
    <row r="7785" spans="2:26">
      <c r="B7785" s="2"/>
      <c r="N7785" s="27"/>
      <c r="R7785" s="15"/>
      <c r="X7785" s="3"/>
      <c r="Z7785" s="28"/>
    </row>
    <row r="7786" spans="2:26">
      <c r="B7786" s="2"/>
      <c r="N7786" s="27"/>
      <c r="R7786" s="15"/>
      <c r="X7786" s="3"/>
      <c r="Z7786" s="28"/>
    </row>
    <row r="7787" spans="2:26">
      <c r="B7787" s="2"/>
      <c r="N7787" s="27"/>
      <c r="R7787" s="15"/>
      <c r="X7787" s="3"/>
      <c r="Z7787" s="28"/>
    </row>
    <row r="7788" spans="2:26">
      <c r="B7788" s="2"/>
      <c r="N7788" s="27"/>
      <c r="R7788" s="15"/>
      <c r="X7788" s="3"/>
      <c r="Z7788" s="28"/>
    </row>
    <row r="7789" spans="2:26">
      <c r="B7789" s="2"/>
      <c r="N7789" s="27"/>
      <c r="R7789" s="15"/>
      <c r="X7789" s="3"/>
      <c r="Z7789" s="28"/>
    </row>
    <row r="7790" spans="2:26">
      <c r="B7790" s="2"/>
      <c r="N7790" s="27"/>
      <c r="R7790" s="15"/>
      <c r="X7790" s="3"/>
      <c r="Z7790" s="28"/>
    </row>
    <row r="7791" spans="2:26">
      <c r="B7791" s="2"/>
      <c r="N7791" s="27"/>
      <c r="R7791" s="15"/>
      <c r="X7791" s="3"/>
      <c r="Z7791" s="28"/>
    </row>
    <row r="7792" spans="2:26">
      <c r="B7792" s="2"/>
      <c r="N7792" s="27"/>
      <c r="R7792" s="15"/>
      <c r="X7792" s="3"/>
      <c r="Z7792" s="28"/>
    </row>
    <row r="7793" spans="2:26">
      <c r="B7793" s="2"/>
      <c r="N7793" s="27"/>
      <c r="R7793" s="15"/>
      <c r="X7793" s="3"/>
      <c r="Z7793" s="28"/>
    </row>
    <row r="7794" spans="2:26">
      <c r="B7794" s="2"/>
      <c r="N7794" s="27"/>
      <c r="R7794" s="15"/>
      <c r="X7794" s="3"/>
      <c r="Z7794" s="28"/>
    </row>
    <row r="7795" spans="2:26">
      <c r="B7795" s="2"/>
      <c r="N7795" s="27"/>
      <c r="R7795" s="15"/>
      <c r="X7795" s="3"/>
      <c r="Z7795" s="28"/>
    </row>
    <row r="7796" spans="2:26">
      <c r="B7796" s="2"/>
      <c r="N7796" s="27"/>
      <c r="R7796" s="15"/>
      <c r="X7796" s="3"/>
      <c r="Z7796" s="28"/>
    </row>
    <row r="7797" spans="2:26">
      <c r="B7797" s="2"/>
      <c r="N7797" s="27"/>
      <c r="R7797" s="15"/>
      <c r="X7797" s="3"/>
      <c r="Z7797" s="28"/>
    </row>
    <row r="7798" spans="2:26">
      <c r="B7798" s="2"/>
      <c r="N7798" s="27"/>
      <c r="R7798" s="15"/>
      <c r="X7798" s="3"/>
      <c r="Z7798" s="28"/>
    </row>
    <row r="7799" spans="2:26">
      <c r="B7799" s="2"/>
      <c r="N7799" s="27"/>
      <c r="R7799" s="15"/>
      <c r="X7799" s="3"/>
      <c r="Z7799" s="28"/>
    </row>
    <row r="7800" spans="2:26">
      <c r="B7800" s="2"/>
      <c r="N7800" s="27"/>
      <c r="R7800" s="15"/>
      <c r="X7800" s="3"/>
      <c r="Z7800" s="28"/>
    </row>
    <row r="7801" spans="2:26">
      <c r="B7801" s="2"/>
      <c r="N7801" s="27"/>
      <c r="R7801" s="15"/>
      <c r="X7801" s="3"/>
      <c r="Z7801" s="28"/>
    </row>
    <row r="7802" spans="2:26">
      <c r="B7802" s="2"/>
      <c r="N7802" s="27"/>
      <c r="R7802" s="15"/>
      <c r="X7802" s="3"/>
      <c r="Z7802" s="28"/>
    </row>
    <row r="7803" spans="2:26">
      <c r="B7803" s="2"/>
      <c r="N7803" s="27"/>
      <c r="R7803" s="15"/>
      <c r="X7803" s="3"/>
      <c r="Z7803" s="28"/>
    </row>
    <row r="7804" spans="2:26">
      <c r="B7804" s="2"/>
      <c r="N7804" s="27"/>
      <c r="R7804" s="15"/>
      <c r="X7804" s="3"/>
      <c r="Z7804" s="28"/>
    </row>
    <row r="7805" spans="2:26">
      <c r="B7805" s="2"/>
      <c r="N7805" s="27"/>
      <c r="R7805" s="15"/>
      <c r="X7805" s="3"/>
      <c r="Z7805" s="28"/>
    </row>
    <row r="7806" spans="2:26">
      <c r="B7806" s="2"/>
      <c r="N7806" s="27"/>
      <c r="R7806" s="15"/>
      <c r="X7806" s="3"/>
      <c r="Z7806" s="28"/>
    </row>
    <row r="7807" spans="2:26">
      <c r="B7807" s="2"/>
      <c r="N7807" s="27"/>
      <c r="R7807" s="15"/>
      <c r="X7807" s="3"/>
      <c r="Z7807" s="28"/>
    </row>
    <row r="7808" spans="2:26">
      <c r="B7808" s="2"/>
      <c r="N7808" s="27"/>
      <c r="R7808" s="15"/>
      <c r="X7808" s="3"/>
      <c r="Z7808" s="28"/>
    </row>
    <row r="7809" spans="2:26">
      <c r="B7809" s="2"/>
      <c r="N7809" s="27"/>
      <c r="R7809" s="15"/>
      <c r="X7809" s="3"/>
      <c r="Z7809" s="28"/>
    </row>
    <row r="7810" spans="2:26">
      <c r="B7810" s="2"/>
      <c r="N7810" s="27"/>
      <c r="R7810" s="15"/>
      <c r="X7810" s="3"/>
      <c r="Z7810" s="28"/>
    </row>
    <row r="7811" spans="2:26">
      <c r="B7811" s="2"/>
      <c r="N7811" s="27"/>
      <c r="R7811" s="15"/>
      <c r="X7811" s="3"/>
      <c r="Z7811" s="28"/>
    </row>
    <row r="7812" spans="2:26">
      <c r="B7812" s="2"/>
      <c r="N7812" s="27"/>
      <c r="R7812" s="15"/>
      <c r="X7812" s="3"/>
      <c r="Z7812" s="28"/>
    </row>
    <row r="7813" spans="2:26">
      <c r="B7813" s="2"/>
      <c r="N7813" s="27"/>
      <c r="R7813" s="15"/>
      <c r="X7813" s="3"/>
      <c r="Z7813" s="28"/>
    </row>
    <row r="7814" spans="2:26">
      <c r="B7814" s="2"/>
      <c r="N7814" s="27"/>
      <c r="R7814" s="15"/>
      <c r="X7814" s="3"/>
      <c r="Z7814" s="28"/>
    </row>
    <row r="7815" spans="2:26">
      <c r="B7815" s="2"/>
      <c r="N7815" s="27"/>
      <c r="R7815" s="15"/>
      <c r="X7815" s="3"/>
      <c r="Z7815" s="28"/>
    </row>
    <row r="7816" spans="2:26">
      <c r="B7816" s="2"/>
      <c r="N7816" s="27"/>
      <c r="R7816" s="15"/>
      <c r="X7816" s="3"/>
      <c r="Z7816" s="28"/>
    </row>
    <row r="7817" spans="2:26">
      <c r="B7817" s="2"/>
      <c r="N7817" s="27"/>
      <c r="R7817" s="15"/>
      <c r="X7817" s="3"/>
      <c r="Z7817" s="28"/>
    </row>
    <row r="7818" spans="2:26">
      <c r="B7818" s="2"/>
      <c r="N7818" s="27"/>
      <c r="R7818" s="15"/>
      <c r="X7818" s="3"/>
      <c r="Z7818" s="28"/>
    </row>
    <row r="7819" spans="2:26">
      <c r="B7819" s="2"/>
      <c r="N7819" s="27"/>
      <c r="R7819" s="15"/>
      <c r="X7819" s="3"/>
      <c r="Z7819" s="28"/>
    </row>
    <row r="7820" spans="2:26">
      <c r="B7820" s="2"/>
      <c r="N7820" s="27"/>
      <c r="R7820" s="15"/>
      <c r="X7820" s="3"/>
      <c r="Z7820" s="28"/>
    </row>
    <row r="7821" spans="2:26">
      <c r="B7821" s="2"/>
      <c r="N7821" s="27"/>
      <c r="R7821" s="15"/>
      <c r="X7821" s="3"/>
      <c r="Z7821" s="28"/>
    </row>
    <row r="7822" spans="2:26">
      <c r="B7822" s="2"/>
      <c r="N7822" s="27"/>
      <c r="R7822" s="15"/>
      <c r="X7822" s="3"/>
      <c r="Z7822" s="28"/>
    </row>
    <row r="7823" spans="2:26">
      <c r="B7823" s="2"/>
      <c r="N7823" s="27"/>
      <c r="R7823" s="15"/>
      <c r="X7823" s="3"/>
      <c r="Z7823" s="28"/>
    </row>
    <row r="7824" spans="2:26">
      <c r="B7824" s="2"/>
      <c r="N7824" s="27"/>
      <c r="R7824" s="15"/>
      <c r="X7824" s="3"/>
      <c r="Z7824" s="28"/>
    </row>
    <row r="7825" spans="2:26">
      <c r="B7825" s="2"/>
      <c r="N7825" s="27"/>
      <c r="R7825" s="15"/>
      <c r="X7825" s="3"/>
      <c r="Z7825" s="28"/>
    </row>
    <row r="7826" spans="2:26">
      <c r="B7826" s="2"/>
      <c r="N7826" s="27"/>
      <c r="R7826" s="15"/>
      <c r="X7826" s="3"/>
      <c r="Z7826" s="28"/>
    </row>
    <row r="7827" spans="2:26">
      <c r="B7827" s="2"/>
      <c r="N7827" s="27"/>
      <c r="R7827" s="15"/>
      <c r="X7827" s="3"/>
      <c r="Z7827" s="28"/>
    </row>
    <row r="7828" spans="2:26">
      <c r="B7828" s="2"/>
      <c r="N7828" s="27"/>
      <c r="R7828" s="15"/>
      <c r="X7828" s="3"/>
      <c r="Z7828" s="28"/>
    </row>
    <row r="7829" spans="2:26">
      <c r="B7829" s="2"/>
      <c r="N7829" s="27"/>
      <c r="R7829" s="15"/>
      <c r="X7829" s="3"/>
      <c r="Z7829" s="28"/>
    </row>
    <row r="7830" spans="2:26">
      <c r="B7830" s="2"/>
      <c r="N7830" s="27"/>
      <c r="R7830" s="15"/>
      <c r="X7830" s="3"/>
      <c r="Z7830" s="28"/>
    </row>
    <row r="7831" spans="2:26">
      <c r="B7831" s="2"/>
      <c r="N7831" s="27"/>
      <c r="R7831" s="15"/>
      <c r="X7831" s="3"/>
      <c r="Z7831" s="28"/>
    </row>
    <row r="7832" spans="2:26">
      <c r="B7832" s="2"/>
      <c r="N7832" s="27"/>
      <c r="R7832" s="15"/>
      <c r="X7832" s="3"/>
      <c r="Z7832" s="28"/>
    </row>
    <row r="7833" spans="2:26">
      <c r="B7833" s="2"/>
      <c r="N7833" s="27"/>
      <c r="R7833" s="15"/>
      <c r="X7833" s="3"/>
      <c r="Z7833" s="28"/>
    </row>
    <row r="7834" spans="2:26">
      <c r="B7834" s="2"/>
      <c r="N7834" s="27"/>
      <c r="R7834" s="15"/>
      <c r="X7834" s="3"/>
      <c r="Z7834" s="28"/>
    </row>
    <row r="7835" spans="2:26">
      <c r="B7835" s="2"/>
      <c r="N7835" s="27"/>
      <c r="R7835" s="15"/>
      <c r="X7835" s="3"/>
      <c r="Z7835" s="28"/>
    </row>
    <row r="7836" spans="2:26">
      <c r="B7836" s="2"/>
      <c r="N7836" s="27"/>
      <c r="R7836" s="15"/>
      <c r="X7836" s="3"/>
      <c r="Z7836" s="28"/>
    </row>
    <row r="7837" spans="2:26">
      <c r="B7837" s="2"/>
      <c r="N7837" s="27"/>
      <c r="R7837" s="15"/>
      <c r="X7837" s="3"/>
      <c r="Z7837" s="28"/>
    </row>
    <row r="7838" spans="2:26">
      <c r="B7838" s="2"/>
      <c r="N7838" s="27"/>
      <c r="R7838" s="15"/>
      <c r="X7838" s="3"/>
      <c r="Z7838" s="28"/>
    </row>
    <row r="7839" spans="2:26">
      <c r="B7839" s="2"/>
      <c r="N7839" s="27"/>
      <c r="R7839" s="15"/>
      <c r="X7839" s="3"/>
      <c r="Z7839" s="28"/>
    </row>
    <row r="7840" spans="2:26">
      <c r="B7840" s="2"/>
      <c r="N7840" s="27"/>
      <c r="R7840" s="15"/>
      <c r="X7840" s="3"/>
      <c r="Z7840" s="28"/>
    </row>
    <row r="7841" spans="2:26">
      <c r="B7841" s="2"/>
      <c r="N7841" s="27"/>
      <c r="R7841" s="15"/>
      <c r="X7841" s="3"/>
      <c r="Z7841" s="28"/>
    </row>
    <row r="7842" spans="2:26">
      <c r="B7842" s="2"/>
      <c r="N7842" s="27"/>
      <c r="R7842" s="15"/>
      <c r="X7842" s="3"/>
      <c r="Z7842" s="28"/>
    </row>
    <row r="7843" spans="2:26">
      <c r="B7843" s="2"/>
      <c r="N7843" s="27"/>
      <c r="R7843" s="15"/>
      <c r="X7843" s="3"/>
      <c r="Z7843" s="28"/>
    </row>
    <row r="7844" spans="2:26">
      <c r="B7844" s="2"/>
      <c r="N7844" s="27"/>
      <c r="R7844" s="15"/>
      <c r="X7844" s="3"/>
      <c r="Z7844" s="28"/>
    </row>
    <row r="7845" spans="2:26">
      <c r="B7845" s="2"/>
      <c r="N7845" s="27"/>
      <c r="R7845" s="15"/>
      <c r="X7845" s="3"/>
      <c r="Z7845" s="28"/>
    </row>
    <row r="7846" spans="2:26">
      <c r="B7846" s="2"/>
      <c r="N7846" s="27"/>
      <c r="R7846" s="15"/>
      <c r="X7846" s="3"/>
      <c r="Z7846" s="28"/>
    </row>
    <row r="7847" spans="2:26">
      <c r="B7847" s="2"/>
      <c r="N7847" s="27"/>
      <c r="R7847" s="15"/>
      <c r="X7847" s="3"/>
      <c r="Z7847" s="28"/>
    </row>
    <row r="7848" spans="2:26">
      <c r="B7848" s="2"/>
      <c r="N7848" s="27"/>
      <c r="R7848" s="15"/>
      <c r="X7848" s="3"/>
      <c r="Z7848" s="28"/>
    </row>
    <row r="7849" spans="2:26">
      <c r="B7849" s="2"/>
      <c r="N7849" s="27"/>
      <c r="R7849" s="15"/>
      <c r="X7849" s="3"/>
      <c r="Z7849" s="28"/>
    </row>
    <row r="7850" spans="2:26">
      <c r="B7850" s="2"/>
      <c r="N7850" s="27"/>
      <c r="R7850" s="15"/>
      <c r="X7850" s="3"/>
      <c r="Z7850" s="28"/>
    </row>
    <row r="7851" spans="2:26">
      <c r="B7851" s="2"/>
      <c r="N7851" s="27"/>
      <c r="R7851" s="15"/>
      <c r="X7851" s="3"/>
      <c r="Z7851" s="28"/>
    </row>
    <row r="7852" spans="2:26">
      <c r="B7852" s="2"/>
      <c r="N7852" s="27"/>
      <c r="R7852" s="15"/>
      <c r="X7852" s="3"/>
      <c r="Z7852" s="28"/>
    </row>
    <row r="7853" spans="2:26">
      <c r="B7853" s="2"/>
      <c r="N7853" s="27"/>
      <c r="R7853" s="15"/>
      <c r="X7853" s="3"/>
      <c r="Z7853" s="28"/>
    </row>
    <row r="7854" spans="2:26">
      <c r="B7854" s="2"/>
      <c r="N7854" s="27"/>
      <c r="R7854" s="15"/>
      <c r="X7854" s="3"/>
      <c r="Z7854" s="28"/>
    </row>
    <row r="7855" spans="2:26">
      <c r="B7855" s="2"/>
      <c r="N7855" s="27"/>
      <c r="R7855" s="15"/>
      <c r="X7855" s="3"/>
      <c r="Z7855" s="28"/>
    </row>
    <row r="7856" spans="2:26">
      <c r="B7856" s="2"/>
      <c r="N7856" s="27"/>
      <c r="R7856" s="15"/>
      <c r="X7856" s="3"/>
      <c r="Z7856" s="28"/>
    </row>
    <row r="7857" spans="2:26">
      <c r="B7857" s="2"/>
      <c r="N7857" s="27"/>
      <c r="R7857" s="15"/>
      <c r="X7857" s="3"/>
      <c r="Z7857" s="28"/>
    </row>
    <row r="7858" spans="2:26">
      <c r="B7858" s="2"/>
      <c r="N7858" s="27"/>
      <c r="R7858" s="15"/>
      <c r="X7858" s="3"/>
      <c r="Z7858" s="28"/>
    </row>
    <row r="7859" spans="2:26">
      <c r="B7859" s="2"/>
      <c r="N7859" s="27"/>
      <c r="R7859" s="15"/>
      <c r="X7859" s="3"/>
      <c r="Z7859" s="28"/>
    </row>
    <row r="7860" spans="2:26">
      <c r="B7860" s="2"/>
      <c r="N7860" s="27"/>
      <c r="R7860" s="15"/>
      <c r="X7860" s="3"/>
      <c r="Z7860" s="28"/>
    </row>
    <row r="7861" spans="2:26">
      <c r="B7861" s="2"/>
      <c r="N7861" s="27"/>
      <c r="R7861" s="15"/>
      <c r="X7861" s="3"/>
      <c r="Z7861" s="28"/>
    </row>
    <row r="7862" spans="2:26">
      <c r="B7862" s="2"/>
      <c r="N7862" s="27"/>
      <c r="R7862" s="15"/>
      <c r="X7862" s="3"/>
      <c r="Z7862" s="28"/>
    </row>
    <row r="7863" spans="2:26">
      <c r="B7863" s="2"/>
      <c r="N7863" s="27"/>
      <c r="R7863" s="15"/>
      <c r="X7863" s="3"/>
      <c r="Z7863" s="28"/>
    </row>
    <row r="7864" spans="2:26">
      <c r="B7864" s="2"/>
      <c r="N7864" s="27"/>
      <c r="R7864" s="15"/>
      <c r="X7864" s="3"/>
      <c r="Z7864" s="28"/>
    </row>
    <row r="7865" spans="2:26">
      <c r="B7865" s="2"/>
      <c r="N7865" s="27"/>
      <c r="R7865" s="15"/>
      <c r="X7865" s="3"/>
      <c r="Z7865" s="28"/>
    </row>
    <row r="7866" spans="2:26">
      <c r="B7866" s="2"/>
      <c r="N7866" s="27"/>
      <c r="R7866" s="15"/>
      <c r="X7866" s="3"/>
      <c r="Z7866" s="28"/>
    </row>
    <row r="7867" spans="2:26">
      <c r="B7867" s="2"/>
      <c r="N7867" s="27"/>
      <c r="R7867" s="15"/>
      <c r="X7867" s="3"/>
      <c r="Z7867" s="28"/>
    </row>
    <row r="7868" spans="2:26">
      <c r="B7868" s="2"/>
      <c r="N7868" s="27"/>
      <c r="R7868" s="15"/>
      <c r="X7868" s="3"/>
      <c r="Z7868" s="28"/>
    </row>
    <row r="7869" spans="2:26">
      <c r="B7869" s="2"/>
      <c r="N7869" s="27"/>
      <c r="R7869" s="15"/>
      <c r="X7869" s="3"/>
      <c r="Z7869" s="28"/>
    </row>
    <row r="7870" spans="2:26">
      <c r="B7870" s="2"/>
      <c r="N7870" s="27"/>
      <c r="R7870" s="15"/>
      <c r="X7870" s="3"/>
      <c r="Z7870" s="28"/>
    </row>
    <row r="7871" spans="2:26">
      <c r="B7871" s="2"/>
      <c r="N7871" s="27"/>
      <c r="R7871" s="15"/>
      <c r="X7871" s="3"/>
      <c r="Z7871" s="28"/>
    </row>
    <row r="7872" spans="2:26">
      <c r="B7872" s="2"/>
      <c r="N7872" s="27"/>
      <c r="R7872" s="15"/>
      <c r="X7872" s="3"/>
      <c r="Z7872" s="28"/>
    </row>
    <row r="7873" spans="2:26">
      <c r="B7873" s="2"/>
      <c r="N7873" s="27"/>
      <c r="R7873" s="15"/>
      <c r="X7873" s="3"/>
      <c r="Z7873" s="28"/>
    </row>
    <row r="7874" spans="2:26">
      <c r="B7874" s="2"/>
      <c r="N7874" s="27"/>
      <c r="R7874" s="15"/>
      <c r="X7874" s="3"/>
      <c r="Z7874" s="28"/>
    </row>
    <row r="7875" spans="2:26">
      <c r="B7875" s="2"/>
      <c r="N7875" s="27"/>
      <c r="R7875" s="15"/>
      <c r="X7875" s="3"/>
      <c r="Z7875" s="28"/>
    </row>
    <row r="7876" spans="2:26">
      <c r="B7876" s="2"/>
      <c r="N7876" s="27"/>
      <c r="R7876" s="15"/>
      <c r="X7876" s="3"/>
      <c r="Z7876" s="28"/>
    </row>
    <row r="7877" spans="2:26">
      <c r="B7877" s="2"/>
      <c r="N7877" s="27"/>
      <c r="R7877" s="15"/>
      <c r="X7877" s="3"/>
      <c r="Z7877" s="28"/>
    </row>
    <row r="7878" spans="2:26">
      <c r="B7878" s="2"/>
      <c r="N7878" s="27"/>
      <c r="R7878" s="15"/>
      <c r="X7878" s="3"/>
      <c r="Z7878" s="28"/>
    </row>
    <row r="7879" spans="2:26">
      <c r="B7879" s="2"/>
      <c r="N7879" s="27"/>
      <c r="R7879" s="15"/>
      <c r="X7879" s="3"/>
      <c r="Z7879" s="28"/>
    </row>
    <row r="7880" spans="2:26">
      <c r="B7880" s="2"/>
      <c r="N7880" s="27"/>
      <c r="R7880" s="15"/>
      <c r="X7880" s="3"/>
      <c r="Z7880" s="28"/>
    </row>
    <row r="7881" spans="2:26">
      <c r="B7881" s="2"/>
      <c r="N7881" s="27"/>
      <c r="R7881" s="15"/>
      <c r="X7881" s="3"/>
      <c r="Z7881" s="28"/>
    </row>
    <row r="7882" spans="2:26">
      <c r="B7882" s="2"/>
      <c r="N7882" s="27"/>
      <c r="R7882" s="15"/>
      <c r="X7882" s="3"/>
      <c r="Z7882" s="28"/>
    </row>
    <row r="7883" spans="2:26">
      <c r="B7883" s="2"/>
      <c r="N7883" s="27"/>
      <c r="R7883" s="15"/>
      <c r="X7883" s="3"/>
      <c r="Z7883" s="28"/>
    </row>
    <row r="7884" spans="2:26">
      <c r="B7884" s="2"/>
      <c r="N7884" s="27"/>
      <c r="R7884" s="15"/>
      <c r="X7884" s="3"/>
      <c r="Z7884" s="28"/>
    </row>
    <row r="7885" spans="2:26">
      <c r="B7885" s="2"/>
      <c r="N7885" s="27"/>
      <c r="R7885" s="15"/>
      <c r="X7885" s="3"/>
      <c r="Z7885" s="28"/>
    </row>
    <row r="7886" spans="2:26">
      <c r="B7886" s="2"/>
      <c r="N7886" s="27"/>
      <c r="R7886" s="15"/>
      <c r="X7886" s="3"/>
      <c r="Z7886" s="28"/>
    </row>
    <row r="7887" spans="2:26">
      <c r="B7887" s="2"/>
      <c r="N7887" s="27"/>
      <c r="R7887" s="15"/>
      <c r="X7887" s="3"/>
      <c r="Z7887" s="28"/>
    </row>
    <row r="7888" spans="2:26">
      <c r="B7888" s="2"/>
      <c r="N7888" s="27"/>
      <c r="R7888" s="15"/>
      <c r="X7888" s="3"/>
      <c r="Z7888" s="28"/>
    </row>
    <row r="7889" spans="2:26">
      <c r="B7889" s="2"/>
      <c r="N7889" s="27"/>
      <c r="R7889" s="15"/>
      <c r="X7889" s="3"/>
      <c r="Z7889" s="28"/>
    </row>
    <row r="7890" spans="2:26">
      <c r="B7890" s="2"/>
      <c r="N7890" s="27"/>
      <c r="R7890" s="15"/>
      <c r="X7890" s="3"/>
      <c r="Z7890" s="28"/>
    </row>
    <row r="7891" spans="2:26">
      <c r="B7891" s="2"/>
      <c r="N7891" s="27"/>
      <c r="R7891" s="15"/>
      <c r="X7891" s="3"/>
      <c r="Z7891" s="28"/>
    </row>
    <row r="7892" spans="2:26">
      <c r="B7892" s="2"/>
      <c r="N7892" s="27"/>
      <c r="R7892" s="15"/>
      <c r="X7892" s="3"/>
      <c r="Z7892" s="28"/>
    </row>
    <row r="7893" spans="2:26">
      <c r="B7893" s="2"/>
      <c r="N7893" s="27"/>
      <c r="R7893" s="15"/>
      <c r="X7893" s="3"/>
      <c r="Z7893" s="28"/>
    </row>
    <row r="7894" spans="2:26">
      <c r="B7894" s="2"/>
      <c r="N7894" s="27"/>
      <c r="R7894" s="15"/>
      <c r="X7894" s="3"/>
      <c r="Z7894" s="28"/>
    </row>
    <row r="7895" spans="2:26">
      <c r="B7895" s="2"/>
      <c r="N7895" s="27"/>
      <c r="R7895" s="15"/>
      <c r="X7895" s="3"/>
      <c r="Z7895" s="28"/>
    </row>
    <row r="7896" spans="2:26">
      <c r="B7896" s="2"/>
      <c r="N7896" s="27"/>
      <c r="R7896" s="15"/>
      <c r="X7896" s="3"/>
      <c r="Z7896" s="28"/>
    </row>
    <row r="7897" spans="2:26">
      <c r="B7897" s="2"/>
      <c r="N7897" s="27"/>
      <c r="R7897" s="15"/>
      <c r="X7897" s="3"/>
      <c r="Z7897" s="28"/>
    </row>
    <row r="7898" spans="2:26">
      <c r="B7898" s="2"/>
      <c r="N7898" s="27"/>
      <c r="R7898" s="15"/>
      <c r="X7898" s="3"/>
      <c r="Z7898" s="28"/>
    </row>
    <row r="7899" spans="2:26">
      <c r="B7899" s="2"/>
      <c r="N7899" s="27"/>
      <c r="R7899" s="15"/>
      <c r="X7899" s="3"/>
      <c r="Z7899" s="28"/>
    </row>
    <row r="7900" spans="2:26">
      <c r="B7900" s="2"/>
      <c r="N7900" s="27"/>
      <c r="R7900" s="15"/>
      <c r="X7900" s="3"/>
      <c r="Z7900" s="28"/>
    </row>
    <row r="7901" spans="2:26">
      <c r="B7901" s="2"/>
      <c r="N7901" s="27"/>
      <c r="R7901" s="15"/>
      <c r="X7901" s="3"/>
      <c r="Z7901" s="28"/>
    </row>
    <row r="7902" spans="2:26">
      <c r="B7902" s="2"/>
      <c r="N7902" s="27"/>
      <c r="R7902" s="15"/>
      <c r="X7902" s="3"/>
      <c r="Z7902" s="28"/>
    </row>
    <row r="7903" spans="2:26">
      <c r="B7903" s="2"/>
      <c r="N7903" s="27"/>
      <c r="R7903" s="15"/>
      <c r="X7903" s="3"/>
      <c r="Z7903" s="28"/>
    </row>
    <row r="7904" spans="2:26">
      <c r="B7904" s="2"/>
      <c r="N7904" s="27"/>
      <c r="R7904" s="15"/>
      <c r="X7904" s="3"/>
      <c r="Z7904" s="28"/>
    </row>
    <row r="7905" spans="2:26">
      <c r="B7905" s="2"/>
      <c r="N7905" s="27"/>
      <c r="R7905" s="15"/>
      <c r="X7905" s="3"/>
      <c r="Z7905" s="28"/>
    </row>
    <row r="7906" spans="2:26">
      <c r="B7906" s="2"/>
      <c r="N7906" s="27"/>
      <c r="R7906" s="15"/>
      <c r="X7906" s="3"/>
      <c r="Z7906" s="28"/>
    </row>
    <row r="7907" spans="2:26">
      <c r="B7907" s="2"/>
      <c r="N7907" s="27"/>
      <c r="R7907" s="15"/>
      <c r="X7907" s="3"/>
      <c r="Z7907" s="28"/>
    </row>
    <row r="7908" spans="2:26">
      <c r="B7908" s="2"/>
      <c r="N7908" s="27"/>
      <c r="R7908" s="15"/>
      <c r="X7908" s="3"/>
      <c r="Z7908" s="28"/>
    </row>
    <row r="7909" spans="2:26">
      <c r="B7909" s="2"/>
      <c r="N7909" s="27"/>
      <c r="R7909" s="15"/>
      <c r="X7909" s="3"/>
      <c r="Z7909" s="28"/>
    </row>
    <row r="7910" spans="2:26">
      <c r="B7910" s="2"/>
      <c r="N7910" s="27"/>
      <c r="R7910" s="15"/>
      <c r="X7910" s="3"/>
      <c r="Z7910" s="28"/>
    </row>
    <row r="7911" spans="2:26">
      <c r="B7911" s="2"/>
      <c r="N7911" s="27"/>
      <c r="R7911" s="15"/>
      <c r="X7911" s="3"/>
      <c r="Z7911" s="28"/>
    </row>
    <row r="7912" spans="2:26">
      <c r="B7912" s="2"/>
      <c r="N7912" s="27"/>
      <c r="R7912" s="15"/>
      <c r="X7912" s="3"/>
      <c r="Z7912" s="28"/>
    </row>
    <row r="7913" spans="2:26">
      <c r="B7913" s="2"/>
      <c r="N7913" s="27"/>
      <c r="R7913" s="15"/>
      <c r="X7913" s="3"/>
      <c r="Z7913" s="28"/>
    </row>
    <row r="7914" spans="2:26">
      <c r="B7914" s="2"/>
      <c r="N7914" s="27"/>
      <c r="R7914" s="15"/>
      <c r="X7914" s="3"/>
      <c r="Z7914" s="28"/>
    </row>
    <row r="7915" spans="2:26">
      <c r="B7915" s="2"/>
      <c r="N7915" s="27"/>
      <c r="R7915" s="15"/>
      <c r="X7915" s="3"/>
      <c r="Z7915" s="28"/>
    </row>
    <row r="7916" spans="2:26">
      <c r="B7916" s="2"/>
      <c r="N7916" s="27"/>
      <c r="R7916" s="15"/>
      <c r="X7916" s="3"/>
      <c r="Z7916" s="28"/>
    </row>
    <row r="7917" spans="2:26">
      <c r="B7917" s="2"/>
      <c r="N7917" s="27"/>
      <c r="R7917" s="15"/>
      <c r="X7917" s="3"/>
      <c r="Z7917" s="28"/>
    </row>
    <row r="7918" spans="2:26">
      <c r="B7918" s="2"/>
      <c r="N7918" s="27"/>
      <c r="R7918" s="15"/>
      <c r="X7918" s="3"/>
      <c r="Z7918" s="28"/>
    </row>
    <row r="7919" spans="2:26">
      <c r="B7919" s="2"/>
      <c r="N7919" s="27"/>
      <c r="R7919" s="15"/>
      <c r="X7919" s="3"/>
      <c r="Z7919" s="28"/>
    </row>
    <row r="7920" spans="2:26">
      <c r="B7920" s="2"/>
      <c r="N7920" s="27"/>
      <c r="R7920" s="15"/>
      <c r="X7920" s="3"/>
      <c r="Z7920" s="28"/>
    </row>
    <row r="7921" spans="2:26">
      <c r="B7921" s="2"/>
      <c r="N7921" s="27"/>
      <c r="R7921" s="15"/>
      <c r="X7921" s="3"/>
      <c r="Z7921" s="28"/>
    </row>
    <row r="7922" spans="2:26">
      <c r="B7922" s="2"/>
      <c r="N7922" s="27"/>
      <c r="R7922" s="15"/>
      <c r="X7922" s="3"/>
      <c r="Z7922" s="28"/>
    </row>
    <row r="7923" spans="2:26">
      <c r="B7923" s="2"/>
      <c r="N7923" s="27"/>
      <c r="R7923" s="15"/>
      <c r="X7923" s="3"/>
      <c r="Z7923" s="28"/>
    </row>
    <row r="7924" spans="2:26">
      <c r="B7924" s="2"/>
      <c r="N7924" s="27"/>
      <c r="R7924" s="15"/>
      <c r="X7924" s="3"/>
      <c r="Z7924" s="28"/>
    </row>
    <row r="7925" spans="2:26">
      <c r="B7925" s="2"/>
      <c r="N7925" s="27"/>
      <c r="R7925" s="15"/>
      <c r="X7925" s="3"/>
      <c r="Z7925" s="28"/>
    </row>
    <row r="7926" spans="2:26">
      <c r="B7926" s="2"/>
      <c r="N7926" s="27"/>
      <c r="R7926" s="15"/>
      <c r="X7926" s="3"/>
      <c r="Z7926" s="28"/>
    </row>
    <row r="7927" spans="2:26">
      <c r="B7927" s="2"/>
      <c r="N7927" s="27"/>
      <c r="R7927" s="15"/>
      <c r="X7927" s="3"/>
      <c r="Z7927" s="28"/>
    </row>
    <row r="7928" spans="2:26">
      <c r="B7928" s="2"/>
      <c r="N7928" s="27"/>
      <c r="R7928" s="15"/>
      <c r="X7928" s="3"/>
      <c r="Z7928" s="28"/>
    </row>
    <row r="7929" spans="2:26">
      <c r="B7929" s="2"/>
      <c r="N7929" s="27"/>
      <c r="R7929" s="15"/>
      <c r="X7929" s="3"/>
      <c r="Z7929" s="28"/>
    </row>
    <row r="7930" spans="2:26">
      <c r="B7930" s="2"/>
      <c r="N7930" s="27"/>
      <c r="R7930" s="15"/>
      <c r="X7930" s="3"/>
      <c r="Z7930" s="28"/>
    </row>
    <row r="7931" spans="2:26">
      <c r="B7931" s="2"/>
      <c r="N7931" s="27"/>
      <c r="R7931" s="15"/>
      <c r="X7931" s="3"/>
      <c r="Z7931" s="28"/>
    </row>
    <row r="7932" spans="2:26">
      <c r="B7932" s="2"/>
      <c r="N7932" s="27"/>
      <c r="R7932" s="15"/>
      <c r="X7932" s="3"/>
      <c r="Z7932" s="28"/>
    </row>
    <row r="7933" spans="2:26">
      <c r="B7933" s="2"/>
      <c r="N7933" s="27"/>
      <c r="R7933" s="15"/>
      <c r="X7933" s="3"/>
      <c r="Z7933" s="28"/>
    </row>
    <row r="7934" spans="2:26">
      <c r="B7934" s="2"/>
      <c r="N7934" s="27"/>
      <c r="R7934" s="15"/>
      <c r="X7934" s="3"/>
      <c r="Z7934" s="28"/>
    </row>
    <row r="7935" spans="2:26">
      <c r="B7935" s="2"/>
      <c r="N7935" s="27"/>
      <c r="R7935" s="15"/>
      <c r="X7935" s="3"/>
      <c r="Z7935" s="28"/>
    </row>
    <row r="7936" spans="2:26">
      <c r="B7936" s="2"/>
      <c r="N7936" s="27"/>
      <c r="R7936" s="15"/>
      <c r="X7936" s="3"/>
      <c r="Z7936" s="28"/>
    </row>
    <row r="7937" spans="2:26">
      <c r="B7937" s="2"/>
      <c r="N7937" s="27"/>
      <c r="R7937" s="15"/>
      <c r="X7937" s="3"/>
      <c r="Z7937" s="28"/>
    </row>
    <row r="7938" spans="2:26">
      <c r="B7938" s="2"/>
      <c r="N7938" s="27"/>
      <c r="R7938" s="15"/>
      <c r="X7938" s="3"/>
      <c r="Z7938" s="28"/>
    </row>
    <row r="7939" spans="2:26">
      <c r="B7939" s="2"/>
      <c r="N7939" s="27"/>
      <c r="R7939" s="15"/>
      <c r="X7939" s="3"/>
      <c r="Z7939" s="28"/>
    </row>
    <row r="7940" spans="2:26">
      <c r="B7940" s="2"/>
      <c r="N7940" s="27"/>
      <c r="R7940" s="15"/>
      <c r="X7940" s="3"/>
      <c r="Z7940" s="28"/>
    </row>
    <row r="7941" spans="2:26">
      <c r="B7941" s="2"/>
      <c r="N7941" s="27"/>
      <c r="R7941" s="15"/>
      <c r="X7941" s="3"/>
      <c r="Z7941" s="28"/>
    </row>
    <row r="7942" spans="2:26">
      <c r="B7942" s="2"/>
      <c r="N7942" s="27"/>
      <c r="R7942" s="15"/>
      <c r="X7942" s="3"/>
      <c r="Z7942" s="28"/>
    </row>
    <row r="7943" spans="2:26">
      <c r="B7943" s="2"/>
      <c r="N7943" s="27"/>
      <c r="R7943" s="15"/>
      <c r="X7943" s="3"/>
      <c r="Z7943" s="28"/>
    </row>
    <row r="7944" spans="2:26">
      <c r="B7944" s="2"/>
      <c r="N7944" s="27"/>
      <c r="R7944" s="15"/>
      <c r="X7944" s="3"/>
      <c r="Z7944" s="28"/>
    </row>
    <row r="7945" spans="2:26">
      <c r="B7945" s="2"/>
      <c r="N7945" s="27"/>
      <c r="R7945" s="15"/>
      <c r="X7945" s="3"/>
      <c r="Z7945" s="28"/>
    </row>
    <row r="7946" spans="2:26">
      <c r="B7946" s="2"/>
      <c r="N7946" s="27"/>
      <c r="R7946" s="15"/>
      <c r="X7946" s="3"/>
      <c r="Z7946" s="28"/>
    </row>
    <row r="7947" spans="2:26">
      <c r="B7947" s="2"/>
      <c r="N7947" s="27"/>
      <c r="R7947" s="15"/>
      <c r="X7947" s="3"/>
      <c r="Z7947" s="28"/>
    </row>
    <row r="7948" spans="2:26">
      <c r="B7948" s="2"/>
      <c r="N7948" s="27"/>
      <c r="R7948" s="15"/>
      <c r="X7948" s="3"/>
      <c r="Z7948" s="28"/>
    </row>
    <row r="7949" spans="2:26">
      <c r="B7949" s="2"/>
      <c r="N7949" s="27"/>
      <c r="R7949" s="15"/>
      <c r="X7949" s="3"/>
      <c r="Z7949" s="28"/>
    </row>
    <row r="7950" spans="2:26">
      <c r="B7950" s="2"/>
      <c r="N7950" s="27"/>
      <c r="R7950" s="15"/>
      <c r="X7950" s="3"/>
      <c r="Z7950" s="28"/>
    </row>
    <row r="7951" spans="2:26">
      <c r="B7951" s="2"/>
      <c r="N7951" s="27"/>
      <c r="R7951" s="15"/>
      <c r="X7951" s="3"/>
      <c r="Z7951" s="28"/>
    </row>
    <row r="7952" spans="2:26">
      <c r="B7952" s="2"/>
      <c r="N7952" s="27"/>
      <c r="R7952" s="15"/>
      <c r="X7952" s="3"/>
      <c r="Z7952" s="28"/>
    </row>
    <row r="7953" spans="2:26">
      <c r="B7953" s="2"/>
      <c r="N7953" s="27"/>
      <c r="R7953" s="15"/>
      <c r="X7953" s="3"/>
      <c r="Z7953" s="28"/>
    </row>
    <row r="7954" spans="2:26">
      <c r="B7954" s="2"/>
      <c r="N7954" s="27"/>
      <c r="R7954" s="15"/>
      <c r="X7954" s="3"/>
      <c r="Z7954" s="28"/>
    </row>
    <row r="7955" spans="2:26">
      <c r="B7955" s="2"/>
      <c r="N7955" s="27"/>
      <c r="R7955" s="15"/>
      <c r="X7955" s="3"/>
      <c r="Z7955" s="28"/>
    </row>
    <row r="7956" spans="2:26">
      <c r="B7956" s="2"/>
      <c r="N7956" s="27"/>
      <c r="R7956" s="15"/>
      <c r="X7956" s="3"/>
      <c r="Z7956" s="28"/>
    </row>
    <row r="7957" spans="2:26">
      <c r="B7957" s="2"/>
      <c r="N7957" s="27"/>
      <c r="R7957" s="15"/>
      <c r="X7957" s="3"/>
      <c r="Z7957" s="28"/>
    </row>
    <row r="7958" spans="2:26">
      <c r="B7958" s="2"/>
      <c r="N7958" s="27"/>
      <c r="R7958" s="15"/>
      <c r="X7958" s="3"/>
      <c r="Z7958" s="28"/>
    </row>
    <row r="7959" spans="2:26">
      <c r="B7959" s="2"/>
      <c r="N7959" s="27"/>
      <c r="R7959" s="15"/>
      <c r="X7959" s="3"/>
      <c r="Z7959" s="28"/>
    </row>
    <row r="7960" spans="2:26">
      <c r="B7960" s="2"/>
      <c r="N7960" s="27"/>
      <c r="R7960" s="15"/>
      <c r="X7960" s="3"/>
      <c r="Z7960" s="28"/>
    </row>
    <row r="7961" spans="2:26">
      <c r="B7961" s="2"/>
      <c r="N7961" s="27"/>
      <c r="R7961" s="15"/>
      <c r="X7961" s="3"/>
      <c r="Z7961" s="28"/>
    </row>
    <row r="7962" spans="2:26">
      <c r="B7962" s="2"/>
      <c r="N7962" s="27"/>
      <c r="R7962" s="15"/>
      <c r="X7962" s="3"/>
      <c r="Z7962" s="28"/>
    </row>
    <row r="7963" spans="2:26">
      <c r="B7963" s="2"/>
      <c r="N7963" s="27"/>
      <c r="R7963" s="15"/>
      <c r="X7963" s="3"/>
      <c r="Z7963" s="28"/>
    </row>
    <row r="7964" spans="2:26">
      <c r="B7964" s="2"/>
      <c r="N7964" s="27"/>
      <c r="R7964" s="15"/>
      <c r="X7964" s="3"/>
      <c r="Z7964" s="28"/>
    </row>
    <row r="7965" spans="2:26">
      <c r="B7965" s="2"/>
      <c r="N7965" s="27"/>
      <c r="R7965" s="15"/>
      <c r="X7965" s="3"/>
      <c r="Z7965" s="28"/>
    </row>
    <row r="7966" spans="2:26">
      <c r="B7966" s="2"/>
      <c r="N7966" s="27"/>
      <c r="R7966" s="15"/>
      <c r="X7966" s="3"/>
      <c r="Z7966" s="28"/>
    </row>
    <row r="7967" spans="2:26">
      <c r="B7967" s="2"/>
      <c r="N7967" s="27"/>
      <c r="R7967" s="15"/>
      <c r="X7967" s="3"/>
      <c r="Z7967" s="28"/>
    </row>
    <row r="7968" spans="2:26">
      <c r="B7968" s="2"/>
      <c r="N7968" s="27"/>
      <c r="R7968" s="15"/>
      <c r="X7968" s="3"/>
      <c r="Z7968" s="28"/>
    </row>
    <row r="7969" spans="2:26">
      <c r="B7969" s="2"/>
      <c r="N7969" s="27"/>
      <c r="R7969" s="15"/>
      <c r="X7969" s="3"/>
      <c r="Z7969" s="28"/>
    </row>
    <row r="7970" spans="2:26">
      <c r="B7970" s="2"/>
      <c r="N7970" s="27"/>
      <c r="R7970" s="15"/>
      <c r="X7970" s="3"/>
      <c r="Z7970" s="28"/>
    </row>
    <row r="7971" spans="2:26">
      <c r="B7971" s="2"/>
      <c r="N7971" s="27"/>
      <c r="R7971" s="15"/>
      <c r="X7971" s="3"/>
      <c r="Z7971" s="28"/>
    </row>
    <row r="7972" spans="2:26">
      <c r="B7972" s="2"/>
      <c r="N7972" s="27"/>
      <c r="R7972" s="15"/>
      <c r="X7972" s="3"/>
      <c r="Z7972" s="28"/>
    </row>
    <row r="7973" spans="2:26">
      <c r="B7973" s="2"/>
      <c r="N7973" s="27"/>
      <c r="R7973" s="15"/>
      <c r="X7973" s="3"/>
      <c r="Z7973" s="28"/>
    </row>
    <row r="7974" spans="2:26">
      <c r="B7974" s="2"/>
      <c r="N7974" s="27"/>
      <c r="R7974" s="15"/>
      <c r="X7974" s="3"/>
      <c r="Z7974" s="28"/>
    </row>
    <row r="7975" spans="2:26">
      <c r="B7975" s="2"/>
      <c r="N7975" s="27"/>
      <c r="R7975" s="15"/>
      <c r="X7975" s="3"/>
      <c r="Z7975" s="28"/>
    </row>
    <row r="7976" spans="2:26">
      <c r="B7976" s="2"/>
      <c r="N7976" s="27"/>
      <c r="R7976" s="15"/>
      <c r="X7976" s="3"/>
      <c r="Z7976" s="28"/>
    </row>
    <row r="7977" spans="2:26">
      <c r="B7977" s="2"/>
      <c r="N7977" s="27"/>
      <c r="R7977" s="15"/>
      <c r="X7977" s="3"/>
      <c r="Z7977" s="28"/>
    </row>
    <row r="7978" spans="2:26">
      <c r="B7978" s="2"/>
      <c r="N7978" s="27"/>
      <c r="R7978" s="15"/>
      <c r="X7978" s="3"/>
      <c r="Z7978" s="28"/>
    </row>
    <row r="7979" spans="2:26">
      <c r="B7979" s="2"/>
      <c r="N7979" s="27"/>
      <c r="R7979" s="15"/>
      <c r="X7979" s="3"/>
      <c r="Z7979" s="28"/>
    </row>
    <row r="7980" spans="2:26">
      <c r="B7980" s="2"/>
      <c r="N7980" s="27"/>
      <c r="R7980" s="15"/>
      <c r="X7980" s="3"/>
      <c r="Z7980" s="28"/>
    </row>
    <row r="7981" spans="2:26">
      <c r="B7981" s="2"/>
      <c r="N7981" s="27"/>
      <c r="R7981" s="15"/>
      <c r="X7981" s="3"/>
      <c r="Z7981" s="28"/>
    </row>
    <row r="7982" spans="2:26">
      <c r="B7982" s="2"/>
      <c r="N7982" s="27"/>
      <c r="R7982" s="15"/>
      <c r="X7982" s="3"/>
      <c r="Z7982" s="28"/>
    </row>
    <row r="7983" spans="2:26">
      <c r="B7983" s="2"/>
      <c r="N7983" s="27"/>
      <c r="R7983" s="15"/>
      <c r="X7983" s="3"/>
      <c r="Z7983" s="28"/>
    </row>
    <row r="7984" spans="2:26">
      <c r="B7984" s="2"/>
      <c r="N7984" s="27"/>
      <c r="R7984" s="15"/>
      <c r="X7984" s="3"/>
      <c r="Z7984" s="28"/>
    </row>
    <row r="7985" spans="2:26">
      <c r="B7985" s="2"/>
      <c r="N7985" s="27"/>
      <c r="R7985" s="15"/>
      <c r="X7985" s="3"/>
      <c r="Z7985" s="28"/>
    </row>
    <row r="7986" spans="2:26">
      <c r="B7986" s="2"/>
      <c r="N7986" s="27"/>
      <c r="R7986" s="15"/>
      <c r="X7986" s="3"/>
      <c r="Z7986" s="28"/>
    </row>
    <row r="7987" spans="2:26">
      <c r="B7987" s="2"/>
      <c r="N7987" s="27"/>
      <c r="R7987" s="15"/>
      <c r="X7987" s="3"/>
      <c r="Z7987" s="28"/>
    </row>
    <row r="7988" spans="2:26">
      <c r="B7988" s="2"/>
      <c r="N7988" s="27"/>
      <c r="R7988" s="15"/>
      <c r="X7988" s="3"/>
      <c r="Z7988" s="28"/>
    </row>
    <row r="7989" spans="2:26">
      <c r="B7989" s="2"/>
      <c r="N7989" s="27"/>
      <c r="R7989" s="15"/>
      <c r="X7989" s="3"/>
      <c r="Z7989" s="28"/>
    </row>
    <row r="7990" spans="2:26">
      <c r="B7990" s="2"/>
      <c r="N7990" s="27"/>
      <c r="R7990" s="15"/>
      <c r="X7990" s="3"/>
      <c r="Z7990" s="28"/>
    </row>
    <row r="7991" spans="2:26">
      <c r="B7991" s="2"/>
      <c r="N7991" s="27"/>
      <c r="R7991" s="15"/>
      <c r="X7991" s="3"/>
      <c r="Z7991" s="28"/>
    </row>
    <row r="7992" spans="2:26">
      <c r="B7992" s="2"/>
      <c r="N7992" s="27"/>
      <c r="R7992" s="15"/>
      <c r="X7992" s="3"/>
      <c r="Z7992" s="28"/>
    </row>
    <row r="7993" spans="2:26">
      <c r="B7993" s="2"/>
      <c r="N7993" s="27"/>
      <c r="R7993" s="15"/>
      <c r="X7993" s="3"/>
      <c r="Z7993" s="28"/>
    </row>
    <row r="7994" spans="2:26">
      <c r="B7994" s="2"/>
      <c r="N7994" s="27"/>
      <c r="R7994" s="15"/>
      <c r="X7994" s="3"/>
      <c r="Z7994" s="28"/>
    </row>
    <row r="7995" spans="2:26">
      <c r="B7995" s="2"/>
      <c r="N7995" s="27"/>
      <c r="R7995" s="15"/>
      <c r="X7995" s="3"/>
      <c r="Z7995" s="28"/>
    </row>
    <row r="7996" spans="2:26">
      <c r="B7996" s="2"/>
      <c r="N7996" s="27"/>
      <c r="R7996" s="15"/>
      <c r="X7996" s="3"/>
      <c r="Z7996" s="28"/>
    </row>
    <row r="7997" spans="2:26">
      <c r="B7997" s="2"/>
      <c r="N7997" s="27"/>
      <c r="R7997" s="15"/>
      <c r="X7997" s="3"/>
      <c r="Z7997" s="28"/>
    </row>
    <row r="7998" spans="2:26">
      <c r="B7998" s="2"/>
      <c r="N7998" s="27"/>
      <c r="R7998" s="15"/>
      <c r="X7998" s="3"/>
      <c r="Z7998" s="28"/>
    </row>
    <row r="7999" spans="2:26">
      <c r="B7999" s="2"/>
      <c r="N7999" s="27"/>
      <c r="R7999" s="15"/>
      <c r="X7999" s="3"/>
      <c r="Z7999" s="28"/>
    </row>
    <row r="8000" spans="2:26">
      <c r="B8000" s="2"/>
      <c r="N8000" s="27"/>
      <c r="R8000" s="15"/>
      <c r="X8000" s="3"/>
      <c r="Z8000" s="28"/>
    </row>
    <row r="8001" spans="2:26">
      <c r="B8001" s="2"/>
      <c r="N8001" s="27"/>
      <c r="R8001" s="15"/>
      <c r="X8001" s="3"/>
      <c r="Z8001" s="28"/>
    </row>
    <row r="8002" spans="2:26">
      <c r="B8002" s="2"/>
      <c r="N8002" s="27"/>
      <c r="R8002" s="15"/>
      <c r="X8002" s="3"/>
      <c r="Z8002" s="28"/>
    </row>
    <row r="8003" spans="2:26">
      <c r="B8003" s="2"/>
      <c r="N8003" s="27"/>
      <c r="R8003" s="15"/>
      <c r="X8003" s="3"/>
      <c r="Z8003" s="28"/>
    </row>
    <row r="8004" spans="2:26">
      <c r="B8004" s="2"/>
      <c r="N8004" s="27"/>
      <c r="R8004" s="15"/>
      <c r="X8004" s="3"/>
      <c r="Z8004" s="28"/>
    </row>
    <row r="8005" spans="2:26">
      <c r="B8005" s="2"/>
      <c r="N8005" s="27"/>
      <c r="R8005" s="15"/>
      <c r="X8005" s="3"/>
      <c r="Z8005" s="28"/>
    </row>
    <row r="8006" spans="2:26">
      <c r="B8006" s="2"/>
      <c r="N8006" s="27"/>
      <c r="R8006" s="15"/>
      <c r="X8006" s="3"/>
      <c r="Z8006" s="28"/>
    </row>
    <row r="8007" spans="2:26">
      <c r="B8007" s="2"/>
      <c r="N8007" s="27"/>
      <c r="R8007" s="15"/>
      <c r="X8007" s="3"/>
      <c r="Z8007" s="28"/>
    </row>
    <row r="8008" spans="2:26">
      <c r="B8008" s="2"/>
      <c r="N8008" s="27"/>
      <c r="R8008" s="15"/>
      <c r="X8008" s="3"/>
      <c r="Z8008" s="28"/>
    </row>
    <row r="8009" spans="2:26">
      <c r="B8009" s="2"/>
      <c r="N8009" s="27"/>
      <c r="R8009" s="15"/>
      <c r="X8009" s="3"/>
      <c r="Z8009" s="28"/>
    </row>
    <row r="8010" spans="2:26">
      <c r="B8010" s="2"/>
      <c r="N8010" s="27"/>
      <c r="R8010" s="15"/>
      <c r="X8010" s="3"/>
      <c r="Z8010" s="28"/>
    </row>
    <row r="8011" spans="2:26">
      <c r="B8011" s="2"/>
      <c r="N8011" s="27"/>
      <c r="R8011" s="15"/>
      <c r="X8011" s="3"/>
      <c r="Z8011" s="28"/>
    </row>
    <row r="8012" spans="2:26">
      <c r="B8012" s="2"/>
      <c r="N8012" s="27"/>
      <c r="R8012" s="15"/>
      <c r="X8012" s="3"/>
      <c r="Z8012" s="28"/>
    </row>
    <row r="8013" spans="2:26">
      <c r="B8013" s="2"/>
      <c r="N8013" s="27"/>
      <c r="R8013" s="15"/>
      <c r="X8013" s="3"/>
      <c r="Z8013" s="28"/>
    </row>
    <row r="8014" spans="2:26">
      <c r="B8014" s="2"/>
      <c r="N8014" s="27"/>
      <c r="R8014" s="15"/>
      <c r="X8014" s="3"/>
      <c r="Z8014" s="28"/>
    </row>
    <row r="8015" spans="2:26">
      <c r="B8015" s="2"/>
      <c r="N8015" s="27"/>
      <c r="R8015" s="15"/>
      <c r="X8015" s="3"/>
      <c r="Z8015" s="28"/>
    </row>
    <row r="8016" spans="2:26">
      <c r="B8016" s="2"/>
      <c r="N8016" s="27"/>
      <c r="R8016" s="15"/>
      <c r="X8016" s="3"/>
      <c r="Z8016" s="28"/>
    </row>
    <row r="8017" spans="2:26">
      <c r="B8017" s="2"/>
      <c r="N8017" s="27"/>
      <c r="R8017" s="15"/>
      <c r="X8017" s="3"/>
      <c r="Z8017" s="28"/>
    </row>
    <row r="8018" spans="2:26">
      <c r="B8018" s="2"/>
      <c r="N8018" s="27"/>
      <c r="R8018" s="15"/>
      <c r="X8018" s="3"/>
      <c r="Z8018" s="28"/>
    </row>
    <row r="8019" spans="2:26">
      <c r="B8019" s="2"/>
      <c r="N8019" s="27"/>
      <c r="R8019" s="15"/>
      <c r="X8019" s="3"/>
      <c r="Z8019" s="28"/>
    </row>
    <row r="8020" spans="2:26">
      <c r="B8020" s="2"/>
      <c r="N8020" s="27"/>
      <c r="R8020" s="15"/>
      <c r="X8020" s="3"/>
      <c r="Z8020" s="28"/>
    </row>
    <row r="8021" spans="2:26">
      <c r="B8021" s="2"/>
      <c r="N8021" s="27"/>
      <c r="R8021" s="15"/>
      <c r="X8021" s="3"/>
      <c r="Z8021" s="28"/>
    </row>
    <row r="8022" spans="2:26">
      <c r="B8022" s="2"/>
      <c r="N8022" s="27"/>
      <c r="R8022" s="15"/>
      <c r="X8022" s="3"/>
      <c r="Z8022" s="28"/>
    </row>
    <row r="8023" spans="2:26">
      <c r="B8023" s="2"/>
      <c r="N8023" s="27"/>
      <c r="R8023" s="15"/>
      <c r="X8023" s="3"/>
      <c r="Z8023" s="28"/>
    </row>
    <row r="8024" spans="2:26">
      <c r="B8024" s="2"/>
      <c r="N8024" s="27"/>
      <c r="R8024" s="15"/>
      <c r="X8024" s="3"/>
      <c r="Z8024" s="28"/>
    </row>
    <row r="8025" spans="2:26">
      <c r="B8025" s="2"/>
      <c r="N8025" s="27"/>
      <c r="R8025" s="15"/>
      <c r="X8025" s="3"/>
      <c r="Z8025" s="28"/>
    </row>
    <row r="8026" spans="2:26">
      <c r="B8026" s="2"/>
      <c r="N8026" s="27"/>
      <c r="R8026" s="15"/>
      <c r="X8026" s="3"/>
      <c r="Z8026" s="28"/>
    </row>
    <row r="8027" spans="2:26">
      <c r="B8027" s="2"/>
      <c r="N8027" s="27"/>
      <c r="R8027" s="15"/>
      <c r="X8027" s="3"/>
      <c r="Z8027" s="28"/>
    </row>
    <row r="8028" spans="2:26">
      <c r="B8028" s="2"/>
      <c r="N8028" s="27"/>
      <c r="R8028" s="15"/>
      <c r="X8028" s="3"/>
      <c r="Z8028" s="28"/>
    </row>
    <row r="8029" spans="2:26">
      <c r="B8029" s="2"/>
      <c r="N8029" s="27"/>
      <c r="R8029" s="15"/>
      <c r="X8029" s="3"/>
      <c r="Z8029" s="28"/>
    </row>
    <row r="8030" spans="2:26">
      <c r="B8030" s="2"/>
      <c r="N8030" s="27"/>
      <c r="R8030" s="15"/>
      <c r="X8030" s="3"/>
      <c r="Z8030" s="28"/>
    </row>
    <row r="8031" spans="2:26">
      <c r="B8031" s="2"/>
      <c r="N8031" s="27"/>
      <c r="R8031" s="15"/>
      <c r="X8031" s="3"/>
      <c r="Z8031" s="28"/>
    </row>
    <row r="8032" spans="2:26">
      <c r="B8032" s="2"/>
      <c r="N8032" s="27"/>
      <c r="R8032" s="15"/>
      <c r="X8032" s="3"/>
      <c r="Z8032" s="28"/>
    </row>
    <row r="8033" spans="2:26">
      <c r="B8033" s="2"/>
      <c r="N8033" s="27"/>
      <c r="R8033" s="15"/>
      <c r="X8033" s="3"/>
      <c r="Z8033" s="28"/>
    </row>
    <row r="8034" spans="2:26">
      <c r="B8034" s="2"/>
      <c r="N8034" s="27"/>
      <c r="R8034" s="15"/>
      <c r="X8034" s="3"/>
      <c r="Z8034" s="28"/>
    </row>
    <row r="8035" spans="2:26">
      <c r="B8035" s="2"/>
      <c r="N8035" s="27"/>
      <c r="R8035" s="15"/>
      <c r="X8035" s="3"/>
      <c r="Z8035" s="28"/>
    </row>
    <row r="8036" spans="2:26">
      <c r="B8036" s="2"/>
      <c r="N8036" s="27"/>
      <c r="R8036" s="15"/>
      <c r="X8036" s="3"/>
      <c r="Z8036" s="28"/>
    </row>
    <row r="8037" spans="2:26">
      <c r="B8037" s="2"/>
      <c r="N8037" s="27"/>
      <c r="R8037" s="15"/>
      <c r="X8037" s="3"/>
      <c r="Z8037" s="28"/>
    </row>
    <row r="8038" spans="2:26">
      <c r="B8038" s="2"/>
      <c r="N8038" s="27"/>
      <c r="R8038" s="15"/>
      <c r="X8038" s="3"/>
      <c r="Z8038" s="28"/>
    </row>
    <row r="8039" spans="2:26">
      <c r="B8039" s="2"/>
      <c r="N8039" s="27"/>
      <c r="R8039" s="15"/>
      <c r="X8039" s="3"/>
      <c r="Z8039" s="28"/>
    </row>
    <row r="8040" spans="2:26">
      <c r="B8040" s="2"/>
      <c r="N8040" s="27"/>
      <c r="R8040" s="15"/>
      <c r="X8040" s="3"/>
      <c r="Z8040" s="28"/>
    </row>
    <row r="8041" spans="2:26">
      <c r="B8041" s="2"/>
      <c r="N8041" s="27"/>
      <c r="R8041" s="15"/>
      <c r="X8041" s="3"/>
      <c r="Z8041" s="28"/>
    </row>
    <row r="8042" spans="2:26">
      <c r="B8042" s="2"/>
      <c r="N8042" s="27"/>
      <c r="R8042" s="15"/>
      <c r="X8042" s="3"/>
      <c r="Z8042" s="28"/>
    </row>
    <row r="8043" spans="2:26">
      <c r="B8043" s="2"/>
      <c r="N8043" s="27"/>
      <c r="R8043" s="15"/>
      <c r="X8043" s="3"/>
      <c r="Z8043" s="28"/>
    </row>
    <row r="8044" spans="2:26">
      <c r="B8044" s="2"/>
      <c r="N8044" s="27"/>
      <c r="R8044" s="15"/>
      <c r="X8044" s="3"/>
      <c r="Z8044" s="28"/>
    </row>
    <row r="8045" spans="2:26">
      <c r="B8045" s="2"/>
      <c r="N8045" s="27"/>
      <c r="R8045" s="15"/>
      <c r="X8045" s="3"/>
      <c r="Z8045" s="28"/>
    </row>
    <row r="8046" spans="2:26">
      <c r="B8046" s="2"/>
      <c r="N8046" s="27"/>
      <c r="R8046" s="15"/>
      <c r="X8046" s="3"/>
      <c r="Z8046" s="28"/>
    </row>
    <row r="8047" spans="2:26">
      <c r="B8047" s="2"/>
      <c r="N8047" s="27"/>
      <c r="R8047" s="15"/>
      <c r="X8047" s="3"/>
      <c r="Z8047" s="28"/>
    </row>
    <row r="8048" spans="2:26">
      <c r="B8048" s="2"/>
      <c r="N8048" s="27"/>
      <c r="R8048" s="15"/>
      <c r="X8048" s="3"/>
      <c r="Z8048" s="28"/>
    </row>
    <row r="8049" spans="2:26">
      <c r="B8049" s="2"/>
      <c r="N8049" s="27"/>
      <c r="R8049" s="15"/>
      <c r="X8049" s="3"/>
      <c r="Z8049" s="28"/>
    </row>
    <row r="8050" spans="2:26">
      <c r="B8050" s="2"/>
      <c r="N8050" s="27"/>
      <c r="R8050" s="15"/>
      <c r="X8050" s="3"/>
      <c r="Z8050" s="28"/>
    </row>
    <row r="8051" spans="2:26">
      <c r="B8051" s="2"/>
      <c r="N8051" s="27"/>
      <c r="R8051" s="15"/>
      <c r="X8051" s="3"/>
      <c r="Z8051" s="28"/>
    </row>
    <row r="8052" spans="2:26">
      <c r="B8052" s="2"/>
      <c r="N8052" s="27"/>
      <c r="R8052" s="15"/>
      <c r="X8052" s="3"/>
      <c r="Z8052" s="28"/>
    </row>
    <row r="8053" spans="2:26">
      <c r="B8053" s="2"/>
      <c r="N8053" s="27"/>
      <c r="R8053" s="15"/>
      <c r="X8053" s="3"/>
      <c r="Z8053" s="28"/>
    </row>
    <row r="8054" spans="2:26">
      <c r="B8054" s="2"/>
      <c r="N8054" s="27"/>
      <c r="R8054" s="15"/>
      <c r="X8054" s="3"/>
      <c r="Z8054" s="28"/>
    </row>
    <row r="8055" spans="2:26">
      <c r="B8055" s="2"/>
      <c r="N8055" s="27"/>
      <c r="R8055" s="15"/>
      <c r="X8055" s="3"/>
      <c r="Z8055" s="28"/>
    </row>
    <row r="8056" spans="2:26">
      <c r="B8056" s="2"/>
      <c r="N8056" s="27"/>
      <c r="R8056" s="15"/>
      <c r="X8056" s="3"/>
      <c r="Z8056" s="28"/>
    </row>
    <row r="8057" spans="2:26">
      <c r="B8057" s="2"/>
      <c r="N8057" s="27"/>
      <c r="R8057" s="15"/>
      <c r="X8057" s="3"/>
      <c r="Z8057" s="28"/>
    </row>
    <row r="8058" spans="2:26">
      <c r="B8058" s="2"/>
      <c r="N8058" s="27"/>
      <c r="R8058" s="15"/>
      <c r="X8058" s="3"/>
      <c r="Z8058" s="28"/>
    </row>
    <row r="8059" spans="2:26">
      <c r="B8059" s="2"/>
      <c r="N8059" s="27"/>
      <c r="R8059" s="15"/>
      <c r="X8059" s="3"/>
      <c r="Z8059" s="28"/>
    </row>
    <row r="8060" spans="2:26">
      <c r="B8060" s="2"/>
      <c r="N8060" s="27"/>
      <c r="R8060" s="15"/>
      <c r="X8060" s="3"/>
      <c r="Z8060" s="28"/>
    </row>
    <row r="8061" spans="2:26">
      <c r="B8061" s="2"/>
      <c r="N8061" s="27"/>
      <c r="R8061" s="15"/>
      <c r="X8061" s="3"/>
      <c r="Z8061" s="28"/>
    </row>
    <row r="8062" spans="2:26">
      <c r="B8062" s="2"/>
      <c r="N8062" s="27"/>
      <c r="R8062" s="15"/>
      <c r="X8062" s="3"/>
      <c r="Z8062" s="28"/>
    </row>
    <row r="8063" spans="2:26">
      <c r="B8063" s="2"/>
      <c r="N8063" s="27"/>
      <c r="R8063" s="15"/>
      <c r="X8063" s="3"/>
      <c r="Z8063" s="28"/>
    </row>
    <row r="8064" spans="2:26">
      <c r="B8064" s="2"/>
      <c r="N8064" s="27"/>
      <c r="R8064" s="15"/>
      <c r="X8064" s="3"/>
      <c r="Z8064" s="28"/>
    </row>
    <row r="8065" spans="2:26">
      <c r="B8065" s="2"/>
      <c r="N8065" s="27"/>
      <c r="R8065" s="15"/>
      <c r="X8065" s="3"/>
      <c r="Z8065" s="28"/>
    </row>
    <row r="8066" spans="2:26">
      <c r="B8066" s="2"/>
      <c r="N8066" s="27"/>
      <c r="R8066" s="15"/>
      <c r="X8066" s="3"/>
      <c r="Z8066" s="28"/>
    </row>
    <row r="8067" spans="2:26">
      <c r="B8067" s="2"/>
      <c r="N8067" s="27"/>
      <c r="R8067" s="15"/>
      <c r="X8067" s="3"/>
      <c r="Z8067" s="28"/>
    </row>
    <row r="8068" spans="2:26">
      <c r="B8068" s="2"/>
      <c r="N8068" s="27"/>
      <c r="R8068" s="15"/>
      <c r="X8068" s="3"/>
      <c r="Z8068" s="28"/>
    </row>
    <row r="8069" spans="2:26">
      <c r="B8069" s="2"/>
      <c r="N8069" s="27"/>
      <c r="R8069" s="15"/>
      <c r="X8069" s="3"/>
      <c r="Z8069" s="28"/>
    </row>
    <row r="8070" spans="2:26">
      <c r="B8070" s="2"/>
      <c r="N8070" s="27"/>
      <c r="R8070" s="15"/>
      <c r="X8070" s="3"/>
      <c r="Z8070" s="28"/>
    </row>
    <row r="8071" spans="2:26">
      <c r="B8071" s="2"/>
      <c r="N8071" s="27"/>
      <c r="R8071" s="15"/>
      <c r="X8071" s="3"/>
      <c r="Z8071" s="28"/>
    </row>
    <row r="8072" spans="2:26">
      <c r="B8072" s="2"/>
      <c r="N8072" s="27"/>
      <c r="R8072" s="15"/>
      <c r="X8072" s="3"/>
      <c r="Z8072" s="28"/>
    </row>
    <row r="8073" spans="2:26">
      <c r="B8073" s="2"/>
      <c r="N8073" s="27"/>
      <c r="R8073" s="15"/>
      <c r="X8073" s="3"/>
      <c r="Z8073" s="28"/>
    </row>
    <row r="8074" spans="2:26">
      <c r="B8074" s="2"/>
      <c r="N8074" s="27"/>
      <c r="R8074" s="15"/>
      <c r="X8074" s="3"/>
      <c r="Z8074" s="28"/>
    </row>
    <row r="8075" spans="2:26">
      <c r="B8075" s="2"/>
      <c r="N8075" s="27"/>
      <c r="R8075" s="15"/>
      <c r="X8075" s="3"/>
      <c r="Z8075" s="28"/>
    </row>
    <row r="8076" spans="2:26">
      <c r="B8076" s="2"/>
      <c r="N8076" s="27"/>
      <c r="R8076" s="15"/>
      <c r="X8076" s="3"/>
      <c r="Z8076" s="28"/>
    </row>
    <row r="8077" spans="2:26">
      <c r="B8077" s="2"/>
      <c r="N8077" s="27"/>
      <c r="R8077" s="15"/>
      <c r="X8077" s="3"/>
      <c r="Z8077" s="28"/>
    </row>
    <row r="8078" spans="2:26">
      <c r="B8078" s="2"/>
      <c r="N8078" s="27"/>
      <c r="R8078" s="15"/>
      <c r="X8078" s="3"/>
      <c r="Z8078" s="28"/>
    </row>
    <row r="8079" spans="2:26">
      <c r="B8079" s="2"/>
      <c r="N8079" s="27"/>
      <c r="R8079" s="15"/>
      <c r="X8079" s="3"/>
      <c r="Z8079" s="28"/>
    </row>
    <row r="8080" spans="2:26">
      <c r="B8080" s="2"/>
      <c r="N8080" s="27"/>
      <c r="R8080" s="15"/>
      <c r="X8080" s="3"/>
      <c r="Z8080" s="28"/>
    </row>
    <row r="8081" spans="2:26">
      <c r="B8081" s="2"/>
      <c r="N8081" s="27"/>
      <c r="R8081" s="15"/>
      <c r="X8081" s="3"/>
      <c r="Z8081" s="28"/>
    </row>
    <row r="8082" spans="2:26">
      <c r="B8082" s="2"/>
      <c r="N8082" s="27"/>
      <c r="R8082" s="15"/>
      <c r="X8082" s="3"/>
      <c r="Z8082" s="28"/>
    </row>
    <row r="8083" spans="2:26">
      <c r="B8083" s="2"/>
      <c r="N8083" s="27"/>
      <c r="R8083" s="15"/>
      <c r="X8083" s="3"/>
      <c r="Z8083" s="28"/>
    </row>
    <row r="8084" spans="2:26">
      <c r="B8084" s="2"/>
      <c r="N8084" s="27"/>
      <c r="R8084" s="15"/>
      <c r="X8084" s="3"/>
      <c r="Z8084" s="28"/>
    </row>
    <row r="8085" spans="2:26">
      <c r="B8085" s="2"/>
      <c r="N8085" s="27"/>
      <c r="R8085" s="15"/>
      <c r="X8085" s="3"/>
      <c r="Z8085" s="28"/>
    </row>
    <row r="8086" spans="2:26">
      <c r="B8086" s="2"/>
      <c r="N8086" s="27"/>
      <c r="R8086" s="15"/>
      <c r="X8086" s="3"/>
      <c r="Z8086" s="28"/>
    </row>
    <row r="8087" spans="2:26">
      <c r="B8087" s="2"/>
      <c r="N8087" s="27"/>
      <c r="R8087" s="15"/>
      <c r="X8087" s="3"/>
      <c r="Z8087" s="28"/>
    </row>
    <row r="8088" spans="2:26">
      <c r="B8088" s="2"/>
      <c r="N8088" s="27"/>
      <c r="R8088" s="15"/>
      <c r="X8088" s="3"/>
      <c r="Z8088" s="28"/>
    </row>
    <row r="8089" spans="2:26">
      <c r="B8089" s="2"/>
      <c r="N8089" s="27"/>
      <c r="R8089" s="15"/>
      <c r="X8089" s="3"/>
      <c r="Z8089" s="28"/>
    </row>
    <row r="8090" spans="2:26">
      <c r="B8090" s="2"/>
      <c r="N8090" s="27"/>
      <c r="R8090" s="15"/>
      <c r="X8090" s="3"/>
      <c r="Z8090" s="28"/>
    </row>
    <row r="8091" spans="2:26">
      <c r="B8091" s="2"/>
      <c r="N8091" s="27"/>
      <c r="R8091" s="15"/>
      <c r="X8091" s="3"/>
      <c r="Z8091" s="28"/>
    </row>
    <row r="8092" spans="2:26">
      <c r="B8092" s="2"/>
      <c r="N8092" s="27"/>
      <c r="R8092" s="15"/>
      <c r="X8092" s="3"/>
      <c r="Z8092" s="28"/>
    </row>
    <row r="8093" spans="2:26">
      <c r="B8093" s="2"/>
      <c r="N8093" s="27"/>
      <c r="R8093" s="15"/>
      <c r="X8093" s="3"/>
      <c r="Z8093" s="28"/>
    </row>
    <row r="8094" spans="2:26">
      <c r="B8094" s="2"/>
      <c r="N8094" s="27"/>
      <c r="R8094" s="15"/>
      <c r="X8094" s="3"/>
      <c r="Z8094" s="28"/>
    </row>
    <row r="8095" spans="2:26">
      <c r="B8095" s="2"/>
      <c r="N8095" s="27"/>
      <c r="R8095" s="15"/>
      <c r="X8095" s="3"/>
      <c r="Z8095" s="28"/>
    </row>
    <row r="8096" spans="2:26">
      <c r="B8096" s="2"/>
      <c r="N8096" s="27"/>
      <c r="R8096" s="15"/>
      <c r="X8096" s="3"/>
      <c r="Z8096" s="28"/>
    </row>
    <row r="8097" spans="2:26">
      <c r="B8097" s="2"/>
      <c r="N8097" s="27"/>
      <c r="R8097" s="15"/>
      <c r="X8097" s="3"/>
      <c r="Z8097" s="28"/>
    </row>
    <row r="8098" spans="2:26">
      <c r="B8098" s="2"/>
      <c r="N8098" s="27"/>
      <c r="R8098" s="15"/>
      <c r="X8098" s="3"/>
      <c r="Z8098" s="28"/>
    </row>
    <row r="8099" spans="2:26">
      <c r="B8099" s="2"/>
      <c r="N8099" s="27"/>
      <c r="R8099" s="15"/>
      <c r="X8099" s="3"/>
      <c r="Z8099" s="28"/>
    </row>
    <row r="8100" spans="2:26">
      <c r="B8100" s="2"/>
      <c r="N8100" s="27"/>
      <c r="R8100" s="15"/>
      <c r="X8100" s="3"/>
      <c r="Z8100" s="28"/>
    </row>
    <row r="8101" spans="2:26">
      <c r="B8101" s="2"/>
      <c r="N8101" s="27"/>
      <c r="R8101" s="15"/>
      <c r="X8101" s="3"/>
      <c r="Z8101" s="28"/>
    </row>
    <row r="8102" spans="2:26">
      <c r="B8102" s="2"/>
      <c r="N8102" s="27"/>
      <c r="R8102" s="15"/>
      <c r="X8102" s="3"/>
      <c r="Z8102" s="28"/>
    </row>
    <row r="8103" spans="2:26">
      <c r="B8103" s="2"/>
      <c r="N8103" s="27"/>
      <c r="R8103" s="15"/>
      <c r="X8103" s="3"/>
      <c r="Z8103" s="28"/>
    </row>
    <row r="8104" spans="2:26">
      <c r="B8104" s="2"/>
      <c r="N8104" s="27"/>
      <c r="R8104" s="15"/>
      <c r="X8104" s="3"/>
      <c r="Z8104" s="28"/>
    </row>
    <row r="8105" spans="2:26">
      <c r="B8105" s="2"/>
      <c r="N8105" s="27"/>
      <c r="R8105" s="15"/>
      <c r="X8105" s="3"/>
      <c r="Z8105" s="28"/>
    </row>
    <row r="8106" spans="2:26">
      <c r="B8106" s="2"/>
      <c r="N8106" s="27"/>
      <c r="R8106" s="15"/>
      <c r="X8106" s="3"/>
      <c r="Z8106" s="28"/>
    </row>
    <row r="8107" spans="2:26">
      <c r="B8107" s="2"/>
      <c r="N8107" s="27"/>
      <c r="R8107" s="15"/>
      <c r="X8107" s="3"/>
      <c r="Z8107" s="28"/>
    </row>
    <row r="8108" spans="2:26">
      <c r="B8108" s="2"/>
      <c r="N8108" s="27"/>
      <c r="R8108" s="15"/>
      <c r="X8108" s="3"/>
      <c r="Z8108" s="28"/>
    </row>
    <row r="8109" spans="2:26">
      <c r="B8109" s="2"/>
      <c r="N8109" s="27"/>
      <c r="R8109" s="15"/>
      <c r="X8109" s="3"/>
      <c r="Z8109" s="28"/>
    </row>
    <row r="8110" spans="2:26">
      <c r="B8110" s="2"/>
      <c r="N8110" s="27"/>
      <c r="R8110" s="15"/>
      <c r="X8110" s="3"/>
      <c r="Z8110" s="28"/>
    </row>
    <row r="8111" spans="2:26">
      <c r="B8111" s="2"/>
      <c r="N8111" s="27"/>
      <c r="R8111" s="15"/>
      <c r="X8111" s="3"/>
      <c r="Z8111" s="28"/>
    </row>
    <row r="8112" spans="2:26">
      <c r="B8112" s="2"/>
      <c r="N8112" s="27"/>
      <c r="R8112" s="15"/>
      <c r="X8112" s="3"/>
      <c r="Z8112" s="28"/>
    </row>
    <row r="8113" spans="2:26">
      <c r="B8113" s="2"/>
      <c r="N8113" s="27"/>
      <c r="R8113" s="15"/>
      <c r="X8113" s="3"/>
      <c r="Z8113" s="28"/>
    </row>
    <row r="8114" spans="2:26">
      <c r="B8114" s="2"/>
      <c r="N8114" s="27"/>
      <c r="R8114" s="15"/>
      <c r="X8114" s="3"/>
      <c r="Z8114" s="28"/>
    </row>
    <row r="8115" spans="2:26">
      <c r="B8115" s="2"/>
      <c r="N8115" s="27"/>
      <c r="R8115" s="15"/>
      <c r="X8115" s="3"/>
      <c r="Z8115" s="28"/>
    </row>
    <row r="8116" spans="2:26">
      <c r="B8116" s="2"/>
      <c r="N8116" s="27"/>
      <c r="R8116" s="15"/>
      <c r="X8116" s="3"/>
      <c r="Z8116" s="28"/>
    </row>
    <row r="8117" spans="2:26">
      <c r="B8117" s="2"/>
      <c r="N8117" s="27"/>
      <c r="R8117" s="15"/>
      <c r="X8117" s="3"/>
      <c r="Z8117" s="28"/>
    </row>
    <row r="8118" spans="2:26">
      <c r="B8118" s="2"/>
      <c r="N8118" s="27"/>
      <c r="R8118" s="15"/>
      <c r="X8118" s="3"/>
      <c r="Z8118" s="28"/>
    </row>
    <row r="8119" spans="2:26">
      <c r="B8119" s="2"/>
      <c r="N8119" s="27"/>
      <c r="R8119" s="15"/>
      <c r="X8119" s="3"/>
      <c r="Z8119" s="28"/>
    </row>
    <row r="8120" spans="2:26">
      <c r="B8120" s="2"/>
      <c r="N8120" s="27"/>
      <c r="R8120" s="15"/>
      <c r="X8120" s="3"/>
      <c r="Z8120" s="28"/>
    </row>
    <row r="8121" spans="2:26">
      <c r="B8121" s="2"/>
      <c r="N8121" s="27"/>
      <c r="R8121" s="15"/>
      <c r="X8121" s="3"/>
      <c r="Z8121" s="28"/>
    </row>
    <row r="8122" spans="2:26">
      <c r="B8122" s="2"/>
      <c r="N8122" s="27"/>
      <c r="R8122" s="15"/>
      <c r="X8122" s="3"/>
      <c r="Z8122" s="28"/>
    </row>
    <row r="8123" spans="2:26">
      <c r="B8123" s="2"/>
      <c r="N8123" s="27"/>
      <c r="R8123" s="15"/>
      <c r="X8123" s="3"/>
      <c r="Z8123" s="28"/>
    </row>
    <row r="8124" spans="2:26">
      <c r="B8124" s="2"/>
      <c r="N8124" s="27"/>
      <c r="R8124" s="15"/>
      <c r="X8124" s="3"/>
      <c r="Z8124" s="28"/>
    </row>
    <row r="8125" spans="2:26">
      <c r="B8125" s="2"/>
      <c r="N8125" s="27"/>
      <c r="R8125" s="15"/>
      <c r="X8125" s="3"/>
      <c r="Z8125" s="28"/>
    </row>
    <row r="8126" spans="2:26">
      <c r="B8126" s="2"/>
      <c r="N8126" s="27"/>
      <c r="R8126" s="15"/>
      <c r="X8126" s="3"/>
      <c r="Z8126" s="28"/>
    </row>
    <row r="8127" spans="2:26">
      <c r="B8127" s="2"/>
      <c r="N8127" s="27"/>
      <c r="R8127" s="15"/>
      <c r="X8127" s="3"/>
      <c r="Z8127" s="28"/>
    </row>
    <row r="8128" spans="2:26">
      <c r="B8128" s="2"/>
      <c r="N8128" s="27"/>
      <c r="R8128" s="15"/>
      <c r="X8128" s="3"/>
      <c r="Z8128" s="28"/>
    </row>
    <row r="8129" spans="2:26">
      <c r="B8129" s="2"/>
      <c r="N8129" s="27"/>
      <c r="R8129" s="15"/>
      <c r="X8129" s="3"/>
      <c r="Z8129" s="28"/>
    </row>
    <row r="8130" spans="2:26">
      <c r="B8130" s="2"/>
      <c r="N8130" s="27"/>
      <c r="R8130" s="15"/>
      <c r="X8130" s="3"/>
      <c r="Z8130" s="28"/>
    </row>
    <row r="8131" spans="2:26">
      <c r="B8131" s="2"/>
      <c r="N8131" s="27"/>
      <c r="R8131" s="15"/>
      <c r="X8131" s="3"/>
      <c r="Z8131" s="28"/>
    </row>
    <row r="8132" spans="2:26">
      <c r="B8132" s="2"/>
      <c r="N8132" s="27"/>
      <c r="R8132" s="15"/>
      <c r="X8132" s="3"/>
      <c r="Z8132" s="28"/>
    </row>
    <row r="8133" spans="2:26">
      <c r="B8133" s="2"/>
      <c r="N8133" s="27"/>
      <c r="R8133" s="15"/>
      <c r="X8133" s="3"/>
      <c r="Z8133" s="28"/>
    </row>
    <row r="8134" spans="2:26">
      <c r="B8134" s="2"/>
      <c r="N8134" s="27"/>
      <c r="R8134" s="15"/>
      <c r="X8134" s="3"/>
      <c r="Z8134" s="28"/>
    </row>
    <row r="8135" spans="2:26">
      <c r="B8135" s="2"/>
      <c r="N8135" s="27"/>
      <c r="R8135" s="15"/>
      <c r="X8135" s="3"/>
      <c r="Z8135" s="28"/>
    </row>
    <row r="8136" spans="2:26">
      <c r="B8136" s="2"/>
      <c r="N8136" s="27"/>
      <c r="R8136" s="15"/>
      <c r="X8136" s="3"/>
      <c r="Z8136" s="28"/>
    </row>
    <row r="8137" spans="2:26">
      <c r="B8137" s="2"/>
      <c r="N8137" s="27"/>
      <c r="R8137" s="15"/>
      <c r="X8137" s="3"/>
      <c r="Z8137" s="28"/>
    </row>
    <row r="8138" spans="2:26">
      <c r="B8138" s="2"/>
      <c r="N8138" s="27"/>
      <c r="R8138" s="15"/>
      <c r="X8138" s="3"/>
      <c r="Z8138" s="28"/>
    </row>
    <row r="8139" spans="2:26">
      <c r="B8139" s="2"/>
      <c r="N8139" s="27"/>
      <c r="R8139" s="15"/>
      <c r="X8139" s="3"/>
      <c r="Z8139" s="28"/>
    </row>
    <row r="8140" spans="2:26">
      <c r="B8140" s="2"/>
      <c r="N8140" s="27"/>
      <c r="R8140" s="15"/>
      <c r="X8140" s="3"/>
      <c r="Z8140" s="28"/>
    </row>
    <row r="8141" spans="2:26">
      <c r="B8141" s="2"/>
      <c r="N8141" s="27"/>
      <c r="R8141" s="15"/>
      <c r="X8141" s="3"/>
      <c r="Z8141" s="28"/>
    </row>
    <row r="8142" spans="2:26">
      <c r="B8142" s="2"/>
      <c r="N8142" s="27"/>
      <c r="R8142" s="15"/>
      <c r="X8142" s="3"/>
      <c r="Z8142" s="28"/>
    </row>
    <row r="8143" spans="2:26">
      <c r="B8143" s="2"/>
      <c r="N8143" s="27"/>
      <c r="R8143" s="15"/>
      <c r="X8143" s="3"/>
      <c r="Z8143" s="28"/>
    </row>
    <row r="8144" spans="2:26">
      <c r="B8144" s="2"/>
      <c r="N8144" s="27"/>
      <c r="R8144" s="15"/>
      <c r="X8144" s="3"/>
      <c r="Z8144" s="28"/>
    </row>
    <row r="8145" spans="2:26">
      <c r="B8145" s="2"/>
      <c r="N8145" s="27"/>
      <c r="R8145" s="15"/>
      <c r="X8145" s="3"/>
      <c r="Z8145" s="28"/>
    </row>
    <row r="8146" spans="2:26">
      <c r="B8146" s="2"/>
      <c r="N8146" s="27"/>
      <c r="R8146" s="15"/>
      <c r="X8146" s="3"/>
      <c r="Z8146" s="28"/>
    </row>
    <row r="8147" spans="2:26">
      <c r="B8147" s="2"/>
      <c r="N8147" s="27"/>
      <c r="R8147" s="15"/>
      <c r="X8147" s="3"/>
      <c r="Z8147" s="28"/>
    </row>
    <row r="8148" spans="2:26">
      <c r="B8148" s="2"/>
      <c r="N8148" s="27"/>
      <c r="R8148" s="15"/>
      <c r="X8148" s="3"/>
      <c r="Z8148" s="28"/>
    </row>
    <row r="8149" spans="2:26">
      <c r="B8149" s="2"/>
      <c r="N8149" s="27"/>
      <c r="R8149" s="15"/>
      <c r="X8149" s="3"/>
      <c r="Z8149" s="28"/>
    </row>
    <row r="8150" spans="2:26">
      <c r="B8150" s="2"/>
      <c r="N8150" s="27"/>
      <c r="R8150" s="15"/>
      <c r="X8150" s="3"/>
      <c r="Z8150" s="28"/>
    </row>
    <row r="8151" spans="2:26">
      <c r="B8151" s="2"/>
      <c r="N8151" s="27"/>
      <c r="R8151" s="15"/>
      <c r="X8151" s="3"/>
      <c r="Z8151" s="28"/>
    </row>
    <row r="8152" spans="2:26">
      <c r="B8152" s="2"/>
      <c r="N8152" s="27"/>
      <c r="R8152" s="15"/>
      <c r="X8152" s="3"/>
      <c r="Z8152" s="28"/>
    </row>
    <row r="8153" spans="2:26">
      <c r="B8153" s="2"/>
      <c r="N8153" s="27"/>
      <c r="R8153" s="15"/>
      <c r="X8153" s="3"/>
      <c r="Z8153" s="28"/>
    </row>
    <row r="8154" spans="2:26">
      <c r="B8154" s="2"/>
      <c r="N8154" s="27"/>
      <c r="R8154" s="15"/>
      <c r="X8154" s="3"/>
      <c r="Z8154" s="28"/>
    </row>
    <row r="8155" spans="2:26">
      <c r="B8155" s="2"/>
      <c r="N8155" s="27"/>
      <c r="R8155" s="15"/>
      <c r="X8155" s="3"/>
      <c r="Z8155" s="28"/>
    </row>
    <row r="8156" spans="2:26">
      <c r="B8156" s="2"/>
      <c r="N8156" s="27"/>
      <c r="R8156" s="15"/>
      <c r="X8156" s="3"/>
      <c r="Z8156" s="28"/>
    </row>
    <row r="8157" spans="2:26">
      <c r="B8157" s="2"/>
      <c r="N8157" s="27"/>
      <c r="R8157" s="15"/>
      <c r="X8157" s="3"/>
      <c r="Z8157" s="28"/>
    </row>
    <row r="8158" spans="2:26">
      <c r="B8158" s="2"/>
      <c r="N8158" s="27"/>
      <c r="R8158" s="15"/>
      <c r="X8158" s="3"/>
      <c r="Z8158" s="28"/>
    </row>
    <row r="8159" spans="2:26">
      <c r="B8159" s="2"/>
      <c r="N8159" s="27"/>
      <c r="R8159" s="15"/>
      <c r="X8159" s="3"/>
      <c r="Z8159" s="28"/>
    </row>
    <row r="8160" spans="2:26">
      <c r="B8160" s="2"/>
      <c r="N8160" s="27"/>
      <c r="R8160" s="15"/>
      <c r="X8160" s="3"/>
      <c r="Z8160" s="28"/>
    </row>
    <row r="8161" spans="2:26">
      <c r="B8161" s="2"/>
      <c r="N8161" s="27"/>
      <c r="R8161" s="15"/>
      <c r="X8161" s="3"/>
      <c r="Z8161" s="28"/>
    </row>
    <row r="8162" spans="2:26">
      <c r="B8162" s="2"/>
      <c r="N8162" s="27"/>
      <c r="R8162" s="15"/>
      <c r="X8162" s="3"/>
      <c r="Z8162" s="28"/>
    </row>
    <row r="8163" spans="2:26">
      <c r="B8163" s="2"/>
      <c r="N8163" s="27"/>
      <c r="R8163" s="15"/>
      <c r="X8163" s="3"/>
      <c r="Z8163" s="28"/>
    </row>
    <row r="8164" spans="2:26">
      <c r="B8164" s="2"/>
      <c r="N8164" s="27"/>
      <c r="R8164" s="15"/>
      <c r="X8164" s="3"/>
      <c r="Z8164" s="28"/>
    </row>
    <row r="8165" spans="2:26">
      <c r="B8165" s="2"/>
      <c r="N8165" s="27"/>
      <c r="R8165" s="15"/>
      <c r="X8165" s="3"/>
      <c r="Z8165" s="28"/>
    </row>
    <row r="8166" spans="2:26">
      <c r="B8166" s="2"/>
      <c r="N8166" s="27"/>
      <c r="R8166" s="15"/>
      <c r="X8166" s="3"/>
      <c r="Z8166" s="28"/>
    </row>
    <row r="8167" spans="2:26">
      <c r="B8167" s="2"/>
      <c r="N8167" s="27"/>
      <c r="R8167" s="15"/>
      <c r="X8167" s="3"/>
      <c r="Z8167" s="28"/>
    </row>
    <row r="8168" spans="2:26">
      <c r="B8168" s="2"/>
      <c r="N8168" s="27"/>
      <c r="R8168" s="15"/>
      <c r="X8168" s="3"/>
      <c r="Z8168" s="28"/>
    </row>
    <row r="8169" spans="2:26">
      <c r="B8169" s="2"/>
      <c r="N8169" s="27"/>
      <c r="R8169" s="15"/>
      <c r="X8169" s="3"/>
      <c r="Z8169" s="28"/>
    </row>
    <row r="8170" spans="2:26">
      <c r="B8170" s="2"/>
      <c r="N8170" s="27"/>
      <c r="R8170" s="15"/>
      <c r="X8170" s="3"/>
      <c r="Z8170" s="28"/>
    </row>
    <row r="8171" spans="2:26">
      <c r="B8171" s="2"/>
      <c r="N8171" s="27"/>
      <c r="R8171" s="15"/>
      <c r="X8171" s="3"/>
      <c r="Z8171" s="28"/>
    </row>
    <row r="8172" spans="2:26">
      <c r="B8172" s="2"/>
      <c r="N8172" s="27"/>
      <c r="R8172" s="15"/>
      <c r="X8172" s="3"/>
      <c r="Z8172" s="28"/>
    </row>
    <row r="8173" spans="2:26">
      <c r="B8173" s="2"/>
      <c r="N8173" s="27"/>
      <c r="R8173" s="15"/>
      <c r="X8173" s="3"/>
      <c r="Z8173" s="28"/>
    </row>
    <row r="8174" spans="2:26">
      <c r="B8174" s="2"/>
      <c r="N8174" s="27"/>
      <c r="R8174" s="15"/>
      <c r="X8174" s="3"/>
      <c r="Z8174" s="28"/>
    </row>
    <row r="8175" spans="2:26">
      <c r="B8175" s="2"/>
      <c r="N8175" s="27"/>
      <c r="R8175" s="15"/>
      <c r="X8175" s="3"/>
      <c r="Z8175" s="28"/>
    </row>
    <row r="8176" spans="2:26">
      <c r="B8176" s="2"/>
      <c r="N8176" s="27"/>
      <c r="R8176" s="15"/>
      <c r="X8176" s="3"/>
      <c r="Z8176" s="28"/>
    </row>
    <row r="8177" spans="2:26">
      <c r="B8177" s="2"/>
      <c r="N8177" s="27"/>
      <c r="R8177" s="15"/>
      <c r="X8177" s="3"/>
      <c r="Z8177" s="28"/>
    </row>
    <row r="8178" spans="2:26">
      <c r="B8178" s="2"/>
      <c r="N8178" s="27"/>
      <c r="R8178" s="15"/>
      <c r="X8178" s="3"/>
      <c r="Z8178" s="28"/>
    </row>
    <row r="8179" spans="2:26">
      <c r="B8179" s="2"/>
      <c r="N8179" s="27"/>
      <c r="R8179" s="15"/>
      <c r="X8179" s="3"/>
      <c r="Z8179" s="28"/>
    </row>
    <row r="8180" spans="2:26">
      <c r="B8180" s="2"/>
      <c r="N8180" s="27"/>
      <c r="R8180" s="15"/>
      <c r="X8180" s="3"/>
      <c r="Z8180" s="28"/>
    </row>
    <row r="8181" spans="2:26">
      <c r="B8181" s="2"/>
      <c r="N8181" s="27"/>
      <c r="R8181" s="15"/>
      <c r="X8181" s="3"/>
      <c r="Z8181" s="28"/>
    </row>
    <row r="8182" spans="2:26">
      <c r="B8182" s="2"/>
      <c r="N8182" s="27"/>
      <c r="R8182" s="15"/>
      <c r="X8182" s="3"/>
      <c r="Z8182" s="28"/>
    </row>
    <row r="8183" spans="2:26">
      <c r="B8183" s="2"/>
      <c r="N8183" s="27"/>
      <c r="R8183" s="15"/>
      <c r="X8183" s="3"/>
      <c r="Z8183" s="28"/>
    </row>
    <row r="8184" spans="2:26">
      <c r="B8184" s="2"/>
      <c r="N8184" s="27"/>
      <c r="R8184" s="15"/>
      <c r="X8184" s="3"/>
      <c r="Z8184" s="28"/>
    </row>
    <row r="8185" spans="2:26">
      <c r="B8185" s="2"/>
      <c r="N8185" s="27"/>
      <c r="R8185" s="15"/>
      <c r="X8185" s="3"/>
      <c r="Z8185" s="28"/>
    </row>
    <row r="8186" spans="2:26">
      <c r="B8186" s="2"/>
      <c r="N8186" s="27"/>
      <c r="R8186" s="15"/>
      <c r="X8186" s="3"/>
      <c r="Z8186" s="28"/>
    </row>
    <row r="8187" spans="2:26">
      <c r="B8187" s="2"/>
      <c r="N8187" s="27"/>
      <c r="R8187" s="15"/>
      <c r="X8187" s="3"/>
      <c r="Z8187" s="28"/>
    </row>
    <row r="8188" spans="2:26">
      <c r="B8188" s="2"/>
      <c r="N8188" s="27"/>
      <c r="R8188" s="15"/>
      <c r="X8188" s="3"/>
      <c r="Z8188" s="28"/>
    </row>
    <row r="8189" spans="2:26">
      <c r="B8189" s="2"/>
      <c r="N8189" s="27"/>
      <c r="R8189" s="15"/>
      <c r="X8189" s="3"/>
      <c r="Z8189" s="28"/>
    </row>
    <row r="8190" spans="2:26">
      <c r="B8190" s="2"/>
      <c r="N8190" s="27"/>
      <c r="R8190" s="15"/>
      <c r="X8190" s="3"/>
      <c r="Z8190" s="28"/>
    </row>
    <row r="8191" spans="2:26">
      <c r="B8191" s="2"/>
      <c r="N8191" s="27"/>
      <c r="R8191" s="15"/>
      <c r="X8191" s="3"/>
      <c r="Z8191" s="28"/>
    </row>
    <row r="8192" spans="2:26">
      <c r="B8192" s="2"/>
      <c r="N8192" s="27"/>
      <c r="R8192" s="15"/>
      <c r="X8192" s="3"/>
      <c r="Z8192" s="28"/>
    </row>
    <row r="8193" spans="2:26">
      <c r="B8193" s="2"/>
      <c r="N8193" s="27"/>
      <c r="R8193" s="15"/>
      <c r="X8193" s="3"/>
      <c r="Z8193" s="28"/>
    </row>
    <row r="8194" spans="2:26">
      <c r="B8194" s="2"/>
      <c r="N8194" s="27"/>
      <c r="R8194" s="15"/>
      <c r="X8194" s="3"/>
      <c r="Z8194" s="28"/>
    </row>
    <row r="8195" spans="2:26">
      <c r="B8195" s="2"/>
      <c r="N8195" s="27"/>
      <c r="R8195" s="15"/>
      <c r="X8195" s="3"/>
      <c r="Z8195" s="28"/>
    </row>
    <row r="8196" spans="2:26">
      <c r="B8196" s="2"/>
      <c r="N8196" s="27"/>
      <c r="R8196" s="15"/>
      <c r="X8196" s="3"/>
      <c r="Z8196" s="28"/>
    </row>
    <row r="8197" spans="2:26">
      <c r="B8197" s="2"/>
      <c r="N8197" s="27"/>
      <c r="R8197" s="15"/>
      <c r="X8197" s="3"/>
      <c r="Z8197" s="28"/>
    </row>
    <row r="8198" spans="2:26">
      <c r="B8198" s="2"/>
      <c r="N8198" s="27"/>
      <c r="R8198" s="15"/>
      <c r="X8198" s="3"/>
      <c r="Z8198" s="28"/>
    </row>
    <row r="8199" spans="2:26">
      <c r="B8199" s="2"/>
      <c r="N8199" s="27"/>
      <c r="R8199" s="15"/>
      <c r="X8199" s="3"/>
      <c r="Z8199" s="28"/>
    </row>
    <row r="8200" spans="2:26">
      <c r="B8200" s="2"/>
      <c r="N8200" s="27"/>
      <c r="R8200" s="15"/>
      <c r="X8200" s="3"/>
      <c r="Z8200" s="28"/>
    </row>
    <row r="8201" spans="2:26">
      <c r="B8201" s="2"/>
      <c r="N8201" s="27"/>
      <c r="R8201" s="15"/>
      <c r="X8201" s="3"/>
      <c r="Z8201" s="28"/>
    </row>
    <row r="8202" spans="2:26">
      <c r="B8202" s="2"/>
      <c r="N8202" s="27"/>
      <c r="R8202" s="15"/>
      <c r="X8202" s="3"/>
      <c r="Z8202" s="28"/>
    </row>
    <row r="8203" spans="2:26">
      <c r="B8203" s="2"/>
      <c r="N8203" s="27"/>
      <c r="R8203" s="15"/>
      <c r="X8203" s="3"/>
      <c r="Z8203" s="28"/>
    </row>
    <row r="8204" spans="2:26">
      <c r="B8204" s="2"/>
      <c r="N8204" s="27"/>
      <c r="R8204" s="15"/>
      <c r="X8204" s="3"/>
      <c r="Z8204" s="28"/>
    </row>
    <row r="8205" spans="2:26">
      <c r="B8205" s="2"/>
      <c r="N8205" s="27"/>
      <c r="R8205" s="15"/>
      <c r="X8205" s="3"/>
      <c r="Z8205" s="28"/>
    </row>
    <row r="8206" spans="2:26">
      <c r="B8206" s="2"/>
      <c r="N8206" s="27"/>
      <c r="R8206" s="15"/>
      <c r="X8206" s="3"/>
      <c r="Z8206" s="28"/>
    </row>
    <row r="8207" spans="2:26">
      <c r="B8207" s="2"/>
      <c r="N8207" s="27"/>
      <c r="R8207" s="15"/>
      <c r="X8207" s="3"/>
      <c r="Z8207" s="28"/>
    </row>
    <row r="8208" spans="2:26">
      <c r="B8208" s="2"/>
      <c r="N8208" s="27"/>
      <c r="R8208" s="15"/>
      <c r="X8208" s="3"/>
      <c r="Z8208" s="28"/>
    </row>
    <row r="8209" spans="2:26">
      <c r="B8209" s="2"/>
      <c r="N8209" s="27"/>
      <c r="R8209" s="15"/>
      <c r="X8209" s="3"/>
      <c r="Z8209" s="28"/>
    </row>
    <row r="8210" spans="2:26">
      <c r="B8210" s="2"/>
      <c r="N8210" s="27"/>
      <c r="R8210" s="15"/>
      <c r="X8210" s="3"/>
      <c r="Z8210" s="28"/>
    </row>
    <row r="8211" spans="2:26">
      <c r="B8211" s="2"/>
      <c r="N8211" s="27"/>
      <c r="R8211" s="15"/>
      <c r="X8211" s="3"/>
      <c r="Z8211" s="28"/>
    </row>
    <row r="8212" spans="2:26">
      <c r="B8212" s="2"/>
      <c r="N8212" s="27"/>
      <c r="R8212" s="15"/>
      <c r="X8212" s="3"/>
      <c r="Z8212" s="28"/>
    </row>
    <row r="8213" spans="2:26">
      <c r="B8213" s="2"/>
      <c r="N8213" s="27"/>
      <c r="R8213" s="15"/>
      <c r="X8213" s="3"/>
      <c r="Z8213" s="28"/>
    </row>
    <row r="8214" spans="2:26">
      <c r="B8214" s="2"/>
      <c r="N8214" s="27"/>
      <c r="R8214" s="15"/>
      <c r="X8214" s="3"/>
      <c r="Z8214" s="28"/>
    </row>
    <row r="8215" spans="2:26">
      <c r="B8215" s="2"/>
      <c r="N8215" s="27"/>
      <c r="R8215" s="15"/>
      <c r="X8215" s="3"/>
      <c r="Z8215" s="28"/>
    </row>
    <row r="8216" spans="2:26">
      <c r="B8216" s="2"/>
      <c r="N8216" s="27"/>
      <c r="R8216" s="15"/>
      <c r="X8216" s="3"/>
      <c r="Z8216" s="28"/>
    </row>
    <row r="8217" spans="2:26">
      <c r="B8217" s="2"/>
      <c r="N8217" s="27"/>
      <c r="R8217" s="15"/>
      <c r="X8217" s="3"/>
      <c r="Z8217" s="28"/>
    </row>
    <row r="8218" spans="2:26">
      <c r="B8218" s="2"/>
      <c r="N8218" s="27"/>
      <c r="R8218" s="15"/>
      <c r="X8218" s="3"/>
      <c r="Z8218" s="28"/>
    </row>
    <row r="8219" spans="2:26">
      <c r="B8219" s="2"/>
      <c r="N8219" s="27"/>
      <c r="R8219" s="15"/>
      <c r="X8219" s="3"/>
      <c r="Z8219" s="28"/>
    </row>
    <row r="8220" spans="2:26">
      <c r="B8220" s="2"/>
      <c r="N8220" s="27"/>
      <c r="R8220" s="15"/>
      <c r="X8220" s="3"/>
      <c r="Z8220" s="28"/>
    </row>
    <row r="8221" spans="2:26">
      <c r="B8221" s="2"/>
      <c r="N8221" s="27"/>
      <c r="R8221" s="15"/>
      <c r="X8221" s="3"/>
      <c r="Z8221" s="28"/>
    </row>
    <row r="8222" spans="2:26">
      <c r="B8222" s="2"/>
      <c r="N8222" s="27"/>
      <c r="R8222" s="15"/>
      <c r="X8222" s="3"/>
      <c r="Z8222" s="28"/>
    </row>
    <row r="8223" spans="2:26">
      <c r="B8223" s="2"/>
      <c r="N8223" s="27"/>
      <c r="R8223" s="15"/>
      <c r="X8223" s="3"/>
      <c r="Z8223" s="28"/>
    </row>
    <row r="8224" spans="2:26">
      <c r="B8224" s="2"/>
      <c r="N8224" s="27"/>
      <c r="R8224" s="15"/>
      <c r="X8224" s="3"/>
      <c r="Z8224" s="28"/>
    </row>
    <row r="8225" spans="2:26">
      <c r="B8225" s="2"/>
      <c r="N8225" s="27"/>
      <c r="R8225" s="15"/>
      <c r="X8225" s="3"/>
      <c r="Z8225" s="28"/>
    </row>
    <row r="8226" spans="2:26">
      <c r="B8226" s="2"/>
      <c r="N8226" s="27"/>
      <c r="R8226" s="15"/>
      <c r="X8226" s="3"/>
      <c r="Z8226" s="28"/>
    </row>
    <row r="8227" spans="2:26">
      <c r="B8227" s="2"/>
      <c r="N8227" s="27"/>
      <c r="R8227" s="15"/>
      <c r="X8227" s="3"/>
      <c r="Z8227" s="28"/>
    </row>
    <row r="8228" spans="2:26">
      <c r="B8228" s="2"/>
      <c r="N8228" s="27"/>
      <c r="R8228" s="15"/>
      <c r="X8228" s="3"/>
      <c r="Z8228" s="28"/>
    </row>
    <row r="8229" spans="2:26">
      <c r="B8229" s="2"/>
      <c r="N8229" s="27"/>
      <c r="R8229" s="15"/>
      <c r="X8229" s="3"/>
      <c r="Z8229" s="28"/>
    </row>
    <row r="8230" spans="2:26">
      <c r="B8230" s="2"/>
      <c r="N8230" s="27"/>
      <c r="R8230" s="15"/>
      <c r="X8230" s="3"/>
      <c r="Z8230" s="28"/>
    </row>
    <row r="8231" spans="2:26">
      <c r="B8231" s="2"/>
      <c r="N8231" s="27"/>
      <c r="R8231" s="15"/>
      <c r="X8231" s="3"/>
      <c r="Z8231" s="28"/>
    </row>
    <row r="8232" spans="2:26">
      <c r="B8232" s="2"/>
      <c r="N8232" s="27"/>
      <c r="R8232" s="15"/>
      <c r="X8232" s="3"/>
      <c r="Z8232" s="28"/>
    </row>
    <row r="8233" spans="2:26">
      <c r="B8233" s="2"/>
      <c r="N8233" s="27"/>
      <c r="R8233" s="15"/>
      <c r="X8233" s="3"/>
      <c r="Z8233" s="28"/>
    </row>
    <row r="8234" spans="2:26">
      <c r="B8234" s="2"/>
      <c r="N8234" s="27"/>
      <c r="R8234" s="15"/>
      <c r="X8234" s="3"/>
      <c r="Z8234" s="28"/>
    </row>
    <row r="8235" spans="2:26">
      <c r="B8235" s="2"/>
      <c r="N8235" s="27"/>
      <c r="R8235" s="15"/>
      <c r="X8235" s="3"/>
      <c r="Z8235" s="28"/>
    </row>
    <row r="8236" spans="2:26">
      <c r="B8236" s="2"/>
      <c r="N8236" s="27"/>
      <c r="R8236" s="15"/>
      <c r="X8236" s="3"/>
      <c r="Z8236" s="28"/>
    </row>
    <row r="8237" spans="2:26">
      <c r="B8237" s="2"/>
      <c r="N8237" s="27"/>
      <c r="R8237" s="15"/>
      <c r="X8237" s="3"/>
      <c r="Z8237" s="28"/>
    </row>
    <row r="8238" spans="2:26">
      <c r="B8238" s="2"/>
      <c r="N8238" s="27"/>
      <c r="R8238" s="15"/>
      <c r="X8238" s="3"/>
      <c r="Z8238" s="28"/>
    </row>
    <row r="8239" spans="2:26">
      <c r="B8239" s="2"/>
      <c r="N8239" s="27"/>
      <c r="R8239" s="15"/>
      <c r="X8239" s="3"/>
      <c r="Z8239" s="28"/>
    </row>
    <row r="8240" spans="2:26">
      <c r="B8240" s="2"/>
      <c r="N8240" s="27"/>
      <c r="R8240" s="15"/>
      <c r="X8240" s="3"/>
      <c r="Z8240" s="28"/>
    </row>
    <row r="8241" spans="2:26">
      <c r="B8241" s="2"/>
      <c r="N8241" s="27"/>
      <c r="R8241" s="15"/>
      <c r="X8241" s="3"/>
      <c r="Z8241" s="28"/>
    </row>
    <row r="8242" spans="2:26">
      <c r="B8242" s="2"/>
      <c r="N8242" s="27"/>
      <c r="R8242" s="15"/>
      <c r="X8242" s="3"/>
      <c r="Z8242" s="28"/>
    </row>
    <row r="8243" spans="2:26">
      <c r="B8243" s="2"/>
      <c r="N8243" s="27"/>
      <c r="R8243" s="15"/>
      <c r="X8243" s="3"/>
      <c r="Z8243" s="28"/>
    </row>
    <row r="8244" spans="2:26">
      <c r="B8244" s="2"/>
      <c r="N8244" s="27"/>
      <c r="R8244" s="15"/>
      <c r="X8244" s="3"/>
      <c r="Z8244" s="28"/>
    </row>
    <row r="8245" spans="2:26">
      <c r="B8245" s="2"/>
      <c r="N8245" s="27"/>
      <c r="R8245" s="15"/>
      <c r="X8245" s="3"/>
      <c r="Z8245" s="28"/>
    </row>
    <row r="8246" spans="2:26">
      <c r="B8246" s="2"/>
      <c r="N8246" s="27"/>
      <c r="R8246" s="15"/>
      <c r="X8246" s="3"/>
      <c r="Z8246" s="28"/>
    </row>
    <row r="8247" spans="2:26">
      <c r="B8247" s="2"/>
      <c r="N8247" s="27"/>
      <c r="R8247" s="15"/>
      <c r="X8247" s="3"/>
      <c r="Z8247" s="28"/>
    </row>
    <row r="8248" spans="2:26">
      <c r="B8248" s="2"/>
      <c r="N8248" s="27"/>
      <c r="R8248" s="15"/>
      <c r="X8248" s="3"/>
      <c r="Z8248" s="28"/>
    </row>
    <row r="8249" spans="2:26">
      <c r="B8249" s="2"/>
      <c r="N8249" s="27"/>
      <c r="R8249" s="15"/>
      <c r="X8249" s="3"/>
      <c r="Z8249" s="28"/>
    </row>
    <row r="8250" spans="2:26">
      <c r="B8250" s="2"/>
      <c r="N8250" s="27"/>
      <c r="R8250" s="15"/>
      <c r="X8250" s="3"/>
      <c r="Z8250" s="28"/>
    </row>
    <row r="8251" spans="2:26">
      <c r="B8251" s="2"/>
      <c r="N8251" s="27"/>
      <c r="R8251" s="15"/>
      <c r="X8251" s="3"/>
      <c r="Z8251" s="28"/>
    </row>
    <row r="8252" spans="2:26">
      <c r="B8252" s="2"/>
      <c r="N8252" s="27"/>
      <c r="R8252" s="15"/>
      <c r="X8252" s="3"/>
      <c r="Z8252" s="28"/>
    </row>
    <row r="8253" spans="2:26">
      <c r="B8253" s="2"/>
      <c r="N8253" s="27"/>
      <c r="R8253" s="15"/>
      <c r="X8253" s="3"/>
      <c r="Z8253" s="28"/>
    </row>
    <row r="8254" spans="2:26">
      <c r="B8254" s="2"/>
      <c r="N8254" s="27"/>
      <c r="R8254" s="15"/>
      <c r="X8254" s="3"/>
      <c r="Z8254" s="28"/>
    </row>
    <row r="8255" spans="2:26">
      <c r="B8255" s="2"/>
      <c r="N8255" s="27"/>
      <c r="R8255" s="15"/>
      <c r="X8255" s="3"/>
      <c r="Z8255" s="28"/>
    </row>
    <row r="8256" spans="2:26">
      <c r="B8256" s="2"/>
      <c r="N8256" s="27"/>
      <c r="R8256" s="15"/>
      <c r="X8256" s="3"/>
      <c r="Z8256" s="28"/>
    </row>
    <row r="8257" spans="2:26">
      <c r="B8257" s="2"/>
      <c r="N8257" s="27"/>
      <c r="R8257" s="15"/>
      <c r="X8257" s="3"/>
      <c r="Z8257" s="28"/>
    </row>
    <row r="8258" spans="2:26">
      <c r="B8258" s="2"/>
      <c r="N8258" s="27"/>
      <c r="R8258" s="15"/>
      <c r="X8258" s="3"/>
      <c r="Z8258" s="28"/>
    </row>
    <row r="8259" spans="2:26">
      <c r="B8259" s="2"/>
      <c r="N8259" s="27"/>
      <c r="R8259" s="15"/>
      <c r="X8259" s="3"/>
      <c r="Z8259" s="28"/>
    </row>
    <row r="8260" spans="2:26">
      <c r="B8260" s="2"/>
      <c r="N8260" s="27"/>
      <c r="R8260" s="15"/>
      <c r="X8260" s="3"/>
      <c r="Z8260" s="28"/>
    </row>
    <row r="8261" spans="2:26">
      <c r="B8261" s="2"/>
      <c r="N8261" s="27"/>
      <c r="R8261" s="15"/>
      <c r="X8261" s="3"/>
      <c r="Z8261" s="28"/>
    </row>
    <row r="8262" spans="2:26">
      <c r="B8262" s="2"/>
      <c r="N8262" s="27"/>
      <c r="R8262" s="15"/>
      <c r="X8262" s="3"/>
      <c r="Z8262" s="28"/>
    </row>
    <row r="8263" spans="2:26">
      <c r="B8263" s="2"/>
      <c r="N8263" s="27"/>
      <c r="R8263" s="15"/>
      <c r="X8263" s="3"/>
      <c r="Z8263" s="28"/>
    </row>
    <row r="8264" spans="2:26">
      <c r="B8264" s="2"/>
      <c r="N8264" s="27"/>
      <c r="R8264" s="15"/>
      <c r="X8264" s="3"/>
      <c r="Z8264" s="28"/>
    </row>
    <row r="8265" spans="2:26">
      <c r="B8265" s="2"/>
      <c r="N8265" s="27"/>
      <c r="R8265" s="15"/>
      <c r="X8265" s="3"/>
      <c r="Z8265" s="28"/>
    </row>
    <row r="8266" spans="2:26">
      <c r="B8266" s="2"/>
      <c r="N8266" s="27"/>
      <c r="R8266" s="15"/>
      <c r="X8266" s="3"/>
      <c r="Z8266" s="28"/>
    </row>
    <row r="8267" spans="2:26">
      <c r="B8267" s="2"/>
      <c r="N8267" s="27"/>
      <c r="R8267" s="15"/>
      <c r="X8267" s="3"/>
      <c r="Z8267" s="28"/>
    </row>
    <row r="8268" spans="2:26">
      <c r="B8268" s="2"/>
      <c r="N8268" s="27"/>
      <c r="R8268" s="15"/>
      <c r="X8268" s="3"/>
      <c r="Z8268" s="28"/>
    </row>
    <row r="8269" spans="2:26">
      <c r="B8269" s="2"/>
      <c r="N8269" s="27"/>
      <c r="R8269" s="15"/>
      <c r="X8269" s="3"/>
      <c r="Z8269" s="28"/>
    </row>
    <row r="8270" spans="2:26">
      <c r="B8270" s="2"/>
      <c r="N8270" s="27"/>
      <c r="R8270" s="15"/>
      <c r="X8270" s="3"/>
      <c r="Z8270" s="28"/>
    </row>
    <row r="8271" spans="2:26">
      <c r="B8271" s="2"/>
      <c r="N8271" s="27"/>
      <c r="R8271" s="15"/>
      <c r="X8271" s="3"/>
      <c r="Z8271" s="28"/>
    </row>
    <row r="8272" spans="2:26">
      <c r="B8272" s="2"/>
      <c r="N8272" s="27"/>
      <c r="R8272" s="15"/>
      <c r="X8272" s="3"/>
      <c r="Z8272" s="28"/>
    </row>
    <row r="8273" spans="2:26">
      <c r="B8273" s="2"/>
      <c r="N8273" s="27"/>
      <c r="R8273" s="15"/>
      <c r="X8273" s="3"/>
      <c r="Z8273" s="28"/>
    </row>
    <row r="8274" spans="2:26">
      <c r="B8274" s="2"/>
      <c r="N8274" s="27"/>
      <c r="R8274" s="15"/>
      <c r="X8274" s="3"/>
      <c r="Z8274" s="28"/>
    </row>
    <row r="8275" spans="2:26">
      <c r="B8275" s="2"/>
      <c r="N8275" s="27"/>
      <c r="R8275" s="15"/>
      <c r="X8275" s="3"/>
      <c r="Z8275" s="28"/>
    </row>
    <row r="8276" spans="2:26">
      <c r="B8276" s="2"/>
      <c r="N8276" s="27"/>
      <c r="R8276" s="15"/>
      <c r="X8276" s="3"/>
      <c r="Z8276" s="28"/>
    </row>
    <row r="8277" spans="2:26">
      <c r="B8277" s="2"/>
      <c r="N8277" s="27"/>
      <c r="R8277" s="15"/>
      <c r="X8277" s="3"/>
      <c r="Z8277" s="28"/>
    </row>
    <row r="8278" spans="2:26">
      <c r="B8278" s="2"/>
      <c r="N8278" s="27"/>
      <c r="R8278" s="15"/>
      <c r="X8278" s="3"/>
      <c r="Z8278" s="28"/>
    </row>
    <row r="8279" spans="2:26">
      <c r="B8279" s="2"/>
      <c r="N8279" s="27"/>
      <c r="R8279" s="15"/>
      <c r="X8279" s="3"/>
      <c r="Z8279" s="28"/>
    </row>
    <row r="8280" spans="2:26">
      <c r="B8280" s="2"/>
      <c r="N8280" s="27"/>
      <c r="R8280" s="15"/>
      <c r="X8280" s="3"/>
      <c r="Z8280" s="28"/>
    </row>
    <row r="8281" spans="2:26">
      <c r="B8281" s="2"/>
      <c r="N8281" s="27"/>
      <c r="R8281" s="15"/>
      <c r="X8281" s="3"/>
      <c r="Z8281" s="28"/>
    </row>
    <row r="8282" spans="2:26">
      <c r="B8282" s="2"/>
      <c r="N8282" s="27"/>
      <c r="R8282" s="15"/>
      <c r="X8282" s="3"/>
      <c r="Z8282" s="28"/>
    </row>
    <row r="8283" spans="2:26">
      <c r="B8283" s="2"/>
      <c r="N8283" s="27"/>
      <c r="R8283" s="15"/>
      <c r="X8283" s="3"/>
      <c r="Z8283" s="28"/>
    </row>
    <row r="8284" spans="2:26">
      <c r="B8284" s="2"/>
      <c r="N8284" s="27"/>
      <c r="R8284" s="15"/>
      <c r="X8284" s="3"/>
      <c r="Z8284" s="28"/>
    </row>
    <row r="8285" spans="2:26">
      <c r="B8285" s="2"/>
      <c r="N8285" s="27"/>
      <c r="R8285" s="15"/>
      <c r="X8285" s="3"/>
      <c r="Z8285" s="28"/>
    </row>
    <row r="8286" spans="2:26">
      <c r="B8286" s="2"/>
      <c r="N8286" s="27"/>
      <c r="R8286" s="15"/>
      <c r="X8286" s="3"/>
      <c r="Z8286" s="28"/>
    </row>
    <row r="8287" spans="2:26">
      <c r="B8287" s="2"/>
      <c r="N8287" s="27"/>
      <c r="R8287" s="15"/>
      <c r="X8287" s="3"/>
      <c r="Z8287" s="28"/>
    </row>
    <row r="8288" spans="2:26">
      <c r="B8288" s="2"/>
      <c r="N8288" s="27"/>
      <c r="R8288" s="15"/>
      <c r="X8288" s="3"/>
      <c r="Z8288" s="28"/>
    </row>
    <row r="8289" spans="2:26">
      <c r="B8289" s="2"/>
      <c r="N8289" s="27"/>
      <c r="R8289" s="15"/>
      <c r="X8289" s="3"/>
      <c r="Z8289" s="28"/>
    </row>
    <row r="8290" spans="2:26">
      <c r="B8290" s="2"/>
      <c r="N8290" s="27"/>
      <c r="R8290" s="15"/>
      <c r="X8290" s="3"/>
      <c r="Z8290" s="28"/>
    </row>
    <row r="8291" spans="2:26">
      <c r="B8291" s="2"/>
      <c r="N8291" s="27"/>
      <c r="R8291" s="15"/>
      <c r="X8291" s="3"/>
      <c r="Z8291" s="28"/>
    </row>
    <row r="8292" spans="2:26">
      <c r="B8292" s="2"/>
      <c r="N8292" s="27"/>
      <c r="R8292" s="15"/>
      <c r="X8292" s="3"/>
      <c r="Z8292" s="28"/>
    </row>
    <row r="8293" spans="2:26">
      <c r="B8293" s="2"/>
      <c r="N8293" s="27"/>
      <c r="R8293" s="15"/>
      <c r="X8293" s="3"/>
      <c r="Z8293" s="28"/>
    </row>
    <row r="8294" spans="2:26">
      <c r="B8294" s="2"/>
      <c r="N8294" s="27"/>
      <c r="R8294" s="15"/>
      <c r="X8294" s="3"/>
      <c r="Z8294" s="28"/>
    </row>
    <row r="8295" spans="2:26">
      <c r="B8295" s="2"/>
      <c r="N8295" s="27"/>
      <c r="R8295" s="15"/>
      <c r="X8295" s="3"/>
      <c r="Z8295" s="28"/>
    </row>
    <row r="8296" spans="2:26">
      <c r="B8296" s="2"/>
      <c r="N8296" s="27"/>
      <c r="R8296" s="15"/>
      <c r="X8296" s="3"/>
      <c r="Z8296" s="28"/>
    </row>
    <row r="8297" spans="2:26">
      <c r="B8297" s="2"/>
      <c r="N8297" s="27"/>
      <c r="R8297" s="15"/>
      <c r="X8297" s="3"/>
      <c r="Z8297" s="28"/>
    </row>
    <row r="8298" spans="2:26">
      <c r="B8298" s="2"/>
      <c r="N8298" s="27"/>
      <c r="R8298" s="15"/>
      <c r="X8298" s="3"/>
      <c r="Z8298" s="28"/>
    </row>
    <row r="8299" spans="2:26">
      <c r="B8299" s="2"/>
      <c r="N8299" s="27"/>
      <c r="R8299" s="15"/>
      <c r="X8299" s="3"/>
      <c r="Z8299" s="28"/>
    </row>
    <row r="8300" spans="2:26">
      <c r="B8300" s="2"/>
      <c r="N8300" s="27"/>
      <c r="R8300" s="15"/>
      <c r="X8300" s="3"/>
      <c r="Z8300" s="28"/>
    </row>
    <row r="8301" spans="2:26">
      <c r="B8301" s="2"/>
      <c r="N8301" s="27"/>
      <c r="R8301" s="15"/>
      <c r="X8301" s="3"/>
      <c r="Z8301" s="28"/>
    </row>
    <row r="8302" spans="2:26">
      <c r="B8302" s="2"/>
      <c r="N8302" s="27"/>
      <c r="R8302" s="15"/>
      <c r="X8302" s="3"/>
      <c r="Z8302" s="28"/>
    </row>
    <row r="8303" spans="2:26">
      <c r="B8303" s="2"/>
      <c r="N8303" s="27"/>
      <c r="R8303" s="15"/>
      <c r="X8303" s="3"/>
      <c r="Z8303" s="28"/>
    </row>
    <row r="8304" spans="2:26">
      <c r="B8304" s="2"/>
      <c r="N8304" s="27"/>
      <c r="R8304" s="15"/>
      <c r="X8304" s="3"/>
      <c r="Z8304" s="28"/>
    </row>
    <row r="8305" spans="2:26">
      <c r="B8305" s="2"/>
      <c r="N8305" s="27"/>
      <c r="R8305" s="15"/>
      <c r="X8305" s="3"/>
      <c r="Z8305" s="28"/>
    </row>
    <row r="8306" spans="2:26">
      <c r="B8306" s="2"/>
      <c r="N8306" s="27"/>
      <c r="R8306" s="15"/>
      <c r="X8306" s="3"/>
      <c r="Z8306" s="28"/>
    </row>
    <row r="8307" spans="2:26">
      <c r="B8307" s="2"/>
      <c r="N8307" s="27"/>
      <c r="R8307" s="15"/>
      <c r="X8307" s="3"/>
      <c r="Z8307" s="28"/>
    </row>
    <row r="8308" spans="2:26">
      <c r="B8308" s="2"/>
      <c r="N8308" s="27"/>
      <c r="R8308" s="15"/>
      <c r="X8308" s="3"/>
      <c r="Z8308" s="28"/>
    </row>
    <row r="8309" spans="2:26">
      <c r="B8309" s="2"/>
      <c r="N8309" s="27"/>
      <c r="R8309" s="15"/>
      <c r="X8309" s="3"/>
      <c r="Z8309" s="28"/>
    </row>
    <row r="8310" spans="2:26">
      <c r="B8310" s="2"/>
      <c r="N8310" s="27"/>
      <c r="R8310" s="15"/>
      <c r="X8310" s="3"/>
      <c r="Z8310" s="28"/>
    </row>
    <row r="8311" spans="2:26">
      <c r="B8311" s="2"/>
      <c r="N8311" s="27"/>
      <c r="R8311" s="15"/>
      <c r="X8311" s="3"/>
      <c r="Z8311" s="28"/>
    </row>
    <row r="8312" spans="2:26">
      <c r="B8312" s="2"/>
      <c r="N8312" s="27"/>
      <c r="R8312" s="15"/>
      <c r="X8312" s="3"/>
      <c r="Z8312" s="28"/>
    </row>
    <row r="8313" spans="2:26">
      <c r="B8313" s="2"/>
      <c r="N8313" s="27"/>
      <c r="R8313" s="15"/>
      <c r="X8313" s="3"/>
      <c r="Z8313" s="28"/>
    </row>
    <row r="8314" spans="2:26">
      <c r="B8314" s="2"/>
      <c r="N8314" s="27"/>
      <c r="R8314" s="15"/>
      <c r="X8314" s="3"/>
      <c r="Z8314" s="28"/>
    </row>
    <row r="8315" spans="2:26">
      <c r="B8315" s="2"/>
      <c r="N8315" s="27"/>
      <c r="R8315" s="15"/>
      <c r="X8315" s="3"/>
      <c r="Z8315" s="28"/>
    </row>
    <row r="8316" spans="2:26">
      <c r="B8316" s="2"/>
      <c r="N8316" s="27"/>
      <c r="R8316" s="15"/>
      <c r="X8316" s="3"/>
      <c r="Z8316" s="28"/>
    </row>
    <row r="8317" spans="2:26">
      <c r="B8317" s="2"/>
      <c r="N8317" s="27"/>
      <c r="R8317" s="15"/>
      <c r="X8317" s="3"/>
      <c r="Z8317" s="28"/>
    </row>
    <row r="8318" spans="2:26">
      <c r="B8318" s="2"/>
      <c r="N8318" s="27"/>
      <c r="R8318" s="15"/>
      <c r="X8318" s="3"/>
      <c r="Z8318" s="28"/>
    </row>
    <row r="8319" spans="2:26">
      <c r="B8319" s="2"/>
      <c r="N8319" s="27"/>
      <c r="R8319" s="15"/>
      <c r="X8319" s="3"/>
      <c r="Z8319" s="28"/>
    </row>
    <row r="8320" spans="2:26">
      <c r="B8320" s="2"/>
      <c r="N8320" s="27"/>
      <c r="R8320" s="15"/>
      <c r="X8320" s="3"/>
      <c r="Z8320" s="28"/>
    </row>
    <row r="8321" spans="2:26">
      <c r="B8321" s="2"/>
      <c r="N8321" s="27"/>
      <c r="R8321" s="15"/>
      <c r="X8321" s="3"/>
      <c r="Z8321" s="28"/>
    </row>
    <row r="8322" spans="2:26">
      <c r="B8322" s="2"/>
      <c r="N8322" s="27"/>
      <c r="R8322" s="15"/>
      <c r="X8322" s="3"/>
      <c r="Z8322" s="28"/>
    </row>
    <row r="8323" spans="2:26">
      <c r="B8323" s="2"/>
      <c r="N8323" s="27"/>
      <c r="R8323" s="15"/>
      <c r="X8323" s="3"/>
      <c r="Z8323" s="28"/>
    </row>
    <row r="8324" spans="2:26">
      <c r="B8324" s="2"/>
      <c r="N8324" s="27"/>
      <c r="R8324" s="15"/>
      <c r="X8324" s="3"/>
      <c r="Z8324" s="28"/>
    </row>
    <row r="8325" spans="2:26">
      <c r="B8325" s="2"/>
      <c r="N8325" s="27"/>
      <c r="R8325" s="15"/>
      <c r="X8325" s="3"/>
      <c r="Z8325" s="28"/>
    </row>
    <row r="8326" spans="2:26">
      <c r="B8326" s="2"/>
      <c r="N8326" s="27"/>
      <c r="R8326" s="15"/>
      <c r="X8326" s="3"/>
      <c r="Z8326" s="28"/>
    </row>
    <row r="8327" spans="2:26">
      <c r="B8327" s="2"/>
      <c r="N8327" s="27"/>
      <c r="R8327" s="15"/>
      <c r="X8327" s="3"/>
      <c r="Z8327" s="28"/>
    </row>
    <row r="8328" spans="2:26">
      <c r="B8328" s="2"/>
      <c r="N8328" s="27"/>
      <c r="R8328" s="15"/>
      <c r="X8328" s="3"/>
      <c r="Z8328" s="28"/>
    </row>
    <row r="8329" spans="2:26">
      <c r="B8329" s="2"/>
      <c r="N8329" s="27"/>
      <c r="R8329" s="15"/>
      <c r="X8329" s="3"/>
      <c r="Z8329" s="28"/>
    </row>
    <row r="8330" spans="2:26">
      <c r="B8330" s="2"/>
      <c r="N8330" s="27"/>
      <c r="R8330" s="15"/>
      <c r="X8330" s="3"/>
      <c r="Z8330" s="28"/>
    </row>
    <row r="8331" spans="2:26">
      <c r="B8331" s="2"/>
      <c r="N8331" s="27"/>
      <c r="R8331" s="15"/>
      <c r="X8331" s="3"/>
      <c r="Z8331" s="28"/>
    </row>
    <row r="8332" spans="2:26">
      <c r="B8332" s="2"/>
      <c r="N8332" s="27"/>
      <c r="R8332" s="15"/>
      <c r="X8332" s="3"/>
      <c r="Z8332" s="28"/>
    </row>
    <row r="8333" spans="2:26">
      <c r="B8333" s="2"/>
      <c r="N8333" s="27"/>
      <c r="R8333" s="15"/>
      <c r="X8333" s="3"/>
      <c r="Z8333" s="28"/>
    </row>
    <row r="8334" spans="2:26">
      <c r="B8334" s="2"/>
      <c r="N8334" s="27"/>
      <c r="R8334" s="15"/>
      <c r="X8334" s="3"/>
      <c r="Z8334" s="28"/>
    </row>
    <row r="8335" spans="2:26">
      <c r="B8335" s="2"/>
      <c r="N8335" s="27"/>
      <c r="R8335" s="15"/>
      <c r="X8335" s="3"/>
      <c r="Z8335" s="28"/>
    </row>
    <row r="8336" spans="2:26">
      <c r="B8336" s="2"/>
      <c r="N8336" s="27"/>
      <c r="R8336" s="15"/>
      <c r="X8336" s="3"/>
      <c r="Z8336" s="28"/>
    </row>
    <row r="8337" spans="2:26">
      <c r="B8337" s="2"/>
      <c r="N8337" s="27"/>
      <c r="R8337" s="15"/>
      <c r="X8337" s="3"/>
      <c r="Z8337" s="28"/>
    </row>
    <row r="8338" spans="2:26">
      <c r="B8338" s="2"/>
      <c r="N8338" s="27"/>
      <c r="R8338" s="15"/>
      <c r="X8338" s="3"/>
      <c r="Z8338" s="28"/>
    </row>
    <row r="8339" spans="2:26">
      <c r="B8339" s="2"/>
      <c r="N8339" s="27"/>
      <c r="R8339" s="15"/>
      <c r="X8339" s="3"/>
      <c r="Z8339" s="28"/>
    </row>
    <row r="8340" spans="2:26">
      <c r="B8340" s="2"/>
      <c r="N8340" s="27"/>
      <c r="R8340" s="15"/>
      <c r="X8340" s="3"/>
      <c r="Z8340" s="28"/>
    </row>
    <row r="8341" spans="2:26">
      <c r="B8341" s="2"/>
      <c r="N8341" s="27"/>
      <c r="R8341" s="15"/>
      <c r="X8341" s="3"/>
      <c r="Z8341" s="28"/>
    </row>
    <row r="8342" spans="2:26">
      <c r="B8342" s="2"/>
      <c r="N8342" s="27"/>
      <c r="R8342" s="15"/>
      <c r="X8342" s="3"/>
      <c r="Z8342" s="28"/>
    </row>
    <row r="8343" spans="2:26">
      <c r="B8343" s="2"/>
      <c r="N8343" s="27"/>
      <c r="R8343" s="15"/>
      <c r="X8343" s="3"/>
      <c r="Z8343" s="28"/>
    </row>
    <row r="8344" spans="2:26">
      <c r="B8344" s="2"/>
      <c r="N8344" s="27"/>
      <c r="R8344" s="15"/>
      <c r="X8344" s="3"/>
      <c r="Z8344" s="28"/>
    </row>
    <row r="8345" spans="2:26">
      <c r="B8345" s="2"/>
      <c r="N8345" s="27"/>
      <c r="R8345" s="15"/>
      <c r="X8345" s="3"/>
      <c r="Z8345" s="28"/>
    </row>
    <row r="8346" spans="2:26">
      <c r="B8346" s="2"/>
      <c r="N8346" s="27"/>
      <c r="R8346" s="15"/>
      <c r="X8346" s="3"/>
      <c r="Z8346" s="28"/>
    </row>
    <row r="8347" spans="2:26">
      <c r="B8347" s="2"/>
      <c r="N8347" s="27"/>
      <c r="R8347" s="15"/>
      <c r="X8347" s="3"/>
      <c r="Z8347" s="28"/>
    </row>
    <row r="8348" spans="2:26">
      <c r="B8348" s="2"/>
      <c r="N8348" s="27"/>
      <c r="R8348" s="15"/>
      <c r="X8348" s="3"/>
      <c r="Z8348" s="28"/>
    </row>
    <row r="8349" spans="2:26">
      <c r="B8349" s="2"/>
      <c r="N8349" s="27"/>
      <c r="R8349" s="15"/>
      <c r="X8349" s="3"/>
      <c r="Z8349" s="28"/>
    </row>
    <row r="8350" spans="2:26">
      <c r="B8350" s="2"/>
      <c r="N8350" s="27"/>
      <c r="R8350" s="15"/>
      <c r="X8350" s="3"/>
      <c r="Z8350" s="28"/>
    </row>
    <row r="8351" spans="2:26">
      <c r="B8351" s="2"/>
      <c r="N8351" s="27"/>
      <c r="R8351" s="15"/>
      <c r="X8351" s="3"/>
      <c r="Z8351" s="28"/>
    </row>
    <row r="8352" spans="2:26">
      <c r="B8352" s="2"/>
      <c r="N8352" s="27"/>
      <c r="R8352" s="15"/>
      <c r="X8352" s="3"/>
      <c r="Z8352" s="28"/>
    </row>
    <row r="8353" spans="2:26">
      <c r="B8353" s="2"/>
      <c r="N8353" s="27"/>
      <c r="R8353" s="15"/>
      <c r="X8353" s="3"/>
      <c r="Z8353" s="28"/>
    </row>
    <row r="8354" spans="2:26">
      <c r="B8354" s="2"/>
      <c r="N8354" s="27"/>
      <c r="R8354" s="15"/>
      <c r="X8354" s="3"/>
      <c r="Z8354" s="28"/>
    </row>
    <row r="8355" spans="2:26">
      <c r="B8355" s="2"/>
      <c r="N8355" s="27"/>
      <c r="R8355" s="15"/>
      <c r="X8355" s="3"/>
      <c r="Z8355" s="28"/>
    </row>
    <row r="8356" spans="2:26">
      <c r="B8356" s="2"/>
      <c r="N8356" s="27"/>
      <c r="R8356" s="15"/>
      <c r="X8356" s="3"/>
      <c r="Z8356" s="28"/>
    </row>
    <row r="8357" spans="2:26">
      <c r="B8357" s="2"/>
      <c r="N8357" s="27"/>
      <c r="R8357" s="15"/>
      <c r="X8357" s="3"/>
      <c r="Z8357" s="28"/>
    </row>
    <row r="8358" spans="2:26">
      <c r="B8358" s="2"/>
      <c r="N8358" s="27"/>
      <c r="R8358" s="15"/>
      <c r="X8358" s="3"/>
      <c r="Z8358" s="28"/>
    </row>
    <row r="8359" spans="2:26">
      <c r="B8359" s="2"/>
      <c r="N8359" s="27"/>
      <c r="R8359" s="15"/>
      <c r="X8359" s="3"/>
      <c r="Z8359" s="28"/>
    </row>
    <row r="8360" spans="2:26">
      <c r="B8360" s="2"/>
      <c r="N8360" s="27"/>
      <c r="R8360" s="15"/>
      <c r="X8360" s="3"/>
      <c r="Z8360" s="28"/>
    </row>
    <row r="8361" spans="2:26">
      <c r="B8361" s="2"/>
      <c r="N8361" s="27"/>
      <c r="R8361" s="15"/>
      <c r="X8361" s="3"/>
      <c r="Z8361" s="28"/>
    </row>
    <row r="8362" spans="2:26">
      <c r="B8362" s="2"/>
      <c r="N8362" s="27"/>
      <c r="R8362" s="15"/>
      <c r="X8362" s="3"/>
      <c r="Z8362" s="28"/>
    </row>
    <row r="8363" spans="2:26">
      <c r="B8363" s="2"/>
      <c r="N8363" s="27"/>
      <c r="R8363" s="15"/>
      <c r="X8363" s="3"/>
      <c r="Z8363" s="28"/>
    </row>
    <row r="8364" spans="2:26">
      <c r="B8364" s="2"/>
      <c r="N8364" s="27"/>
      <c r="R8364" s="15"/>
      <c r="X8364" s="3"/>
      <c r="Z8364" s="28"/>
    </row>
    <row r="8365" spans="2:26">
      <c r="B8365" s="2"/>
      <c r="N8365" s="27"/>
      <c r="R8365" s="15"/>
      <c r="X8365" s="3"/>
      <c r="Z8365" s="28"/>
    </row>
    <row r="8366" spans="2:26">
      <c r="B8366" s="2"/>
      <c r="N8366" s="27"/>
      <c r="R8366" s="15"/>
      <c r="X8366" s="3"/>
      <c r="Z8366" s="28"/>
    </row>
    <row r="8367" spans="2:26">
      <c r="B8367" s="2"/>
      <c r="N8367" s="27"/>
      <c r="R8367" s="15"/>
      <c r="X8367" s="3"/>
      <c r="Z8367" s="28"/>
    </row>
    <row r="8368" spans="2:26">
      <c r="B8368" s="2"/>
      <c r="N8368" s="27"/>
      <c r="R8368" s="15"/>
      <c r="X8368" s="3"/>
      <c r="Z8368" s="28"/>
    </row>
    <row r="8369" spans="2:26">
      <c r="B8369" s="2"/>
      <c r="N8369" s="27"/>
      <c r="R8369" s="15"/>
      <c r="X8369" s="3"/>
      <c r="Z8369" s="28"/>
    </row>
    <row r="8370" spans="2:26">
      <c r="B8370" s="2"/>
      <c r="N8370" s="27"/>
      <c r="R8370" s="15"/>
      <c r="X8370" s="3"/>
      <c r="Z8370" s="28"/>
    </row>
    <row r="8371" spans="2:26">
      <c r="B8371" s="2"/>
      <c r="N8371" s="27"/>
      <c r="R8371" s="15"/>
      <c r="X8371" s="3"/>
      <c r="Z8371" s="28"/>
    </row>
    <row r="8372" spans="2:26">
      <c r="B8372" s="2"/>
      <c r="N8372" s="27"/>
      <c r="R8372" s="15"/>
      <c r="X8372" s="3"/>
      <c r="Z8372" s="28"/>
    </row>
    <row r="8373" spans="2:26">
      <c r="B8373" s="2"/>
      <c r="N8373" s="27"/>
      <c r="R8373" s="15"/>
      <c r="X8373" s="3"/>
      <c r="Z8373" s="28"/>
    </row>
    <row r="8374" spans="2:26">
      <c r="B8374" s="2"/>
      <c r="N8374" s="27"/>
      <c r="R8374" s="15"/>
      <c r="X8374" s="3"/>
      <c r="Z8374" s="28"/>
    </row>
    <row r="8375" spans="2:26">
      <c r="B8375" s="2"/>
      <c r="N8375" s="27"/>
      <c r="R8375" s="15"/>
      <c r="X8375" s="3"/>
      <c r="Z8375" s="28"/>
    </row>
    <row r="8376" spans="2:26">
      <c r="B8376" s="2"/>
      <c r="N8376" s="27"/>
      <c r="R8376" s="15"/>
      <c r="X8376" s="3"/>
      <c r="Z8376" s="28"/>
    </row>
    <row r="8377" spans="2:26">
      <c r="B8377" s="2"/>
      <c r="N8377" s="27"/>
      <c r="R8377" s="15"/>
      <c r="X8377" s="3"/>
      <c r="Z8377" s="28"/>
    </row>
    <row r="8378" spans="2:26">
      <c r="B8378" s="2"/>
      <c r="N8378" s="27"/>
      <c r="R8378" s="15"/>
      <c r="X8378" s="3"/>
      <c r="Z8378" s="28"/>
    </row>
    <row r="8379" spans="2:26">
      <c r="B8379" s="2"/>
      <c r="N8379" s="27"/>
      <c r="R8379" s="15"/>
      <c r="X8379" s="3"/>
      <c r="Z8379" s="28"/>
    </row>
    <row r="8380" spans="2:26">
      <c r="B8380" s="2"/>
      <c r="N8380" s="27"/>
      <c r="R8380" s="15"/>
      <c r="X8380" s="3"/>
      <c r="Z8380" s="28"/>
    </row>
    <row r="8381" spans="2:26">
      <c r="B8381" s="2"/>
      <c r="N8381" s="27"/>
      <c r="R8381" s="15"/>
      <c r="X8381" s="3"/>
      <c r="Z8381" s="28"/>
    </row>
    <row r="8382" spans="2:26">
      <c r="B8382" s="2"/>
      <c r="N8382" s="27"/>
      <c r="R8382" s="15"/>
      <c r="X8382" s="3"/>
      <c r="Z8382" s="28"/>
    </row>
    <row r="8383" spans="2:26">
      <c r="B8383" s="2"/>
      <c r="N8383" s="27"/>
      <c r="R8383" s="15"/>
      <c r="X8383" s="3"/>
      <c r="Z8383" s="28"/>
    </row>
    <row r="8384" spans="2:26">
      <c r="B8384" s="2"/>
      <c r="N8384" s="27"/>
      <c r="R8384" s="15"/>
      <c r="X8384" s="3"/>
      <c r="Z8384" s="28"/>
    </row>
    <row r="8385" spans="2:26">
      <c r="B8385" s="2"/>
      <c r="N8385" s="27"/>
      <c r="R8385" s="15"/>
      <c r="X8385" s="3"/>
      <c r="Z8385" s="28"/>
    </row>
    <row r="8386" spans="2:26">
      <c r="B8386" s="2"/>
      <c r="N8386" s="27"/>
      <c r="R8386" s="15"/>
      <c r="X8386" s="3"/>
      <c r="Z8386" s="28"/>
    </row>
    <row r="8387" spans="2:26">
      <c r="B8387" s="2"/>
      <c r="N8387" s="27"/>
      <c r="R8387" s="15"/>
      <c r="X8387" s="3"/>
      <c r="Z8387" s="28"/>
    </row>
    <row r="8388" spans="2:26">
      <c r="B8388" s="2"/>
      <c r="N8388" s="27"/>
      <c r="R8388" s="15"/>
      <c r="X8388" s="3"/>
      <c r="Z8388" s="28"/>
    </row>
    <row r="8389" spans="2:26">
      <c r="B8389" s="2"/>
      <c r="N8389" s="27"/>
      <c r="R8389" s="15"/>
      <c r="X8389" s="3"/>
      <c r="Z8389" s="28"/>
    </row>
    <row r="8390" spans="2:26">
      <c r="B8390" s="2"/>
      <c r="N8390" s="27"/>
      <c r="R8390" s="15"/>
      <c r="X8390" s="3"/>
      <c r="Z8390" s="28"/>
    </row>
    <row r="8391" spans="2:26">
      <c r="B8391" s="2"/>
      <c r="N8391" s="27"/>
      <c r="R8391" s="15"/>
      <c r="X8391" s="3"/>
      <c r="Z8391" s="28"/>
    </row>
    <row r="8392" spans="2:26">
      <c r="B8392" s="2"/>
      <c r="N8392" s="27"/>
      <c r="R8392" s="15"/>
      <c r="X8392" s="3"/>
      <c r="Z8392" s="28"/>
    </row>
    <row r="8393" spans="2:26">
      <c r="B8393" s="2"/>
      <c r="N8393" s="27"/>
      <c r="R8393" s="15"/>
      <c r="X8393" s="3"/>
      <c r="Z8393" s="28"/>
    </row>
    <row r="8394" spans="2:26">
      <c r="B8394" s="2"/>
      <c r="N8394" s="27"/>
      <c r="R8394" s="15"/>
      <c r="X8394" s="3"/>
      <c r="Z8394" s="28"/>
    </row>
    <row r="8395" spans="2:26">
      <c r="B8395" s="2"/>
      <c r="N8395" s="27"/>
      <c r="R8395" s="15"/>
      <c r="X8395" s="3"/>
      <c r="Z8395" s="28"/>
    </row>
    <row r="8396" spans="2:26">
      <c r="B8396" s="2"/>
      <c r="N8396" s="27"/>
      <c r="R8396" s="15"/>
      <c r="X8396" s="3"/>
      <c r="Z8396" s="28"/>
    </row>
    <row r="8397" spans="2:26">
      <c r="B8397" s="2"/>
      <c r="N8397" s="27"/>
      <c r="R8397" s="15"/>
      <c r="X8397" s="3"/>
      <c r="Z8397" s="28"/>
    </row>
    <row r="8398" spans="2:26">
      <c r="B8398" s="2"/>
      <c r="N8398" s="27"/>
      <c r="R8398" s="15"/>
      <c r="X8398" s="3"/>
      <c r="Z8398" s="28"/>
    </row>
    <row r="8399" spans="2:26">
      <c r="B8399" s="2"/>
      <c r="N8399" s="27"/>
      <c r="R8399" s="15"/>
      <c r="X8399" s="3"/>
      <c r="Z8399" s="28"/>
    </row>
    <row r="8400" spans="2:26">
      <c r="B8400" s="2"/>
      <c r="N8400" s="27"/>
      <c r="R8400" s="15"/>
      <c r="X8400" s="3"/>
      <c r="Z8400" s="28"/>
    </row>
    <row r="8401" spans="2:26">
      <c r="B8401" s="2"/>
      <c r="N8401" s="27"/>
      <c r="R8401" s="15"/>
      <c r="X8401" s="3"/>
      <c r="Z8401" s="28"/>
    </row>
    <row r="8402" spans="2:26">
      <c r="B8402" s="2"/>
      <c r="N8402" s="27"/>
      <c r="R8402" s="15"/>
      <c r="X8402" s="3"/>
      <c r="Z8402" s="28"/>
    </row>
    <row r="8403" spans="2:26">
      <c r="B8403" s="2"/>
      <c r="N8403" s="27"/>
      <c r="R8403" s="15"/>
      <c r="X8403" s="3"/>
      <c r="Z8403" s="28"/>
    </row>
    <row r="8404" spans="2:26">
      <c r="B8404" s="2"/>
      <c r="N8404" s="27"/>
      <c r="R8404" s="15"/>
      <c r="X8404" s="3"/>
      <c r="Z8404" s="28"/>
    </row>
    <row r="8405" spans="2:26">
      <c r="B8405" s="2"/>
      <c r="N8405" s="27"/>
      <c r="R8405" s="15"/>
      <c r="X8405" s="3"/>
      <c r="Z8405" s="28"/>
    </row>
    <row r="8406" spans="2:26">
      <c r="B8406" s="2"/>
      <c r="N8406" s="27"/>
      <c r="R8406" s="15"/>
      <c r="X8406" s="3"/>
      <c r="Z8406" s="28"/>
    </row>
    <row r="8407" spans="2:26">
      <c r="B8407" s="2"/>
      <c r="N8407" s="27"/>
      <c r="R8407" s="15"/>
      <c r="X8407" s="3"/>
      <c r="Z8407" s="28"/>
    </row>
    <row r="8408" spans="2:26">
      <c r="B8408" s="2"/>
      <c r="N8408" s="27"/>
      <c r="R8408" s="15"/>
      <c r="X8408" s="3"/>
      <c r="Z8408" s="28"/>
    </row>
    <row r="8409" spans="2:26">
      <c r="B8409" s="2"/>
      <c r="N8409" s="27"/>
      <c r="R8409" s="15"/>
      <c r="X8409" s="3"/>
      <c r="Z8409" s="28"/>
    </row>
    <row r="8410" spans="2:26">
      <c r="B8410" s="2"/>
      <c r="N8410" s="27"/>
      <c r="R8410" s="15"/>
      <c r="X8410" s="3"/>
      <c r="Z8410" s="28"/>
    </row>
    <row r="8411" spans="2:26">
      <c r="B8411" s="2"/>
      <c r="N8411" s="27"/>
      <c r="R8411" s="15"/>
      <c r="X8411" s="3"/>
      <c r="Z8411" s="28"/>
    </row>
    <row r="8412" spans="2:26">
      <c r="B8412" s="2"/>
      <c r="N8412" s="27"/>
      <c r="R8412" s="15"/>
      <c r="X8412" s="3"/>
      <c r="Z8412" s="28"/>
    </row>
    <row r="8413" spans="2:26">
      <c r="B8413" s="2"/>
      <c r="N8413" s="27"/>
      <c r="R8413" s="15"/>
      <c r="X8413" s="3"/>
      <c r="Z8413" s="28"/>
    </row>
    <row r="8414" spans="2:26">
      <c r="B8414" s="2"/>
      <c r="N8414" s="27"/>
      <c r="R8414" s="15"/>
      <c r="X8414" s="3"/>
      <c r="Z8414" s="28"/>
    </row>
    <row r="8415" spans="2:26">
      <c r="B8415" s="2"/>
      <c r="N8415" s="27"/>
      <c r="R8415" s="15"/>
      <c r="X8415" s="3"/>
      <c r="Z8415" s="28"/>
    </row>
    <row r="8416" spans="2:26">
      <c r="B8416" s="2"/>
      <c r="N8416" s="27"/>
      <c r="R8416" s="15"/>
      <c r="X8416" s="3"/>
      <c r="Z8416" s="28"/>
    </row>
    <row r="8417" spans="2:26">
      <c r="B8417" s="2"/>
      <c r="N8417" s="27"/>
      <c r="R8417" s="15"/>
      <c r="X8417" s="3"/>
      <c r="Z8417" s="28"/>
    </row>
    <row r="8418" spans="2:26">
      <c r="B8418" s="2"/>
      <c r="N8418" s="27"/>
      <c r="R8418" s="15"/>
      <c r="X8418" s="3"/>
      <c r="Z8418" s="28"/>
    </row>
    <row r="8419" spans="2:26">
      <c r="B8419" s="2"/>
      <c r="N8419" s="27"/>
      <c r="R8419" s="15"/>
      <c r="X8419" s="3"/>
      <c r="Z8419" s="28"/>
    </row>
    <row r="8420" spans="2:26">
      <c r="B8420" s="2"/>
      <c r="N8420" s="27"/>
      <c r="R8420" s="15"/>
      <c r="X8420" s="3"/>
      <c r="Z8420" s="28"/>
    </row>
    <row r="8421" spans="2:26">
      <c r="B8421" s="2"/>
      <c r="N8421" s="27"/>
      <c r="R8421" s="15"/>
      <c r="X8421" s="3"/>
      <c r="Z8421" s="28"/>
    </row>
    <row r="8422" spans="2:26">
      <c r="B8422" s="2"/>
      <c r="N8422" s="27"/>
      <c r="R8422" s="15"/>
      <c r="X8422" s="3"/>
      <c r="Z8422" s="28"/>
    </row>
    <row r="8423" spans="2:26">
      <c r="B8423" s="2"/>
      <c r="N8423" s="27"/>
      <c r="R8423" s="15"/>
      <c r="X8423" s="3"/>
      <c r="Z8423" s="28"/>
    </row>
    <row r="8424" spans="2:26">
      <c r="B8424" s="2"/>
      <c r="N8424" s="27"/>
      <c r="R8424" s="15"/>
      <c r="X8424" s="3"/>
      <c r="Z8424" s="28"/>
    </row>
    <row r="8425" spans="2:26">
      <c r="B8425" s="2"/>
      <c r="N8425" s="27"/>
      <c r="R8425" s="15"/>
      <c r="X8425" s="3"/>
      <c r="Z8425" s="28"/>
    </row>
    <row r="8426" spans="2:26">
      <c r="B8426" s="2"/>
      <c r="N8426" s="27"/>
      <c r="R8426" s="15"/>
      <c r="X8426" s="3"/>
      <c r="Z8426" s="28"/>
    </row>
    <row r="8427" spans="2:26">
      <c r="B8427" s="2"/>
      <c r="N8427" s="27"/>
      <c r="R8427" s="15"/>
      <c r="X8427" s="3"/>
      <c r="Z8427" s="28"/>
    </row>
    <row r="8428" spans="2:26">
      <c r="B8428" s="2"/>
      <c r="N8428" s="27"/>
      <c r="R8428" s="15"/>
      <c r="X8428" s="3"/>
      <c r="Z8428" s="28"/>
    </row>
    <row r="8429" spans="2:26">
      <c r="B8429" s="2"/>
      <c r="N8429" s="27"/>
      <c r="R8429" s="15"/>
      <c r="X8429" s="3"/>
      <c r="Z8429" s="28"/>
    </row>
    <row r="8430" spans="2:26">
      <c r="B8430" s="2"/>
      <c r="N8430" s="27"/>
      <c r="R8430" s="15"/>
      <c r="X8430" s="3"/>
      <c r="Z8430" s="28"/>
    </row>
    <row r="8431" spans="2:26">
      <c r="B8431" s="2"/>
      <c r="N8431" s="27"/>
      <c r="R8431" s="15"/>
      <c r="X8431" s="3"/>
      <c r="Z8431" s="28"/>
    </row>
    <row r="8432" spans="2:26">
      <c r="B8432" s="2"/>
      <c r="N8432" s="27"/>
      <c r="R8432" s="15"/>
      <c r="X8432" s="3"/>
      <c r="Z8432" s="28"/>
    </row>
    <row r="8433" spans="2:26">
      <c r="B8433" s="2"/>
      <c r="N8433" s="27"/>
      <c r="R8433" s="15"/>
      <c r="X8433" s="3"/>
      <c r="Z8433" s="28"/>
    </row>
    <row r="8434" spans="2:26">
      <c r="B8434" s="2"/>
      <c r="N8434" s="27"/>
      <c r="R8434" s="15"/>
      <c r="X8434" s="3"/>
      <c r="Z8434" s="28"/>
    </row>
    <row r="8435" spans="2:26">
      <c r="B8435" s="2"/>
      <c r="N8435" s="27"/>
      <c r="R8435" s="15"/>
      <c r="X8435" s="3"/>
      <c r="Z8435" s="28"/>
    </row>
    <row r="8436" spans="2:26">
      <c r="B8436" s="2"/>
      <c r="N8436" s="27"/>
      <c r="R8436" s="15"/>
      <c r="X8436" s="3"/>
      <c r="Z8436" s="28"/>
    </row>
    <row r="8437" spans="2:26">
      <c r="B8437" s="2"/>
      <c r="N8437" s="27"/>
      <c r="R8437" s="15"/>
      <c r="X8437" s="3"/>
      <c r="Z8437" s="28"/>
    </row>
    <row r="8438" spans="2:26">
      <c r="B8438" s="2"/>
      <c r="N8438" s="27"/>
      <c r="R8438" s="15"/>
      <c r="X8438" s="3"/>
      <c r="Z8438" s="28"/>
    </row>
    <row r="8439" spans="2:26">
      <c r="B8439" s="2"/>
      <c r="N8439" s="27"/>
      <c r="R8439" s="15"/>
      <c r="X8439" s="3"/>
      <c r="Z8439" s="28"/>
    </row>
    <row r="8440" spans="2:26">
      <c r="B8440" s="2"/>
      <c r="N8440" s="27"/>
      <c r="R8440" s="15"/>
      <c r="X8440" s="3"/>
      <c r="Z8440" s="28"/>
    </row>
    <row r="8441" spans="2:26">
      <c r="B8441" s="2"/>
      <c r="N8441" s="27"/>
      <c r="R8441" s="15"/>
      <c r="X8441" s="3"/>
      <c r="Z8441" s="28"/>
    </row>
    <row r="8442" spans="2:26">
      <c r="B8442" s="2"/>
      <c r="N8442" s="27"/>
      <c r="R8442" s="15"/>
      <c r="X8442" s="3"/>
      <c r="Z8442" s="28"/>
    </row>
    <row r="8443" spans="2:26">
      <c r="B8443" s="2"/>
      <c r="N8443" s="27"/>
      <c r="R8443" s="15"/>
      <c r="X8443" s="3"/>
      <c r="Z8443" s="28"/>
    </row>
    <row r="8444" spans="2:26">
      <c r="B8444" s="2"/>
      <c r="N8444" s="27"/>
      <c r="R8444" s="15"/>
      <c r="X8444" s="3"/>
      <c r="Z8444" s="28"/>
    </row>
    <row r="8445" spans="2:26">
      <c r="B8445" s="2"/>
      <c r="N8445" s="27"/>
      <c r="R8445" s="15"/>
      <c r="X8445" s="3"/>
      <c r="Z8445" s="28"/>
    </row>
    <row r="8446" spans="2:26">
      <c r="B8446" s="2"/>
      <c r="N8446" s="27"/>
      <c r="R8446" s="15"/>
      <c r="X8446" s="3"/>
      <c r="Z8446" s="28"/>
    </row>
    <row r="8447" spans="2:26">
      <c r="B8447" s="2"/>
      <c r="N8447" s="27"/>
      <c r="R8447" s="15"/>
      <c r="X8447" s="3"/>
      <c r="Z8447" s="28"/>
    </row>
    <row r="8448" spans="2:26">
      <c r="B8448" s="2"/>
      <c r="N8448" s="27"/>
      <c r="R8448" s="15"/>
      <c r="X8448" s="3"/>
      <c r="Z8448" s="28"/>
    </row>
    <row r="8449" spans="2:26">
      <c r="B8449" s="2"/>
      <c r="N8449" s="27"/>
      <c r="R8449" s="15"/>
      <c r="X8449" s="3"/>
      <c r="Z8449" s="28"/>
    </row>
    <row r="8450" spans="2:26">
      <c r="B8450" s="2"/>
      <c r="N8450" s="27"/>
      <c r="R8450" s="15"/>
      <c r="X8450" s="3"/>
      <c r="Z8450" s="28"/>
    </row>
    <row r="8451" spans="2:26">
      <c r="B8451" s="2"/>
      <c r="N8451" s="27"/>
      <c r="R8451" s="15"/>
      <c r="X8451" s="3"/>
      <c r="Z8451" s="28"/>
    </row>
    <row r="8452" spans="2:26">
      <c r="B8452" s="2"/>
      <c r="N8452" s="27"/>
      <c r="R8452" s="15"/>
      <c r="X8452" s="3"/>
      <c r="Z8452" s="28"/>
    </row>
    <row r="8453" spans="2:26">
      <c r="B8453" s="2"/>
      <c r="N8453" s="27"/>
      <c r="R8453" s="15"/>
      <c r="X8453" s="3"/>
      <c r="Z8453" s="28"/>
    </row>
    <row r="8454" spans="2:26">
      <c r="B8454" s="2"/>
      <c r="N8454" s="27"/>
      <c r="R8454" s="15"/>
      <c r="X8454" s="3"/>
      <c r="Z8454" s="28"/>
    </row>
    <row r="8455" spans="2:26">
      <c r="B8455" s="2"/>
      <c r="N8455" s="27"/>
      <c r="R8455" s="15"/>
      <c r="X8455" s="3"/>
      <c r="Z8455" s="28"/>
    </row>
    <row r="8456" spans="2:26">
      <c r="B8456" s="2"/>
      <c r="N8456" s="27"/>
      <c r="R8456" s="15"/>
      <c r="X8456" s="3"/>
      <c r="Z8456" s="28"/>
    </row>
    <row r="8457" spans="2:26">
      <c r="B8457" s="2"/>
      <c r="N8457" s="27"/>
      <c r="R8457" s="15"/>
      <c r="X8457" s="3"/>
      <c r="Z8457" s="28"/>
    </row>
    <row r="8458" spans="2:26">
      <c r="B8458" s="2"/>
      <c r="N8458" s="27"/>
      <c r="R8458" s="15"/>
      <c r="X8458" s="3"/>
      <c r="Z8458" s="28"/>
    </row>
    <row r="8459" spans="2:26">
      <c r="B8459" s="2"/>
      <c r="N8459" s="27"/>
      <c r="R8459" s="15"/>
      <c r="X8459" s="3"/>
      <c r="Z8459" s="28"/>
    </row>
    <row r="8460" spans="2:26">
      <c r="B8460" s="2"/>
      <c r="N8460" s="27"/>
      <c r="R8460" s="15"/>
      <c r="X8460" s="3"/>
      <c r="Z8460" s="28"/>
    </row>
    <row r="8461" spans="2:26">
      <c r="B8461" s="2"/>
      <c r="N8461" s="27"/>
      <c r="R8461" s="15"/>
      <c r="X8461" s="3"/>
      <c r="Z8461" s="28"/>
    </row>
    <row r="8462" spans="2:26">
      <c r="B8462" s="2"/>
      <c r="N8462" s="27"/>
      <c r="R8462" s="15"/>
      <c r="X8462" s="3"/>
      <c r="Z8462" s="28"/>
    </row>
    <row r="8463" spans="2:26">
      <c r="B8463" s="2"/>
      <c r="N8463" s="27"/>
      <c r="R8463" s="15"/>
      <c r="X8463" s="3"/>
      <c r="Z8463" s="28"/>
    </row>
    <row r="8464" spans="2:26">
      <c r="B8464" s="2"/>
      <c r="N8464" s="27"/>
      <c r="R8464" s="15"/>
      <c r="X8464" s="3"/>
      <c r="Z8464" s="28"/>
    </row>
    <row r="8465" spans="2:26">
      <c r="B8465" s="2"/>
      <c r="N8465" s="27"/>
      <c r="R8465" s="15"/>
      <c r="X8465" s="3"/>
      <c r="Z8465" s="28"/>
    </row>
    <row r="8466" spans="2:26">
      <c r="B8466" s="2"/>
      <c r="N8466" s="27"/>
      <c r="R8466" s="15"/>
      <c r="X8466" s="3"/>
      <c r="Z8466" s="28"/>
    </row>
    <row r="8467" spans="2:26">
      <c r="B8467" s="2"/>
      <c r="N8467" s="27"/>
      <c r="R8467" s="15"/>
      <c r="X8467" s="3"/>
      <c r="Z8467" s="28"/>
    </row>
    <row r="8468" spans="2:26">
      <c r="B8468" s="2"/>
      <c r="N8468" s="27"/>
      <c r="R8468" s="15"/>
      <c r="X8468" s="3"/>
      <c r="Z8468" s="28"/>
    </row>
    <row r="8469" spans="2:26">
      <c r="B8469" s="2"/>
      <c r="N8469" s="27"/>
      <c r="R8469" s="15"/>
      <c r="X8469" s="3"/>
      <c r="Z8469" s="28"/>
    </row>
    <row r="8470" spans="2:26">
      <c r="B8470" s="2"/>
      <c r="N8470" s="27"/>
      <c r="R8470" s="15"/>
      <c r="X8470" s="3"/>
      <c r="Z8470" s="28"/>
    </row>
    <row r="8471" spans="2:26">
      <c r="B8471" s="2"/>
      <c r="N8471" s="27"/>
      <c r="R8471" s="15"/>
      <c r="X8471" s="3"/>
      <c r="Z8471" s="28"/>
    </row>
    <row r="8472" spans="2:26">
      <c r="B8472" s="2"/>
      <c r="N8472" s="27"/>
      <c r="R8472" s="15"/>
      <c r="X8472" s="3"/>
      <c r="Z8472" s="28"/>
    </row>
    <row r="8473" spans="2:26">
      <c r="B8473" s="2"/>
      <c r="N8473" s="27"/>
      <c r="R8473" s="15"/>
      <c r="X8473" s="3"/>
      <c r="Z8473" s="28"/>
    </row>
    <row r="8474" spans="2:26">
      <c r="B8474" s="2"/>
      <c r="N8474" s="27"/>
      <c r="R8474" s="15"/>
      <c r="X8474" s="3"/>
      <c r="Z8474" s="28"/>
    </row>
    <row r="8475" spans="2:26">
      <c r="B8475" s="2"/>
      <c r="N8475" s="27"/>
      <c r="R8475" s="15"/>
      <c r="X8475" s="3"/>
      <c r="Z8475" s="28"/>
    </row>
    <row r="8476" spans="2:26">
      <c r="B8476" s="2"/>
      <c r="N8476" s="27"/>
      <c r="R8476" s="15"/>
      <c r="X8476" s="3"/>
      <c r="Z8476" s="28"/>
    </row>
    <row r="8477" spans="2:26">
      <c r="B8477" s="2"/>
      <c r="N8477" s="27"/>
      <c r="R8477" s="15"/>
      <c r="X8477" s="3"/>
      <c r="Z8477" s="28"/>
    </row>
    <row r="8478" spans="2:26">
      <c r="B8478" s="2"/>
      <c r="N8478" s="27"/>
      <c r="R8478" s="15"/>
      <c r="X8478" s="3"/>
      <c r="Z8478" s="28"/>
    </row>
    <row r="8479" spans="2:26">
      <c r="B8479" s="2"/>
      <c r="N8479" s="27"/>
      <c r="R8479" s="15"/>
      <c r="X8479" s="3"/>
      <c r="Z8479" s="28"/>
    </row>
    <row r="8480" spans="2:26">
      <c r="B8480" s="2"/>
      <c r="N8480" s="27"/>
      <c r="R8480" s="15"/>
      <c r="X8480" s="3"/>
      <c r="Z8480" s="28"/>
    </row>
    <row r="8481" spans="2:26">
      <c r="B8481" s="2"/>
      <c r="N8481" s="27"/>
      <c r="R8481" s="15"/>
      <c r="X8481" s="3"/>
      <c r="Z8481" s="28"/>
    </row>
    <row r="8482" spans="2:26">
      <c r="B8482" s="2"/>
      <c r="N8482" s="27"/>
      <c r="R8482" s="15"/>
      <c r="X8482" s="3"/>
      <c r="Z8482" s="28"/>
    </row>
    <row r="8483" spans="2:26">
      <c r="B8483" s="2"/>
      <c r="N8483" s="27"/>
      <c r="R8483" s="15"/>
      <c r="X8483" s="3"/>
      <c r="Z8483" s="28"/>
    </row>
    <row r="8484" spans="2:26">
      <c r="B8484" s="2"/>
      <c r="N8484" s="27"/>
      <c r="R8484" s="15"/>
      <c r="X8484" s="3"/>
      <c r="Z8484" s="28"/>
    </row>
    <row r="8485" spans="2:26">
      <c r="B8485" s="2"/>
      <c r="N8485" s="27"/>
      <c r="R8485" s="15"/>
      <c r="X8485" s="3"/>
      <c r="Z8485" s="28"/>
    </row>
    <row r="8486" spans="2:26">
      <c r="B8486" s="2"/>
      <c r="N8486" s="27"/>
      <c r="R8486" s="15"/>
      <c r="X8486" s="3"/>
      <c r="Z8486" s="28"/>
    </row>
    <row r="8487" spans="2:26">
      <c r="B8487" s="2"/>
      <c r="N8487" s="27"/>
      <c r="R8487" s="15"/>
      <c r="X8487" s="3"/>
      <c r="Z8487" s="28"/>
    </row>
    <row r="8488" spans="2:26">
      <c r="B8488" s="2"/>
      <c r="N8488" s="27"/>
      <c r="R8488" s="15"/>
      <c r="X8488" s="3"/>
      <c r="Z8488" s="28"/>
    </row>
    <row r="8489" spans="2:26">
      <c r="B8489" s="2"/>
      <c r="N8489" s="27"/>
      <c r="R8489" s="15"/>
      <c r="X8489" s="3"/>
      <c r="Z8489" s="28"/>
    </row>
    <row r="8490" spans="2:26">
      <c r="B8490" s="2"/>
      <c r="N8490" s="27"/>
      <c r="R8490" s="15"/>
      <c r="X8490" s="3"/>
      <c r="Z8490" s="28"/>
    </row>
    <row r="8491" spans="2:26">
      <c r="B8491" s="2"/>
      <c r="N8491" s="27"/>
      <c r="R8491" s="15"/>
      <c r="X8491" s="3"/>
      <c r="Z8491" s="28"/>
    </row>
    <row r="8492" spans="2:26">
      <c r="B8492" s="2"/>
      <c r="N8492" s="27"/>
      <c r="R8492" s="15"/>
      <c r="X8492" s="3"/>
      <c r="Z8492" s="28"/>
    </row>
    <row r="8493" spans="2:26">
      <c r="B8493" s="2"/>
      <c r="N8493" s="27"/>
      <c r="R8493" s="15"/>
      <c r="X8493" s="3"/>
      <c r="Z8493" s="28"/>
    </row>
    <row r="8494" spans="2:26">
      <c r="B8494" s="2"/>
      <c r="N8494" s="27"/>
      <c r="R8494" s="15"/>
      <c r="X8494" s="3"/>
      <c r="Z8494" s="28"/>
    </row>
    <row r="8495" spans="2:26">
      <c r="B8495" s="2"/>
      <c r="N8495" s="27"/>
      <c r="R8495" s="15"/>
      <c r="X8495" s="3"/>
      <c r="Z8495" s="28"/>
    </row>
    <row r="8496" spans="2:26">
      <c r="B8496" s="2"/>
      <c r="N8496" s="27"/>
      <c r="R8496" s="15"/>
      <c r="X8496" s="3"/>
      <c r="Z8496" s="28"/>
    </row>
    <row r="8497" spans="2:26">
      <c r="B8497" s="2"/>
      <c r="N8497" s="27"/>
      <c r="R8497" s="15"/>
      <c r="X8497" s="3"/>
      <c r="Z8497" s="28"/>
    </row>
    <row r="8498" spans="2:26">
      <c r="B8498" s="2"/>
      <c r="N8498" s="27"/>
      <c r="R8498" s="15"/>
      <c r="X8498" s="3"/>
      <c r="Z8498" s="28"/>
    </row>
    <row r="8499" spans="2:26">
      <c r="B8499" s="2"/>
      <c r="N8499" s="27"/>
      <c r="R8499" s="15"/>
      <c r="X8499" s="3"/>
      <c r="Z8499" s="28"/>
    </row>
    <row r="8500" spans="2:26">
      <c r="B8500" s="2"/>
      <c r="N8500" s="27"/>
      <c r="R8500" s="15"/>
      <c r="X8500" s="3"/>
      <c r="Z8500" s="28"/>
    </row>
    <row r="8501" spans="2:26">
      <c r="B8501" s="2"/>
      <c r="N8501" s="27"/>
      <c r="R8501" s="15"/>
      <c r="X8501" s="3"/>
      <c r="Z8501" s="28"/>
    </row>
    <row r="8502" spans="2:26">
      <c r="B8502" s="2"/>
      <c r="N8502" s="27"/>
      <c r="R8502" s="15"/>
      <c r="X8502" s="3"/>
      <c r="Z8502" s="28"/>
    </row>
    <row r="8503" spans="2:26">
      <c r="B8503" s="2"/>
      <c r="N8503" s="27"/>
      <c r="R8503" s="15"/>
      <c r="X8503" s="3"/>
      <c r="Z8503" s="28"/>
    </row>
    <row r="8504" spans="2:26">
      <c r="B8504" s="2"/>
      <c r="N8504" s="27"/>
      <c r="R8504" s="15"/>
      <c r="X8504" s="3"/>
      <c r="Z8504" s="28"/>
    </row>
    <row r="8505" spans="2:26">
      <c r="B8505" s="2"/>
      <c r="N8505" s="27"/>
      <c r="R8505" s="15"/>
      <c r="X8505" s="3"/>
      <c r="Z8505" s="28"/>
    </row>
    <row r="8506" spans="2:26">
      <c r="B8506" s="2"/>
      <c r="N8506" s="27"/>
      <c r="R8506" s="15"/>
      <c r="X8506" s="3"/>
      <c r="Z8506" s="28"/>
    </row>
    <row r="8507" spans="2:26">
      <c r="B8507" s="2"/>
      <c r="N8507" s="27"/>
      <c r="R8507" s="15"/>
      <c r="X8507" s="3"/>
      <c r="Z8507" s="28"/>
    </row>
    <row r="8508" spans="2:26">
      <c r="B8508" s="2"/>
      <c r="N8508" s="27"/>
      <c r="R8508" s="15"/>
      <c r="X8508" s="3"/>
      <c r="Z8508" s="28"/>
    </row>
    <row r="8509" spans="2:26">
      <c r="B8509" s="2"/>
      <c r="N8509" s="27"/>
      <c r="R8509" s="15"/>
      <c r="X8509" s="3"/>
      <c r="Z8509" s="28"/>
    </row>
    <row r="8510" spans="2:26">
      <c r="B8510" s="2"/>
      <c r="N8510" s="27"/>
      <c r="R8510" s="15"/>
      <c r="X8510" s="3"/>
      <c r="Z8510" s="28"/>
    </row>
    <row r="8511" spans="2:26">
      <c r="B8511" s="2"/>
      <c r="N8511" s="27"/>
      <c r="R8511" s="15"/>
      <c r="X8511" s="3"/>
      <c r="Z8511" s="28"/>
    </row>
    <row r="8512" spans="2:26">
      <c r="B8512" s="2"/>
      <c r="N8512" s="27"/>
      <c r="R8512" s="15"/>
      <c r="X8512" s="3"/>
      <c r="Z8512" s="28"/>
    </row>
    <row r="8513" spans="2:26">
      <c r="B8513" s="2"/>
      <c r="N8513" s="27"/>
      <c r="R8513" s="15"/>
      <c r="X8513" s="3"/>
      <c r="Z8513" s="28"/>
    </row>
    <row r="8514" spans="2:26">
      <c r="B8514" s="2"/>
      <c r="N8514" s="27"/>
      <c r="R8514" s="15"/>
      <c r="X8514" s="3"/>
      <c r="Z8514" s="28"/>
    </row>
    <row r="8515" spans="2:26">
      <c r="B8515" s="2"/>
      <c r="N8515" s="27"/>
      <c r="R8515" s="15"/>
      <c r="X8515" s="3"/>
      <c r="Z8515" s="28"/>
    </row>
    <row r="8516" spans="2:26">
      <c r="B8516" s="2"/>
      <c r="N8516" s="27"/>
      <c r="R8516" s="15"/>
      <c r="X8516" s="3"/>
      <c r="Z8516" s="28"/>
    </row>
    <row r="8517" spans="2:26">
      <c r="B8517" s="2"/>
      <c r="N8517" s="27"/>
      <c r="R8517" s="15"/>
      <c r="X8517" s="3"/>
      <c r="Z8517" s="28"/>
    </row>
    <row r="8518" spans="2:26">
      <c r="B8518" s="2"/>
      <c r="N8518" s="27"/>
      <c r="R8518" s="15"/>
      <c r="X8518" s="3"/>
      <c r="Z8518" s="28"/>
    </row>
    <row r="8519" spans="2:26">
      <c r="B8519" s="2"/>
      <c r="N8519" s="27"/>
      <c r="R8519" s="15"/>
      <c r="X8519" s="3"/>
      <c r="Z8519" s="28"/>
    </row>
    <row r="8520" spans="2:26">
      <c r="B8520" s="2"/>
      <c r="N8520" s="27"/>
      <c r="R8520" s="15"/>
      <c r="X8520" s="3"/>
      <c r="Z8520" s="28"/>
    </row>
    <row r="8521" spans="2:26">
      <c r="B8521" s="2"/>
      <c r="N8521" s="27"/>
      <c r="R8521" s="15"/>
      <c r="X8521" s="3"/>
      <c r="Z8521" s="28"/>
    </row>
    <row r="8522" spans="2:26">
      <c r="B8522" s="2"/>
      <c r="N8522" s="27"/>
      <c r="R8522" s="15"/>
      <c r="X8522" s="3"/>
      <c r="Z8522" s="28"/>
    </row>
    <row r="8523" spans="2:26">
      <c r="B8523" s="2"/>
      <c r="N8523" s="27"/>
      <c r="R8523" s="15"/>
      <c r="X8523" s="3"/>
      <c r="Z8523" s="28"/>
    </row>
    <row r="8524" spans="2:26">
      <c r="B8524" s="2"/>
      <c r="N8524" s="27"/>
      <c r="R8524" s="15"/>
      <c r="X8524" s="3"/>
      <c r="Z8524" s="28"/>
    </row>
    <row r="8525" spans="2:26">
      <c r="B8525" s="2"/>
      <c r="N8525" s="27"/>
      <c r="R8525" s="15"/>
      <c r="X8525" s="3"/>
      <c r="Z8525" s="28"/>
    </row>
    <row r="8526" spans="2:26">
      <c r="B8526" s="2"/>
      <c r="N8526" s="27"/>
      <c r="R8526" s="15"/>
      <c r="X8526" s="3"/>
      <c r="Z8526" s="28"/>
    </row>
    <row r="8527" spans="2:26">
      <c r="B8527" s="2"/>
      <c r="N8527" s="27"/>
      <c r="R8527" s="15"/>
      <c r="X8527" s="3"/>
      <c r="Z8527" s="28"/>
    </row>
    <row r="8528" spans="2:26">
      <c r="B8528" s="2"/>
      <c r="N8528" s="27"/>
      <c r="R8528" s="15"/>
      <c r="X8528" s="3"/>
      <c r="Z8528" s="28"/>
    </row>
    <row r="8529" spans="2:26">
      <c r="B8529" s="2"/>
      <c r="N8529" s="27"/>
      <c r="R8529" s="15"/>
      <c r="X8529" s="3"/>
      <c r="Z8529" s="28"/>
    </row>
    <row r="8530" spans="2:26">
      <c r="B8530" s="2"/>
      <c r="N8530" s="27"/>
      <c r="R8530" s="15"/>
      <c r="X8530" s="3"/>
      <c r="Z8530" s="28"/>
    </row>
    <row r="8531" spans="2:26">
      <c r="B8531" s="2"/>
      <c r="N8531" s="27"/>
      <c r="R8531" s="15"/>
      <c r="X8531" s="3"/>
      <c r="Z8531" s="28"/>
    </row>
    <row r="8532" spans="2:26">
      <c r="B8532" s="2"/>
      <c r="N8532" s="27"/>
      <c r="R8532" s="15"/>
      <c r="X8532" s="3"/>
      <c r="Z8532" s="28"/>
    </row>
    <row r="8533" spans="2:26">
      <c r="B8533" s="2"/>
      <c r="N8533" s="27"/>
      <c r="R8533" s="15"/>
      <c r="X8533" s="3"/>
      <c r="Z8533" s="28"/>
    </row>
    <row r="8534" spans="2:26">
      <c r="B8534" s="2"/>
      <c r="N8534" s="27"/>
      <c r="R8534" s="15"/>
      <c r="X8534" s="3"/>
      <c r="Z8534" s="28"/>
    </row>
    <row r="8535" spans="2:26">
      <c r="B8535" s="2"/>
      <c r="N8535" s="27"/>
      <c r="R8535" s="15"/>
      <c r="X8535" s="3"/>
      <c r="Z8535" s="28"/>
    </row>
    <row r="8536" spans="2:26">
      <c r="B8536" s="2"/>
      <c r="N8536" s="27"/>
      <c r="R8536" s="15"/>
      <c r="X8536" s="3"/>
      <c r="Z8536" s="28"/>
    </row>
    <row r="8537" spans="2:26">
      <c r="B8537" s="2"/>
      <c r="N8537" s="27"/>
      <c r="R8537" s="15"/>
      <c r="X8537" s="3"/>
      <c r="Z8537" s="28"/>
    </row>
    <row r="8538" spans="2:26">
      <c r="B8538" s="2"/>
      <c r="N8538" s="27"/>
      <c r="R8538" s="15"/>
      <c r="X8538" s="3"/>
      <c r="Z8538" s="28"/>
    </row>
    <row r="8539" spans="2:26">
      <c r="B8539" s="2"/>
      <c r="N8539" s="27"/>
      <c r="R8539" s="15"/>
      <c r="X8539" s="3"/>
      <c r="Z8539" s="28"/>
    </row>
    <row r="8540" spans="2:26">
      <c r="B8540" s="2"/>
      <c r="N8540" s="27"/>
      <c r="R8540" s="15"/>
      <c r="X8540" s="3"/>
      <c r="Z8540" s="28"/>
    </row>
    <row r="8541" spans="2:26">
      <c r="B8541" s="2"/>
      <c r="N8541" s="27"/>
      <c r="R8541" s="15"/>
      <c r="X8541" s="3"/>
      <c r="Z8541" s="28"/>
    </row>
    <row r="8542" spans="2:26">
      <c r="B8542" s="2"/>
      <c r="N8542" s="27"/>
      <c r="R8542" s="15"/>
      <c r="X8542" s="3"/>
      <c r="Z8542" s="28"/>
    </row>
    <row r="8543" spans="2:26">
      <c r="B8543" s="2"/>
      <c r="N8543" s="27"/>
      <c r="R8543" s="15"/>
      <c r="X8543" s="3"/>
      <c r="Z8543" s="28"/>
    </row>
    <row r="8544" spans="2:26">
      <c r="B8544" s="2"/>
      <c r="N8544" s="27"/>
      <c r="R8544" s="15"/>
      <c r="X8544" s="3"/>
      <c r="Z8544" s="28"/>
    </row>
    <row r="8545" spans="2:26">
      <c r="B8545" s="2"/>
      <c r="N8545" s="27"/>
      <c r="R8545" s="15"/>
      <c r="X8545" s="3"/>
      <c r="Z8545" s="28"/>
    </row>
    <row r="8546" spans="2:26">
      <c r="B8546" s="2"/>
      <c r="N8546" s="27"/>
      <c r="R8546" s="15"/>
      <c r="X8546" s="3"/>
      <c r="Z8546" s="28"/>
    </row>
    <row r="8547" spans="2:26">
      <c r="B8547" s="2"/>
      <c r="N8547" s="27"/>
      <c r="R8547" s="15"/>
      <c r="X8547" s="3"/>
      <c r="Z8547" s="28"/>
    </row>
    <row r="8548" spans="2:26">
      <c r="B8548" s="2"/>
      <c r="N8548" s="27"/>
      <c r="R8548" s="15"/>
      <c r="X8548" s="3"/>
      <c r="Z8548" s="28"/>
    </row>
    <row r="8549" spans="2:26">
      <c r="B8549" s="2"/>
      <c r="N8549" s="27"/>
      <c r="R8549" s="15"/>
      <c r="X8549" s="3"/>
      <c r="Z8549" s="28"/>
    </row>
    <row r="8550" spans="2:26">
      <c r="B8550" s="2"/>
      <c r="N8550" s="27"/>
      <c r="R8550" s="15"/>
      <c r="X8550" s="3"/>
      <c r="Z8550" s="28"/>
    </row>
    <row r="8551" spans="2:26">
      <c r="B8551" s="2"/>
      <c r="N8551" s="27"/>
      <c r="R8551" s="15"/>
      <c r="X8551" s="3"/>
      <c r="Z8551" s="28"/>
    </row>
    <row r="8552" spans="2:26">
      <c r="B8552" s="2"/>
      <c r="N8552" s="27"/>
      <c r="R8552" s="15"/>
      <c r="X8552" s="3"/>
      <c r="Z8552" s="28"/>
    </row>
    <row r="8553" spans="2:26">
      <c r="B8553" s="2"/>
      <c r="N8553" s="27"/>
      <c r="R8553" s="15"/>
      <c r="X8553" s="3"/>
      <c r="Z8553" s="28"/>
    </row>
    <row r="8554" spans="2:26">
      <c r="B8554" s="2"/>
      <c r="N8554" s="27"/>
      <c r="R8554" s="15"/>
      <c r="X8554" s="3"/>
      <c r="Z8554" s="28"/>
    </row>
    <row r="8555" spans="2:26">
      <c r="B8555" s="2"/>
      <c r="N8555" s="27"/>
      <c r="R8555" s="15"/>
      <c r="X8555" s="3"/>
      <c r="Z8555" s="28"/>
    </row>
    <row r="8556" spans="2:26">
      <c r="B8556" s="2"/>
      <c r="N8556" s="27"/>
      <c r="R8556" s="15"/>
      <c r="X8556" s="3"/>
      <c r="Z8556" s="28"/>
    </row>
    <row r="8557" spans="2:26">
      <c r="B8557" s="2"/>
      <c r="N8557" s="27"/>
      <c r="R8557" s="15"/>
      <c r="X8557" s="3"/>
      <c r="Z8557" s="28"/>
    </row>
    <row r="8558" spans="2:26">
      <c r="B8558" s="2"/>
      <c r="N8558" s="27"/>
      <c r="R8558" s="15"/>
      <c r="X8558" s="3"/>
      <c r="Z8558" s="28"/>
    </row>
    <row r="8559" spans="2:26">
      <c r="B8559" s="2"/>
      <c r="N8559" s="27"/>
      <c r="R8559" s="15"/>
      <c r="X8559" s="3"/>
      <c r="Z8559" s="28"/>
    </row>
    <row r="8560" spans="2:26">
      <c r="B8560" s="2"/>
      <c r="N8560" s="27"/>
      <c r="R8560" s="15"/>
      <c r="X8560" s="3"/>
      <c r="Z8560" s="28"/>
    </row>
    <row r="8561" spans="2:26">
      <c r="B8561" s="2"/>
      <c r="N8561" s="27"/>
      <c r="R8561" s="15"/>
      <c r="X8561" s="3"/>
      <c r="Z8561" s="28"/>
    </row>
    <row r="8562" spans="2:26">
      <c r="B8562" s="2"/>
      <c r="N8562" s="27"/>
      <c r="R8562" s="15"/>
      <c r="X8562" s="3"/>
      <c r="Z8562" s="28"/>
    </row>
    <row r="8563" spans="2:26">
      <c r="B8563" s="2"/>
      <c r="N8563" s="27"/>
      <c r="R8563" s="15"/>
      <c r="X8563" s="3"/>
      <c r="Z8563" s="28"/>
    </row>
    <row r="8564" spans="2:26">
      <c r="B8564" s="2"/>
      <c r="N8564" s="27"/>
      <c r="R8564" s="15"/>
      <c r="X8564" s="3"/>
      <c r="Z8564" s="28"/>
    </row>
    <row r="8565" spans="2:26">
      <c r="B8565" s="2"/>
      <c r="N8565" s="27"/>
      <c r="R8565" s="15"/>
      <c r="X8565" s="3"/>
      <c r="Z8565" s="28"/>
    </row>
    <row r="8566" spans="2:26">
      <c r="B8566" s="2"/>
      <c r="N8566" s="27"/>
      <c r="R8566" s="15"/>
      <c r="X8566" s="3"/>
      <c r="Z8566" s="28"/>
    </row>
    <row r="8567" spans="2:26">
      <c r="B8567" s="2"/>
      <c r="N8567" s="27"/>
      <c r="R8567" s="15"/>
      <c r="X8567" s="3"/>
      <c r="Z8567" s="28"/>
    </row>
    <row r="8568" spans="2:26">
      <c r="B8568" s="2"/>
      <c r="N8568" s="27"/>
      <c r="R8568" s="15"/>
      <c r="X8568" s="3"/>
      <c r="Z8568" s="28"/>
    </row>
    <row r="8569" spans="2:26">
      <c r="B8569" s="2"/>
      <c r="N8569" s="27"/>
      <c r="R8569" s="15"/>
      <c r="X8569" s="3"/>
      <c r="Z8569" s="28"/>
    </row>
    <row r="8570" spans="2:26">
      <c r="B8570" s="2"/>
      <c r="N8570" s="27"/>
      <c r="R8570" s="15"/>
      <c r="X8570" s="3"/>
      <c r="Z8570" s="28"/>
    </row>
    <row r="8571" spans="2:26">
      <c r="B8571" s="2"/>
      <c r="N8571" s="27"/>
      <c r="R8571" s="15"/>
      <c r="X8571" s="3"/>
      <c r="Z8571" s="28"/>
    </row>
    <row r="8572" spans="2:26">
      <c r="B8572" s="2"/>
      <c r="N8572" s="27"/>
      <c r="R8572" s="15"/>
      <c r="X8572" s="3"/>
      <c r="Z8572" s="28"/>
    </row>
    <row r="8573" spans="2:26">
      <c r="B8573" s="2"/>
      <c r="N8573" s="27"/>
      <c r="R8573" s="15"/>
      <c r="X8573" s="3"/>
      <c r="Z8573" s="28"/>
    </row>
    <row r="8574" spans="2:26">
      <c r="B8574" s="2"/>
      <c r="N8574" s="27"/>
      <c r="R8574" s="15"/>
      <c r="X8574" s="3"/>
      <c r="Z8574" s="28"/>
    </row>
    <row r="8575" spans="2:26">
      <c r="B8575" s="2"/>
      <c r="N8575" s="27"/>
      <c r="R8575" s="15"/>
      <c r="X8575" s="3"/>
      <c r="Z8575" s="28"/>
    </row>
    <row r="8576" spans="2:26">
      <c r="B8576" s="2"/>
      <c r="N8576" s="27"/>
      <c r="R8576" s="15"/>
      <c r="X8576" s="3"/>
      <c r="Z8576" s="28"/>
    </row>
    <row r="8577" spans="2:26">
      <c r="B8577" s="2"/>
      <c r="N8577" s="27"/>
      <c r="R8577" s="15"/>
      <c r="X8577" s="3"/>
      <c r="Z8577" s="28"/>
    </row>
    <row r="8578" spans="2:26">
      <c r="B8578" s="2"/>
      <c r="N8578" s="27"/>
      <c r="R8578" s="15"/>
      <c r="X8578" s="3"/>
      <c r="Z8578" s="28"/>
    </row>
    <row r="8579" spans="2:26">
      <c r="B8579" s="2"/>
      <c r="N8579" s="27"/>
      <c r="R8579" s="15"/>
      <c r="X8579" s="3"/>
      <c r="Z8579" s="28"/>
    </row>
    <row r="8580" spans="2:26">
      <c r="B8580" s="2"/>
      <c r="N8580" s="27"/>
      <c r="R8580" s="15"/>
      <c r="X8580" s="3"/>
      <c r="Z8580" s="28"/>
    </row>
    <row r="8581" spans="2:26">
      <c r="B8581" s="2"/>
      <c r="N8581" s="27"/>
      <c r="R8581" s="15"/>
      <c r="X8581" s="3"/>
      <c r="Z8581" s="28"/>
    </row>
    <row r="8582" spans="2:26">
      <c r="B8582" s="2"/>
      <c r="N8582" s="27"/>
      <c r="R8582" s="15"/>
      <c r="X8582" s="3"/>
      <c r="Z8582" s="28"/>
    </row>
    <row r="8583" spans="2:26">
      <c r="B8583" s="2"/>
      <c r="N8583" s="27"/>
      <c r="R8583" s="15"/>
      <c r="X8583" s="3"/>
      <c r="Z8583" s="28"/>
    </row>
    <row r="8584" spans="2:26">
      <c r="B8584" s="2"/>
      <c r="N8584" s="27"/>
      <c r="R8584" s="15"/>
      <c r="X8584" s="3"/>
      <c r="Z8584" s="28"/>
    </row>
    <row r="8585" spans="2:26">
      <c r="B8585" s="2"/>
      <c r="N8585" s="27"/>
      <c r="R8585" s="15"/>
      <c r="X8585" s="3"/>
      <c r="Z8585" s="28"/>
    </row>
    <row r="8586" spans="2:26">
      <c r="B8586" s="2"/>
      <c r="N8586" s="27"/>
      <c r="R8586" s="15"/>
      <c r="X8586" s="3"/>
      <c r="Z8586" s="28"/>
    </row>
    <row r="8587" spans="2:26">
      <c r="B8587" s="2"/>
      <c r="N8587" s="27"/>
      <c r="R8587" s="15"/>
      <c r="X8587" s="3"/>
      <c r="Z8587" s="28"/>
    </row>
    <row r="8588" spans="2:26">
      <c r="B8588" s="2"/>
      <c r="N8588" s="27"/>
      <c r="R8588" s="15"/>
      <c r="X8588" s="3"/>
      <c r="Z8588" s="28"/>
    </row>
    <row r="8589" spans="2:26">
      <c r="B8589" s="2"/>
      <c r="N8589" s="27"/>
      <c r="R8589" s="15"/>
      <c r="X8589" s="3"/>
      <c r="Z8589" s="28"/>
    </row>
    <row r="8590" spans="2:26">
      <c r="B8590" s="2"/>
      <c r="N8590" s="27"/>
      <c r="R8590" s="15"/>
      <c r="X8590" s="3"/>
      <c r="Z8590" s="28"/>
    </row>
    <row r="8591" spans="2:26">
      <c r="B8591" s="2"/>
      <c r="N8591" s="27"/>
      <c r="R8591" s="15"/>
      <c r="X8591" s="3"/>
      <c r="Z8591" s="28"/>
    </row>
    <row r="8592" spans="2:26">
      <c r="B8592" s="2"/>
      <c r="N8592" s="27"/>
      <c r="R8592" s="15"/>
      <c r="X8592" s="3"/>
      <c r="Z8592" s="28"/>
    </row>
    <row r="8593" spans="2:26">
      <c r="B8593" s="2"/>
      <c r="N8593" s="27"/>
      <c r="R8593" s="15"/>
      <c r="X8593" s="3"/>
      <c r="Z8593" s="28"/>
    </row>
    <row r="8594" spans="2:26">
      <c r="B8594" s="2"/>
      <c r="N8594" s="27"/>
      <c r="R8594" s="15"/>
      <c r="X8594" s="3"/>
      <c r="Z8594" s="28"/>
    </row>
    <row r="8595" spans="2:26">
      <c r="B8595" s="2"/>
      <c r="N8595" s="27"/>
      <c r="R8595" s="15"/>
      <c r="X8595" s="3"/>
      <c r="Z8595" s="28"/>
    </row>
    <row r="8596" spans="2:26">
      <c r="B8596" s="2"/>
      <c r="N8596" s="27"/>
      <c r="R8596" s="15"/>
      <c r="X8596" s="3"/>
      <c r="Z8596" s="28"/>
    </row>
    <row r="8597" spans="2:26">
      <c r="B8597" s="2"/>
      <c r="N8597" s="27"/>
      <c r="R8597" s="15"/>
      <c r="X8597" s="3"/>
      <c r="Z8597" s="28"/>
    </row>
    <row r="8598" spans="2:26">
      <c r="B8598" s="2"/>
      <c r="N8598" s="27"/>
      <c r="R8598" s="15"/>
      <c r="X8598" s="3"/>
      <c r="Z8598" s="28"/>
    </row>
    <row r="8599" spans="2:26">
      <c r="B8599" s="2"/>
      <c r="N8599" s="27"/>
      <c r="R8599" s="15"/>
      <c r="X8599" s="3"/>
      <c r="Z8599" s="28"/>
    </row>
    <row r="8600" spans="2:26">
      <c r="B8600" s="2"/>
      <c r="N8600" s="27"/>
      <c r="R8600" s="15"/>
      <c r="X8600" s="3"/>
      <c r="Z8600" s="28"/>
    </row>
    <row r="8601" spans="2:26">
      <c r="B8601" s="2"/>
      <c r="N8601" s="27"/>
      <c r="R8601" s="15"/>
      <c r="X8601" s="3"/>
      <c r="Z8601" s="28"/>
    </row>
    <row r="8602" spans="2:26">
      <c r="B8602" s="2"/>
      <c r="N8602" s="27"/>
      <c r="R8602" s="15"/>
      <c r="X8602" s="3"/>
      <c r="Z8602" s="28"/>
    </row>
    <row r="8603" spans="2:26">
      <c r="B8603" s="2"/>
      <c r="N8603" s="27"/>
      <c r="R8603" s="15"/>
      <c r="X8603" s="3"/>
      <c r="Z8603" s="28"/>
    </row>
    <row r="8604" spans="2:26">
      <c r="B8604" s="2"/>
      <c r="N8604" s="27"/>
      <c r="R8604" s="15"/>
      <c r="X8604" s="3"/>
      <c r="Z8604" s="28"/>
    </row>
    <row r="8605" spans="2:26">
      <c r="B8605" s="2"/>
      <c r="N8605" s="27"/>
      <c r="R8605" s="15"/>
      <c r="X8605" s="3"/>
      <c r="Z8605" s="28"/>
    </row>
    <row r="8606" spans="2:26">
      <c r="B8606" s="2"/>
      <c r="N8606" s="27"/>
      <c r="R8606" s="15"/>
      <c r="X8606" s="3"/>
      <c r="Z8606" s="28"/>
    </row>
    <row r="8607" spans="2:26">
      <c r="B8607" s="2"/>
      <c r="N8607" s="27"/>
      <c r="R8607" s="15"/>
      <c r="X8607" s="3"/>
      <c r="Z8607" s="28"/>
    </row>
    <row r="8608" spans="2:26">
      <c r="B8608" s="2"/>
      <c r="N8608" s="27"/>
      <c r="R8608" s="15"/>
      <c r="X8608" s="3"/>
      <c r="Z8608" s="28"/>
    </row>
    <row r="8609" spans="2:26">
      <c r="B8609" s="2"/>
      <c r="N8609" s="27"/>
      <c r="R8609" s="15"/>
      <c r="X8609" s="3"/>
      <c r="Z8609" s="28"/>
    </row>
    <row r="8610" spans="2:26">
      <c r="B8610" s="2"/>
      <c r="N8610" s="27"/>
      <c r="R8610" s="15"/>
      <c r="X8610" s="3"/>
      <c r="Z8610" s="28"/>
    </row>
    <row r="8611" spans="2:26">
      <c r="B8611" s="2"/>
      <c r="N8611" s="27"/>
      <c r="R8611" s="15"/>
      <c r="X8611" s="3"/>
      <c r="Z8611" s="28"/>
    </row>
    <row r="8612" spans="2:26">
      <c r="B8612" s="2"/>
      <c r="N8612" s="27"/>
      <c r="R8612" s="15"/>
      <c r="X8612" s="3"/>
      <c r="Z8612" s="28"/>
    </row>
    <row r="8613" spans="2:26">
      <c r="B8613" s="2"/>
      <c r="N8613" s="27"/>
      <c r="R8613" s="15"/>
      <c r="X8613" s="3"/>
      <c r="Z8613" s="28"/>
    </row>
    <row r="8614" spans="2:26">
      <c r="B8614" s="2"/>
      <c r="N8614" s="27"/>
      <c r="R8614" s="15"/>
      <c r="X8614" s="3"/>
      <c r="Z8614" s="28"/>
    </row>
    <row r="8615" spans="2:26">
      <c r="B8615" s="2"/>
      <c r="N8615" s="27"/>
      <c r="R8615" s="15"/>
      <c r="X8615" s="3"/>
      <c r="Z8615" s="28"/>
    </row>
    <row r="8616" spans="2:26">
      <c r="B8616" s="2"/>
      <c r="N8616" s="27"/>
      <c r="R8616" s="15"/>
      <c r="X8616" s="3"/>
      <c r="Z8616" s="28"/>
    </row>
    <row r="8617" spans="2:26">
      <c r="B8617" s="2"/>
      <c r="N8617" s="27"/>
      <c r="R8617" s="15"/>
      <c r="X8617" s="3"/>
      <c r="Z8617" s="28"/>
    </row>
    <row r="8618" spans="2:26">
      <c r="B8618" s="2"/>
      <c r="N8618" s="27"/>
      <c r="R8618" s="15"/>
      <c r="X8618" s="3"/>
      <c r="Z8618" s="28"/>
    </row>
    <row r="8619" spans="2:26">
      <c r="B8619" s="2"/>
      <c r="N8619" s="27"/>
      <c r="R8619" s="15"/>
      <c r="X8619" s="3"/>
      <c r="Z8619" s="28"/>
    </row>
    <row r="8620" spans="2:26">
      <c r="B8620" s="2"/>
      <c r="N8620" s="27"/>
      <c r="R8620" s="15"/>
      <c r="X8620" s="3"/>
      <c r="Z8620" s="28"/>
    </row>
    <row r="8621" spans="2:26">
      <c r="B8621" s="2"/>
      <c r="N8621" s="27"/>
      <c r="R8621" s="15"/>
      <c r="X8621" s="3"/>
      <c r="Z8621" s="28"/>
    </row>
    <row r="8622" spans="2:26">
      <c r="B8622" s="2"/>
      <c r="N8622" s="27"/>
      <c r="R8622" s="15"/>
      <c r="X8622" s="3"/>
      <c r="Z8622" s="28"/>
    </row>
    <row r="8623" spans="2:26">
      <c r="B8623" s="2"/>
      <c r="N8623" s="27"/>
      <c r="R8623" s="15"/>
      <c r="X8623" s="3"/>
      <c r="Z8623" s="28"/>
    </row>
    <row r="8624" spans="2:26">
      <c r="B8624" s="2"/>
      <c r="N8624" s="27"/>
      <c r="R8624" s="15"/>
      <c r="X8624" s="3"/>
      <c r="Z8624" s="28"/>
    </row>
    <row r="8625" spans="2:26">
      <c r="B8625" s="2"/>
      <c r="N8625" s="27"/>
      <c r="R8625" s="15"/>
      <c r="X8625" s="3"/>
      <c r="Z8625" s="28"/>
    </row>
    <row r="8626" spans="2:26">
      <c r="B8626" s="2"/>
      <c r="N8626" s="27"/>
      <c r="R8626" s="15"/>
      <c r="X8626" s="3"/>
      <c r="Z8626" s="28"/>
    </row>
    <row r="8627" spans="2:26">
      <c r="B8627" s="2"/>
      <c r="N8627" s="27"/>
      <c r="R8627" s="15"/>
      <c r="X8627" s="3"/>
      <c r="Z8627" s="28"/>
    </row>
    <row r="8628" spans="2:26">
      <c r="B8628" s="2"/>
      <c r="N8628" s="27"/>
      <c r="R8628" s="15"/>
      <c r="X8628" s="3"/>
      <c r="Z8628" s="28"/>
    </row>
    <row r="8629" spans="2:26">
      <c r="B8629" s="2"/>
      <c r="N8629" s="27"/>
      <c r="R8629" s="15"/>
      <c r="X8629" s="3"/>
      <c r="Z8629" s="28"/>
    </row>
    <row r="8630" spans="2:26">
      <c r="B8630" s="2"/>
      <c r="N8630" s="27"/>
      <c r="R8630" s="15"/>
      <c r="X8630" s="3"/>
      <c r="Z8630" s="28"/>
    </row>
    <row r="8631" spans="2:26">
      <c r="B8631" s="2"/>
      <c r="N8631" s="27"/>
      <c r="R8631" s="15"/>
      <c r="X8631" s="3"/>
      <c r="Z8631" s="28"/>
    </row>
    <row r="8632" spans="2:26">
      <c r="B8632" s="2"/>
      <c r="N8632" s="27"/>
      <c r="R8632" s="15"/>
      <c r="X8632" s="3"/>
      <c r="Z8632" s="28"/>
    </row>
    <row r="8633" spans="2:26">
      <c r="B8633" s="2"/>
      <c r="N8633" s="27"/>
      <c r="R8633" s="15"/>
      <c r="X8633" s="3"/>
      <c r="Z8633" s="28"/>
    </row>
    <row r="8634" spans="2:26">
      <c r="B8634" s="2"/>
      <c r="N8634" s="27"/>
      <c r="R8634" s="15"/>
      <c r="X8634" s="3"/>
      <c r="Z8634" s="28"/>
    </row>
    <row r="8635" spans="2:26">
      <c r="B8635" s="2"/>
      <c r="N8635" s="27"/>
      <c r="R8635" s="15"/>
      <c r="X8635" s="3"/>
      <c r="Z8635" s="28"/>
    </row>
    <row r="8636" spans="2:26">
      <c r="B8636" s="2"/>
      <c r="N8636" s="27"/>
      <c r="R8636" s="15"/>
      <c r="X8636" s="3"/>
      <c r="Z8636" s="28"/>
    </row>
    <row r="8637" spans="2:26">
      <c r="B8637" s="2"/>
      <c r="N8637" s="27"/>
      <c r="R8637" s="15"/>
      <c r="X8637" s="3"/>
      <c r="Z8637" s="28"/>
    </row>
    <row r="8638" spans="2:26">
      <c r="B8638" s="2"/>
      <c r="N8638" s="27"/>
      <c r="R8638" s="15"/>
      <c r="X8638" s="3"/>
      <c r="Z8638" s="28"/>
    </row>
    <row r="8639" spans="2:26">
      <c r="B8639" s="2"/>
      <c r="N8639" s="27"/>
      <c r="R8639" s="15"/>
      <c r="X8639" s="3"/>
      <c r="Z8639" s="28"/>
    </row>
    <row r="8640" spans="2:26">
      <c r="B8640" s="2"/>
      <c r="N8640" s="27"/>
      <c r="R8640" s="15"/>
      <c r="X8640" s="3"/>
      <c r="Z8640" s="28"/>
    </row>
    <row r="8641" spans="2:26">
      <c r="B8641" s="2"/>
      <c r="N8641" s="27"/>
      <c r="R8641" s="15"/>
      <c r="X8641" s="3"/>
      <c r="Z8641" s="28"/>
    </row>
    <row r="8642" spans="2:26">
      <c r="B8642" s="2"/>
      <c r="N8642" s="27"/>
      <c r="R8642" s="15"/>
      <c r="X8642" s="3"/>
      <c r="Z8642" s="28"/>
    </row>
    <row r="8643" spans="2:26">
      <c r="B8643" s="2"/>
      <c r="N8643" s="27"/>
      <c r="R8643" s="15"/>
      <c r="X8643" s="3"/>
      <c r="Z8643" s="28"/>
    </row>
    <row r="8644" spans="2:26">
      <c r="B8644" s="2"/>
      <c r="N8644" s="27"/>
      <c r="R8644" s="15"/>
      <c r="X8644" s="3"/>
      <c r="Z8644" s="28"/>
    </row>
    <row r="8645" spans="2:26">
      <c r="B8645" s="2"/>
      <c r="N8645" s="27"/>
      <c r="R8645" s="15"/>
      <c r="X8645" s="3"/>
      <c r="Z8645" s="28"/>
    </row>
    <row r="8646" spans="2:26">
      <c r="B8646" s="2"/>
      <c r="N8646" s="27"/>
      <c r="R8646" s="15"/>
      <c r="X8646" s="3"/>
      <c r="Z8646" s="28"/>
    </row>
    <row r="8647" spans="2:26">
      <c r="B8647" s="2"/>
      <c r="N8647" s="27"/>
      <c r="R8647" s="15"/>
      <c r="X8647" s="3"/>
      <c r="Z8647" s="28"/>
    </row>
    <row r="8648" spans="2:26">
      <c r="B8648" s="2"/>
      <c r="N8648" s="27"/>
      <c r="R8648" s="15"/>
      <c r="X8648" s="3"/>
      <c r="Z8648" s="28"/>
    </row>
    <row r="8649" spans="2:26">
      <c r="B8649" s="2"/>
      <c r="N8649" s="27"/>
      <c r="R8649" s="15"/>
      <c r="X8649" s="3"/>
      <c r="Z8649" s="28"/>
    </row>
    <row r="8650" spans="2:26">
      <c r="B8650" s="2"/>
      <c r="N8650" s="27"/>
      <c r="R8650" s="15"/>
      <c r="X8650" s="3"/>
      <c r="Z8650" s="28"/>
    </row>
    <row r="8651" spans="2:26">
      <c r="B8651" s="2"/>
      <c r="N8651" s="27"/>
      <c r="R8651" s="15"/>
      <c r="X8651" s="3"/>
      <c r="Z8651" s="28"/>
    </row>
    <row r="8652" spans="2:26">
      <c r="B8652" s="2"/>
      <c r="N8652" s="27"/>
      <c r="R8652" s="15"/>
      <c r="X8652" s="3"/>
      <c r="Z8652" s="28"/>
    </row>
    <row r="8653" spans="2:26">
      <c r="B8653" s="2"/>
      <c r="N8653" s="27"/>
      <c r="R8653" s="15"/>
      <c r="X8653" s="3"/>
      <c r="Z8653" s="28"/>
    </row>
    <row r="8654" spans="2:26">
      <c r="B8654" s="2"/>
      <c r="N8654" s="27"/>
      <c r="R8654" s="15"/>
      <c r="X8654" s="3"/>
      <c r="Z8654" s="28"/>
    </row>
    <row r="8655" spans="2:26">
      <c r="B8655" s="2"/>
      <c r="N8655" s="27"/>
      <c r="R8655" s="15"/>
      <c r="X8655" s="3"/>
      <c r="Z8655" s="28"/>
    </row>
    <row r="8656" spans="2:26">
      <c r="B8656" s="2"/>
      <c r="N8656" s="27"/>
      <c r="R8656" s="15"/>
      <c r="X8656" s="3"/>
      <c r="Z8656" s="28"/>
    </row>
    <row r="8657" spans="2:26">
      <c r="B8657" s="2"/>
      <c r="N8657" s="27"/>
      <c r="R8657" s="15"/>
      <c r="X8657" s="3"/>
      <c r="Z8657" s="28"/>
    </row>
    <row r="8658" spans="2:26">
      <c r="B8658" s="2"/>
      <c r="N8658" s="27"/>
      <c r="R8658" s="15"/>
      <c r="X8658" s="3"/>
      <c r="Z8658" s="28"/>
    </row>
    <row r="8659" spans="2:26">
      <c r="B8659" s="2"/>
      <c r="N8659" s="27"/>
      <c r="R8659" s="15"/>
      <c r="X8659" s="3"/>
      <c r="Z8659" s="28"/>
    </row>
    <row r="8660" spans="2:26">
      <c r="B8660" s="2"/>
      <c r="N8660" s="27"/>
      <c r="R8660" s="15"/>
      <c r="X8660" s="3"/>
      <c r="Z8660" s="28"/>
    </row>
    <row r="8661" spans="2:26">
      <c r="B8661" s="2"/>
      <c r="N8661" s="27"/>
      <c r="R8661" s="15"/>
      <c r="X8661" s="3"/>
      <c r="Z8661" s="28"/>
    </row>
    <row r="8662" spans="2:26">
      <c r="B8662" s="2"/>
      <c r="N8662" s="27"/>
      <c r="R8662" s="15"/>
      <c r="X8662" s="3"/>
      <c r="Z8662" s="28"/>
    </row>
    <row r="8663" spans="2:26">
      <c r="B8663" s="2"/>
      <c r="N8663" s="27"/>
      <c r="R8663" s="15"/>
      <c r="X8663" s="3"/>
      <c r="Z8663" s="28"/>
    </row>
    <row r="8664" spans="2:26">
      <c r="B8664" s="2"/>
      <c r="N8664" s="27"/>
      <c r="R8664" s="15"/>
      <c r="X8664" s="3"/>
      <c r="Z8664" s="28"/>
    </row>
    <row r="8665" spans="2:26">
      <c r="B8665" s="2"/>
      <c r="N8665" s="27"/>
      <c r="R8665" s="15"/>
      <c r="X8665" s="3"/>
      <c r="Z8665" s="28"/>
    </row>
    <row r="8666" spans="2:26">
      <c r="B8666" s="2"/>
      <c r="N8666" s="27"/>
      <c r="R8666" s="15"/>
      <c r="X8666" s="3"/>
      <c r="Z8666" s="28"/>
    </row>
    <row r="8667" spans="2:26">
      <c r="B8667" s="2"/>
      <c r="N8667" s="27"/>
      <c r="R8667" s="15"/>
      <c r="X8667" s="3"/>
      <c r="Z8667" s="28"/>
    </row>
    <row r="8668" spans="2:26">
      <c r="B8668" s="2"/>
      <c r="N8668" s="27"/>
      <c r="R8668" s="15"/>
      <c r="X8668" s="3"/>
      <c r="Z8668" s="28"/>
    </row>
    <row r="8669" spans="2:26">
      <c r="B8669" s="2"/>
      <c r="N8669" s="27"/>
      <c r="R8669" s="15"/>
      <c r="X8669" s="3"/>
      <c r="Z8669" s="28"/>
    </row>
    <row r="8670" spans="2:26">
      <c r="B8670" s="2"/>
      <c r="N8670" s="27"/>
      <c r="R8670" s="15"/>
      <c r="X8670" s="3"/>
      <c r="Z8670" s="28"/>
    </row>
    <row r="8671" spans="2:26">
      <c r="B8671" s="2"/>
      <c r="N8671" s="27"/>
      <c r="R8671" s="15"/>
      <c r="X8671" s="3"/>
      <c r="Z8671" s="28"/>
    </row>
    <row r="8672" spans="2:26">
      <c r="B8672" s="2"/>
      <c r="N8672" s="27"/>
      <c r="R8672" s="15"/>
      <c r="X8672" s="3"/>
      <c r="Z8672" s="28"/>
    </row>
    <row r="8673" spans="2:26">
      <c r="B8673" s="2"/>
      <c r="N8673" s="27"/>
      <c r="R8673" s="15"/>
      <c r="X8673" s="3"/>
      <c r="Z8673" s="28"/>
    </row>
    <row r="8674" spans="2:26">
      <c r="B8674" s="2"/>
      <c r="N8674" s="27"/>
      <c r="R8674" s="15"/>
      <c r="X8674" s="3"/>
      <c r="Z8674" s="28"/>
    </row>
    <row r="8675" spans="2:26">
      <c r="B8675" s="2"/>
      <c r="N8675" s="27"/>
      <c r="R8675" s="15"/>
      <c r="X8675" s="3"/>
      <c r="Z8675" s="28"/>
    </row>
    <row r="8676" spans="2:26">
      <c r="B8676" s="2"/>
      <c r="N8676" s="27"/>
      <c r="R8676" s="15"/>
      <c r="X8676" s="3"/>
      <c r="Z8676" s="28"/>
    </row>
    <row r="8677" spans="2:26">
      <c r="B8677" s="2"/>
      <c r="N8677" s="27"/>
      <c r="R8677" s="15"/>
      <c r="X8677" s="3"/>
      <c r="Z8677" s="28"/>
    </row>
    <row r="8678" spans="2:26">
      <c r="B8678" s="2"/>
      <c r="N8678" s="27"/>
      <c r="R8678" s="15"/>
      <c r="X8678" s="3"/>
      <c r="Z8678" s="28"/>
    </row>
    <row r="8679" spans="2:26">
      <c r="B8679" s="2"/>
      <c r="N8679" s="27"/>
      <c r="R8679" s="15"/>
      <c r="X8679" s="3"/>
      <c r="Z8679" s="28"/>
    </row>
    <row r="8680" spans="2:26">
      <c r="B8680" s="2"/>
      <c r="N8680" s="27"/>
      <c r="R8680" s="15"/>
      <c r="X8680" s="3"/>
      <c r="Z8680" s="28"/>
    </row>
    <row r="8681" spans="2:26">
      <c r="B8681" s="2"/>
      <c r="N8681" s="27"/>
      <c r="R8681" s="15"/>
      <c r="X8681" s="3"/>
      <c r="Z8681" s="28"/>
    </row>
    <row r="8682" spans="2:26">
      <c r="B8682" s="2"/>
      <c r="N8682" s="27"/>
      <c r="R8682" s="15"/>
      <c r="X8682" s="3"/>
      <c r="Z8682" s="28"/>
    </row>
    <row r="8683" spans="2:26">
      <c r="B8683" s="2"/>
      <c r="N8683" s="27"/>
      <c r="R8683" s="15"/>
      <c r="X8683" s="3"/>
      <c r="Z8683" s="28"/>
    </row>
    <row r="8684" spans="2:26">
      <c r="B8684" s="2"/>
      <c r="N8684" s="27"/>
      <c r="R8684" s="15"/>
      <c r="X8684" s="3"/>
      <c r="Z8684" s="28"/>
    </row>
    <row r="8685" spans="2:26">
      <c r="B8685" s="2"/>
      <c r="N8685" s="27"/>
      <c r="R8685" s="15"/>
      <c r="X8685" s="3"/>
      <c r="Z8685" s="28"/>
    </row>
    <row r="8686" spans="2:26">
      <c r="B8686" s="2"/>
      <c r="N8686" s="27"/>
      <c r="R8686" s="15"/>
      <c r="X8686" s="3"/>
      <c r="Z8686" s="28"/>
    </row>
    <row r="8687" spans="2:26">
      <c r="B8687" s="2"/>
      <c r="N8687" s="27"/>
      <c r="R8687" s="15"/>
      <c r="X8687" s="3"/>
      <c r="Z8687" s="28"/>
    </row>
    <row r="8688" spans="2:26">
      <c r="B8688" s="2"/>
      <c r="N8688" s="27"/>
      <c r="R8688" s="15"/>
      <c r="X8688" s="3"/>
      <c r="Z8688" s="28"/>
    </row>
    <row r="8689" spans="2:26">
      <c r="B8689" s="2"/>
      <c r="N8689" s="27"/>
      <c r="R8689" s="15"/>
      <c r="X8689" s="3"/>
      <c r="Z8689" s="28"/>
    </row>
    <row r="8690" spans="2:26">
      <c r="B8690" s="2"/>
      <c r="N8690" s="27"/>
      <c r="R8690" s="15"/>
      <c r="X8690" s="3"/>
      <c r="Z8690" s="28"/>
    </row>
    <row r="8691" spans="2:26">
      <c r="B8691" s="2"/>
      <c r="N8691" s="27"/>
      <c r="R8691" s="15"/>
      <c r="X8691" s="3"/>
      <c r="Z8691" s="28"/>
    </row>
    <row r="8692" spans="2:26">
      <c r="B8692" s="2"/>
      <c r="N8692" s="27"/>
      <c r="R8692" s="15"/>
      <c r="X8692" s="3"/>
      <c r="Z8692" s="28"/>
    </row>
    <row r="8693" spans="2:26">
      <c r="B8693" s="2"/>
      <c r="N8693" s="27"/>
      <c r="R8693" s="15"/>
      <c r="X8693" s="3"/>
      <c r="Z8693" s="28"/>
    </row>
    <row r="8694" spans="2:26">
      <c r="B8694" s="2"/>
      <c r="N8694" s="27"/>
      <c r="R8694" s="15"/>
      <c r="X8694" s="3"/>
      <c r="Z8694" s="28"/>
    </row>
    <row r="8695" spans="2:26">
      <c r="B8695" s="2"/>
      <c r="N8695" s="27"/>
      <c r="R8695" s="15"/>
      <c r="X8695" s="3"/>
      <c r="Z8695" s="28"/>
    </row>
    <row r="8696" spans="2:26">
      <c r="B8696" s="2"/>
      <c r="N8696" s="27"/>
      <c r="R8696" s="15"/>
      <c r="X8696" s="3"/>
      <c r="Z8696" s="28"/>
    </row>
    <row r="8697" spans="2:26">
      <c r="B8697" s="2"/>
      <c r="N8697" s="27"/>
      <c r="R8697" s="15"/>
      <c r="X8697" s="3"/>
      <c r="Z8697" s="28"/>
    </row>
    <row r="8698" spans="2:26">
      <c r="B8698" s="2"/>
      <c r="N8698" s="27"/>
      <c r="R8698" s="15"/>
      <c r="X8698" s="3"/>
      <c r="Z8698" s="28"/>
    </row>
    <row r="8699" spans="2:26">
      <c r="B8699" s="2"/>
      <c r="N8699" s="27"/>
      <c r="R8699" s="15"/>
      <c r="X8699" s="3"/>
      <c r="Z8699" s="28"/>
    </row>
    <row r="8700" spans="2:26">
      <c r="B8700" s="2"/>
      <c r="N8700" s="27"/>
      <c r="R8700" s="15"/>
      <c r="X8700" s="3"/>
      <c r="Z8700" s="28"/>
    </row>
    <row r="8701" spans="2:26">
      <c r="B8701" s="2"/>
      <c r="N8701" s="27"/>
      <c r="R8701" s="15"/>
      <c r="X8701" s="3"/>
      <c r="Z8701" s="28"/>
    </row>
    <row r="8702" spans="2:26">
      <c r="B8702" s="2"/>
      <c r="N8702" s="27"/>
      <c r="R8702" s="15"/>
      <c r="X8702" s="3"/>
      <c r="Z8702" s="28"/>
    </row>
    <row r="8703" spans="2:26">
      <c r="B8703" s="2"/>
      <c r="N8703" s="27"/>
      <c r="R8703" s="15"/>
      <c r="X8703" s="3"/>
      <c r="Z8703" s="28"/>
    </row>
    <row r="8704" spans="2:26">
      <c r="B8704" s="2"/>
      <c r="N8704" s="27"/>
      <c r="R8704" s="15"/>
      <c r="X8704" s="3"/>
      <c r="Z8704" s="28"/>
    </row>
    <row r="8705" spans="2:26">
      <c r="B8705" s="2"/>
      <c r="N8705" s="27"/>
      <c r="R8705" s="15"/>
      <c r="X8705" s="3"/>
      <c r="Z8705" s="28"/>
    </row>
    <row r="8706" spans="2:26">
      <c r="B8706" s="2"/>
      <c r="N8706" s="27"/>
      <c r="R8706" s="15"/>
      <c r="X8706" s="3"/>
      <c r="Z8706" s="28"/>
    </row>
    <row r="8707" spans="2:26">
      <c r="B8707" s="2"/>
      <c r="N8707" s="27"/>
      <c r="R8707" s="15"/>
      <c r="X8707" s="3"/>
      <c r="Z8707" s="28"/>
    </row>
    <row r="8708" spans="2:26">
      <c r="B8708" s="2"/>
      <c r="N8708" s="27"/>
      <c r="R8708" s="15"/>
      <c r="X8708" s="3"/>
      <c r="Z8708" s="28"/>
    </row>
    <row r="8709" spans="2:26">
      <c r="B8709" s="2"/>
      <c r="N8709" s="27"/>
      <c r="R8709" s="15"/>
      <c r="X8709" s="3"/>
      <c r="Z8709" s="28"/>
    </row>
    <row r="8710" spans="2:26">
      <c r="B8710" s="2"/>
      <c r="N8710" s="27"/>
      <c r="R8710" s="15"/>
      <c r="X8710" s="3"/>
      <c r="Z8710" s="28"/>
    </row>
    <row r="8711" spans="2:26">
      <c r="B8711" s="2"/>
      <c r="N8711" s="27"/>
      <c r="R8711" s="15"/>
      <c r="X8711" s="3"/>
      <c r="Z8711" s="28"/>
    </row>
    <row r="8712" spans="2:26">
      <c r="B8712" s="2"/>
      <c r="N8712" s="27"/>
      <c r="R8712" s="15"/>
      <c r="X8712" s="3"/>
      <c r="Z8712" s="28"/>
    </row>
    <row r="8713" spans="2:26">
      <c r="B8713" s="2"/>
      <c r="N8713" s="27"/>
      <c r="R8713" s="15"/>
      <c r="X8713" s="3"/>
      <c r="Z8713" s="28"/>
    </row>
    <row r="8714" spans="2:26">
      <c r="B8714" s="2"/>
      <c r="N8714" s="27"/>
      <c r="R8714" s="15"/>
      <c r="X8714" s="3"/>
      <c r="Z8714" s="28"/>
    </row>
    <row r="8715" spans="2:26">
      <c r="B8715" s="2"/>
      <c r="N8715" s="27"/>
      <c r="R8715" s="15"/>
      <c r="X8715" s="3"/>
      <c r="Z8715" s="28"/>
    </row>
    <row r="8716" spans="2:26">
      <c r="B8716" s="2"/>
      <c r="N8716" s="27"/>
      <c r="R8716" s="15"/>
      <c r="X8716" s="3"/>
      <c r="Z8716" s="28"/>
    </row>
    <row r="8717" spans="2:26">
      <c r="B8717" s="2"/>
      <c r="N8717" s="27"/>
      <c r="R8717" s="15"/>
      <c r="X8717" s="3"/>
      <c r="Z8717" s="28"/>
    </row>
    <row r="8718" spans="2:26">
      <c r="B8718" s="2"/>
      <c r="N8718" s="27"/>
      <c r="R8718" s="15"/>
      <c r="X8718" s="3"/>
      <c r="Z8718" s="28"/>
    </row>
    <row r="8719" spans="2:26">
      <c r="B8719" s="2"/>
      <c r="N8719" s="27"/>
      <c r="R8719" s="15"/>
      <c r="X8719" s="3"/>
      <c r="Z8719" s="28"/>
    </row>
    <row r="8720" spans="2:26">
      <c r="B8720" s="2"/>
      <c r="N8720" s="27"/>
      <c r="R8720" s="15"/>
      <c r="X8720" s="3"/>
      <c r="Z8720" s="28"/>
    </row>
    <row r="8721" spans="2:26">
      <c r="B8721" s="2"/>
      <c r="N8721" s="27"/>
      <c r="R8721" s="15"/>
      <c r="X8721" s="3"/>
      <c r="Z8721" s="28"/>
    </row>
    <row r="8722" spans="2:26">
      <c r="B8722" s="2"/>
      <c r="N8722" s="27"/>
      <c r="R8722" s="15"/>
      <c r="X8722" s="3"/>
      <c r="Z8722" s="28"/>
    </row>
    <row r="8723" spans="2:26">
      <c r="B8723" s="2"/>
      <c r="N8723" s="27"/>
      <c r="R8723" s="15"/>
      <c r="X8723" s="3"/>
      <c r="Z8723" s="28"/>
    </row>
    <row r="8724" spans="2:26">
      <c r="B8724" s="2"/>
      <c r="N8724" s="27"/>
      <c r="R8724" s="15"/>
      <c r="X8724" s="3"/>
      <c r="Z8724" s="28"/>
    </row>
    <row r="8725" spans="2:26">
      <c r="B8725" s="2"/>
      <c r="N8725" s="27"/>
      <c r="R8725" s="15"/>
      <c r="X8725" s="3"/>
      <c r="Z8725" s="28"/>
    </row>
    <row r="8726" spans="2:26">
      <c r="B8726" s="2"/>
      <c r="N8726" s="27"/>
      <c r="R8726" s="15"/>
      <c r="X8726" s="3"/>
      <c r="Z8726" s="28"/>
    </row>
    <row r="8727" spans="2:26">
      <c r="B8727" s="2"/>
      <c r="N8727" s="27"/>
      <c r="R8727" s="15"/>
      <c r="X8727" s="3"/>
      <c r="Z8727" s="28"/>
    </row>
    <row r="8728" spans="2:26">
      <c r="B8728" s="2"/>
      <c r="N8728" s="27"/>
      <c r="R8728" s="15"/>
      <c r="X8728" s="3"/>
      <c r="Z8728" s="28"/>
    </row>
    <row r="8729" spans="2:26">
      <c r="B8729" s="2"/>
      <c r="N8729" s="27"/>
      <c r="R8729" s="15"/>
      <c r="X8729" s="3"/>
      <c r="Z8729" s="28"/>
    </row>
    <row r="8730" spans="2:26">
      <c r="B8730" s="2"/>
      <c r="N8730" s="27"/>
      <c r="R8730" s="15"/>
      <c r="X8730" s="3"/>
      <c r="Z8730" s="28"/>
    </row>
    <row r="8731" spans="2:26">
      <c r="B8731" s="2"/>
      <c r="N8731" s="27"/>
      <c r="R8731" s="15"/>
      <c r="X8731" s="3"/>
      <c r="Z8731" s="28"/>
    </row>
    <row r="8732" spans="2:26">
      <c r="B8732" s="2"/>
      <c r="N8732" s="27"/>
      <c r="R8732" s="15"/>
      <c r="X8732" s="3"/>
      <c r="Z8732" s="28"/>
    </row>
    <row r="8733" spans="2:26">
      <c r="B8733" s="2"/>
      <c r="N8733" s="27"/>
      <c r="R8733" s="15"/>
      <c r="X8733" s="3"/>
      <c r="Z8733" s="28"/>
    </row>
    <row r="8734" spans="2:26">
      <c r="B8734" s="2"/>
      <c r="N8734" s="27"/>
      <c r="R8734" s="15"/>
      <c r="X8734" s="3"/>
      <c r="Z8734" s="28"/>
    </row>
    <row r="8735" spans="2:26">
      <c r="B8735" s="2"/>
      <c r="N8735" s="27"/>
      <c r="R8735" s="15"/>
      <c r="X8735" s="3"/>
      <c r="Z8735" s="28"/>
    </row>
    <row r="8736" spans="2:26">
      <c r="B8736" s="2"/>
      <c r="N8736" s="27"/>
      <c r="R8736" s="15"/>
      <c r="X8736" s="3"/>
      <c r="Z8736" s="28"/>
    </row>
    <row r="8737" spans="2:26">
      <c r="B8737" s="2"/>
      <c r="N8737" s="27"/>
      <c r="R8737" s="15"/>
      <c r="X8737" s="3"/>
      <c r="Z8737" s="28"/>
    </row>
    <row r="8738" spans="2:26">
      <c r="B8738" s="2"/>
      <c r="N8738" s="27"/>
      <c r="R8738" s="15"/>
      <c r="X8738" s="3"/>
      <c r="Z8738" s="28"/>
    </row>
    <row r="8739" spans="2:26">
      <c r="B8739" s="2"/>
      <c r="N8739" s="27"/>
      <c r="R8739" s="15"/>
      <c r="X8739" s="3"/>
      <c r="Z8739" s="28"/>
    </row>
    <row r="8740" spans="2:26">
      <c r="B8740" s="2"/>
      <c r="N8740" s="27"/>
      <c r="R8740" s="15"/>
      <c r="X8740" s="3"/>
      <c r="Z8740" s="28"/>
    </row>
    <row r="8741" spans="2:26">
      <c r="B8741" s="2"/>
      <c r="N8741" s="27"/>
      <c r="R8741" s="15"/>
      <c r="X8741" s="3"/>
      <c r="Z8741" s="28"/>
    </row>
    <row r="8742" spans="2:26">
      <c r="B8742" s="2"/>
      <c r="N8742" s="27"/>
      <c r="R8742" s="15"/>
      <c r="X8742" s="3"/>
      <c r="Z8742" s="28"/>
    </row>
    <row r="8743" spans="2:26">
      <c r="B8743" s="2"/>
      <c r="N8743" s="27"/>
      <c r="R8743" s="15"/>
      <c r="X8743" s="3"/>
      <c r="Z8743" s="28"/>
    </row>
    <row r="8744" spans="2:26">
      <c r="B8744" s="2"/>
      <c r="N8744" s="27"/>
      <c r="R8744" s="15"/>
      <c r="X8744" s="3"/>
      <c r="Z8744" s="28"/>
    </row>
    <row r="8745" spans="2:26">
      <c r="B8745" s="2"/>
      <c r="N8745" s="27"/>
      <c r="R8745" s="15"/>
      <c r="X8745" s="3"/>
      <c r="Z8745" s="28"/>
    </row>
    <row r="8746" spans="2:26">
      <c r="B8746" s="2"/>
      <c r="N8746" s="27"/>
      <c r="R8746" s="15"/>
      <c r="X8746" s="3"/>
      <c r="Z8746" s="28"/>
    </row>
    <row r="8747" spans="2:26">
      <c r="B8747" s="2"/>
      <c r="N8747" s="27"/>
      <c r="R8747" s="15"/>
      <c r="X8747" s="3"/>
      <c r="Z8747" s="28"/>
    </row>
    <row r="8748" spans="2:26">
      <c r="B8748" s="2"/>
      <c r="N8748" s="27"/>
      <c r="R8748" s="15"/>
      <c r="X8748" s="3"/>
      <c r="Z8748" s="28"/>
    </row>
    <row r="8749" spans="2:26">
      <c r="B8749" s="2"/>
      <c r="N8749" s="27"/>
      <c r="R8749" s="15"/>
      <c r="X8749" s="3"/>
      <c r="Z8749" s="28"/>
    </row>
    <row r="8750" spans="2:26">
      <c r="B8750" s="2"/>
      <c r="N8750" s="27"/>
      <c r="R8750" s="15"/>
      <c r="X8750" s="3"/>
      <c r="Z8750" s="28"/>
    </row>
    <row r="8751" spans="2:26">
      <c r="B8751" s="2"/>
      <c r="N8751" s="27"/>
      <c r="R8751" s="15"/>
      <c r="X8751" s="3"/>
      <c r="Z8751" s="28"/>
    </row>
    <row r="8752" spans="2:26">
      <c r="B8752" s="2"/>
      <c r="N8752" s="27"/>
      <c r="R8752" s="15"/>
      <c r="X8752" s="3"/>
      <c r="Z8752" s="28"/>
    </row>
    <row r="8753" spans="2:26">
      <c r="B8753" s="2"/>
      <c r="N8753" s="27"/>
      <c r="R8753" s="15"/>
      <c r="X8753" s="3"/>
      <c r="Z8753" s="28"/>
    </row>
    <row r="8754" spans="2:26">
      <c r="B8754" s="2"/>
      <c r="N8754" s="27"/>
      <c r="R8754" s="15"/>
      <c r="X8754" s="3"/>
      <c r="Z8754" s="28"/>
    </row>
    <row r="8755" spans="2:26">
      <c r="B8755" s="2"/>
      <c r="N8755" s="27"/>
      <c r="R8755" s="15"/>
      <c r="X8755" s="3"/>
      <c r="Z8755" s="28"/>
    </row>
    <row r="8756" spans="2:26">
      <c r="B8756" s="2"/>
      <c r="N8756" s="27"/>
      <c r="R8756" s="15"/>
      <c r="X8756" s="3"/>
      <c r="Z8756" s="28"/>
    </row>
    <row r="8757" spans="2:26">
      <c r="B8757" s="2"/>
      <c r="N8757" s="27"/>
      <c r="R8757" s="15"/>
      <c r="X8757" s="3"/>
      <c r="Z8757" s="28"/>
    </row>
    <row r="8758" spans="2:26">
      <c r="B8758" s="2"/>
      <c r="N8758" s="27"/>
      <c r="R8758" s="15"/>
      <c r="X8758" s="3"/>
      <c r="Z8758" s="28"/>
    </row>
    <row r="8759" spans="2:26">
      <c r="B8759" s="2"/>
      <c r="N8759" s="27"/>
      <c r="R8759" s="15"/>
      <c r="X8759" s="3"/>
      <c r="Z8759" s="28"/>
    </row>
    <row r="8760" spans="2:26">
      <c r="B8760" s="2"/>
      <c r="N8760" s="27"/>
      <c r="R8760" s="15"/>
      <c r="X8760" s="3"/>
      <c r="Z8760" s="28"/>
    </row>
    <row r="8761" spans="2:26">
      <c r="B8761" s="2"/>
      <c r="N8761" s="27"/>
      <c r="R8761" s="15"/>
      <c r="X8761" s="3"/>
      <c r="Z8761" s="28"/>
    </row>
    <row r="8762" spans="2:26">
      <c r="B8762" s="2"/>
      <c r="N8762" s="27"/>
      <c r="R8762" s="15"/>
      <c r="X8762" s="3"/>
      <c r="Z8762" s="28"/>
    </row>
    <row r="8763" spans="2:26">
      <c r="B8763" s="2"/>
      <c r="N8763" s="27"/>
      <c r="R8763" s="15"/>
      <c r="X8763" s="3"/>
      <c r="Z8763" s="28"/>
    </row>
    <row r="8764" spans="2:26">
      <c r="B8764" s="2"/>
      <c r="N8764" s="27"/>
      <c r="R8764" s="15"/>
      <c r="X8764" s="3"/>
      <c r="Z8764" s="28"/>
    </row>
    <row r="8765" spans="2:26">
      <c r="B8765" s="2"/>
      <c r="N8765" s="27"/>
      <c r="R8765" s="15"/>
      <c r="X8765" s="3"/>
      <c r="Z8765" s="28"/>
    </row>
    <row r="8766" spans="2:26">
      <c r="B8766" s="2"/>
      <c r="N8766" s="27"/>
      <c r="R8766" s="15"/>
      <c r="X8766" s="3"/>
      <c r="Z8766" s="28"/>
    </row>
    <row r="8767" spans="2:26">
      <c r="B8767" s="2"/>
      <c r="N8767" s="27"/>
      <c r="R8767" s="15"/>
      <c r="X8767" s="3"/>
      <c r="Z8767" s="28"/>
    </row>
    <row r="8768" spans="2:26">
      <c r="B8768" s="2"/>
      <c r="N8768" s="27"/>
      <c r="R8768" s="15"/>
      <c r="X8768" s="3"/>
      <c r="Z8768" s="28"/>
    </row>
    <row r="8769" spans="2:26">
      <c r="B8769" s="2"/>
      <c r="N8769" s="27"/>
      <c r="R8769" s="15"/>
      <c r="X8769" s="3"/>
      <c r="Z8769" s="28"/>
    </row>
    <row r="8770" spans="2:26">
      <c r="B8770" s="2"/>
      <c r="N8770" s="27"/>
      <c r="R8770" s="15"/>
      <c r="X8770" s="3"/>
      <c r="Z8770" s="28"/>
    </row>
    <row r="8771" spans="2:26">
      <c r="B8771" s="2"/>
      <c r="N8771" s="27"/>
      <c r="R8771" s="15"/>
      <c r="X8771" s="3"/>
      <c r="Z8771" s="28"/>
    </row>
    <row r="8772" spans="2:26">
      <c r="B8772" s="2"/>
      <c r="N8772" s="27"/>
      <c r="R8772" s="15"/>
      <c r="X8772" s="3"/>
      <c r="Z8772" s="28"/>
    </row>
    <row r="8773" spans="2:26">
      <c r="B8773" s="2"/>
      <c r="N8773" s="27"/>
      <c r="R8773" s="15"/>
      <c r="X8773" s="3"/>
      <c r="Z8773" s="28"/>
    </row>
    <row r="8774" spans="2:26">
      <c r="B8774" s="2"/>
      <c r="N8774" s="27"/>
      <c r="R8774" s="15"/>
      <c r="X8774" s="3"/>
      <c r="Z8774" s="28"/>
    </row>
    <row r="8775" spans="2:26">
      <c r="B8775" s="2"/>
      <c r="N8775" s="27"/>
      <c r="R8775" s="15"/>
      <c r="X8775" s="3"/>
      <c r="Z8775" s="28"/>
    </row>
    <row r="8776" spans="2:26">
      <c r="B8776" s="2"/>
      <c r="N8776" s="27"/>
      <c r="R8776" s="15"/>
      <c r="X8776" s="3"/>
      <c r="Z8776" s="28"/>
    </row>
    <row r="8777" spans="2:26">
      <c r="B8777" s="2"/>
      <c r="N8777" s="27"/>
      <c r="R8777" s="15"/>
      <c r="X8777" s="3"/>
      <c r="Z8777" s="28"/>
    </row>
    <row r="8778" spans="2:26">
      <c r="B8778" s="2"/>
      <c r="N8778" s="27"/>
      <c r="R8778" s="15"/>
      <c r="X8778" s="3"/>
      <c r="Z8778" s="28"/>
    </row>
    <row r="8779" spans="2:26">
      <c r="B8779" s="2"/>
      <c r="N8779" s="27"/>
      <c r="R8779" s="15"/>
      <c r="X8779" s="3"/>
      <c r="Z8779" s="28"/>
    </row>
    <row r="8780" spans="2:26">
      <c r="B8780" s="2"/>
      <c r="N8780" s="27"/>
      <c r="R8780" s="15"/>
      <c r="X8780" s="3"/>
      <c r="Z8780" s="28"/>
    </row>
    <row r="8781" spans="2:26">
      <c r="B8781" s="2"/>
      <c r="N8781" s="27"/>
      <c r="R8781" s="15"/>
      <c r="X8781" s="3"/>
      <c r="Z8781" s="28"/>
    </row>
    <row r="8782" spans="2:26">
      <c r="B8782" s="2"/>
      <c r="N8782" s="27"/>
      <c r="R8782" s="15"/>
      <c r="X8782" s="3"/>
      <c r="Z8782" s="28"/>
    </row>
    <row r="8783" spans="2:26">
      <c r="B8783" s="2"/>
      <c r="N8783" s="27"/>
      <c r="R8783" s="15"/>
      <c r="X8783" s="3"/>
      <c r="Z8783" s="28"/>
    </row>
    <row r="8784" spans="2:26">
      <c r="B8784" s="2"/>
      <c r="N8784" s="27"/>
      <c r="R8784" s="15"/>
      <c r="X8784" s="3"/>
      <c r="Z8784" s="28"/>
    </row>
    <row r="8785" spans="2:26">
      <c r="B8785" s="2"/>
      <c r="N8785" s="27"/>
      <c r="R8785" s="15"/>
      <c r="X8785" s="3"/>
      <c r="Z8785" s="28"/>
    </row>
    <row r="8786" spans="2:26">
      <c r="B8786" s="2"/>
      <c r="N8786" s="27"/>
      <c r="R8786" s="15"/>
      <c r="X8786" s="3"/>
      <c r="Z8786" s="28"/>
    </row>
    <row r="8787" spans="2:26">
      <c r="B8787" s="2"/>
      <c r="N8787" s="27"/>
      <c r="R8787" s="15"/>
      <c r="X8787" s="3"/>
      <c r="Z8787" s="28"/>
    </row>
    <row r="8788" spans="2:26">
      <c r="B8788" s="2"/>
      <c r="N8788" s="27"/>
      <c r="R8788" s="15"/>
      <c r="X8788" s="3"/>
      <c r="Z8788" s="28"/>
    </row>
    <row r="8789" spans="2:26">
      <c r="B8789" s="2"/>
      <c r="N8789" s="27"/>
      <c r="R8789" s="15"/>
      <c r="X8789" s="3"/>
      <c r="Z8789" s="28"/>
    </row>
    <row r="8790" spans="2:26">
      <c r="B8790" s="2"/>
      <c r="N8790" s="27"/>
      <c r="R8790" s="15"/>
      <c r="X8790" s="3"/>
      <c r="Z8790" s="28"/>
    </row>
    <row r="8791" spans="2:26">
      <c r="B8791" s="2"/>
      <c r="N8791" s="27"/>
      <c r="R8791" s="15"/>
      <c r="X8791" s="3"/>
      <c r="Z8791" s="28"/>
    </row>
    <row r="8792" spans="2:26">
      <c r="B8792" s="2"/>
      <c r="N8792" s="27"/>
      <c r="R8792" s="15"/>
      <c r="X8792" s="3"/>
      <c r="Z8792" s="28"/>
    </row>
    <row r="8793" spans="2:26">
      <c r="B8793" s="2"/>
      <c r="N8793" s="27"/>
      <c r="R8793" s="15"/>
      <c r="X8793" s="3"/>
      <c r="Z8793" s="28"/>
    </row>
    <row r="8794" spans="2:26">
      <c r="B8794" s="2"/>
      <c r="N8794" s="27"/>
      <c r="R8794" s="15"/>
      <c r="X8794" s="3"/>
      <c r="Z8794" s="28"/>
    </row>
    <row r="8795" spans="2:26">
      <c r="B8795" s="2"/>
      <c r="N8795" s="27"/>
      <c r="R8795" s="15"/>
      <c r="X8795" s="3"/>
      <c r="Z8795" s="28"/>
    </row>
    <row r="8796" spans="2:26">
      <c r="B8796" s="2"/>
      <c r="N8796" s="27"/>
      <c r="R8796" s="15"/>
      <c r="X8796" s="3"/>
      <c r="Z8796" s="28"/>
    </row>
    <row r="8797" spans="2:26">
      <c r="B8797" s="2"/>
      <c r="N8797" s="27"/>
      <c r="R8797" s="15"/>
      <c r="X8797" s="3"/>
      <c r="Z8797" s="28"/>
    </row>
    <row r="8798" spans="2:26">
      <c r="B8798" s="2"/>
      <c r="N8798" s="27"/>
      <c r="R8798" s="15"/>
      <c r="X8798" s="3"/>
      <c r="Z8798" s="28"/>
    </row>
    <row r="8799" spans="2:26">
      <c r="B8799" s="2"/>
      <c r="N8799" s="27"/>
      <c r="R8799" s="15"/>
      <c r="X8799" s="3"/>
      <c r="Z8799" s="28"/>
    </row>
    <row r="8800" spans="2:26">
      <c r="B8800" s="2"/>
      <c r="N8800" s="27"/>
      <c r="R8800" s="15"/>
      <c r="X8800" s="3"/>
      <c r="Z8800" s="28"/>
    </row>
    <row r="8801" spans="2:26">
      <c r="B8801" s="2"/>
      <c r="N8801" s="27"/>
      <c r="R8801" s="15"/>
      <c r="X8801" s="3"/>
      <c r="Z8801" s="28"/>
    </row>
    <row r="8802" spans="2:26">
      <c r="B8802" s="2"/>
      <c r="N8802" s="27"/>
      <c r="R8802" s="15"/>
      <c r="X8802" s="3"/>
      <c r="Z8802" s="28"/>
    </row>
    <row r="8803" spans="2:26">
      <c r="B8803" s="2"/>
      <c r="N8803" s="27"/>
      <c r="R8803" s="15"/>
      <c r="X8803" s="3"/>
      <c r="Z8803" s="28"/>
    </row>
    <row r="8804" spans="2:26">
      <c r="B8804" s="2"/>
      <c r="N8804" s="27"/>
      <c r="R8804" s="15"/>
      <c r="X8804" s="3"/>
      <c r="Z8804" s="28"/>
    </row>
    <row r="8805" spans="2:26">
      <c r="B8805" s="2"/>
      <c r="N8805" s="27"/>
      <c r="R8805" s="15"/>
      <c r="X8805" s="3"/>
      <c r="Z8805" s="28"/>
    </row>
    <row r="8806" spans="2:26">
      <c r="B8806" s="2"/>
      <c r="N8806" s="27"/>
      <c r="R8806" s="15"/>
      <c r="X8806" s="3"/>
      <c r="Z8806" s="28"/>
    </row>
    <row r="8807" spans="2:26">
      <c r="B8807" s="2"/>
      <c r="N8807" s="27"/>
      <c r="R8807" s="15"/>
      <c r="X8807" s="3"/>
      <c r="Z8807" s="28"/>
    </row>
    <row r="8808" spans="2:26">
      <c r="B8808" s="2"/>
      <c r="N8808" s="27"/>
      <c r="R8808" s="15"/>
      <c r="X8808" s="3"/>
      <c r="Z8808" s="28"/>
    </row>
    <row r="8809" spans="2:26">
      <c r="B8809" s="2"/>
      <c r="N8809" s="27"/>
      <c r="R8809" s="15"/>
      <c r="X8809" s="3"/>
      <c r="Z8809" s="28"/>
    </row>
    <row r="8810" spans="2:26">
      <c r="B8810" s="2"/>
      <c r="N8810" s="27"/>
      <c r="R8810" s="15"/>
      <c r="X8810" s="3"/>
      <c r="Z8810" s="28"/>
    </row>
    <row r="8811" spans="2:26">
      <c r="B8811" s="2"/>
      <c r="N8811" s="27"/>
      <c r="R8811" s="15"/>
      <c r="X8811" s="3"/>
      <c r="Z8811" s="28"/>
    </row>
    <row r="8812" spans="2:26">
      <c r="B8812" s="2"/>
      <c r="N8812" s="27"/>
      <c r="R8812" s="15"/>
      <c r="X8812" s="3"/>
      <c r="Z8812" s="28"/>
    </row>
    <row r="8813" spans="2:26">
      <c r="B8813" s="2"/>
      <c r="N8813" s="27"/>
      <c r="R8813" s="15"/>
      <c r="X8813" s="3"/>
      <c r="Z8813" s="28"/>
    </row>
    <row r="8814" spans="2:26">
      <c r="B8814" s="2"/>
      <c r="N8814" s="27"/>
      <c r="R8814" s="15"/>
      <c r="X8814" s="3"/>
      <c r="Z8814" s="28"/>
    </row>
    <row r="8815" spans="2:26">
      <c r="B8815" s="2"/>
      <c r="N8815" s="27"/>
      <c r="R8815" s="15"/>
      <c r="X8815" s="3"/>
      <c r="Z8815" s="28"/>
    </row>
    <row r="8816" spans="2:26">
      <c r="B8816" s="2"/>
      <c r="N8816" s="27"/>
      <c r="R8816" s="15"/>
      <c r="X8816" s="3"/>
      <c r="Z8816" s="28"/>
    </row>
    <row r="8817" spans="2:26">
      <c r="B8817" s="2"/>
      <c r="N8817" s="27"/>
      <c r="R8817" s="15"/>
      <c r="X8817" s="3"/>
      <c r="Z8817" s="28"/>
    </row>
    <row r="8818" spans="2:26">
      <c r="B8818" s="2"/>
      <c r="N8818" s="27"/>
      <c r="R8818" s="15"/>
      <c r="X8818" s="3"/>
      <c r="Z8818" s="28"/>
    </row>
    <row r="8819" spans="2:26">
      <c r="B8819" s="2"/>
      <c r="N8819" s="27"/>
      <c r="R8819" s="15"/>
      <c r="X8819" s="3"/>
      <c r="Z8819" s="28"/>
    </row>
    <row r="8820" spans="2:26">
      <c r="B8820" s="2"/>
      <c r="N8820" s="27"/>
      <c r="R8820" s="15"/>
      <c r="X8820" s="3"/>
      <c r="Z8820" s="28"/>
    </row>
    <row r="8821" spans="2:26">
      <c r="B8821" s="2"/>
      <c r="N8821" s="27"/>
      <c r="R8821" s="15"/>
      <c r="X8821" s="3"/>
      <c r="Z8821" s="28"/>
    </row>
    <row r="8822" spans="2:26">
      <c r="B8822" s="2"/>
      <c r="N8822" s="27"/>
      <c r="R8822" s="15"/>
      <c r="X8822" s="3"/>
      <c r="Z8822" s="28"/>
    </row>
    <row r="8823" spans="2:26">
      <c r="B8823" s="2"/>
      <c r="N8823" s="27"/>
      <c r="R8823" s="15"/>
      <c r="X8823" s="3"/>
      <c r="Z8823" s="28"/>
    </row>
    <row r="8824" spans="2:26">
      <c r="B8824" s="2"/>
      <c r="N8824" s="27"/>
      <c r="R8824" s="15"/>
      <c r="X8824" s="3"/>
      <c r="Z8824" s="28"/>
    </row>
    <row r="8825" spans="2:26">
      <c r="B8825" s="2"/>
      <c r="N8825" s="27"/>
      <c r="R8825" s="15"/>
      <c r="X8825" s="3"/>
      <c r="Z8825" s="28"/>
    </row>
    <row r="8826" spans="2:26">
      <c r="B8826" s="2"/>
      <c r="N8826" s="27"/>
      <c r="R8826" s="15"/>
      <c r="X8826" s="3"/>
      <c r="Z8826" s="28"/>
    </row>
    <row r="8827" spans="2:26">
      <c r="B8827" s="2"/>
      <c r="N8827" s="27"/>
      <c r="R8827" s="15"/>
      <c r="X8827" s="3"/>
      <c r="Z8827" s="28"/>
    </row>
    <row r="8828" spans="2:26">
      <c r="B8828" s="2"/>
      <c r="N8828" s="27"/>
      <c r="R8828" s="15"/>
      <c r="X8828" s="3"/>
      <c r="Z8828" s="28"/>
    </row>
    <row r="8829" spans="2:26">
      <c r="B8829" s="2"/>
      <c r="N8829" s="27"/>
      <c r="R8829" s="15"/>
      <c r="X8829" s="3"/>
      <c r="Z8829" s="28"/>
    </row>
    <row r="8830" spans="2:26">
      <c r="B8830" s="2"/>
      <c r="N8830" s="27"/>
      <c r="R8830" s="15"/>
      <c r="X8830" s="3"/>
      <c r="Z8830" s="28"/>
    </row>
    <row r="8831" spans="2:26">
      <c r="B8831" s="2"/>
      <c r="N8831" s="27"/>
      <c r="R8831" s="15"/>
      <c r="X8831" s="3"/>
      <c r="Z8831" s="28"/>
    </row>
    <row r="8832" spans="2:26">
      <c r="B8832" s="2"/>
      <c r="N8832" s="27"/>
      <c r="R8832" s="15"/>
      <c r="X8832" s="3"/>
      <c r="Z8832" s="28"/>
    </row>
    <row r="8833" spans="2:26">
      <c r="B8833" s="2"/>
      <c r="N8833" s="27"/>
      <c r="R8833" s="15"/>
      <c r="X8833" s="3"/>
      <c r="Z8833" s="28"/>
    </row>
    <row r="8834" spans="2:26">
      <c r="B8834" s="2"/>
      <c r="N8834" s="27"/>
      <c r="R8834" s="15"/>
      <c r="X8834" s="3"/>
      <c r="Z8834" s="28"/>
    </row>
    <row r="8835" spans="2:26">
      <c r="B8835" s="2"/>
      <c r="N8835" s="27"/>
      <c r="R8835" s="15"/>
      <c r="X8835" s="3"/>
      <c r="Z8835" s="28"/>
    </row>
    <row r="8836" spans="2:26">
      <c r="B8836" s="2"/>
      <c r="N8836" s="27"/>
      <c r="R8836" s="15"/>
      <c r="X8836" s="3"/>
      <c r="Z8836" s="28"/>
    </row>
    <row r="8837" spans="2:26">
      <c r="B8837" s="2"/>
      <c r="N8837" s="27"/>
      <c r="R8837" s="15"/>
      <c r="X8837" s="3"/>
      <c r="Z8837" s="28"/>
    </row>
    <row r="8838" spans="2:26">
      <c r="B8838" s="2"/>
      <c r="N8838" s="27"/>
      <c r="R8838" s="15"/>
      <c r="X8838" s="3"/>
      <c r="Z8838" s="28"/>
    </row>
    <row r="8839" spans="2:26">
      <c r="B8839" s="2"/>
      <c r="N8839" s="27"/>
      <c r="R8839" s="15"/>
      <c r="X8839" s="3"/>
      <c r="Z8839" s="28"/>
    </row>
    <row r="8840" spans="2:26">
      <c r="B8840" s="2"/>
      <c r="N8840" s="27"/>
      <c r="R8840" s="15"/>
      <c r="X8840" s="3"/>
      <c r="Z8840" s="28"/>
    </row>
    <row r="8841" spans="2:26">
      <c r="B8841" s="2"/>
      <c r="N8841" s="27"/>
      <c r="R8841" s="15"/>
      <c r="X8841" s="3"/>
      <c r="Z8841" s="28"/>
    </row>
    <row r="8842" spans="2:26">
      <c r="B8842" s="2"/>
      <c r="N8842" s="27"/>
      <c r="R8842" s="15"/>
      <c r="X8842" s="3"/>
      <c r="Z8842" s="28"/>
    </row>
    <row r="8843" spans="2:26">
      <c r="B8843" s="2"/>
      <c r="N8843" s="27"/>
      <c r="R8843" s="15"/>
      <c r="X8843" s="3"/>
      <c r="Z8843" s="28"/>
    </row>
    <row r="8844" spans="2:26">
      <c r="B8844" s="2"/>
      <c r="N8844" s="27"/>
      <c r="R8844" s="15"/>
      <c r="X8844" s="3"/>
      <c r="Z8844" s="28"/>
    </row>
    <row r="8845" spans="2:26">
      <c r="B8845" s="2"/>
      <c r="N8845" s="27"/>
      <c r="R8845" s="15"/>
      <c r="X8845" s="3"/>
      <c r="Z8845" s="28"/>
    </row>
    <row r="8846" spans="2:26">
      <c r="B8846" s="2"/>
      <c r="N8846" s="27"/>
      <c r="R8846" s="15"/>
      <c r="X8846" s="3"/>
      <c r="Z8846" s="28"/>
    </row>
    <row r="8847" spans="2:26">
      <c r="B8847" s="2"/>
      <c r="N8847" s="27"/>
      <c r="R8847" s="15"/>
      <c r="X8847" s="3"/>
      <c r="Z8847" s="28"/>
    </row>
    <row r="8848" spans="2:26">
      <c r="B8848" s="2"/>
      <c r="N8848" s="27"/>
      <c r="R8848" s="15"/>
      <c r="X8848" s="3"/>
      <c r="Z8848" s="28"/>
    </row>
    <row r="8849" spans="2:26">
      <c r="B8849" s="2"/>
      <c r="N8849" s="27"/>
      <c r="R8849" s="15"/>
      <c r="X8849" s="3"/>
      <c r="Z8849" s="28"/>
    </row>
    <row r="8850" spans="2:26">
      <c r="B8850" s="2"/>
      <c r="N8850" s="27"/>
      <c r="R8850" s="15"/>
      <c r="X8850" s="3"/>
      <c r="Z8850" s="28"/>
    </row>
    <row r="8851" spans="2:26">
      <c r="B8851" s="2"/>
      <c r="N8851" s="27"/>
      <c r="R8851" s="15"/>
      <c r="X8851" s="3"/>
      <c r="Z8851" s="28"/>
    </row>
    <row r="8852" spans="2:26">
      <c r="B8852" s="2"/>
      <c r="N8852" s="27"/>
      <c r="R8852" s="15"/>
      <c r="X8852" s="3"/>
      <c r="Z8852" s="28"/>
    </row>
    <row r="8853" spans="2:26">
      <c r="B8853" s="2"/>
      <c r="N8853" s="27"/>
      <c r="R8853" s="15"/>
      <c r="X8853" s="3"/>
      <c r="Z8853" s="28"/>
    </row>
    <row r="8854" spans="2:26">
      <c r="B8854" s="2"/>
      <c r="N8854" s="27"/>
      <c r="R8854" s="15"/>
      <c r="X8854" s="3"/>
      <c r="Z8854" s="28"/>
    </row>
    <row r="8855" spans="2:26">
      <c r="B8855" s="2"/>
      <c r="N8855" s="27"/>
      <c r="R8855" s="15"/>
      <c r="X8855" s="3"/>
      <c r="Z8855" s="28"/>
    </row>
    <row r="8856" spans="2:26">
      <c r="B8856" s="2"/>
      <c r="N8856" s="27"/>
      <c r="R8856" s="15"/>
      <c r="X8856" s="3"/>
      <c r="Z8856" s="28"/>
    </row>
    <row r="8857" spans="2:26">
      <c r="B8857" s="2"/>
      <c r="N8857" s="27"/>
      <c r="R8857" s="15"/>
      <c r="X8857" s="3"/>
      <c r="Z8857" s="28"/>
    </row>
    <row r="8858" spans="2:26">
      <c r="B8858" s="2"/>
      <c r="N8858" s="27"/>
      <c r="R8858" s="15"/>
      <c r="X8858" s="3"/>
      <c r="Z8858" s="28"/>
    </row>
    <row r="8859" spans="2:26">
      <c r="B8859" s="2"/>
      <c r="N8859" s="27"/>
      <c r="R8859" s="15"/>
      <c r="X8859" s="3"/>
      <c r="Z8859" s="28"/>
    </row>
    <row r="8860" spans="2:26">
      <c r="B8860" s="2"/>
      <c r="N8860" s="27"/>
      <c r="R8860" s="15"/>
      <c r="X8860" s="3"/>
      <c r="Z8860" s="28"/>
    </row>
    <row r="8861" spans="2:26">
      <c r="B8861" s="2"/>
      <c r="N8861" s="27"/>
      <c r="R8861" s="15"/>
      <c r="X8861" s="3"/>
      <c r="Z8861" s="28"/>
    </row>
    <row r="8862" spans="2:26">
      <c r="B8862" s="2"/>
      <c r="N8862" s="27"/>
      <c r="R8862" s="15"/>
      <c r="X8862" s="3"/>
      <c r="Z8862" s="28"/>
    </row>
    <row r="8863" spans="2:26">
      <c r="B8863" s="2"/>
      <c r="N8863" s="27"/>
      <c r="R8863" s="15"/>
      <c r="X8863" s="3"/>
      <c r="Z8863" s="28"/>
    </row>
    <row r="8864" spans="2:26">
      <c r="B8864" s="2"/>
      <c r="N8864" s="27"/>
      <c r="R8864" s="15"/>
      <c r="X8864" s="3"/>
      <c r="Z8864" s="28"/>
    </row>
    <row r="8865" spans="2:26">
      <c r="B8865" s="2"/>
      <c r="N8865" s="27"/>
      <c r="R8865" s="15"/>
      <c r="X8865" s="3"/>
      <c r="Z8865" s="28"/>
    </row>
    <row r="8866" spans="2:26">
      <c r="B8866" s="2"/>
      <c r="N8866" s="27"/>
      <c r="R8866" s="15"/>
      <c r="X8866" s="3"/>
      <c r="Z8866" s="28"/>
    </row>
    <row r="8867" spans="2:26">
      <c r="B8867" s="2"/>
      <c r="N8867" s="27"/>
      <c r="R8867" s="15"/>
      <c r="X8867" s="3"/>
      <c r="Z8867" s="28"/>
    </row>
    <row r="8868" spans="2:26">
      <c r="B8868" s="2"/>
      <c r="N8868" s="27"/>
      <c r="R8868" s="15"/>
      <c r="X8868" s="3"/>
      <c r="Z8868" s="28"/>
    </row>
    <row r="8869" spans="2:26">
      <c r="B8869" s="2"/>
      <c r="N8869" s="27"/>
      <c r="R8869" s="15"/>
      <c r="X8869" s="3"/>
      <c r="Z8869" s="28"/>
    </row>
    <row r="8870" spans="2:26">
      <c r="B8870" s="2"/>
      <c r="N8870" s="27"/>
      <c r="R8870" s="15"/>
      <c r="X8870" s="3"/>
      <c r="Z8870" s="28"/>
    </row>
    <row r="8871" spans="2:26">
      <c r="B8871" s="2"/>
      <c r="N8871" s="27"/>
      <c r="R8871" s="15"/>
      <c r="X8871" s="3"/>
      <c r="Z8871" s="28"/>
    </row>
    <row r="8872" spans="2:26">
      <c r="B8872" s="2"/>
      <c r="N8872" s="27"/>
      <c r="R8872" s="15"/>
      <c r="X8872" s="3"/>
      <c r="Z8872" s="28"/>
    </row>
    <row r="8873" spans="2:26">
      <c r="B8873" s="2"/>
      <c r="N8873" s="27"/>
      <c r="R8873" s="15"/>
      <c r="X8873" s="3"/>
      <c r="Z8873" s="28"/>
    </row>
    <row r="8874" spans="2:26">
      <c r="B8874" s="2"/>
      <c r="N8874" s="27"/>
      <c r="R8874" s="15"/>
      <c r="X8874" s="3"/>
      <c r="Z8874" s="28"/>
    </row>
    <row r="8875" spans="2:26">
      <c r="B8875" s="2"/>
      <c r="N8875" s="27"/>
      <c r="R8875" s="15"/>
      <c r="X8875" s="3"/>
      <c r="Z8875" s="28"/>
    </row>
    <row r="8876" spans="2:26">
      <c r="B8876" s="2"/>
      <c r="N8876" s="27"/>
      <c r="R8876" s="15"/>
      <c r="X8876" s="3"/>
      <c r="Z8876" s="28"/>
    </row>
    <row r="8877" spans="2:26">
      <c r="B8877" s="2"/>
      <c r="N8877" s="27"/>
      <c r="R8877" s="15"/>
      <c r="X8877" s="3"/>
      <c r="Z8877" s="28"/>
    </row>
    <row r="8878" spans="2:26">
      <c r="B8878" s="2"/>
      <c r="N8878" s="27"/>
      <c r="R8878" s="15"/>
      <c r="X8878" s="3"/>
      <c r="Z8878" s="28"/>
    </row>
    <row r="8879" spans="2:26">
      <c r="B8879" s="2"/>
      <c r="N8879" s="27"/>
      <c r="R8879" s="15"/>
      <c r="X8879" s="3"/>
      <c r="Z8879" s="28"/>
    </row>
    <row r="8880" spans="2:26">
      <c r="B8880" s="2"/>
      <c r="N8880" s="27"/>
      <c r="R8880" s="15"/>
      <c r="X8880" s="3"/>
      <c r="Z8880" s="28"/>
    </row>
    <row r="8881" spans="2:26">
      <c r="B8881" s="2"/>
      <c r="N8881" s="27"/>
      <c r="R8881" s="15"/>
      <c r="X8881" s="3"/>
      <c r="Z8881" s="28"/>
    </row>
    <row r="8882" spans="2:26">
      <c r="B8882" s="2"/>
      <c r="N8882" s="27"/>
      <c r="R8882" s="15"/>
      <c r="X8882" s="3"/>
      <c r="Z8882" s="28"/>
    </row>
    <row r="8883" spans="2:26">
      <c r="B8883" s="2"/>
      <c r="N8883" s="27"/>
      <c r="R8883" s="15"/>
      <c r="X8883" s="3"/>
      <c r="Z8883" s="28"/>
    </row>
    <row r="8884" spans="2:26">
      <c r="B8884" s="2"/>
      <c r="N8884" s="27"/>
      <c r="R8884" s="15"/>
      <c r="X8884" s="3"/>
      <c r="Z8884" s="28"/>
    </row>
    <row r="8885" spans="2:26">
      <c r="B8885" s="2"/>
      <c r="N8885" s="27"/>
      <c r="R8885" s="15"/>
      <c r="X8885" s="3"/>
      <c r="Z8885" s="28"/>
    </row>
    <row r="8886" spans="2:26">
      <c r="B8886" s="2"/>
      <c r="N8886" s="27"/>
      <c r="R8886" s="15"/>
      <c r="X8886" s="3"/>
      <c r="Z8886" s="28"/>
    </row>
    <row r="8887" spans="2:26">
      <c r="B8887" s="2"/>
      <c r="N8887" s="27"/>
      <c r="R8887" s="15"/>
      <c r="X8887" s="3"/>
      <c r="Z8887" s="28"/>
    </row>
    <row r="8888" spans="2:26">
      <c r="B8888" s="2"/>
      <c r="N8888" s="27"/>
      <c r="R8888" s="15"/>
      <c r="X8888" s="3"/>
      <c r="Z8888" s="28"/>
    </row>
    <row r="8889" spans="2:26">
      <c r="B8889" s="2"/>
      <c r="N8889" s="27"/>
      <c r="R8889" s="15"/>
      <c r="X8889" s="3"/>
      <c r="Z8889" s="28"/>
    </row>
    <row r="8890" spans="2:26">
      <c r="B8890" s="2"/>
      <c r="N8890" s="27"/>
      <c r="R8890" s="15"/>
      <c r="X8890" s="3"/>
      <c r="Z8890" s="28"/>
    </row>
    <row r="8891" spans="2:26">
      <c r="B8891" s="2"/>
      <c r="N8891" s="27"/>
      <c r="R8891" s="15"/>
      <c r="X8891" s="3"/>
      <c r="Z8891" s="28"/>
    </row>
    <row r="8892" spans="2:26">
      <c r="B8892" s="2"/>
      <c r="N8892" s="27"/>
      <c r="R8892" s="15"/>
      <c r="X8892" s="3"/>
      <c r="Z8892" s="28"/>
    </row>
    <row r="8893" spans="2:26">
      <c r="B8893" s="2"/>
      <c r="N8893" s="27"/>
      <c r="R8893" s="15"/>
      <c r="X8893" s="3"/>
      <c r="Z8893" s="28"/>
    </row>
    <row r="8894" spans="2:26">
      <c r="B8894" s="2"/>
      <c r="N8894" s="27"/>
      <c r="R8894" s="15"/>
      <c r="X8894" s="3"/>
      <c r="Z8894" s="28"/>
    </row>
    <row r="8895" spans="2:26">
      <c r="B8895" s="2"/>
      <c r="N8895" s="27"/>
      <c r="R8895" s="15"/>
      <c r="X8895" s="3"/>
      <c r="Z8895" s="28"/>
    </row>
    <row r="8896" spans="2:26">
      <c r="B8896" s="2"/>
      <c r="N8896" s="27"/>
      <c r="R8896" s="15"/>
      <c r="X8896" s="3"/>
      <c r="Z8896" s="28"/>
    </row>
    <row r="8897" spans="2:26">
      <c r="B8897" s="2"/>
      <c r="N8897" s="27"/>
      <c r="R8897" s="15"/>
      <c r="X8897" s="3"/>
      <c r="Z8897" s="28"/>
    </row>
    <row r="8898" spans="2:26">
      <c r="B8898" s="2"/>
      <c r="N8898" s="27"/>
      <c r="R8898" s="15"/>
      <c r="X8898" s="3"/>
      <c r="Z8898" s="28"/>
    </row>
    <row r="8899" spans="2:26">
      <c r="B8899" s="2"/>
      <c r="N8899" s="27"/>
      <c r="R8899" s="15"/>
      <c r="X8899" s="3"/>
      <c r="Z8899" s="28"/>
    </row>
    <row r="8900" spans="2:26">
      <c r="B8900" s="2"/>
      <c r="N8900" s="27"/>
      <c r="R8900" s="15"/>
      <c r="X8900" s="3"/>
      <c r="Z8900" s="28"/>
    </row>
    <row r="8901" spans="2:26">
      <c r="B8901" s="2"/>
      <c r="N8901" s="27"/>
      <c r="R8901" s="15"/>
      <c r="X8901" s="3"/>
      <c r="Z8901" s="28"/>
    </row>
    <row r="8902" spans="2:26">
      <c r="B8902" s="2"/>
      <c r="N8902" s="27"/>
      <c r="R8902" s="15"/>
      <c r="X8902" s="3"/>
      <c r="Z8902" s="28"/>
    </row>
    <row r="8903" spans="2:26">
      <c r="B8903" s="2"/>
      <c r="N8903" s="27"/>
      <c r="R8903" s="15"/>
      <c r="X8903" s="3"/>
      <c r="Z8903" s="28"/>
    </row>
    <row r="8904" spans="2:26">
      <c r="B8904" s="2"/>
      <c r="N8904" s="27"/>
      <c r="R8904" s="15"/>
      <c r="X8904" s="3"/>
      <c r="Z8904" s="28"/>
    </row>
    <row r="8905" spans="2:26">
      <c r="B8905" s="2"/>
      <c r="N8905" s="27"/>
      <c r="R8905" s="15"/>
      <c r="X8905" s="3"/>
      <c r="Z8905" s="28"/>
    </row>
    <row r="8906" spans="2:26">
      <c r="B8906" s="2"/>
      <c r="N8906" s="27"/>
      <c r="R8906" s="15"/>
      <c r="X8906" s="3"/>
      <c r="Z8906" s="28"/>
    </row>
    <row r="8907" spans="2:26">
      <c r="B8907" s="2"/>
      <c r="N8907" s="27"/>
      <c r="R8907" s="15"/>
      <c r="X8907" s="3"/>
      <c r="Z8907" s="28"/>
    </row>
    <row r="8908" spans="2:26">
      <c r="B8908" s="2"/>
      <c r="N8908" s="27"/>
      <c r="R8908" s="15"/>
      <c r="X8908" s="3"/>
      <c r="Z8908" s="28"/>
    </row>
    <row r="8909" spans="2:26">
      <c r="B8909" s="2"/>
      <c r="N8909" s="27"/>
      <c r="R8909" s="15"/>
      <c r="X8909" s="3"/>
      <c r="Z8909" s="28"/>
    </row>
    <row r="8910" spans="2:26">
      <c r="B8910" s="2"/>
      <c r="N8910" s="27"/>
      <c r="R8910" s="15"/>
      <c r="X8910" s="3"/>
      <c r="Z8910" s="28"/>
    </row>
    <row r="8911" spans="2:26">
      <c r="B8911" s="2"/>
      <c r="N8911" s="27"/>
      <c r="R8911" s="15"/>
      <c r="X8911" s="3"/>
      <c r="Z8911" s="28"/>
    </row>
    <row r="8912" spans="2:26">
      <c r="B8912" s="2"/>
      <c r="N8912" s="27"/>
      <c r="R8912" s="15"/>
      <c r="X8912" s="3"/>
      <c r="Z8912" s="28"/>
    </row>
    <row r="8913" spans="2:26">
      <c r="B8913" s="2"/>
      <c r="N8913" s="27"/>
      <c r="R8913" s="15"/>
      <c r="X8913" s="3"/>
      <c r="Z8913" s="28"/>
    </row>
    <row r="8914" spans="2:26">
      <c r="B8914" s="2"/>
      <c r="N8914" s="27"/>
      <c r="R8914" s="15"/>
      <c r="X8914" s="3"/>
      <c r="Z8914" s="28"/>
    </row>
    <row r="8915" spans="2:26">
      <c r="B8915" s="2"/>
      <c r="N8915" s="27"/>
      <c r="R8915" s="15"/>
      <c r="X8915" s="3"/>
      <c r="Z8915" s="28"/>
    </row>
    <row r="8916" spans="2:26">
      <c r="B8916" s="2"/>
      <c r="N8916" s="27"/>
      <c r="R8916" s="15"/>
      <c r="X8916" s="3"/>
      <c r="Z8916" s="28"/>
    </row>
    <row r="8917" spans="2:26">
      <c r="B8917" s="2"/>
      <c r="N8917" s="27"/>
      <c r="R8917" s="15"/>
      <c r="X8917" s="3"/>
      <c r="Z8917" s="28"/>
    </row>
    <row r="8918" spans="2:26">
      <c r="B8918" s="2"/>
      <c r="N8918" s="27"/>
      <c r="R8918" s="15"/>
      <c r="X8918" s="3"/>
      <c r="Z8918" s="28"/>
    </row>
    <row r="8919" spans="2:26">
      <c r="B8919" s="2"/>
      <c r="N8919" s="27"/>
      <c r="R8919" s="15"/>
      <c r="X8919" s="3"/>
      <c r="Z8919" s="28"/>
    </row>
    <row r="8920" spans="2:26">
      <c r="B8920" s="2"/>
      <c r="N8920" s="27"/>
      <c r="R8920" s="15"/>
      <c r="X8920" s="3"/>
      <c r="Z8920" s="28"/>
    </row>
    <row r="8921" spans="2:26">
      <c r="B8921" s="2"/>
      <c r="N8921" s="27"/>
      <c r="R8921" s="15"/>
      <c r="X8921" s="3"/>
      <c r="Z8921" s="28"/>
    </row>
    <row r="8922" spans="2:26">
      <c r="B8922" s="2"/>
      <c r="N8922" s="27"/>
      <c r="R8922" s="15"/>
      <c r="X8922" s="3"/>
      <c r="Z8922" s="28"/>
    </row>
    <row r="8923" spans="2:26">
      <c r="B8923" s="2"/>
      <c r="N8923" s="27"/>
      <c r="R8923" s="15"/>
      <c r="X8923" s="3"/>
      <c r="Z8923" s="28"/>
    </row>
    <row r="8924" spans="2:26">
      <c r="B8924" s="2"/>
      <c r="N8924" s="27"/>
      <c r="R8924" s="15"/>
      <c r="X8924" s="3"/>
      <c r="Z8924" s="28"/>
    </row>
    <row r="8925" spans="2:26">
      <c r="B8925" s="2"/>
      <c r="N8925" s="27"/>
      <c r="R8925" s="15"/>
      <c r="X8925" s="3"/>
      <c r="Z8925" s="28"/>
    </row>
    <row r="8926" spans="2:26">
      <c r="B8926" s="2"/>
      <c r="N8926" s="27"/>
      <c r="R8926" s="15"/>
      <c r="X8926" s="3"/>
      <c r="Z8926" s="28"/>
    </row>
    <row r="8927" spans="2:26">
      <c r="B8927" s="2"/>
      <c r="N8927" s="27"/>
      <c r="R8927" s="15"/>
      <c r="X8927" s="3"/>
      <c r="Z8927" s="28"/>
    </row>
    <row r="8928" spans="2:26">
      <c r="B8928" s="2"/>
      <c r="N8928" s="27"/>
      <c r="R8928" s="15"/>
      <c r="X8928" s="3"/>
      <c r="Z8928" s="28"/>
    </row>
    <row r="8929" spans="2:26">
      <c r="B8929" s="2"/>
      <c r="N8929" s="27"/>
      <c r="R8929" s="15"/>
      <c r="X8929" s="3"/>
      <c r="Z8929" s="28"/>
    </row>
    <row r="8930" spans="2:26">
      <c r="B8930" s="2"/>
      <c r="N8930" s="27"/>
      <c r="R8930" s="15"/>
      <c r="X8930" s="3"/>
      <c r="Z8930" s="28"/>
    </row>
    <row r="8931" spans="2:26">
      <c r="B8931" s="2"/>
      <c r="N8931" s="27"/>
      <c r="R8931" s="15"/>
      <c r="X8931" s="3"/>
      <c r="Z8931" s="28"/>
    </row>
    <row r="8932" spans="2:26">
      <c r="B8932" s="2"/>
      <c r="N8932" s="27"/>
      <c r="R8932" s="15"/>
      <c r="X8932" s="3"/>
      <c r="Z8932" s="28"/>
    </row>
    <row r="8933" spans="2:26">
      <c r="B8933" s="2"/>
      <c r="N8933" s="27"/>
      <c r="R8933" s="15"/>
      <c r="X8933" s="3"/>
      <c r="Z8933" s="28"/>
    </row>
    <row r="8934" spans="2:26">
      <c r="B8934" s="2"/>
      <c r="N8934" s="27"/>
      <c r="R8934" s="15"/>
      <c r="X8934" s="3"/>
      <c r="Z8934" s="28"/>
    </row>
    <row r="8935" spans="2:26">
      <c r="B8935" s="2"/>
      <c r="N8935" s="27"/>
      <c r="R8935" s="15"/>
      <c r="X8935" s="3"/>
      <c r="Z8935" s="28"/>
    </row>
    <row r="8936" spans="2:26">
      <c r="B8936" s="2"/>
      <c r="N8936" s="27"/>
      <c r="R8936" s="15"/>
      <c r="X8936" s="3"/>
      <c r="Z8936" s="28"/>
    </row>
    <row r="8937" spans="2:26">
      <c r="B8937" s="2"/>
      <c r="N8937" s="27"/>
      <c r="R8937" s="15"/>
      <c r="X8937" s="3"/>
      <c r="Z8937" s="28"/>
    </row>
    <row r="8938" spans="2:26">
      <c r="B8938" s="2"/>
      <c r="N8938" s="27"/>
      <c r="R8938" s="15"/>
      <c r="X8938" s="3"/>
      <c r="Z8938" s="28"/>
    </row>
    <row r="8939" spans="2:26">
      <c r="B8939" s="2"/>
      <c r="N8939" s="27"/>
      <c r="R8939" s="15"/>
      <c r="X8939" s="3"/>
      <c r="Z8939" s="28"/>
    </row>
    <row r="8940" spans="2:26">
      <c r="B8940" s="2"/>
      <c r="N8940" s="27"/>
      <c r="R8940" s="15"/>
      <c r="X8940" s="3"/>
      <c r="Z8940" s="28"/>
    </row>
    <row r="8941" spans="2:26">
      <c r="B8941" s="2"/>
      <c r="N8941" s="27"/>
      <c r="R8941" s="15"/>
      <c r="X8941" s="3"/>
      <c r="Z8941" s="28"/>
    </row>
    <row r="8942" spans="2:26">
      <c r="B8942" s="2"/>
      <c r="N8942" s="27"/>
      <c r="R8942" s="15"/>
      <c r="X8942" s="3"/>
      <c r="Z8942" s="28"/>
    </row>
    <row r="8943" spans="2:26">
      <c r="B8943" s="2"/>
      <c r="N8943" s="27"/>
      <c r="R8943" s="15"/>
      <c r="X8943" s="3"/>
      <c r="Z8943" s="28"/>
    </row>
    <row r="8944" spans="2:26">
      <c r="B8944" s="2"/>
      <c r="N8944" s="27"/>
      <c r="R8944" s="15"/>
      <c r="X8944" s="3"/>
      <c r="Z8944" s="28"/>
    </row>
    <row r="8945" spans="2:26">
      <c r="B8945" s="2"/>
      <c r="N8945" s="27"/>
      <c r="R8945" s="15"/>
      <c r="X8945" s="3"/>
      <c r="Z8945" s="28"/>
    </row>
    <row r="8946" spans="2:26">
      <c r="B8946" s="2"/>
      <c r="N8946" s="27"/>
      <c r="R8946" s="15"/>
      <c r="X8946" s="3"/>
      <c r="Z8946" s="28"/>
    </row>
    <row r="8947" spans="2:26">
      <c r="B8947" s="2"/>
      <c r="N8947" s="27"/>
      <c r="R8947" s="15"/>
      <c r="X8947" s="3"/>
      <c r="Z8947" s="28"/>
    </row>
    <row r="8948" spans="2:26">
      <c r="B8948" s="2"/>
      <c r="N8948" s="27"/>
      <c r="R8948" s="15"/>
      <c r="X8948" s="3"/>
      <c r="Z8948" s="28"/>
    </row>
    <row r="8949" spans="2:26">
      <c r="B8949" s="2"/>
      <c r="N8949" s="27"/>
      <c r="R8949" s="15"/>
      <c r="X8949" s="3"/>
      <c r="Z8949" s="28"/>
    </row>
    <row r="8950" spans="2:26">
      <c r="B8950" s="2"/>
      <c r="N8950" s="27"/>
      <c r="R8950" s="15"/>
      <c r="X8950" s="3"/>
      <c r="Z8950" s="28"/>
    </row>
    <row r="8951" spans="2:26">
      <c r="B8951" s="2"/>
      <c r="N8951" s="27"/>
      <c r="R8951" s="15"/>
      <c r="X8951" s="3"/>
      <c r="Z8951" s="28"/>
    </row>
    <row r="8952" spans="2:26">
      <c r="B8952" s="2"/>
      <c r="N8952" s="27"/>
      <c r="R8952" s="15"/>
      <c r="X8952" s="3"/>
      <c r="Z8952" s="28"/>
    </row>
    <row r="8953" spans="2:26">
      <c r="B8953" s="2"/>
      <c r="N8953" s="27"/>
      <c r="R8953" s="15"/>
      <c r="X8953" s="3"/>
      <c r="Z8953" s="28"/>
    </row>
    <row r="8954" spans="2:26">
      <c r="B8954" s="2"/>
      <c r="N8954" s="27"/>
      <c r="R8954" s="15"/>
      <c r="X8954" s="3"/>
      <c r="Z8954" s="28"/>
    </row>
    <row r="8955" spans="2:26">
      <c r="B8955" s="2"/>
      <c r="N8955" s="27"/>
      <c r="R8955" s="15"/>
      <c r="X8955" s="3"/>
      <c r="Z8955" s="28"/>
    </row>
    <row r="8956" spans="2:26">
      <c r="B8956" s="2"/>
      <c r="N8956" s="27"/>
      <c r="R8956" s="15"/>
      <c r="X8956" s="3"/>
      <c r="Z8956" s="28"/>
    </row>
    <row r="8957" spans="2:26">
      <c r="B8957" s="2"/>
      <c r="N8957" s="27"/>
      <c r="R8957" s="15"/>
      <c r="X8957" s="3"/>
      <c r="Z8957" s="28"/>
    </row>
    <row r="8958" spans="2:26">
      <c r="B8958" s="2"/>
      <c r="N8958" s="27"/>
      <c r="R8958" s="15"/>
      <c r="X8958" s="3"/>
      <c r="Z8958" s="28"/>
    </row>
    <row r="8959" spans="2:26">
      <c r="B8959" s="2"/>
      <c r="N8959" s="27"/>
      <c r="R8959" s="15"/>
      <c r="X8959" s="3"/>
      <c r="Z8959" s="28"/>
    </row>
    <row r="8960" spans="2:26">
      <c r="B8960" s="2"/>
      <c r="N8960" s="27"/>
      <c r="R8960" s="15"/>
      <c r="X8960" s="3"/>
      <c r="Z8960" s="28"/>
    </row>
    <row r="8961" spans="2:26">
      <c r="B8961" s="2"/>
      <c r="N8961" s="27"/>
      <c r="R8961" s="15"/>
      <c r="X8961" s="3"/>
      <c r="Z8961" s="28"/>
    </row>
    <row r="8962" spans="2:26">
      <c r="B8962" s="2"/>
      <c r="N8962" s="27"/>
      <c r="R8962" s="15"/>
      <c r="X8962" s="3"/>
      <c r="Z8962" s="28"/>
    </row>
    <row r="8963" spans="2:26">
      <c r="B8963" s="2"/>
      <c r="N8963" s="27"/>
      <c r="R8963" s="15"/>
      <c r="X8963" s="3"/>
      <c r="Z8963" s="28"/>
    </row>
    <row r="8964" spans="2:26">
      <c r="B8964" s="2"/>
      <c r="N8964" s="27"/>
      <c r="R8964" s="15"/>
      <c r="X8964" s="3"/>
      <c r="Z8964" s="28"/>
    </row>
    <row r="8965" spans="2:26">
      <c r="B8965" s="2"/>
      <c r="N8965" s="27"/>
      <c r="R8965" s="15"/>
      <c r="X8965" s="3"/>
      <c r="Z8965" s="28"/>
    </row>
    <row r="8966" spans="2:26">
      <c r="B8966" s="2"/>
      <c r="N8966" s="27"/>
      <c r="R8966" s="15"/>
      <c r="X8966" s="3"/>
      <c r="Z8966" s="28"/>
    </row>
    <row r="8967" spans="2:26">
      <c r="B8967" s="2"/>
      <c r="N8967" s="27"/>
      <c r="R8967" s="15"/>
      <c r="X8967" s="3"/>
      <c r="Z8967" s="28"/>
    </row>
    <row r="8968" spans="2:26">
      <c r="B8968" s="2"/>
      <c r="N8968" s="27"/>
      <c r="R8968" s="15"/>
      <c r="X8968" s="3"/>
      <c r="Z8968" s="28"/>
    </row>
    <row r="8969" spans="2:26">
      <c r="B8969" s="2"/>
      <c r="N8969" s="27"/>
      <c r="R8969" s="15"/>
      <c r="X8969" s="3"/>
      <c r="Z8969" s="28"/>
    </row>
    <row r="8970" spans="2:26">
      <c r="B8970" s="2"/>
      <c r="N8970" s="27"/>
      <c r="R8970" s="15"/>
      <c r="X8970" s="3"/>
      <c r="Z8970" s="28"/>
    </row>
    <row r="8971" spans="2:26">
      <c r="B8971" s="2"/>
      <c r="N8971" s="27"/>
      <c r="R8971" s="15"/>
      <c r="X8971" s="3"/>
      <c r="Z8971" s="28"/>
    </row>
    <row r="8972" spans="2:26">
      <c r="B8972" s="2"/>
      <c r="N8972" s="27"/>
      <c r="R8972" s="15"/>
      <c r="X8972" s="3"/>
      <c r="Z8972" s="28"/>
    </row>
    <row r="8973" spans="2:26">
      <c r="B8973" s="2"/>
      <c r="N8973" s="27"/>
      <c r="R8973" s="15"/>
      <c r="X8973" s="3"/>
      <c r="Z8973" s="28"/>
    </row>
    <row r="8974" spans="2:26">
      <c r="B8974" s="2"/>
      <c r="N8974" s="27"/>
      <c r="R8974" s="15"/>
      <c r="X8974" s="3"/>
      <c r="Z8974" s="28"/>
    </row>
    <row r="8975" spans="2:26">
      <c r="B8975" s="2"/>
      <c r="N8975" s="27"/>
      <c r="R8975" s="15"/>
      <c r="X8975" s="3"/>
      <c r="Z8975" s="28"/>
    </row>
    <row r="8976" spans="2:26">
      <c r="B8976" s="2"/>
      <c r="N8976" s="27"/>
      <c r="R8976" s="15"/>
      <c r="X8976" s="3"/>
      <c r="Z8976" s="28"/>
    </row>
    <row r="8977" spans="2:26">
      <c r="B8977" s="2"/>
      <c r="N8977" s="27"/>
      <c r="R8977" s="15"/>
      <c r="X8977" s="3"/>
      <c r="Z8977" s="28"/>
    </row>
    <row r="8978" spans="2:26">
      <c r="B8978" s="2"/>
      <c r="N8978" s="27"/>
      <c r="R8978" s="15"/>
      <c r="X8978" s="3"/>
      <c r="Z8978" s="28"/>
    </row>
    <row r="8979" spans="2:26">
      <c r="B8979" s="2"/>
      <c r="N8979" s="27"/>
      <c r="R8979" s="15"/>
      <c r="X8979" s="3"/>
      <c r="Z8979" s="28"/>
    </row>
    <row r="8980" spans="2:26">
      <c r="B8980" s="2"/>
      <c r="N8980" s="27"/>
      <c r="R8980" s="15"/>
      <c r="X8980" s="3"/>
      <c r="Z8980" s="28"/>
    </row>
    <row r="8981" spans="2:26">
      <c r="B8981" s="2"/>
      <c r="N8981" s="27"/>
      <c r="R8981" s="15"/>
      <c r="X8981" s="3"/>
      <c r="Z8981" s="28"/>
    </row>
    <row r="8982" spans="2:26">
      <c r="B8982" s="2"/>
      <c r="N8982" s="27"/>
      <c r="R8982" s="15"/>
      <c r="X8982" s="3"/>
      <c r="Z8982" s="28"/>
    </row>
    <row r="8983" spans="2:26">
      <c r="B8983" s="2"/>
      <c r="N8983" s="27"/>
      <c r="R8983" s="15"/>
      <c r="X8983" s="3"/>
      <c r="Z8983" s="28"/>
    </row>
    <row r="8984" spans="2:26">
      <c r="B8984" s="2"/>
      <c r="N8984" s="27"/>
      <c r="R8984" s="15"/>
      <c r="X8984" s="3"/>
      <c r="Z8984" s="28"/>
    </row>
    <row r="8985" spans="2:26">
      <c r="B8985" s="2"/>
      <c r="N8985" s="27"/>
      <c r="R8985" s="15"/>
      <c r="X8985" s="3"/>
      <c r="Z8985" s="28"/>
    </row>
    <row r="8986" spans="2:26">
      <c r="B8986" s="2"/>
      <c r="N8986" s="27"/>
      <c r="R8986" s="15"/>
      <c r="X8986" s="3"/>
      <c r="Z8986" s="28"/>
    </row>
    <row r="8987" spans="2:26">
      <c r="B8987" s="2"/>
      <c r="N8987" s="27"/>
      <c r="R8987" s="15"/>
      <c r="X8987" s="3"/>
      <c r="Z8987" s="28"/>
    </row>
    <row r="8988" spans="2:26">
      <c r="B8988" s="2"/>
      <c r="N8988" s="27"/>
      <c r="R8988" s="15"/>
      <c r="X8988" s="3"/>
      <c r="Z8988" s="28"/>
    </row>
    <row r="8989" spans="2:26">
      <c r="B8989" s="2"/>
      <c r="N8989" s="27"/>
      <c r="R8989" s="15"/>
      <c r="X8989" s="3"/>
      <c r="Z8989" s="28"/>
    </row>
    <row r="8990" spans="2:26">
      <c r="B8990" s="2"/>
      <c r="N8990" s="27"/>
      <c r="R8990" s="15"/>
      <c r="X8990" s="3"/>
      <c r="Z8990" s="28"/>
    </row>
    <row r="8991" spans="2:26">
      <c r="B8991" s="2"/>
      <c r="N8991" s="27"/>
      <c r="R8991" s="15"/>
      <c r="X8991" s="3"/>
      <c r="Z8991" s="28"/>
    </row>
    <row r="8992" spans="2:26">
      <c r="B8992" s="2"/>
      <c r="N8992" s="27"/>
      <c r="R8992" s="15"/>
      <c r="X8992" s="3"/>
      <c r="Z8992" s="28"/>
    </row>
    <row r="8993" spans="2:26">
      <c r="B8993" s="2"/>
      <c r="N8993" s="27"/>
      <c r="R8993" s="15"/>
      <c r="X8993" s="3"/>
      <c r="Z8993" s="28"/>
    </row>
    <row r="8994" spans="2:26">
      <c r="B8994" s="2"/>
      <c r="N8994" s="27"/>
      <c r="R8994" s="15"/>
      <c r="X8994" s="3"/>
      <c r="Z8994" s="28"/>
    </row>
    <row r="8995" spans="2:26">
      <c r="B8995" s="2"/>
      <c r="N8995" s="27"/>
      <c r="R8995" s="15"/>
      <c r="X8995" s="3"/>
      <c r="Z8995" s="28"/>
    </row>
    <row r="8996" spans="2:26">
      <c r="B8996" s="2"/>
      <c r="N8996" s="27"/>
      <c r="R8996" s="15"/>
      <c r="X8996" s="3"/>
      <c r="Z8996" s="28"/>
    </row>
    <row r="8997" spans="2:26">
      <c r="B8997" s="2"/>
      <c r="N8997" s="27"/>
      <c r="R8997" s="15"/>
      <c r="X8997" s="3"/>
      <c r="Z8997" s="28"/>
    </row>
    <row r="8998" spans="2:26">
      <c r="B8998" s="2"/>
      <c r="N8998" s="27"/>
      <c r="R8998" s="15"/>
      <c r="X8998" s="3"/>
      <c r="Z8998" s="28"/>
    </row>
    <row r="8999" spans="2:26">
      <c r="B8999" s="2"/>
      <c r="N8999" s="27"/>
      <c r="R8999" s="15"/>
      <c r="X8999" s="3"/>
      <c r="Z8999" s="28"/>
    </row>
    <row r="9000" spans="2:26">
      <c r="B9000" s="2"/>
      <c r="N9000" s="27"/>
      <c r="R9000" s="15"/>
      <c r="X9000" s="3"/>
      <c r="Z9000" s="28"/>
    </row>
    <row r="9001" spans="2:26">
      <c r="B9001" s="2"/>
      <c r="N9001" s="27"/>
      <c r="R9001" s="15"/>
      <c r="X9001" s="3"/>
      <c r="Z9001" s="28"/>
    </row>
    <row r="9002" spans="2:26">
      <c r="B9002" s="2"/>
      <c r="N9002" s="27"/>
      <c r="R9002" s="15"/>
      <c r="X9002" s="3"/>
      <c r="Z9002" s="28"/>
    </row>
    <row r="9003" spans="2:26">
      <c r="B9003" s="2"/>
      <c r="N9003" s="27"/>
      <c r="R9003" s="15"/>
      <c r="X9003" s="3"/>
      <c r="Z9003" s="28"/>
    </row>
    <row r="9004" spans="2:26">
      <c r="B9004" s="2"/>
      <c r="N9004" s="27"/>
      <c r="R9004" s="15"/>
      <c r="X9004" s="3"/>
      <c r="Z9004" s="28"/>
    </row>
    <row r="9005" spans="2:26">
      <c r="B9005" s="2"/>
      <c r="N9005" s="27"/>
      <c r="R9005" s="15"/>
      <c r="X9005" s="3"/>
      <c r="Z9005" s="28"/>
    </row>
    <row r="9006" spans="2:26">
      <c r="B9006" s="2"/>
      <c r="N9006" s="27"/>
      <c r="R9006" s="15"/>
      <c r="X9006" s="3"/>
      <c r="Z9006" s="28"/>
    </row>
    <row r="9007" spans="2:26">
      <c r="B9007" s="2"/>
      <c r="N9007" s="27"/>
      <c r="R9007" s="15"/>
      <c r="X9007" s="3"/>
      <c r="Z9007" s="28"/>
    </row>
    <row r="9008" spans="2:26">
      <c r="B9008" s="2"/>
      <c r="N9008" s="27"/>
      <c r="R9008" s="15"/>
      <c r="X9008" s="3"/>
      <c r="Z9008" s="28"/>
    </row>
    <row r="9009" spans="2:26">
      <c r="B9009" s="2"/>
      <c r="N9009" s="27"/>
      <c r="R9009" s="15"/>
      <c r="X9009" s="3"/>
      <c r="Z9009" s="28"/>
    </row>
    <row r="9010" spans="2:26">
      <c r="B9010" s="2"/>
      <c r="N9010" s="27"/>
      <c r="R9010" s="15"/>
      <c r="X9010" s="3"/>
      <c r="Z9010" s="28"/>
    </row>
    <row r="9011" spans="2:26">
      <c r="B9011" s="2"/>
      <c r="N9011" s="27"/>
      <c r="R9011" s="15"/>
      <c r="X9011" s="3"/>
      <c r="Z9011" s="28"/>
    </row>
    <row r="9012" spans="2:26">
      <c r="B9012" s="2"/>
      <c r="N9012" s="27"/>
      <c r="R9012" s="15"/>
      <c r="X9012" s="3"/>
      <c r="Z9012" s="28"/>
    </row>
    <row r="9013" spans="2:26">
      <c r="B9013" s="2"/>
      <c r="N9013" s="27"/>
      <c r="R9013" s="15"/>
      <c r="X9013" s="3"/>
      <c r="Z9013" s="28"/>
    </row>
    <row r="9014" spans="2:26">
      <c r="B9014" s="2"/>
      <c r="N9014" s="27"/>
      <c r="R9014" s="15"/>
      <c r="X9014" s="3"/>
      <c r="Z9014" s="28"/>
    </row>
    <row r="9015" spans="2:26">
      <c r="B9015" s="2"/>
      <c r="N9015" s="27"/>
      <c r="R9015" s="15"/>
      <c r="X9015" s="3"/>
      <c r="Z9015" s="28"/>
    </row>
    <row r="9016" spans="2:26">
      <c r="B9016" s="2"/>
      <c r="N9016" s="27"/>
      <c r="R9016" s="15"/>
      <c r="X9016" s="3"/>
      <c r="Z9016" s="28"/>
    </row>
    <row r="9017" spans="2:26">
      <c r="B9017" s="2"/>
      <c r="N9017" s="27"/>
      <c r="R9017" s="15"/>
      <c r="X9017" s="3"/>
      <c r="Z9017" s="28"/>
    </row>
    <row r="9018" spans="2:26">
      <c r="B9018" s="2"/>
      <c r="N9018" s="27"/>
      <c r="R9018" s="15"/>
      <c r="X9018" s="3"/>
      <c r="Z9018" s="28"/>
    </row>
    <row r="9019" spans="2:26">
      <c r="B9019" s="2"/>
      <c r="N9019" s="27"/>
      <c r="R9019" s="15"/>
      <c r="X9019" s="3"/>
      <c r="Z9019" s="28"/>
    </row>
    <row r="9020" spans="2:26">
      <c r="B9020" s="2"/>
      <c r="N9020" s="27"/>
      <c r="R9020" s="15"/>
      <c r="X9020" s="3"/>
      <c r="Z9020" s="28"/>
    </row>
    <row r="9021" spans="2:26">
      <c r="B9021" s="2"/>
      <c r="N9021" s="27"/>
      <c r="R9021" s="15"/>
      <c r="X9021" s="3"/>
      <c r="Z9021" s="28"/>
    </row>
    <row r="9022" spans="2:26">
      <c r="B9022" s="2"/>
      <c r="N9022" s="27"/>
      <c r="R9022" s="15"/>
      <c r="X9022" s="3"/>
      <c r="Z9022" s="28"/>
    </row>
    <row r="9023" spans="2:26">
      <c r="B9023" s="2"/>
      <c r="N9023" s="27"/>
      <c r="R9023" s="15"/>
      <c r="X9023" s="3"/>
      <c r="Z9023" s="28"/>
    </row>
    <row r="9024" spans="2:26">
      <c r="B9024" s="2"/>
      <c r="N9024" s="27"/>
      <c r="R9024" s="15"/>
      <c r="X9024" s="3"/>
      <c r="Z9024" s="28"/>
    </row>
    <row r="9025" spans="2:26">
      <c r="B9025" s="2"/>
      <c r="N9025" s="27"/>
      <c r="R9025" s="15"/>
      <c r="X9025" s="3"/>
      <c r="Z9025" s="28"/>
    </row>
    <row r="9026" spans="2:26">
      <c r="B9026" s="2"/>
      <c r="N9026" s="27"/>
      <c r="R9026" s="15"/>
      <c r="X9026" s="3"/>
      <c r="Z9026" s="28"/>
    </row>
    <row r="9027" spans="2:26">
      <c r="B9027" s="2"/>
      <c r="N9027" s="27"/>
      <c r="R9027" s="15"/>
      <c r="X9027" s="3"/>
      <c r="Z9027" s="28"/>
    </row>
    <row r="9028" spans="2:26">
      <c r="B9028" s="2"/>
      <c r="N9028" s="27"/>
      <c r="R9028" s="15"/>
      <c r="X9028" s="3"/>
      <c r="Z9028" s="28"/>
    </row>
    <row r="9029" spans="2:26">
      <c r="B9029" s="2"/>
      <c r="N9029" s="27"/>
      <c r="R9029" s="15"/>
      <c r="X9029" s="3"/>
      <c r="Z9029" s="28"/>
    </row>
    <row r="9030" spans="2:26">
      <c r="B9030" s="2"/>
      <c r="N9030" s="27"/>
      <c r="R9030" s="15"/>
      <c r="X9030" s="3"/>
      <c r="Z9030" s="28"/>
    </row>
    <row r="9031" spans="2:26">
      <c r="B9031" s="2"/>
      <c r="N9031" s="27"/>
      <c r="R9031" s="15"/>
      <c r="X9031" s="3"/>
      <c r="Z9031" s="28"/>
    </row>
    <row r="9032" spans="2:26">
      <c r="B9032" s="2"/>
      <c r="N9032" s="27"/>
      <c r="R9032" s="15"/>
      <c r="X9032" s="3"/>
      <c r="Z9032" s="28"/>
    </row>
    <row r="9033" spans="2:26">
      <c r="B9033" s="2"/>
      <c r="N9033" s="27"/>
      <c r="R9033" s="15"/>
      <c r="X9033" s="3"/>
      <c r="Z9033" s="28"/>
    </row>
    <row r="9034" spans="2:26">
      <c r="B9034" s="2"/>
      <c r="N9034" s="27"/>
      <c r="R9034" s="15"/>
      <c r="X9034" s="3"/>
      <c r="Z9034" s="28"/>
    </row>
    <row r="9035" spans="2:26">
      <c r="B9035" s="2"/>
      <c r="N9035" s="27"/>
      <c r="R9035" s="15"/>
      <c r="X9035" s="3"/>
      <c r="Z9035" s="28"/>
    </row>
    <row r="9036" spans="2:26">
      <c r="B9036" s="2"/>
      <c r="N9036" s="27"/>
      <c r="R9036" s="15"/>
      <c r="X9036" s="3"/>
      <c r="Z9036" s="28"/>
    </row>
    <row r="9037" spans="2:26">
      <c r="B9037" s="2"/>
      <c r="N9037" s="27"/>
      <c r="R9037" s="15"/>
      <c r="X9037" s="3"/>
      <c r="Z9037" s="28"/>
    </row>
    <row r="9038" spans="2:26">
      <c r="B9038" s="2"/>
      <c r="N9038" s="27"/>
      <c r="R9038" s="15"/>
      <c r="X9038" s="3"/>
      <c r="Z9038" s="28"/>
    </row>
    <row r="9039" spans="2:26">
      <c r="B9039" s="2"/>
      <c r="N9039" s="27"/>
      <c r="R9039" s="15"/>
      <c r="X9039" s="3"/>
      <c r="Z9039" s="28"/>
    </row>
    <row r="9040" spans="2:26">
      <c r="B9040" s="2"/>
      <c r="N9040" s="27"/>
      <c r="R9040" s="15"/>
      <c r="X9040" s="3"/>
      <c r="Z9040" s="28"/>
    </row>
    <row r="9041" spans="2:26">
      <c r="B9041" s="2"/>
      <c r="N9041" s="27"/>
      <c r="R9041" s="15"/>
      <c r="X9041" s="3"/>
      <c r="Z9041" s="28"/>
    </row>
    <row r="9042" spans="2:26">
      <c r="B9042" s="2"/>
      <c r="N9042" s="27"/>
      <c r="R9042" s="15"/>
      <c r="X9042" s="3"/>
      <c r="Z9042" s="28"/>
    </row>
    <row r="9043" spans="2:26">
      <c r="B9043" s="2"/>
      <c r="N9043" s="27"/>
      <c r="R9043" s="15"/>
      <c r="X9043" s="3"/>
      <c r="Z9043" s="28"/>
    </row>
    <row r="9044" spans="2:26">
      <c r="B9044" s="2"/>
      <c r="N9044" s="27"/>
      <c r="R9044" s="15"/>
      <c r="X9044" s="3"/>
      <c r="Z9044" s="28"/>
    </row>
    <row r="9045" spans="2:26">
      <c r="B9045" s="2"/>
      <c r="N9045" s="27"/>
      <c r="R9045" s="15"/>
      <c r="X9045" s="3"/>
      <c r="Z9045" s="28"/>
    </row>
    <row r="9046" spans="2:26">
      <c r="B9046" s="2"/>
      <c r="N9046" s="27"/>
      <c r="R9046" s="15"/>
      <c r="X9046" s="3"/>
      <c r="Z9046" s="28"/>
    </row>
    <row r="9047" spans="2:26">
      <c r="B9047" s="2"/>
      <c r="N9047" s="27"/>
      <c r="R9047" s="15"/>
      <c r="X9047" s="3"/>
      <c r="Z9047" s="28"/>
    </row>
    <row r="9048" spans="2:26">
      <c r="B9048" s="2"/>
      <c r="N9048" s="27"/>
      <c r="R9048" s="15"/>
      <c r="X9048" s="3"/>
      <c r="Z9048" s="28"/>
    </row>
    <row r="9049" spans="2:26">
      <c r="B9049" s="2"/>
      <c r="N9049" s="27"/>
      <c r="R9049" s="15"/>
      <c r="X9049" s="3"/>
      <c r="Z9049" s="28"/>
    </row>
    <row r="9050" spans="2:26">
      <c r="B9050" s="2"/>
      <c r="N9050" s="27"/>
      <c r="R9050" s="15"/>
      <c r="X9050" s="3"/>
      <c r="Z9050" s="28"/>
    </row>
    <row r="9051" spans="2:26">
      <c r="B9051" s="2"/>
      <c r="N9051" s="27"/>
      <c r="R9051" s="15"/>
      <c r="X9051" s="3"/>
      <c r="Z9051" s="28"/>
    </row>
    <row r="9052" spans="2:26">
      <c r="B9052" s="2"/>
      <c r="N9052" s="27"/>
      <c r="R9052" s="15"/>
      <c r="X9052" s="3"/>
      <c r="Z9052" s="28"/>
    </row>
    <row r="9053" spans="2:26">
      <c r="B9053" s="2"/>
      <c r="N9053" s="27"/>
      <c r="R9053" s="15"/>
      <c r="X9053" s="3"/>
      <c r="Z9053" s="28"/>
    </row>
    <row r="9054" spans="2:26">
      <c r="B9054" s="2"/>
      <c r="N9054" s="27"/>
      <c r="R9054" s="15"/>
      <c r="X9054" s="3"/>
      <c r="Z9054" s="28"/>
    </row>
    <row r="9055" spans="2:26">
      <c r="B9055" s="2"/>
      <c r="N9055" s="27"/>
      <c r="R9055" s="15"/>
      <c r="X9055" s="3"/>
      <c r="Z9055" s="28"/>
    </row>
    <row r="9056" spans="2:26">
      <c r="B9056" s="2"/>
      <c r="N9056" s="27"/>
      <c r="R9056" s="15"/>
      <c r="X9056" s="3"/>
      <c r="Z9056" s="28"/>
    </row>
    <row r="9057" spans="2:26">
      <c r="B9057" s="2"/>
      <c r="N9057" s="27"/>
      <c r="R9057" s="15"/>
      <c r="X9057" s="3"/>
      <c r="Z9057" s="28"/>
    </row>
    <row r="9058" spans="2:26">
      <c r="B9058" s="2"/>
      <c r="N9058" s="27"/>
      <c r="R9058" s="15"/>
      <c r="X9058" s="3"/>
      <c r="Z9058" s="28"/>
    </row>
    <row r="9059" spans="2:26">
      <c r="B9059" s="2"/>
      <c r="N9059" s="27"/>
      <c r="R9059" s="15"/>
      <c r="X9059" s="3"/>
      <c r="Z9059" s="28"/>
    </row>
    <row r="9060" spans="2:26">
      <c r="B9060" s="2"/>
      <c r="N9060" s="27"/>
      <c r="R9060" s="15"/>
      <c r="X9060" s="3"/>
      <c r="Z9060" s="28"/>
    </row>
    <row r="9061" spans="2:26">
      <c r="B9061" s="2"/>
      <c r="N9061" s="27"/>
      <c r="R9061" s="15"/>
      <c r="X9061" s="3"/>
      <c r="Z9061" s="28"/>
    </row>
    <row r="9062" spans="2:26">
      <c r="B9062" s="2"/>
      <c r="N9062" s="27"/>
      <c r="R9062" s="15"/>
      <c r="X9062" s="3"/>
      <c r="Z9062" s="28"/>
    </row>
    <row r="9063" spans="2:26">
      <c r="B9063" s="2"/>
      <c r="N9063" s="27"/>
      <c r="R9063" s="15"/>
      <c r="X9063" s="3"/>
      <c r="Z9063" s="28"/>
    </row>
    <row r="9064" spans="2:26">
      <c r="B9064" s="2"/>
      <c r="N9064" s="27"/>
      <c r="R9064" s="15"/>
      <c r="X9064" s="3"/>
      <c r="Z9064" s="28"/>
    </row>
    <row r="9065" spans="2:26">
      <c r="B9065" s="2"/>
      <c r="N9065" s="27"/>
      <c r="R9065" s="15"/>
      <c r="X9065" s="3"/>
      <c r="Z9065" s="28"/>
    </row>
    <row r="9066" spans="2:26">
      <c r="B9066" s="2"/>
      <c r="N9066" s="27"/>
      <c r="R9066" s="15"/>
      <c r="X9066" s="3"/>
      <c r="Z9066" s="28"/>
    </row>
    <row r="9067" spans="2:26">
      <c r="B9067" s="2"/>
      <c r="N9067" s="27"/>
      <c r="R9067" s="15"/>
      <c r="X9067" s="3"/>
      <c r="Z9067" s="28"/>
    </row>
    <row r="9068" spans="2:26">
      <c r="B9068" s="2"/>
      <c r="N9068" s="27"/>
      <c r="R9068" s="15"/>
      <c r="X9068" s="3"/>
      <c r="Z9068" s="28"/>
    </row>
    <row r="9069" spans="2:26">
      <c r="B9069" s="2"/>
      <c r="N9069" s="27"/>
      <c r="R9069" s="15"/>
      <c r="X9069" s="3"/>
      <c r="Z9069" s="28"/>
    </row>
    <row r="9070" spans="2:26">
      <c r="B9070" s="2"/>
      <c r="N9070" s="27"/>
      <c r="R9070" s="15"/>
      <c r="X9070" s="3"/>
      <c r="Z9070" s="28"/>
    </row>
    <row r="9071" spans="2:26">
      <c r="B9071" s="2"/>
      <c r="N9071" s="27"/>
      <c r="R9071" s="15"/>
      <c r="X9071" s="3"/>
      <c r="Z9071" s="28"/>
    </row>
    <row r="9072" spans="2:26">
      <c r="B9072" s="2"/>
      <c r="N9072" s="27"/>
      <c r="R9072" s="15"/>
      <c r="X9072" s="3"/>
      <c r="Z9072" s="28"/>
    </row>
    <row r="9073" spans="2:26">
      <c r="B9073" s="2"/>
      <c r="N9073" s="27"/>
      <c r="R9073" s="15"/>
      <c r="X9073" s="3"/>
      <c r="Z9073" s="28"/>
    </row>
    <row r="9074" spans="2:26">
      <c r="B9074" s="2"/>
      <c r="N9074" s="27"/>
      <c r="R9074" s="15"/>
      <c r="X9074" s="3"/>
      <c r="Z9074" s="28"/>
    </row>
    <row r="9075" spans="2:26">
      <c r="B9075" s="2"/>
      <c r="N9075" s="27"/>
      <c r="R9075" s="15"/>
      <c r="X9075" s="3"/>
      <c r="Z9075" s="28"/>
    </row>
    <row r="9076" spans="2:26">
      <c r="B9076" s="2"/>
      <c r="N9076" s="27"/>
      <c r="R9076" s="15"/>
      <c r="X9076" s="3"/>
      <c r="Z9076" s="28"/>
    </row>
    <row r="9077" spans="2:26">
      <c r="B9077" s="2"/>
      <c r="N9077" s="27"/>
      <c r="R9077" s="15"/>
      <c r="X9077" s="3"/>
      <c r="Z9077" s="28"/>
    </row>
    <row r="9078" spans="2:26">
      <c r="B9078" s="2"/>
      <c r="N9078" s="27"/>
      <c r="R9078" s="15"/>
      <c r="X9078" s="3"/>
      <c r="Z9078" s="28"/>
    </row>
    <row r="9079" spans="2:26">
      <c r="B9079" s="2"/>
      <c r="N9079" s="27"/>
      <c r="R9079" s="15"/>
      <c r="X9079" s="3"/>
      <c r="Z9079" s="28"/>
    </row>
    <row r="9080" spans="2:26">
      <c r="B9080" s="2"/>
      <c r="N9080" s="27"/>
      <c r="R9080" s="15"/>
      <c r="X9080" s="3"/>
      <c r="Z9080" s="28"/>
    </row>
    <row r="9081" spans="2:26">
      <c r="B9081" s="2"/>
      <c r="N9081" s="27"/>
      <c r="R9081" s="15"/>
      <c r="X9081" s="3"/>
      <c r="Z9081" s="28"/>
    </row>
    <row r="9082" spans="2:26">
      <c r="B9082" s="2"/>
      <c r="N9082" s="27"/>
      <c r="R9082" s="15"/>
      <c r="X9082" s="3"/>
      <c r="Z9082" s="28"/>
    </row>
    <row r="9083" spans="2:26">
      <c r="B9083" s="2"/>
      <c r="N9083" s="27"/>
      <c r="R9083" s="15"/>
      <c r="X9083" s="3"/>
      <c r="Z9083" s="28"/>
    </row>
    <row r="9084" spans="2:26">
      <c r="B9084" s="2"/>
      <c r="N9084" s="27"/>
      <c r="R9084" s="15"/>
      <c r="X9084" s="3"/>
      <c r="Z9084" s="28"/>
    </row>
    <row r="9085" spans="2:26">
      <c r="B9085" s="2"/>
      <c r="N9085" s="27"/>
      <c r="R9085" s="15"/>
      <c r="X9085" s="3"/>
      <c r="Z9085" s="28"/>
    </row>
    <row r="9086" spans="2:26">
      <c r="B9086" s="2"/>
      <c r="N9086" s="27"/>
      <c r="R9086" s="15"/>
      <c r="X9086" s="3"/>
      <c r="Z9086" s="28"/>
    </row>
    <row r="9087" spans="2:26">
      <c r="B9087" s="2"/>
      <c r="N9087" s="27"/>
      <c r="R9087" s="15"/>
      <c r="X9087" s="3"/>
      <c r="Z9087" s="28"/>
    </row>
    <row r="9088" spans="2:26">
      <c r="B9088" s="2"/>
      <c r="N9088" s="27"/>
      <c r="R9088" s="15"/>
      <c r="X9088" s="3"/>
      <c r="Z9088" s="28"/>
    </row>
    <row r="9089" spans="2:26">
      <c r="B9089" s="2"/>
      <c r="N9089" s="27"/>
      <c r="R9089" s="15"/>
      <c r="X9089" s="3"/>
      <c r="Z9089" s="28"/>
    </row>
    <row r="9090" spans="2:26">
      <c r="B9090" s="2"/>
      <c r="N9090" s="27"/>
      <c r="R9090" s="15"/>
      <c r="X9090" s="3"/>
      <c r="Z9090" s="28"/>
    </row>
    <row r="9091" spans="2:26">
      <c r="B9091" s="2"/>
      <c r="N9091" s="27"/>
      <c r="R9091" s="15"/>
      <c r="X9091" s="3"/>
      <c r="Z9091" s="28"/>
    </row>
    <row r="9092" spans="2:26">
      <c r="B9092" s="2"/>
      <c r="N9092" s="27"/>
      <c r="R9092" s="15"/>
      <c r="X9092" s="3"/>
      <c r="Z9092" s="28"/>
    </row>
    <row r="9093" spans="2:26">
      <c r="B9093" s="2"/>
      <c r="N9093" s="27"/>
      <c r="R9093" s="15"/>
      <c r="X9093" s="3"/>
      <c r="Z9093" s="28"/>
    </row>
    <row r="9094" spans="2:26">
      <c r="B9094" s="2"/>
      <c r="N9094" s="27"/>
      <c r="R9094" s="15"/>
      <c r="X9094" s="3"/>
      <c r="Z9094" s="28"/>
    </row>
    <row r="9095" spans="2:26">
      <c r="B9095" s="2"/>
      <c r="N9095" s="27"/>
      <c r="R9095" s="15"/>
      <c r="X9095" s="3"/>
      <c r="Z9095" s="28"/>
    </row>
    <row r="9096" spans="2:26">
      <c r="B9096" s="2"/>
      <c r="N9096" s="27"/>
      <c r="R9096" s="15"/>
      <c r="X9096" s="3"/>
      <c r="Z9096" s="28"/>
    </row>
    <row r="9097" spans="2:26">
      <c r="B9097" s="2"/>
      <c r="N9097" s="27"/>
      <c r="R9097" s="15"/>
      <c r="X9097" s="3"/>
      <c r="Z9097" s="28"/>
    </row>
    <row r="9098" spans="2:26">
      <c r="B9098" s="2"/>
      <c r="N9098" s="27"/>
      <c r="R9098" s="15"/>
      <c r="X9098" s="3"/>
      <c r="Z9098" s="28"/>
    </row>
    <row r="9099" spans="2:26">
      <c r="B9099" s="2"/>
      <c r="N9099" s="27"/>
      <c r="R9099" s="15"/>
      <c r="X9099" s="3"/>
      <c r="Z9099" s="28"/>
    </row>
    <row r="9100" spans="2:26">
      <c r="B9100" s="2"/>
      <c r="N9100" s="27"/>
      <c r="R9100" s="15"/>
      <c r="X9100" s="3"/>
      <c r="Z9100" s="28"/>
    </row>
    <row r="9101" spans="2:26">
      <c r="B9101" s="2"/>
      <c r="N9101" s="27"/>
      <c r="R9101" s="15"/>
      <c r="X9101" s="3"/>
      <c r="Z9101" s="28"/>
    </row>
    <row r="9102" spans="2:26">
      <c r="B9102" s="2"/>
      <c r="N9102" s="27"/>
      <c r="R9102" s="15"/>
      <c r="X9102" s="3"/>
      <c r="Z9102" s="28"/>
    </row>
    <row r="9103" spans="2:26">
      <c r="B9103" s="2"/>
      <c r="N9103" s="27"/>
      <c r="R9103" s="15"/>
      <c r="X9103" s="3"/>
      <c r="Z9103" s="28"/>
    </row>
    <row r="9104" spans="2:26">
      <c r="B9104" s="2"/>
      <c r="N9104" s="27"/>
      <c r="R9104" s="15"/>
      <c r="X9104" s="3"/>
      <c r="Z9104" s="28"/>
    </row>
    <row r="9105" spans="2:26">
      <c r="B9105" s="2"/>
      <c r="N9105" s="27"/>
      <c r="R9105" s="15"/>
      <c r="X9105" s="3"/>
      <c r="Z9105" s="28"/>
    </row>
    <row r="9106" spans="2:26">
      <c r="B9106" s="2"/>
      <c r="N9106" s="27"/>
      <c r="R9106" s="15"/>
      <c r="X9106" s="3"/>
      <c r="Z9106" s="28"/>
    </row>
    <row r="9107" spans="2:26">
      <c r="B9107" s="2"/>
      <c r="N9107" s="27"/>
      <c r="R9107" s="15"/>
      <c r="X9107" s="3"/>
      <c r="Z9107" s="28"/>
    </row>
    <row r="9108" spans="2:26">
      <c r="B9108" s="2"/>
      <c r="N9108" s="27"/>
      <c r="R9108" s="15"/>
      <c r="X9108" s="3"/>
      <c r="Z9108" s="28"/>
    </row>
    <row r="9109" spans="2:26">
      <c r="B9109" s="2"/>
      <c r="N9109" s="27"/>
      <c r="R9109" s="15"/>
      <c r="X9109" s="3"/>
      <c r="Z9109" s="28"/>
    </row>
    <row r="9110" spans="2:26">
      <c r="B9110" s="2"/>
      <c r="N9110" s="27"/>
      <c r="R9110" s="15"/>
      <c r="X9110" s="3"/>
      <c r="Z9110" s="28"/>
    </row>
    <row r="9111" spans="2:26">
      <c r="B9111" s="2"/>
      <c r="N9111" s="27"/>
      <c r="R9111" s="15"/>
      <c r="X9111" s="3"/>
      <c r="Z9111" s="28"/>
    </row>
    <row r="9112" spans="2:26">
      <c r="B9112" s="2"/>
      <c r="N9112" s="27"/>
      <c r="R9112" s="15"/>
      <c r="X9112" s="3"/>
      <c r="Z9112" s="28"/>
    </row>
    <row r="9113" spans="2:26">
      <c r="B9113" s="2"/>
      <c r="N9113" s="27"/>
      <c r="R9113" s="15"/>
      <c r="X9113" s="3"/>
      <c r="Z9113" s="28"/>
    </row>
    <row r="9114" spans="2:26">
      <c r="B9114" s="2"/>
      <c r="N9114" s="27"/>
      <c r="R9114" s="15"/>
      <c r="X9114" s="3"/>
      <c r="Z9114" s="28"/>
    </row>
    <row r="9115" spans="2:26">
      <c r="B9115" s="2"/>
      <c r="N9115" s="27"/>
      <c r="R9115" s="15"/>
      <c r="X9115" s="3"/>
      <c r="Z9115" s="28"/>
    </row>
    <row r="9116" spans="2:26">
      <c r="B9116" s="2"/>
      <c r="N9116" s="27"/>
      <c r="R9116" s="15"/>
      <c r="X9116" s="3"/>
      <c r="Z9116" s="28"/>
    </row>
    <row r="9117" spans="2:26">
      <c r="B9117" s="2"/>
      <c r="N9117" s="27"/>
      <c r="R9117" s="15"/>
      <c r="X9117" s="3"/>
      <c r="Z9117" s="28"/>
    </row>
    <row r="9118" spans="2:26">
      <c r="B9118" s="2"/>
      <c r="N9118" s="27"/>
      <c r="R9118" s="15"/>
      <c r="X9118" s="3"/>
      <c r="Z9118" s="28"/>
    </row>
    <row r="9119" spans="2:26">
      <c r="B9119" s="2"/>
      <c r="N9119" s="27"/>
      <c r="R9119" s="15"/>
      <c r="X9119" s="3"/>
      <c r="Z9119" s="28"/>
    </row>
    <row r="9120" spans="2:26">
      <c r="B9120" s="2"/>
      <c r="N9120" s="27"/>
      <c r="R9120" s="15"/>
      <c r="X9120" s="3"/>
      <c r="Z9120" s="28"/>
    </row>
    <row r="9121" spans="2:26">
      <c r="B9121" s="2"/>
      <c r="N9121" s="27"/>
      <c r="R9121" s="15"/>
      <c r="X9121" s="3"/>
      <c r="Z9121" s="28"/>
    </row>
    <row r="9122" spans="2:26">
      <c r="B9122" s="2"/>
      <c r="N9122" s="27"/>
      <c r="R9122" s="15"/>
      <c r="X9122" s="3"/>
      <c r="Z9122" s="28"/>
    </row>
    <row r="9123" spans="2:26">
      <c r="B9123" s="2"/>
      <c r="N9123" s="27"/>
      <c r="R9123" s="15"/>
      <c r="X9123" s="3"/>
      <c r="Z9123" s="28"/>
    </row>
    <row r="9124" spans="2:26">
      <c r="B9124" s="2"/>
      <c r="N9124" s="27"/>
      <c r="R9124" s="15"/>
      <c r="X9124" s="3"/>
      <c r="Z9124" s="28"/>
    </row>
    <row r="9125" spans="2:26">
      <c r="B9125" s="2"/>
      <c r="N9125" s="27"/>
      <c r="R9125" s="15"/>
      <c r="X9125" s="3"/>
      <c r="Z9125" s="28"/>
    </row>
    <row r="9126" spans="2:26">
      <c r="B9126" s="2"/>
      <c r="N9126" s="27"/>
      <c r="R9126" s="15"/>
      <c r="X9126" s="3"/>
      <c r="Z9126" s="28"/>
    </row>
    <row r="9127" spans="2:26">
      <c r="B9127" s="2"/>
      <c r="N9127" s="27"/>
      <c r="R9127" s="15"/>
      <c r="X9127" s="3"/>
      <c r="Z9127" s="28"/>
    </row>
    <row r="9128" spans="2:26">
      <c r="B9128" s="2"/>
      <c r="N9128" s="27"/>
      <c r="R9128" s="15"/>
      <c r="X9128" s="3"/>
      <c r="Z9128" s="28"/>
    </row>
    <row r="9129" spans="2:26">
      <c r="B9129" s="2"/>
      <c r="N9129" s="27"/>
      <c r="R9129" s="15"/>
      <c r="X9129" s="3"/>
      <c r="Z9129" s="28"/>
    </row>
    <row r="9130" spans="2:26">
      <c r="B9130" s="2"/>
      <c r="N9130" s="27"/>
      <c r="R9130" s="15"/>
      <c r="X9130" s="3"/>
      <c r="Z9130" s="28"/>
    </row>
    <row r="9131" spans="2:26">
      <c r="B9131" s="2"/>
      <c r="N9131" s="27"/>
      <c r="R9131" s="15"/>
      <c r="X9131" s="3"/>
      <c r="Z9131" s="28"/>
    </row>
    <row r="9132" spans="2:26">
      <c r="B9132" s="2"/>
      <c r="N9132" s="27"/>
      <c r="R9132" s="15"/>
      <c r="X9132" s="3"/>
      <c r="Z9132" s="28"/>
    </row>
    <row r="9133" spans="2:26">
      <c r="B9133" s="2"/>
      <c r="N9133" s="27"/>
      <c r="R9133" s="15"/>
      <c r="X9133" s="3"/>
      <c r="Z9133" s="28"/>
    </row>
    <row r="9134" spans="2:26">
      <c r="B9134" s="2"/>
      <c r="N9134" s="27"/>
      <c r="R9134" s="15"/>
      <c r="X9134" s="3"/>
      <c r="Z9134" s="28"/>
    </row>
    <row r="9135" spans="2:26">
      <c r="B9135" s="2"/>
      <c r="N9135" s="27"/>
      <c r="R9135" s="15"/>
      <c r="X9135" s="3"/>
      <c r="Z9135" s="28"/>
    </row>
    <row r="9136" spans="2:26">
      <c r="B9136" s="2"/>
      <c r="N9136" s="27"/>
      <c r="R9136" s="15"/>
      <c r="X9136" s="3"/>
      <c r="Z9136" s="28"/>
    </row>
    <row r="9137" spans="2:26">
      <c r="B9137" s="2"/>
      <c r="N9137" s="27"/>
      <c r="R9137" s="15"/>
      <c r="X9137" s="3"/>
      <c r="Z9137" s="28"/>
    </row>
    <row r="9138" spans="2:26">
      <c r="B9138" s="2"/>
      <c r="N9138" s="27"/>
      <c r="R9138" s="15"/>
      <c r="X9138" s="3"/>
      <c r="Z9138" s="28"/>
    </row>
    <row r="9139" spans="2:26">
      <c r="B9139" s="2"/>
      <c r="N9139" s="27"/>
      <c r="R9139" s="15"/>
      <c r="X9139" s="3"/>
      <c r="Z9139" s="28"/>
    </row>
    <row r="9140" spans="2:26">
      <c r="B9140" s="2"/>
      <c r="N9140" s="27"/>
      <c r="R9140" s="15"/>
      <c r="X9140" s="3"/>
      <c r="Z9140" s="28"/>
    </row>
    <row r="9141" spans="2:26">
      <c r="B9141" s="2"/>
      <c r="N9141" s="27"/>
      <c r="R9141" s="15"/>
      <c r="X9141" s="3"/>
      <c r="Z9141" s="28"/>
    </row>
    <row r="9142" spans="2:26">
      <c r="B9142" s="2"/>
      <c r="N9142" s="27"/>
      <c r="R9142" s="15"/>
      <c r="X9142" s="3"/>
      <c r="Z9142" s="28"/>
    </row>
    <row r="9143" spans="2:26">
      <c r="B9143" s="2"/>
      <c r="N9143" s="27"/>
      <c r="R9143" s="15"/>
      <c r="X9143" s="3"/>
      <c r="Z9143" s="28"/>
    </row>
    <row r="9144" spans="2:26">
      <c r="B9144" s="2"/>
      <c r="N9144" s="27"/>
      <c r="R9144" s="15"/>
      <c r="X9144" s="3"/>
      <c r="Z9144" s="28"/>
    </row>
    <row r="9145" spans="2:26">
      <c r="B9145" s="2"/>
      <c r="N9145" s="27"/>
      <c r="R9145" s="15"/>
      <c r="X9145" s="3"/>
      <c r="Z9145" s="28"/>
    </row>
    <row r="9146" spans="2:26">
      <c r="B9146" s="2"/>
      <c r="N9146" s="27"/>
      <c r="R9146" s="15"/>
      <c r="X9146" s="3"/>
      <c r="Z9146" s="28"/>
    </row>
    <row r="9147" spans="2:26">
      <c r="B9147" s="2"/>
      <c r="N9147" s="27"/>
      <c r="R9147" s="15"/>
      <c r="X9147" s="3"/>
      <c r="Z9147" s="28"/>
    </row>
    <row r="9148" spans="2:26">
      <c r="B9148" s="2"/>
      <c r="N9148" s="27"/>
      <c r="R9148" s="15"/>
      <c r="X9148" s="3"/>
      <c r="Z9148" s="28"/>
    </row>
    <row r="9149" spans="2:26">
      <c r="B9149" s="2"/>
      <c r="N9149" s="27"/>
      <c r="R9149" s="15"/>
      <c r="X9149" s="3"/>
      <c r="Z9149" s="28"/>
    </row>
    <row r="9150" spans="2:26">
      <c r="B9150" s="2"/>
      <c r="N9150" s="27"/>
      <c r="R9150" s="15"/>
      <c r="X9150" s="3"/>
      <c r="Z9150" s="28"/>
    </row>
    <row r="9151" spans="2:26">
      <c r="B9151" s="2"/>
      <c r="N9151" s="27"/>
      <c r="R9151" s="15"/>
      <c r="X9151" s="3"/>
      <c r="Z9151" s="28"/>
    </row>
    <row r="9152" spans="2:26">
      <c r="B9152" s="2"/>
      <c r="N9152" s="27"/>
      <c r="R9152" s="15"/>
      <c r="X9152" s="3"/>
      <c r="Z9152" s="28"/>
    </row>
    <row r="9153" spans="2:26">
      <c r="B9153" s="2"/>
      <c r="N9153" s="27"/>
      <c r="R9153" s="15"/>
      <c r="X9153" s="3"/>
      <c r="Z9153" s="28"/>
    </row>
    <row r="9154" spans="2:26">
      <c r="B9154" s="2"/>
      <c r="N9154" s="27"/>
      <c r="R9154" s="15"/>
      <c r="X9154" s="3"/>
      <c r="Z9154" s="28"/>
    </row>
    <row r="9155" spans="2:26">
      <c r="B9155" s="2"/>
      <c r="N9155" s="27"/>
      <c r="R9155" s="15"/>
      <c r="X9155" s="3"/>
      <c r="Z9155" s="28"/>
    </row>
    <row r="9156" spans="2:26">
      <c r="B9156" s="2"/>
      <c r="N9156" s="27"/>
      <c r="R9156" s="15"/>
      <c r="X9156" s="3"/>
      <c r="Z9156" s="28"/>
    </row>
    <row r="9157" spans="2:26">
      <c r="B9157" s="2"/>
      <c r="N9157" s="27"/>
      <c r="R9157" s="15"/>
      <c r="X9157" s="3"/>
      <c r="Z9157" s="28"/>
    </row>
    <row r="9158" spans="2:26">
      <c r="B9158" s="2"/>
      <c r="N9158" s="27"/>
      <c r="R9158" s="15"/>
      <c r="X9158" s="3"/>
      <c r="Z9158" s="28"/>
    </row>
    <row r="9159" spans="2:26">
      <c r="B9159" s="2"/>
      <c r="N9159" s="27"/>
      <c r="R9159" s="15"/>
      <c r="X9159" s="3"/>
      <c r="Z9159" s="28"/>
    </row>
    <row r="9160" spans="2:26">
      <c r="B9160" s="2"/>
      <c r="N9160" s="27"/>
      <c r="R9160" s="15"/>
      <c r="X9160" s="3"/>
      <c r="Z9160" s="28"/>
    </row>
    <row r="9161" spans="2:26">
      <c r="B9161" s="2"/>
      <c r="N9161" s="27"/>
      <c r="R9161" s="15"/>
      <c r="X9161" s="3"/>
      <c r="Z9161" s="28"/>
    </row>
    <row r="9162" spans="2:26">
      <c r="B9162" s="2"/>
      <c r="N9162" s="27"/>
      <c r="R9162" s="15"/>
      <c r="X9162" s="3"/>
      <c r="Z9162" s="28"/>
    </row>
    <row r="9163" spans="2:26">
      <c r="B9163" s="2"/>
      <c r="N9163" s="27"/>
      <c r="R9163" s="15"/>
      <c r="X9163" s="3"/>
      <c r="Z9163" s="28"/>
    </row>
    <row r="9164" spans="2:26">
      <c r="B9164" s="2"/>
      <c r="N9164" s="27"/>
      <c r="R9164" s="15"/>
      <c r="X9164" s="3"/>
      <c r="Z9164" s="28"/>
    </row>
    <row r="9165" spans="2:26">
      <c r="B9165" s="2"/>
      <c r="N9165" s="27"/>
      <c r="R9165" s="15"/>
      <c r="X9165" s="3"/>
      <c r="Z9165" s="28"/>
    </row>
    <row r="9166" spans="2:26">
      <c r="B9166" s="2"/>
      <c r="N9166" s="27"/>
      <c r="R9166" s="15"/>
      <c r="X9166" s="3"/>
      <c r="Z9166" s="28"/>
    </row>
    <row r="9167" spans="2:26">
      <c r="B9167" s="2"/>
      <c r="N9167" s="27"/>
      <c r="R9167" s="15"/>
      <c r="X9167" s="3"/>
      <c r="Z9167" s="28"/>
    </row>
    <row r="9168" spans="2:26">
      <c r="B9168" s="2"/>
      <c r="N9168" s="27"/>
      <c r="R9168" s="15"/>
      <c r="X9168" s="3"/>
      <c r="Z9168" s="28"/>
    </row>
    <row r="9169" spans="2:26">
      <c r="B9169" s="2"/>
      <c r="N9169" s="27"/>
      <c r="R9169" s="15"/>
      <c r="X9169" s="3"/>
      <c r="Z9169" s="28"/>
    </row>
    <row r="9170" spans="2:26">
      <c r="B9170" s="2"/>
      <c r="N9170" s="27"/>
      <c r="R9170" s="15"/>
      <c r="X9170" s="3"/>
      <c r="Z9170" s="28"/>
    </row>
    <row r="9171" spans="2:26">
      <c r="B9171" s="2"/>
      <c r="N9171" s="27"/>
      <c r="R9171" s="15"/>
      <c r="X9171" s="3"/>
      <c r="Z9171" s="28"/>
    </row>
    <row r="9172" spans="2:26">
      <c r="B9172" s="2"/>
      <c r="N9172" s="27"/>
      <c r="R9172" s="15"/>
      <c r="X9172" s="3"/>
      <c r="Z9172" s="28"/>
    </row>
    <row r="9173" spans="2:26">
      <c r="B9173" s="2"/>
      <c r="N9173" s="27"/>
      <c r="R9173" s="15"/>
      <c r="X9173" s="3"/>
      <c r="Z9173" s="28"/>
    </row>
    <row r="9174" spans="2:26">
      <c r="B9174" s="2"/>
      <c r="N9174" s="27"/>
      <c r="R9174" s="15"/>
      <c r="X9174" s="3"/>
      <c r="Z9174" s="28"/>
    </row>
    <row r="9175" spans="2:26">
      <c r="B9175" s="2"/>
      <c r="N9175" s="27"/>
      <c r="R9175" s="15"/>
      <c r="X9175" s="3"/>
      <c r="Z9175" s="28"/>
    </row>
    <row r="9176" spans="2:26">
      <c r="B9176" s="2"/>
      <c r="N9176" s="27"/>
      <c r="R9176" s="15"/>
      <c r="X9176" s="3"/>
      <c r="Z9176" s="28"/>
    </row>
    <row r="9177" spans="2:26">
      <c r="B9177" s="2"/>
      <c r="N9177" s="27"/>
      <c r="R9177" s="15"/>
      <c r="X9177" s="3"/>
      <c r="Z9177" s="28"/>
    </row>
    <row r="9178" spans="2:26">
      <c r="B9178" s="2"/>
      <c r="N9178" s="27"/>
      <c r="R9178" s="15"/>
      <c r="X9178" s="3"/>
      <c r="Z9178" s="28"/>
    </row>
    <row r="9179" spans="2:26">
      <c r="B9179" s="2"/>
      <c r="N9179" s="27"/>
      <c r="R9179" s="15"/>
      <c r="X9179" s="3"/>
      <c r="Z9179" s="28"/>
    </row>
    <row r="9180" spans="2:26">
      <c r="B9180" s="2"/>
      <c r="N9180" s="27"/>
      <c r="R9180" s="15"/>
      <c r="X9180" s="3"/>
      <c r="Z9180" s="28"/>
    </row>
    <row r="9181" spans="2:26">
      <c r="B9181" s="2"/>
      <c r="N9181" s="27"/>
      <c r="R9181" s="15"/>
      <c r="X9181" s="3"/>
      <c r="Z9181" s="28"/>
    </row>
    <row r="9182" spans="2:26">
      <c r="B9182" s="2"/>
      <c r="N9182" s="27"/>
      <c r="R9182" s="15"/>
      <c r="X9182" s="3"/>
      <c r="Z9182" s="28"/>
    </row>
    <row r="9183" spans="2:26">
      <c r="B9183" s="2"/>
      <c r="N9183" s="27"/>
      <c r="R9183" s="15"/>
      <c r="X9183" s="3"/>
      <c r="Z9183" s="28"/>
    </row>
    <row r="9184" spans="2:26">
      <c r="B9184" s="2"/>
      <c r="N9184" s="27"/>
      <c r="R9184" s="15"/>
      <c r="X9184" s="3"/>
      <c r="Z9184" s="28"/>
    </row>
    <row r="9185" spans="2:26">
      <c r="B9185" s="2"/>
      <c r="N9185" s="27"/>
      <c r="R9185" s="15"/>
      <c r="X9185" s="3"/>
      <c r="Z9185" s="28"/>
    </row>
    <row r="9186" spans="2:26">
      <c r="B9186" s="2"/>
      <c r="N9186" s="27"/>
      <c r="R9186" s="15"/>
      <c r="X9186" s="3"/>
      <c r="Z9186" s="28"/>
    </row>
    <row r="9187" spans="2:26">
      <c r="B9187" s="2"/>
      <c r="N9187" s="27"/>
      <c r="R9187" s="15"/>
      <c r="X9187" s="3"/>
      <c r="Z9187" s="28"/>
    </row>
    <row r="9188" spans="2:26">
      <c r="B9188" s="2"/>
      <c r="N9188" s="27"/>
      <c r="R9188" s="15"/>
      <c r="X9188" s="3"/>
      <c r="Z9188" s="28"/>
    </row>
    <row r="9189" spans="2:26">
      <c r="B9189" s="2"/>
      <c r="N9189" s="27"/>
      <c r="R9189" s="15"/>
      <c r="X9189" s="3"/>
      <c r="Z9189" s="28"/>
    </row>
    <row r="9190" spans="2:26">
      <c r="B9190" s="2"/>
      <c r="N9190" s="27"/>
      <c r="R9190" s="15"/>
      <c r="X9190" s="3"/>
      <c r="Z9190" s="28"/>
    </row>
    <row r="9191" spans="2:26">
      <c r="B9191" s="2"/>
      <c r="N9191" s="27"/>
      <c r="R9191" s="15"/>
      <c r="X9191" s="3"/>
      <c r="Z9191" s="28"/>
    </row>
    <row r="9192" spans="2:26">
      <c r="B9192" s="2"/>
      <c r="N9192" s="27"/>
      <c r="R9192" s="15"/>
      <c r="X9192" s="3"/>
      <c r="Z9192" s="28"/>
    </row>
    <row r="9193" spans="2:26">
      <c r="B9193" s="2"/>
      <c r="N9193" s="27"/>
      <c r="R9193" s="15"/>
      <c r="X9193" s="3"/>
      <c r="Z9193" s="28"/>
    </row>
    <row r="9194" spans="2:26">
      <c r="B9194" s="2"/>
      <c r="N9194" s="27"/>
      <c r="R9194" s="15"/>
      <c r="X9194" s="3"/>
      <c r="Z9194" s="28"/>
    </row>
    <row r="9195" spans="2:26">
      <c r="B9195" s="2"/>
      <c r="N9195" s="27"/>
      <c r="R9195" s="15"/>
      <c r="X9195" s="3"/>
      <c r="Z9195" s="28"/>
    </row>
    <row r="9196" spans="2:26">
      <c r="B9196" s="2"/>
      <c r="N9196" s="27"/>
      <c r="R9196" s="15"/>
      <c r="X9196" s="3"/>
      <c r="Z9196" s="28"/>
    </row>
    <row r="9197" spans="2:26">
      <c r="B9197" s="2"/>
      <c r="N9197" s="27"/>
      <c r="R9197" s="15"/>
      <c r="X9197" s="3"/>
      <c r="Z9197" s="28"/>
    </row>
    <row r="9198" spans="2:26">
      <c r="B9198" s="2"/>
      <c r="N9198" s="27"/>
      <c r="R9198" s="15"/>
      <c r="X9198" s="3"/>
      <c r="Z9198" s="28"/>
    </row>
    <row r="9199" spans="2:26">
      <c r="B9199" s="2"/>
      <c r="N9199" s="27"/>
      <c r="R9199" s="15"/>
      <c r="X9199" s="3"/>
      <c r="Z9199" s="28"/>
    </row>
    <row r="9200" spans="2:26">
      <c r="B9200" s="2"/>
      <c r="N9200" s="27"/>
      <c r="R9200" s="15"/>
      <c r="X9200" s="3"/>
      <c r="Z9200" s="28"/>
    </row>
    <row r="9201" spans="2:26">
      <c r="B9201" s="2"/>
      <c r="N9201" s="27"/>
      <c r="R9201" s="15"/>
      <c r="X9201" s="3"/>
      <c r="Z9201" s="28"/>
    </row>
    <row r="9202" spans="2:26">
      <c r="B9202" s="2"/>
      <c r="N9202" s="27"/>
      <c r="R9202" s="15"/>
      <c r="X9202" s="3"/>
      <c r="Z9202" s="28"/>
    </row>
    <row r="9203" spans="2:26">
      <c r="B9203" s="2"/>
      <c r="N9203" s="27"/>
      <c r="R9203" s="15"/>
      <c r="X9203" s="3"/>
      <c r="Z9203" s="28"/>
    </row>
    <row r="9204" spans="2:26">
      <c r="B9204" s="2"/>
      <c r="N9204" s="27"/>
      <c r="R9204" s="15"/>
      <c r="X9204" s="3"/>
      <c r="Z9204" s="28"/>
    </row>
    <row r="9205" spans="2:26">
      <c r="B9205" s="2"/>
      <c r="N9205" s="27"/>
      <c r="R9205" s="15"/>
      <c r="X9205" s="3"/>
      <c r="Z9205" s="28"/>
    </row>
    <row r="9206" spans="2:26">
      <c r="B9206" s="2"/>
      <c r="N9206" s="27"/>
      <c r="R9206" s="15"/>
      <c r="X9206" s="3"/>
      <c r="Z9206" s="28"/>
    </row>
    <row r="9207" spans="2:26">
      <c r="B9207" s="2"/>
      <c r="N9207" s="27"/>
      <c r="R9207" s="15"/>
      <c r="X9207" s="3"/>
      <c r="Z9207" s="28"/>
    </row>
    <row r="9208" spans="2:26">
      <c r="B9208" s="2"/>
      <c r="N9208" s="27"/>
      <c r="R9208" s="15"/>
      <c r="X9208" s="3"/>
      <c r="Z9208" s="28"/>
    </row>
    <row r="9209" spans="2:26">
      <c r="B9209" s="2"/>
      <c r="N9209" s="27"/>
      <c r="R9209" s="15"/>
      <c r="X9209" s="3"/>
      <c r="Z9209" s="28"/>
    </row>
    <row r="9210" spans="2:26">
      <c r="B9210" s="2"/>
      <c r="N9210" s="27"/>
      <c r="R9210" s="15"/>
      <c r="X9210" s="3"/>
      <c r="Z9210" s="28"/>
    </row>
    <row r="9211" spans="2:26">
      <c r="B9211" s="2"/>
      <c r="N9211" s="27"/>
      <c r="R9211" s="15"/>
      <c r="X9211" s="3"/>
      <c r="Z9211" s="28"/>
    </row>
    <row r="9212" spans="2:26">
      <c r="B9212" s="2"/>
      <c r="N9212" s="27"/>
      <c r="R9212" s="15"/>
      <c r="X9212" s="3"/>
      <c r="Z9212" s="28"/>
    </row>
    <row r="9213" spans="2:26">
      <c r="B9213" s="2"/>
      <c r="N9213" s="27"/>
      <c r="R9213" s="15"/>
      <c r="X9213" s="3"/>
      <c r="Z9213" s="28"/>
    </row>
    <row r="9214" spans="2:26">
      <c r="B9214" s="2"/>
      <c r="N9214" s="27"/>
      <c r="R9214" s="15"/>
      <c r="X9214" s="3"/>
      <c r="Z9214" s="28"/>
    </row>
    <row r="9215" spans="2:26">
      <c r="B9215" s="2"/>
      <c r="N9215" s="27"/>
      <c r="R9215" s="15"/>
      <c r="X9215" s="3"/>
      <c r="Z9215" s="28"/>
    </row>
    <row r="9216" spans="2:26">
      <c r="B9216" s="2"/>
      <c r="N9216" s="27"/>
      <c r="R9216" s="15"/>
      <c r="X9216" s="3"/>
      <c r="Z9216" s="28"/>
    </row>
    <row r="9217" spans="2:26">
      <c r="B9217" s="2"/>
      <c r="N9217" s="27"/>
      <c r="R9217" s="15"/>
      <c r="X9217" s="3"/>
      <c r="Z9217" s="28"/>
    </row>
    <row r="9218" spans="2:26">
      <c r="B9218" s="2"/>
      <c r="N9218" s="27"/>
      <c r="R9218" s="15"/>
      <c r="X9218" s="3"/>
      <c r="Z9218" s="28"/>
    </row>
    <row r="9219" spans="2:26">
      <c r="B9219" s="2"/>
      <c r="N9219" s="27"/>
      <c r="R9219" s="15"/>
      <c r="X9219" s="3"/>
      <c r="Z9219" s="28"/>
    </row>
    <row r="9220" spans="2:26">
      <c r="B9220" s="2"/>
      <c r="N9220" s="27"/>
      <c r="R9220" s="15"/>
      <c r="X9220" s="3"/>
      <c r="Z9220" s="28"/>
    </row>
    <row r="9221" spans="2:26">
      <c r="B9221" s="2"/>
      <c r="N9221" s="27"/>
      <c r="R9221" s="15"/>
      <c r="X9221" s="3"/>
      <c r="Z9221" s="28"/>
    </row>
    <row r="9222" spans="2:26">
      <c r="B9222" s="2"/>
      <c r="N9222" s="27"/>
      <c r="R9222" s="15"/>
      <c r="X9222" s="3"/>
      <c r="Z9222" s="28"/>
    </row>
    <row r="9223" spans="2:26">
      <c r="B9223" s="2"/>
      <c r="N9223" s="27"/>
      <c r="R9223" s="15"/>
      <c r="X9223" s="3"/>
      <c r="Z9223" s="28"/>
    </row>
    <row r="9224" spans="2:26">
      <c r="B9224" s="2"/>
      <c r="N9224" s="27"/>
      <c r="R9224" s="15"/>
      <c r="X9224" s="3"/>
      <c r="Z9224" s="28"/>
    </row>
    <row r="9225" spans="2:26">
      <c r="B9225" s="2"/>
      <c r="N9225" s="27"/>
      <c r="R9225" s="15"/>
      <c r="X9225" s="3"/>
      <c r="Z9225" s="28"/>
    </row>
    <row r="9226" spans="2:26">
      <c r="B9226" s="2"/>
      <c r="N9226" s="27"/>
      <c r="R9226" s="15"/>
      <c r="X9226" s="3"/>
      <c r="Z9226" s="28"/>
    </row>
    <row r="9227" spans="2:26">
      <c r="B9227" s="2"/>
      <c r="N9227" s="27"/>
      <c r="R9227" s="15"/>
      <c r="X9227" s="3"/>
      <c r="Z9227" s="28"/>
    </row>
    <row r="9228" spans="2:26">
      <c r="B9228" s="2"/>
      <c r="N9228" s="27"/>
      <c r="R9228" s="15"/>
      <c r="X9228" s="3"/>
      <c r="Z9228" s="28"/>
    </row>
    <row r="9229" spans="2:26">
      <c r="B9229" s="2"/>
      <c r="N9229" s="27"/>
      <c r="R9229" s="15"/>
      <c r="X9229" s="3"/>
      <c r="Z9229" s="28"/>
    </row>
    <row r="9230" spans="2:26">
      <c r="B9230" s="2"/>
      <c r="N9230" s="27"/>
      <c r="R9230" s="15"/>
      <c r="X9230" s="3"/>
      <c r="Z9230" s="28"/>
    </row>
    <row r="9231" spans="2:26">
      <c r="B9231" s="2"/>
      <c r="N9231" s="27"/>
      <c r="R9231" s="15"/>
      <c r="X9231" s="3"/>
      <c r="Z9231" s="28"/>
    </row>
    <row r="9232" spans="2:26">
      <c r="B9232" s="2"/>
      <c r="N9232" s="27"/>
      <c r="R9232" s="15"/>
      <c r="X9232" s="3"/>
      <c r="Z9232" s="28"/>
    </row>
    <row r="9233" spans="2:26">
      <c r="B9233" s="2"/>
      <c r="N9233" s="27"/>
      <c r="R9233" s="15"/>
      <c r="X9233" s="3"/>
      <c r="Z9233" s="28"/>
    </row>
    <row r="9234" spans="2:26">
      <c r="B9234" s="2"/>
      <c r="N9234" s="27"/>
      <c r="R9234" s="15"/>
      <c r="X9234" s="3"/>
      <c r="Z9234" s="28"/>
    </row>
    <row r="9235" spans="2:26">
      <c r="B9235" s="2"/>
      <c r="N9235" s="27"/>
      <c r="R9235" s="15"/>
      <c r="X9235" s="3"/>
      <c r="Z9235" s="28"/>
    </row>
    <row r="9236" spans="2:26">
      <c r="B9236" s="2"/>
      <c r="N9236" s="27"/>
      <c r="R9236" s="15"/>
      <c r="X9236" s="3"/>
      <c r="Z9236" s="28"/>
    </row>
    <row r="9237" spans="2:26">
      <c r="B9237" s="2"/>
      <c r="N9237" s="27"/>
      <c r="R9237" s="15"/>
      <c r="X9237" s="3"/>
      <c r="Z9237" s="28"/>
    </row>
    <row r="9238" spans="2:26">
      <c r="B9238" s="2"/>
      <c r="N9238" s="27"/>
      <c r="R9238" s="15"/>
      <c r="X9238" s="3"/>
      <c r="Z9238" s="28"/>
    </row>
    <row r="9239" spans="2:26">
      <c r="B9239" s="2"/>
      <c r="N9239" s="27"/>
      <c r="R9239" s="15"/>
      <c r="X9239" s="3"/>
      <c r="Z9239" s="28"/>
    </row>
    <row r="9240" spans="2:26">
      <c r="B9240" s="2"/>
      <c r="N9240" s="27"/>
      <c r="R9240" s="15"/>
      <c r="X9240" s="3"/>
      <c r="Z9240" s="28"/>
    </row>
    <row r="9241" spans="2:26">
      <c r="B9241" s="2"/>
      <c r="N9241" s="27"/>
      <c r="R9241" s="15"/>
      <c r="X9241" s="3"/>
      <c r="Z9241" s="28"/>
    </row>
    <row r="9242" spans="2:26">
      <c r="B9242" s="2"/>
      <c r="N9242" s="27"/>
      <c r="R9242" s="15"/>
      <c r="X9242" s="3"/>
      <c r="Z9242" s="28"/>
    </row>
    <row r="9243" spans="2:26">
      <c r="B9243" s="2"/>
      <c r="N9243" s="27"/>
      <c r="R9243" s="15"/>
      <c r="X9243" s="3"/>
      <c r="Z9243" s="28"/>
    </row>
    <row r="9244" spans="2:26">
      <c r="B9244" s="2"/>
      <c r="N9244" s="27"/>
      <c r="R9244" s="15"/>
      <c r="X9244" s="3"/>
      <c r="Z9244" s="28"/>
    </row>
    <row r="9245" spans="2:26">
      <c r="B9245" s="2"/>
      <c r="N9245" s="27"/>
      <c r="R9245" s="15"/>
      <c r="X9245" s="3"/>
      <c r="Z9245" s="28"/>
    </row>
    <row r="9246" spans="2:26">
      <c r="B9246" s="2"/>
      <c r="N9246" s="27"/>
      <c r="R9246" s="15"/>
      <c r="X9246" s="3"/>
      <c r="Z9246" s="28"/>
    </row>
    <row r="9247" spans="2:26">
      <c r="B9247" s="2"/>
      <c r="N9247" s="27"/>
      <c r="R9247" s="15"/>
      <c r="X9247" s="3"/>
      <c r="Z9247" s="28"/>
    </row>
    <row r="9248" spans="2:26">
      <c r="B9248" s="2"/>
      <c r="N9248" s="27"/>
      <c r="R9248" s="15"/>
      <c r="X9248" s="3"/>
      <c r="Z9248" s="28"/>
    </row>
    <row r="9249" spans="2:26">
      <c r="B9249" s="2"/>
      <c r="N9249" s="27"/>
      <c r="R9249" s="15"/>
      <c r="X9249" s="3"/>
      <c r="Z9249" s="28"/>
    </row>
    <row r="9250" spans="2:26">
      <c r="B9250" s="2"/>
      <c r="N9250" s="27"/>
      <c r="R9250" s="15"/>
      <c r="X9250" s="3"/>
      <c r="Z9250" s="28"/>
    </row>
    <row r="9251" spans="2:26">
      <c r="B9251" s="2"/>
      <c r="N9251" s="27"/>
      <c r="R9251" s="15"/>
      <c r="X9251" s="3"/>
      <c r="Z9251" s="28"/>
    </row>
    <row r="9252" spans="2:26">
      <c r="B9252" s="2"/>
      <c r="N9252" s="27"/>
      <c r="R9252" s="15"/>
      <c r="X9252" s="3"/>
      <c r="Z9252" s="28"/>
    </row>
    <row r="9253" spans="2:26">
      <c r="B9253" s="2"/>
      <c r="N9253" s="27"/>
      <c r="R9253" s="15"/>
      <c r="X9253" s="3"/>
      <c r="Z9253" s="28"/>
    </row>
    <row r="9254" spans="2:26">
      <c r="B9254" s="2"/>
      <c r="N9254" s="27"/>
      <c r="R9254" s="15"/>
      <c r="X9254" s="3"/>
      <c r="Z9254" s="28"/>
    </row>
    <row r="9255" spans="2:26">
      <c r="B9255" s="2"/>
      <c r="N9255" s="27"/>
      <c r="R9255" s="15"/>
      <c r="X9255" s="3"/>
      <c r="Z9255" s="28"/>
    </row>
    <row r="9256" spans="2:26">
      <c r="B9256" s="2"/>
      <c r="N9256" s="27"/>
      <c r="R9256" s="15"/>
      <c r="X9256" s="3"/>
      <c r="Z9256" s="28"/>
    </row>
    <row r="9257" spans="2:26">
      <c r="B9257" s="2"/>
      <c r="N9257" s="27"/>
      <c r="R9257" s="15"/>
      <c r="X9257" s="3"/>
      <c r="Z9257" s="28"/>
    </row>
    <row r="9258" spans="2:26">
      <c r="B9258" s="2"/>
      <c r="N9258" s="27"/>
      <c r="R9258" s="15"/>
      <c r="X9258" s="3"/>
      <c r="Z9258" s="28"/>
    </row>
    <row r="9259" spans="2:26">
      <c r="B9259" s="2"/>
      <c r="N9259" s="27"/>
      <c r="R9259" s="15"/>
      <c r="X9259" s="3"/>
      <c r="Z9259" s="28"/>
    </row>
    <row r="9260" spans="2:26">
      <c r="B9260" s="2"/>
      <c r="N9260" s="27"/>
      <c r="R9260" s="15"/>
      <c r="X9260" s="3"/>
      <c r="Z9260" s="28"/>
    </row>
    <row r="9261" spans="2:26">
      <c r="B9261" s="2"/>
      <c r="N9261" s="27"/>
      <c r="R9261" s="15"/>
      <c r="X9261" s="3"/>
      <c r="Z9261" s="28"/>
    </row>
    <row r="9262" spans="2:26">
      <c r="B9262" s="2"/>
      <c r="N9262" s="27"/>
      <c r="R9262" s="15"/>
      <c r="X9262" s="3"/>
      <c r="Z9262" s="28"/>
    </row>
    <row r="9263" spans="2:26">
      <c r="B9263" s="2"/>
      <c r="N9263" s="27"/>
      <c r="R9263" s="15"/>
      <c r="X9263" s="3"/>
      <c r="Z9263" s="28"/>
    </row>
    <row r="9264" spans="2:26">
      <c r="B9264" s="2"/>
      <c r="N9264" s="27"/>
      <c r="R9264" s="15"/>
      <c r="X9264" s="3"/>
      <c r="Z9264" s="28"/>
    </row>
    <row r="9265" spans="2:26">
      <c r="B9265" s="2"/>
      <c r="N9265" s="27"/>
      <c r="R9265" s="15"/>
      <c r="X9265" s="3"/>
      <c r="Z9265" s="28"/>
    </row>
    <row r="9266" spans="2:26">
      <c r="B9266" s="2"/>
      <c r="N9266" s="27"/>
      <c r="R9266" s="15"/>
      <c r="X9266" s="3"/>
      <c r="Z9266" s="28"/>
    </row>
    <row r="9267" spans="2:26">
      <c r="B9267" s="2"/>
      <c r="N9267" s="27"/>
      <c r="R9267" s="15"/>
      <c r="X9267" s="3"/>
      <c r="Z9267" s="28"/>
    </row>
    <row r="9268" spans="2:26">
      <c r="B9268" s="2"/>
      <c r="N9268" s="27"/>
      <c r="R9268" s="15"/>
      <c r="X9268" s="3"/>
      <c r="Z9268" s="28"/>
    </row>
    <row r="9269" spans="2:26">
      <c r="B9269" s="2"/>
      <c r="N9269" s="27"/>
      <c r="R9269" s="15"/>
      <c r="X9269" s="3"/>
      <c r="Z9269" s="28"/>
    </row>
    <row r="9270" spans="2:26">
      <c r="B9270" s="2"/>
      <c r="N9270" s="27"/>
      <c r="R9270" s="15"/>
      <c r="X9270" s="3"/>
      <c r="Z9270" s="28"/>
    </row>
    <row r="9271" spans="2:26">
      <c r="B9271" s="2"/>
      <c r="N9271" s="27"/>
      <c r="R9271" s="15"/>
      <c r="X9271" s="3"/>
      <c r="Z9271" s="28"/>
    </row>
    <row r="9272" spans="2:26">
      <c r="B9272" s="2"/>
      <c r="N9272" s="27"/>
      <c r="R9272" s="15"/>
      <c r="X9272" s="3"/>
      <c r="Z9272" s="28"/>
    </row>
    <row r="9273" spans="2:26">
      <c r="B9273" s="2"/>
      <c r="N9273" s="27"/>
      <c r="R9273" s="15"/>
      <c r="X9273" s="3"/>
      <c r="Z9273" s="28"/>
    </row>
    <row r="9274" spans="2:26">
      <c r="B9274" s="2"/>
      <c r="N9274" s="27"/>
      <c r="R9274" s="15"/>
      <c r="X9274" s="3"/>
      <c r="Z9274" s="28"/>
    </row>
    <row r="9275" spans="2:26">
      <c r="B9275" s="2"/>
      <c r="N9275" s="27"/>
      <c r="R9275" s="15"/>
      <c r="X9275" s="3"/>
      <c r="Z9275" s="28"/>
    </row>
    <row r="9276" spans="2:26">
      <c r="B9276" s="2"/>
      <c r="N9276" s="27"/>
      <c r="R9276" s="15"/>
      <c r="X9276" s="3"/>
      <c r="Z9276" s="28"/>
    </row>
    <row r="9277" spans="2:26">
      <c r="B9277" s="2"/>
      <c r="N9277" s="27"/>
      <c r="R9277" s="15"/>
      <c r="X9277" s="3"/>
      <c r="Z9277" s="28"/>
    </row>
    <row r="9278" spans="2:26">
      <c r="B9278" s="2"/>
      <c r="N9278" s="27"/>
      <c r="R9278" s="15"/>
      <c r="X9278" s="3"/>
      <c r="Z9278" s="28"/>
    </row>
    <row r="9279" spans="2:26">
      <c r="B9279" s="2"/>
      <c r="N9279" s="27"/>
      <c r="R9279" s="15"/>
      <c r="X9279" s="3"/>
      <c r="Z9279" s="28"/>
    </row>
    <row r="9280" spans="2:26">
      <c r="B9280" s="2"/>
      <c r="N9280" s="27"/>
      <c r="R9280" s="15"/>
      <c r="X9280" s="3"/>
      <c r="Z9280" s="28"/>
    </row>
    <row r="9281" spans="2:26">
      <c r="B9281" s="2"/>
      <c r="N9281" s="27"/>
      <c r="R9281" s="15"/>
      <c r="X9281" s="3"/>
      <c r="Z9281" s="28"/>
    </row>
    <row r="9282" spans="2:26">
      <c r="B9282" s="2"/>
      <c r="N9282" s="27"/>
      <c r="R9282" s="15"/>
      <c r="X9282" s="3"/>
      <c r="Z9282" s="28"/>
    </row>
    <row r="9283" spans="2:26">
      <c r="B9283" s="2"/>
      <c r="N9283" s="27"/>
      <c r="R9283" s="15"/>
      <c r="X9283" s="3"/>
      <c r="Z9283" s="28"/>
    </row>
    <row r="9284" spans="2:26">
      <c r="B9284" s="2"/>
      <c r="N9284" s="27"/>
      <c r="R9284" s="15"/>
      <c r="X9284" s="3"/>
      <c r="Z9284" s="28"/>
    </row>
    <row r="9285" spans="2:26">
      <c r="B9285" s="2"/>
      <c r="N9285" s="27"/>
      <c r="R9285" s="15"/>
      <c r="X9285" s="3"/>
      <c r="Z9285" s="28"/>
    </row>
    <row r="9286" spans="2:26">
      <c r="B9286" s="2"/>
      <c r="N9286" s="27"/>
      <c r="R9286" s="15"/>
      <c r="X9286" s="3"/>
      <c r="Z9286" s="28"/>
    </row>
    <row r="9287" spans="2:26">
      <c r="B9287" s="2"/>
      <c r="N9287" s="27"/>
      <c r="R9287" s="15"/>
      <c r="X9287" s="3"/>
      <c r="Z9287" s="28"/>
    </row>
    <row r="9288" spans="2:26">
      <c r="B9288" s="2"/>
      <c r="N9288" s="27"/>
      <c r="R9288" s="15"/>
      <c r="X9288" s="3"/>
      <c r="Z9288" s="28"/>
    </row>
    <row r="9289" spans="2:26">
      <c r="B9289" s="2"/>
      <c r="N9289" s="27"/>
      <c r="R9289" s="15"/>
      <c r="X9289" s="3"/>
      <c r="Z9289" s="28"/>
    </row>
    <row r="9290" spans="2:26">
      <c r="B9290" s="2"/>
      <c r="N9290" s="27"/>
      <c r="R9290" s="15"/>
      <c r="X9290" s="3"/>
      <c r="Z9290" s="28"/>
    </row>
    <row r="9291" spans="2:26">
      <c r="B9291" s="2"/>
      <c r="N9291" s="27"/>
      <c r="R9291" s="15"/>
      <c r="X9291" s="3"/>
      <c r="Z9291" s="28"/>
    </row>
    <row r="9292" spans="2:26">
      <c r="B9292" s="2"/>
      <c r="N9292" s="27"/>
      <c r="R9292" s="15"/>
      <c r="X9292" s="3"/>
      <c r="Z9292" s="28"/>
    </row>
    <row r="9293" spans="2:26">
      <c r="B9293" s="2"/>
      <c r="N9293" s="27"/>
      <c r="R9293" s="15"/>
      <c r="X9293" s="3"/>
      <c r="Z9293" s="28"/>
    </row>
    <row r="9294" spans="2:26">
      <c r="B9294" s="2"/>
      <c r="N9294" s="27"/>
      <c r="R9294" s="15"/>
      <c r="X9294" s="3"/>
      <c r="Z9294" s="28"/>
    </row>
    <row r="9295" spans="2:26">
      <c r="B9295" s="2"/>
      <c r="N9295" s="27"/>
      <c r="R9295" s="15"/>
      <c r="X9295" s="3"/>
      <c r="Z9295" s="28"/>
    </row>
    <row r="9296" spans="2:26">
      <c r="B9296" s="2"/>
      <c r="N9296" s="27"/>
      <c r="R9296" s="15"/>
      <c r="X9296" s="3"/>
      <c r="Z9296" s="28"/>
    </row>
    <row r="9297" spans="2:26">
      <c r="B9297" s="2"/>
      <c r="N9297" s="27"/>
      <c r="R9297" s="15"/>
      <c r="X9297" s="3"/>
      <c r="Z9297" s="28"/>
    </row>
    <row r="9298" spans="2:26">
      <c r="B9298" s="2"/>
      <c r="N9298" s="27"/>
      <c r="R9298" s="15"/>
      <c r="X9298" s="3"/>
      <c r="Z9298" s="28"/>
    </row>
    <row r="9299" spans="2:26">
      <c r="B9299" s="2"/>
      <c r="N9299" s="27"/>
      <c r="R9299" s="15"/>
      <c r="X9299" s="3"/>
      <c r="Z9299" s="28"/>
    </row>
    <row r="9300" spans="2:26">
      <c r="B9300" s="2"/>
      <c r="N9300" s="27"/>
      <c r="R9300" s="15"/>
      <c r="X9300" s="3"/>
      <c r="Z9300" s="28"/>
    </row>
    <row r="9301" spans="2:26">
      <c r="B9301" s="2"/>
      <c r="N9301" s="27"/>
      <c r="R9301" s="15"/>
      <c r="X9301" s="3"/>
      <c r="Z9301" s="28"/>
    </row>
    <row r="9302" spans="2:26">
      <c r="B9302" s="2"/>
      <c r="N9302" s="27"/>
      <c r="R9302" s="15"/>
      <c r="X9302" s="3"/>
      <c r="Z9302" s="28"/>
    </row>
    <row r="9303" spans="2:26">
      <c r="B9303" s="2"/>
      <c r="N9303" s="27"/>
      <c r="R9303" s="15"/>
      <c r="X9303" s="3"/>
      <c r="Z9303" s="28"/>
    </row>
    <row r="9304" spans="2:26">
      <c r="B9304" s="2"/>
      <c r="N9304" s="27"/>
      <c r="R9304" s="15"/>
      <c r="X9304" s="3"/>
      <c r="Z9304" s="28"/>
    </row>
    <row r="9305" spans="2:26">
      <c r="B9305" s="2"/>
      <c r="N9305" s="27"/>
      <c r="R9305" s="15"/>
      <c r="X9305" s="3"/>
      <c r="Z9305" s="28"/>
    </row>
    <row r="9306" spans="2:26">
      <c r="B9306" s="2"/>
      <c r="N9306" s="27"/>
      <c r="R9306" s="15"/>
      <c r="X9306" s="3"/>
      <c r="Z9306" s="28"/>
    </row>
    <row r="9307" spans="2:26">
      <c r="B9307" s="2"/>
      <c r="N9307" s="27"/>
      <c r="R9307" s="15"/>
      <c r="X9307" s="3"/>
      <c r="Z9307" s="28"/>
    </row>
    <row r="9308" spans="2:26">
      <c r="B9308" s="2"/>
      <c r="N9308" s="27"/>
      <c r="R9308" s="15"/>
      <c r="X9308" s="3"/>
      <c r="Z9308" s="28"/>
    </row>
    <row r="9309" spans="2:26">
      <c r="B9309" s="2"/>
      <c r="N9309" s="27"/>
      <c r="R9309" s="15"/>
      <c r="X9309" s="3"/>
      <c r="Z9309" s="28"/>
    </row>
    <row r="9310" spans="2:26">
      <c r="B9310" s="2"/>
      <c r="N9310" s="27"/>
      <c r="R9310" s="15"/>
      <c r="X9310" s="3"/>
      <c r="Z9310" s="28"/>
    </row>
    <row r="9311" spans="2:26">
      <c r="B9311" s="2"/>
      <c r="N9311" s="27"/>
      <c r="R9311" s="15"/>
      <c r="X9311" s="3"/>
      <c r="Z9311" s="28"/>
    </row>
    <row r="9312" spans="2:26">
      <c r="B9312" s="2"/>
      <c r="N9312" s="27"/>
      <c r="R9312" s="15"/>
      <c r="X9312" s="3"/>
      <c r="Z9312" s="28"/>
    </row>
    <row r="9313" spans="2:26">
      <c r="B9313" s="2"/>
      <c r="N9313" s="27"/>
      <c r="R9313" s="15"/>
      <c r="X9313" s="3"/>
      <c r="Z9313" s="28"/>
    </row>
    <row r="9314" spans="2:26">
      <c r="B9314" s="2"/>
      <c r="N9314" s="27"/>
      <c r="R9314" s="15"/>
      <c r="X9314" s="3"/>
      <c r="Z9314" s="28"/>
    </row>
    <row r="9315" spans="2:26">
      <c r="B9315" s="2"/>
      <c r="N9315" s="27"/>
      <c r="R9315" s="15"/>
      <c r="X9315" s="3"/>
      <c r="Z9315" s="28"/>
    </row>
    <row r="9316" spans="2:26">
      <c r="B9316" s="2"/>
      <c r="N9316" s="27"/>
      <c r="R9316" s="15"/>
      <c r="X9316" s="3"/>
      <c r="Z9316" s="28"/>
    </row>
    <row r="9317" spans="2:26">
      <c r="B9317" s="2"/>
      <c r="N9317" s="27"/>
      <c r="R9317" s="15"/>
      <c r="X9317" s="3"/>
      <c r="Z9317" s="28"/>
    </row>
    <row r="9318" spans="2:26">
      <c r="B9318" s="2"/>
      <c r="N9318" s="27"/>
      <c r="R9318" s="15"/>
      <c r="X9318" s="3"/>
      <c r="Z9318" s="28"/>
    </row>
    <row r="9319" spans="2:26">
      <c r="B9319" s="2"/>
      <c r="N9319" s="27"/>
      <c r="R9319" s="15"/>
      <c r="X9319" s="3"/>
      <c r="Z9319" s="28"/>
    </row>
    <row r="9320" spans="2:26">
      <c r="B9320" s="2"/>
      <c r="N9320" s="27"/>
      <c r="R9320" s="15"/>
      <c r="X9320" s="3"/>
      <c r="Z9320" s="28"/>
    </row>
    <row r="9321" spans="2:26">
      <c r="B9321" s="2"/>
      <c r="N9321" s="27"/>
      <c r="R9321" s="15"/>
      <c r="X9321" s="3"/>
      <c r="Z9321" s="28"/>
    </row>
    <row r="9322" spans="2:26">
      <c r="B9322" s="2"/>
      <c r="N9322" s="27"/>
      <c r="R9322" s="15"/>
      <c r="X9322" s="3"/>
      <c r="Z9322" s="28"/>
    </row>
    <row r="9323" spans="2:26">
      <c r="B9323" s="2"/>
      <c r="N9323" s="27"/>
      <c r="R9323" s="15"/>
      <c r="X9323" s="3"/>
      <c r="Z9323" s="28"/>
    </row>
    <row r="9324" spans="2:26">
      <c r="B9324" s="2"/>
      <c r="N9324" s="27"/>
      <c r="R9324" s="15"/>
      <c r="X9324" s="3"/>
      <c r="Z9324" s="28"/>
    </row>
    <row r="9325" spans="2:26">
      <c r="B9325" s="2"/>
      <c r="N9325" s="27"/>
      <c r="R9325" s="15"/>
      <c r="X9325" s="3"/>
      <c r="Z9325" s="28"/>
    </row>
    <row r="9326" spans="2:26">
      <c r="B9326" s="2"/>
      <c r="N9326" s="27"/>
      <c r="R9326" s="15"/>
      <c r="X9326" s="3"/>
      <c r="Z9326" s="28"/>
    </row>
    <row r="9327" spans="2:26">
      <c r="B9327" s="2"/>
      <c r="N9327" s="27"/>
      <c r="R9327" s="15"/>
      <c r="X9327" s="3"/>
      <c r="Z9327" s="28"/>
    </row>
    <row r="9328" spans="2:26">
      <c r="B9328" s="2"/>
      <c r="N9328" s="27"/>
      <c r="R9328" s="15"/>
      <c r="X9328" s="3"/>
      <c r="Z9328" s="28"/>
    </row>
    <row r="9329" spans="2:26">
      <c r="B9329" s="2"/>
      <c r="N9329" s="27"/>
      <c r="R9329" s="15"/>
      <c r="X9329" s="3"/>
      <c r="Z9329" s="28"/>
    </row>
    <row r="9330" spans="2:26">
      <c r="B9330" s="2"/>
      <c r="N9330" s="27"/>
      <c r="R9330" s="15"/>
      <c r="X9330" s="3"/>
      <c r="Z9330" s="28"/>
    </row>
    <row r="9331" spans="2:26">
      <c r="B9331" s="2"/>
      <c r="N9331" s="27"/>
      <c r="R9331" s="15"/>
      <c r="X9331" s="3"/>
      <c r="Z9331" s="28"/>
    </row>
    <row r="9332" spans="2:26">
      <c r="B9332" s="2"/>
      <c r="N9332" s="27"/>
      <c r="R9332" s="15"/>
      <c r="X9332" s="3"/>
      <c r="Z9332" s="28"/>
    </row>
    <row r="9333" spans="2:26">
      <c r="B9333" s="2"/>
      <c r="N9333" s="27"/>
      <c r="R9333" s="15"/>
      <c r="X9333" s="3"/>
      <c r="Z9333" s="28"/>
    </row>
    <row r="9334" spans="2:26">
      <c r="B9334" s="2"/>
      <c r="N9334" s="27"/>
      <c r="R9334" s="15"/>
      <c r="X9334" s="3"/>
      <c r="Z9334" s="28"/>
    </row>
    <row r="9335" spans="2:26">
      <c r="B9335" s="2"/>
      <c r="N9335" s="27"/>
      <c r="R9335" s="15"/>
      <c r="X9335" s="3"/>
      <c r="Z9335" s="28"/>
    </row>
    <row r="9336" spans="2:26">
      <c r="B9336" s="2"/>
      <c r="N9336" s="27"/>
      <c r="R9336" s="15"/>
      <c r="X9336" s="3"/>
      <c r="Z9336" s="28"/>
    </row>
    <row r="9337" spans="2:26">
      <c r="B9337" s="2"/>
      <c r="N9337" s="27"/>
      <c r="R9337" s="15"/>
      <c r="X9337" s="3"/>
      <c r="Z9337" s="28"/>
    </row>
    <row r="9338" spans="2:26">
      <c r="B9338" s="2"/>
      <c r="N9338" s="27"/>
      <c r="R9338" s="15"/>
      <c r="X9338" s="3"/>
      <c r="Z9338" s="28"/>
    </row>
    <row r="9339" spans="2:26">
      <c r="B9339" s="2"/>
      <c r="N9339" s="27"/>
      <c r="R9339" s="15"/>
      <c r="X9339" s="3"/>
      <c r="Z9339" s="28"/>
    </row>
    <row r="9340" spans="2:26">
      <c r="B9340" s="2"/>
      <c r="N9340" s="27"/>
      <c r="R9340" s="15"/>
      <c r="X9340" s="3"/>
      <c r="Z9340" s="28"/>
    </row>
    <row r="9341" spans="2:26">
      <c r="B9341" s="2"/>
      <c r="N9341" s="27"/>
      <c r="R9341" s="15"/>
      <c r="X9341" s="3"/>
      <c r="Z9341" s="28"/>
    </row>
    <row r="9342" spans="2:26">
      <c r="B9342" s="2"/>
      <c r="N9342" s="27"/>
      <c r="R9342" s="15"/>
      <c r="X9342" s="3"/>
      <c r="Z9342" s="28"/>
    </row>
    <row r="9343" spans="2:26">
      <c r="B9343" s="2"/>
      <c r="N9343" s="27"/>
      <c r="R9343" s="15"/>
      <c r="X9343" s="3"/>
      <c r="Z9343" s="28"/>
    </row>
    <row r="9344" spans="2:26">
      <c r="B9344" s="2"/>
      <c r="N9344" s="27"/>
      <c r="R9344" s="15"/>
      <c r="X9344" s="3"/>
      <c r="Z9344" s="28"/>
    </row>
    <row r="9345" spans="2:26">
      <c r="B9345" s="2"/>
      <c r="N9345" s="27"/>
      <c r="R9345" s="15"/>
      <c r="X9345" s="3"/>
      <c r="Z9345" s="28"/>
    </row>
    <row r="9346" spans="2:26">
      <c r="B9346" s="2"/>
      <c r="N9346" s="27"/>
      <c r="R9346" s="15"/>
      <c r="X9346" s="3"/>
      <c r="Z9346" s="28"/>
    </row>
    <row r="9347" spans="2:26">
      <c r="B9347" s="2"/>
      <c r="N9347" s="27"/>
      <c r="R9347" s="15"/>
      <c r="X9347" s="3"/>
      <c r="Z9347" s="28"/>
    </row>
    <row r="9348" spans="2:26">
      <c r="B9348" s="2"/>
      <c r="N9348" s="27"/>
      <c r="R9348" s="15"/>
      <c r="X9348" s="3"/>
      <c r="Z9348" s="28"/>
    </row>
    <row r="9349" spans="2:26">
      <c r="B9349" s="2"/>
      <c r="N9349" s="27"/>
      <c r="R9349" s="15"/>
      <c r="X9349" s="3"/>
      <c r="Z9349" s="28"/>
    </row>
    <row r="9350" spans="2:26">
      <c r="B9350" s="2"/>
      <c r="N9350" s="27"/>
      <c r="R9350" s="15"/>
      <c r="X9350" s="3"/>
      <c r="Z9350" s="28"/>
    </row>
    <row r="9351" spans="2:26">
      <c r="B9351" s="2"/>
      <c r="N9351" s="27"/>
      <c r="R9351" s="15"/>
      <c r="X9351" s="3"/>
      <c r="Z9351" s="28"/>
    </row>
    <row r="9352" spans="2:26">
      <c r="B9352" s="2"/>
      <c r="N9352" s="27"/>
      <c r="R9352" s="15"/>
      <c r="X9352" s="3"/>
      <c r="Z9352" s="28"/>
    </row>
    <row r="9353" spans="2:26">
      <c r="B9353" s="2"/>
      <c r="N9353" s="27"/>
      <c r="R9353" s="15"/>
      <c r="X9353" s="3"/>
      <c r="Z9353" s="28"/>
    </row>
    <row r="9354" spans="2:26">
      <c r="B9354" s="2"/>
      <c r="N9354" s="27"/>
      <c r="R9354" s="15"/>
      <c r="X9354" s="3"/>
      <c r="Z9354" s="28"/>
    </row>
    <row r="9355" spans="2:26">
      <c r="B9355" s="2"/>
      <c r="N9355" s="27"/>
      <c r="R9355" s="15"/>
      <c r="X9355" s="3"/>
      <c r="Z9355" s="28"/>
    </row>
    <row r="9356" spans="2:26">
      <c r="B9356" s="2"/>
      <c r="N9356" s="27"/>
      <c r="R9356" s="15"/>
      <c r="X9356" s="3"/>
      <c r="Z9356" s="28"/>
    </row>
    <row r="9357" spans="2:26">
      <c r="B9357" s="2"/>
      <c r="N9357" s="27"/>
      <c r="R9357" s="15"/>
      <c r="X9357" s="3"/>
      <c r="Z9357" s="28"/>
    </row>
    <row r="9358" spans="2:26">
      <c r="B9358" s="2"/>
      <c r="N9358" s="27"/>
      <c r="R9358" s="15"/>
      <c r="X9358" s="3"/>
      <c r="Z9358" s="28"/>
    </row>
    <row r="9359" spans="2:26">
      <c r="B9359" s="2"/>
      <c r="N9359" s="27"/>
      <c r="R9359" s="15"/>
      <c r="X9359" s="3"/>
      <c r="Z9359" s="28"/>
    </row>
    <row r="9360" spans="2:26">
      <c r="B9360" s="2"/>
      <c r="N9360" s="27"/>
      <c r="R9360" s="15"/>
      <c r="X9360" s="3"/>
      <c r="Z9360" s="28"/>
    </row>
    <row r="9361" spans="2:26">
      <c r="B9361" s="2"/>
      <c r="N9361" s="27"/>
      <c r="R9361" s="15"/>
      <c r="X9361" s="3"/>
      <c r="Z9361" s="28"/>
    </row>
    <row r="9362" spans="2:26">
      <c r="B9362" s="2"/>
      <c r="N9362" s="27"/>
      <c r="R9362" s="15"/>
      <c r="X9362" s="3"/>
      <c r="Z9362" s="28"/>
    </row>
    <row r="9363" spans="2:26">
      <c r="B9363" s="2"/>
      <c r="N9363" s="27"/>
      <c r="R9363" s="15"/>
      <c r="X9363" s="3"/>
      <c r="Z9363" s="28"/>
    </row>
    <row r="9364" spans="2:26">
      <c r="B9364" s="2"/>
      <c r="N9364" s="27"/>
      <c r="R9364" s="15"/>
      <c r="X9364" s="3"/>
      <c r="Z9364" s="28"/>
    </row>
    <row r="9365" spans="2:26">
      <c r="B9365" s="2"/>
      <c r="N9365" s="27"/>
      <c r="R9365" s="15"/>
      <c r="X9365" s="3"/>
      <c r="Z9365" s="28"/>
    </row>
    <row r="9366" spans="2:26">
      <c r="B9366" s="2"/>
      <c r="N9366" s="27"/>
      <c r="R9366" s="15"/>
      <c r="X9366" s="3"/>
      <c r="Z9366" s="28"/>
    </row>
    <row r="9367" spans="2:26">
      <c r="B9367" s="2"/>
      <c r="N9367" s="27"/>
      <c r="R9367" s="15"/>
      <c r="X9367" s="3"/>
      <c r="Z9367" s="28"/>
    </row>
    <row r="9368" spans="2:26">
      <c r="B9368" s="2"/>
      <c r="N9368" s="27"/>
      <c r="R9368" s="15"/>
      <c r="X9368" s="3"/>
      <c r="Z9368" s="28"/>
    </row>
    <row r="9369" spans="2:26">
      <c r="B9369" s="2"/>
      <c r="N9369" s="27"/>
      <c r="R9369" s="15"/>
      <c r="X9369" s="3"/>
      <c r="Z9369" s="28"/>
    </row>
    <row r="9370" spans="2:26">
      <c r="B9370" s="2"/>
      <c r="N9370" s="27"/>
      <c r="R9370" s="15"/>
      <c r="X9370" s="3"/>
      <c r="Z9370" s="28"/>
    </row>
    <row r="9371" spans="2:26">
      <c r="B9371" s="2"/>
      <c r="N9371" s="27"/>
      <c r="R9371" s="15"/>
      <c r="X9371" s="3"/>
      <c r="Z9371" s="28"/>
    </row>
    <row r="9372" spans="2:26">
      <c r="B9372" s="2"/>
      <c r="N9372" s="27"/>
      <c r="R9372" s="15"/>
      <c r="X9372" s="3"/>
      <c r="Z9372" s="28"/>
    </row>
    <row r="9373" spans="2:26">
      <c r="B9373" s="2"/>
      <c r="N9373" s="27"/>
      <c r="R9373" s="15"/>
      <c r="X9373" s="3"/>
      <c r="Z9373" s="28"/>
    </row>
    <row r="9374" spans="2:26">
      <c r="B9374" s="2"/>
      <c r="N9374" s="27"/>
      <c r="R9374" s="15"/>
      <c r="X9374" s="3"/>
      <c r="Z9374" s="28"/>
    </row>
    <row r="9375" spans="2:26">
      <c r="B9375" s="2"/>
      <c r="N9375" s="27"/>
      <c r="R9375" s="15"/>
      <c r="X9375" s="3"/>
      <c r="Z9375" s="28"/>
    </row>
    <row r="9376" spans="2:26">
      <c r="B9376" s="2"/>
      <c r="N9376" s="27"/>
      <c r="R9376" s="15"/>
      <c r="X9376" s="3"/>
      <c r="Z9376" s="28"/>
    </row>
    <row r="9377" spans="2:26">
      <c r="B9377" s="2"/>
      <c r="N9377" s="27"/>
      <c r="R9377" s="15"/>
      <c r="X9377" s="3"/>
      <c r="Z9377" s="28"/>
    </row>
    <row r="9378" spans="2:26">
      <c r="B9378" s="2"/>
      <c r="N9378" s="27"/>
      <c r="R9378" s="15"/>
      <c r="X9378" s="3"/>
      <c r="Z9378" s="28"/>
    </row>
    <row r="9379" spans="2:26">
      <c r="B9379" s="2"/>
      <c r="N9379" s="27"/>
      <c r="R9379" s="15"/>
      <c r="X9379" s="3"/>
      <c r="Z9379" s="28"/>
    </row>
    <row r="9380" spans="2:26">
      <c r="B9380" s="2"/>
      <c r="N9380" s="27"/>
      <c r="R9380" s="15"/>
      <c r="X9380" s="3"/>
      <c r="Z9380" s="28"/>
    </row>
    <row r="9381" spans="2:26">
      <c r="B9381" s="2"/>
      <c r="N9381" s="27"/>
      <c r="R9381" s="15"/>
      <c r="X9381" s="3"/>
      <c r="Z9381" s="28"/>
    </row>
    <row r="9382" spans="2:26">
      <c r="B9382" s="2"/>
      <c r="N9382" s="27"/>
      <c r="R9382" s="15"/>
      <c r="X9382" s="3"/>
      <c r="Z9382" s="28"/>
    </row>
    <row r="9383" spans="2:26">
      <c r="B9383" s="2"/>
      <c r="N9383" s="27"/>
      <c r="R9383" s="15"/>
      <c r="X9383" s="3"/>
      <c r="Z9383" s="28"/>
    </row>
    <row r="9384" spans="2:26">
      <c r="B9384" s="2"/>
      <c r="N9384" s="27"/>
      <c r="R9384" s="15"/>
      <c r="X9384" s="3"/>
      <c r="Z9384" s="28"/>
    </row>
    <row r="9385" spans="2:26">
      <c r="B9385" s="2"/>
      <c r="N9385" s="27"/>
      <c r="R9385" s="15"/>
      <c r="X9385" s="3"/>
      <c r="Z9385" s="28"/>
    </row>
    <row r="9386" spans="2:26">
      <c r="B9386" s="2"/>
      <c r="N9386" s="27"/>
      <c r="R9386" s="15"/>
      <c r="X9386" s="3"/>
      <c r="Z9386" s="28"/>
    </row>
    <row r="9387" spans="2:26">
      <c r="B9387" s="2"/>
      <c r="N9387" s="27"/>
      <c r="R9387" s="15"/>
      <c r="X9387" s="3"/>
      <c r="Z9387" s="28"/>
    </row>
    <row r="9388" spans="2:26">
      <c r="B9388" s="2"/>
      <c r="N9388" s="27"/>
      <c r="R9388" s="15"/>
      <c r="X9388" s="3"/>
      <c r="Z9388" s="28"/>
    </row>
    <row r="9389" spans="2:26">
      <c r="B9389" s="2"/>
      <c r="N9389" s="27"/>
      <c r="R9389" s="15"/>
      <c r="X9389" s="3"/>
      <c r="Z9389" s="28"/>
    </row>
    <row r="9390" spans="2:26">
      <c r="B9390" s="2"/>
      <c r="N9390" s="27"/>
      <c r="R9390" s="15"/>
      <c r="X9390" s="3"/>
      <c r="Z9390" s="28"/>
    </row>
    <row r="9391" spans="2:26">
      <c r="B9391" s="2"/>
      <c r="N9391" s="27"/>
      <c r="R9391" s="15"/>
      <c r="X9391" s="3"/>
      <c r="Z9391" s="28"/>
    </row>
    <row r="9392" spans="2:26">
      <c r="B9392" s="2"/>
      <c r="N9392" s="27"/>
      <c r="R9392" s="15"/>
      <c r="X9392" s="3"/>
      <c r="Z9392" s="28"/>
    </row>
    <row r="9393" spans="2:26">
      <c r="B9393" s="2"/>
      <c r="N9393" s="27"/>
      <c r="R9393" s="15"/>
      <c r="X9393" s="3"/>
      <c r="Z9393" s="28"/>
    </row>
    <row r="9394" spans="2:26">
      <c r="B9394" s="2"/>
      <c r="N9394" s="27"/>
      <c r="R9394" s="15"/>
      <c r="X9394" s="3"/>
      <c r="Z9394" s="28"/>
    </row>
    <row r="9395" spans="2:26">
      <c r="B9395" s="2"/>
      <c r="N9395" s="27"/>
      <c r="R9395" s="15"/>
      <c r="X9395" s="3"/>
      <c r="Z9395" s="28"/>
    </row>
    <row r="9396" spans="2:26">
      <c r="B9396" s="2"/>
      <c r="N9396" s="27"/>
      <c r="R9396" s="15"/>
      <c r="X9396" s="3"/>
      <c r="Z9396" s="28"/>
    </row>
    <row r="9397" spans="2:26">
      <c r="B9397" s="2"/>
      <c r="N9397" s="27"/>
      <c r="R9397" s="15"/>
      <c r="X9397" s="3"/>
      <c r="Z9397" s="28"/>
    </row>
    <row r="9398" spans="2:26">
      <c r="B9398" s="2"/>
      <c r="N9398" s="27"/>
      <c r="R9398" s="15"/>
      <c r="X9398" s="3"/>
      <c r="Z9398" s="28"/>
    </row>
    <row r="9399" spans="2:26">
      <c r="B9399" s="2"/>
      <c r="N9399" s="27"/>
      <c r="R9399" s="15"/>
      <c r="X9399" s="3"/>
      <c r="Z9399" s="28"/>
    </row>
    <row r="9400" spans="2:26">
      <c r="B9400" s="2"/>
      <c r="N9400" s="27"/>
      <c r="R9400" s="15"/>
      <c r="X9400" s="3"/>
      <c r="Z9400" s="28"/>
    </row>
    <row r="9401" spans="2:26">
      <c r="B9401" s="2"/>
      <c r="N9401" s="27"/>
      <c r="R9401" s="15"/>
      <c r="X9401" s="3"/>
      <c r="Z9401" s="28"/>
    </row>
    <row r="9402" spans="2:26">
      <c r="B9402" s="2"/>
      <c r="N9402" s="27"/>
      <c r="R9402" s="15"/>
      <c r="X9402" s="3"/>
      <c r="Z9402" s="28"/>
    </row>
    <row r="9403" spans="2:26">
      <c r="B9403" s="2"/>
      <c r="N9403" s="27"/>
      <c r="R9403" s="15"/>
      <c r="X9403" s="3"/>
      <c r="Z9403" s="28"/>
    </row>
    <row r="9404" spans="2:26">
      <c r="B9404" s="2"/>
      <c r="N9404" s="27"/>
      <c r="R9404" s="15"/>
      <c r="X9404" s="3"/>
      <c r="Z9404" s="28"/>
    </row>
    <row r="9405" spans="2:26">
      <c r="B9405" s="2"/>
      <c r="N9405" s="27"/>
      <c r="R9405" s="15"/>
      <c r="X9405" s="3"/>
      <c r="Z9405" s="28"/>
    </row>
    <row r="9406" spans="2:26">
      <c r="B9406" s="2"/>
      <c r="N9406" s="27"/>
      <c r="R9406" s="15"/>
      <c r="X9406" s="3"/>
      <c r="Z9406" s="28"/>
    </row>
    <row r="9407" spans="2:26">
      <c r="B9407" s="2"/>
      <c r="N9407" s="27"/>
      <c r="R9407" s="15"/>
      <c r="X9407" s="3"/>
      <c r="Z9407" s="28"/>
    </row>
    <row r="9408" spans="2:26">
      <c r="B9408" s="2"/>
      <c r="N9408" s="27"/>
      <c r="R9408" s="15"/>
      <c r="X9408" s="3"/>
      <c r="Z9408" s="28"/>
    </row>
    <row r="9409" spans="2:26">
      <c r="B9409" s="2"/>
      <c r="N9409" s="27"/>
      <c r="R9409" s="15"/>
      <c r="X9409" s="3"/>
      <c r="Z9409" s="28"/>
    </row>
    <row r="9410" spans="2:26">
      <c r="B9410" s="2"/>
      <c r="N9410" s="27"/>
      <c r="R9410" s="15"/>
      <c r="X9410" s="3"/>
      <c r="Z9410" s="28"/>
    </row>
    <row r="9411" spans="2:26">
      <c r="B9411" s="2"/>
      <c r="N9411" s="27"/>
      <c r="R9411" s="15"/>
      <c r="X9411" s="3"/>
      <c r="Z9411" s="28"/>
    </row>
    <row r="9412" spans="2:26">
      <c r="B9412" s="2"/>
      <c r="N9412" s="27"/>
      <c r="R9412" s="15"/>
      <c r="X9412" s="3"/>
      <c r="Z9412" s="28"/>
    </row>
    <row r="9413" spans="2:26">
      <c r="B9413" s="2"/>
      <c r="N9413" s="27"/>
      <c r="R9413" s="15"/>
      <c r="X9413" s="3"/>
      <c r="Z9413" s="28"/>
    </row>
    <row r="9414" spans="2:26">
      <c r="B9414" s="2"/>
      <c r="N9414" s="27"/>
      <c r="R9414" s="15"/>
      <c r="X9414" s="3"/>
      <c r="Z9414" s="28"/>
    </row>
    <row r="9415" spans="2:26">
      <c r="B9415" s="2"/>
      <c r="N9415" s="27"/>
      <c r="R9415" s="15"/>
      <c r="X9415" s="3"/>
      <c r="Z9415" s="28"/>
    </row>
    <row r="9416" spans="2:26">
      <c r="B9416" s="2"/>
      <c r="N9416" s="27"/>
      <c r="R9416" s="15"/>
      <c r="X9416" s="3"/>
      <c r="Z9416" s="28"/>
    </row>
    <row r="9417" spans="2:26">
      <c r="B9417" s="2"/>
      <c r="N9417" s="27"/>
      <c r="R9417" s="15"/>
      <c r="X9417" s="3"/>
      <c r="Z9417" s="28"/>
    </row>
    <row r="9418" spans="2:26">
      <c r="B9418" s="2"/>
      <c r="N9418" s="27"/>
      <c r="R9418" s="15"/>
      <c r="X9418" s="3"/>
      <c r="Z9418" s="28"/>
    </row>
    <row r="9419" spans="2:26">
      <c r="B9419" s="2"/>
      <c r="N9419" s="27"/>
      <c r="R9419" s="15"/>
      <c r="X9419" s="3"/>
      <c r="Z9419" s="28"/>
    </row>
    <row r="9420" spans="2:26">
      <c r="B9420" s="2"/>
      <c r="N9420" s="27"/>
      <c r="R9420" s="15"/>
      <c r="X9420" s="3"/>
      <c r="Z9420" s="28"/>
    </row>
    <row r="9421" spans="2:26">
      <c r="B9421" s="2"/>
      <c r="N9421" s="27"/>
      <c r="R9421" s="15"/>
      <c r="X9421" s="3"/>
      <c r="Z9421" s="28"/>
    </row>
    <row r="9422" spans="2:26">
      <c r="B9422" s="2"/>
      <c r="N9422" s="27"/>
      <c r="R9422" s="15"/>
      <c r="X9422" s="3"/>
      <c r="Z9422" s="28"/>
    </row>
    <row r="9423" spans="2:26">
      <c r="B9423" s="2"/>
      <c r="N9423" s="27"/>
      <c r="R9423" s="15"/>
      <c r="X9423" s="3"/>
      <c r="Z9423" s="28"/>
    </row>
    <row r="9424" spans="2:26">
      <c r="B9424" s="2"/>
      <c r="N9424" s="27"/>
      <c r="R9424" s="15"/>
      <c r="X9424" s="3"/>
      <c r="Z9424" s="28"/>
    </row>
    <row r="9425" spans="2:26">
      <c r="B9425" s="2"/>
      <c r="N9425" s="27"/>
      <c r="R9425" s="15"/>
      <c r="X9425" s="3"/>
      <c r="Z9425" s="28"/>
    </row>
    <row r="9426" spans="2:26">
      <c r="B9426" s="2"/>
      <c r="N9426" s="27"/>
      <c r="R9426" s="15"/>
      <c r="X9426" s="3"/>
      <c r="Z9426" s="28"/>
    </row>
    <row r="9427" spans="2:26">
      <c r="B9427" s="2"/>
      <c r="N9427" s="27"/>
      <c r="R9427" s="15"/>
      <c r="X9427" s="3"/>
      <c r="Z9427" s="28"/>
    </row>
    <row r="9428" spans="2:26">
      <c r="B9428" s="2"/>
      <c r="N9428" s="27"/>
      <c r="R9428" s="15"/>
      <c r="X9428" s="3"/>
      <c r="Z9428" s="28"/>
    </row>
    <row r="9429" spans="2:26">
      <c r="B9429" s="2"/>
      <c r="N9429" s="27"/>
      <c r="R9429" s="15"/>
      <c r="X9429" s="3"/>
      <c r="Z9429" s="28"/>
    </row>
    <row r="9430" spans="2:26">
      <c r="B9430" s="2"/>
      <c r="N9430" s="27"/>
      <c r="R9430" s="15"/>
      <c r="X9430" s="3"/>
      <c r="Z9430" s="28"/>
    </row>
    <row r="9431" spans="2:26">
      <c r="B9431" s="2"/>
      <c r="N9431" s="27"/>
      <c r="R9431" s="15"/>
      <c r="X9431" s="3"/>
      <c r="Z9431" s="28"/>
    </row>
    <row r="9432" spans="2:26">
      <c r="B9432" s="2"/>
      <c r="N9432" s="27"/>
      <c r="R9432" s="15"/>
      <c r="X9432" s="3"/>
      <c r="Z9432" s="28"/>
    </row>
    <row r="9433" spans="2:26">
      <c r="B9433" s="2"/>
      <c r="N9433" s="27"/>
      <c r="R9433" s="15"/>
      <c r="X9433" s="3"/>
      <c r="Z9433" s="28"/>
    </row>
    <row r="9434" spans="2:26">
      <c r="B9434" s="2"/>
      <c r="N9434" s="27"/>
      <c r="R9434" s="15"/>
      <c r="X9434" s="3"/>
      <c r="Z9434" s="28"/>
    </row>
    <row r="9435" spans="2:26">
      <c r="B9435" s="2"/>
      <c r="N9435" s="27"/>
      <c r="R9435" s="15"/>
      <c r="X9435" s="3"/>
      <c r="Z9435" s="28"/>
    </row>
    <row r="9436" spans="2:26">
      <c r="B9436" s="2"/>
      <c r="N9436" s="27"/>
      <c r="R9436" s="15"/>
      <c r="X9436" s="3"/>
      <c r="Z9436" s="28"/>
    </row>
    <row r="9437" spans="2:26">
      <c r="B9437" s="2"/>
      <c r="N9437" s="27"/>
      <c r="R9437" s="15"/>
      <c r="X9437" s="3"/>
      <c r="Z9437" s="28"/>
    </row>
    <row r="9438" spans="2:26">
      <c r="B9438" s="2"/>
      <c r="N9438" s="27"/>
      <c r="R9438" s="15"/>
      <c r="X9438" s="3"/>
      <c r="Z9438" s="28"/>
    </row>
    <row r="9439" spans="2:26">
      <c r="B9439" s="2"/>
      <c r="N9439" s="27"/>
      <c r="R9439" s="15"/>
      <c r="X9439" s="3"/>
      <c r="Z9439" s="28"/>
    </row>
    <row r="9440" spans="2:26">
      <c r="B9440" s="2"/>
      <c r="N9440" s="27"/>
      <c r="R9440" s="15"/>
      <c r="X9440" s="3"/>
      <c r="Z9440" s="28"/>
    </row>
    <row r="9441" spans="2:26">
      <c r="B9441" s="2"/>
      <c r="N9441" s="27"/>
      <c r="R9441" s="15"/>
      <c r="X9441" s="3"/>
      <c r="Z9441" s="28"/>
    </row>
    <row r="9442" spans="2:26">
      <c r="B9442" s="2"/>
      <c r="N9442" s="27"/>
      <c r="R9442" s="15"/>
      <c r="X9442" s="3"/>
      <c r="Z9442" s="28"/>
    </row>
    <row r="9443" spans="2:26">
      <c r="B9443" s="2"/>
      <c r="N9443" s="27"/>
      <c r="R9443" s="15"/>
      <c r="X9443" s="3"/>
      <c r="Z9443" s="28"/>
    </row>
    <row r="9444" spans="2:26">
      <c r="B9444" s="2"/>
      <c r="N9444" s="27"/>
      <c r="R9444" s="15"/>
      <c r="X9444" s="3"/>
      <c r="Z9444" s="28"/>
    </row>
    <row r="9445" spans="2:26">
      <c r="B9445" s="2"/>
      <c r="N9445" s="27"/>
      <c r="R9445" s="15"/>
      <c r="X9445" s="3"/>
      <c r="Z9445" s="28"/>
    </row>
    <row r="9446" spans="2:26">
      <c r="B9446" s="2"/>
      <c r="N9446" s="27"/>
      <c r="R9446" s="15"/>
      <c r="X9446" s="3"/>
      <c r="Z9446" s="28"/>
    </row>
    <row r="9447" spans="2:26">
      <c r="B9447" s="2"/>
      <c r="N9447" s="27"/>
      <c r="R9447" s="15"/>
      <c r="X9447" s="3"/>
      <c r="Z9447" s="28"/>
    </row>
    <row r="9448" spans="2:26">
      <c r="B9448" s="2"/>
      <c r="N9448" s="27"/>
      <c r="R9448" s="15"/>
      <c r="X9448" s="3"/>
      <c r="Z9448" s="28"/>
    </row>
    <row r="9449" spans="2:26">
      <c r="B9449" s="2"/>
      <c r="N9449" s="27"/>
      <c r="R9449" s="15"/>
      <c r="X9449" s="3"/>
      <c r="Z9449" s="28"/>
    </row>
    <row r="9450" spans="2:26">
      <c r="B9450" s="2"/>
      <c r="N9450" s="27"/>
      <c r="R9450" s="15"/>
      <c r="X9450" s="3"/>
      <c r="Z9450" s="28"/>
    </row>
    <row r="9451" spans="2:26">
      <c r="B9451" s="2"/>
      <c r="N9451" s="27"/>
      <c r="R9451" s="15"/>
      <c r="X9451" s="3"/>
      <c r="Z9451" s="28"/>
    </row>
    <row r="9452" spans="2:26">
      <c r="B9452" s="2"/>
      <c r="N9452" s="27"/>
      <c r="R9452" s="15"/>
      <c r="X9452" s="3"/>
      <c r="Z9452" s="28"/>
    </row>
    <row r="9453" spans="2:26">
      <c r="B9453" s="2"/>
      <c r="N9453" s="27"/>
      <c r="R9453" s="15"/>
      <c r="X9453" s="3"/>
      <c r="Z9453" s="28"/>
    </row>
    <row r="9454" spans="2:26">
      <c r="B9454" s="2"/>
      <c r="N9454" s="27"/>
      <c r="R9454" s="15"/>
      <c r="X9454" s="3"/>
      <c r="Z9454" s="28"/>
    </row>
    <row r="9455" spans="2:26">
      <c r="B9455" s="2"/>
      <c r="N9455" s="27"/>
      <c r="R9455" s="15"/>
      <c r="X9455" s="3"/>
      <c r="Z9455" s="28"/>
    </row>
    <row r="9456" spans="2:26">
      <c r="B9456" s="2"/>
      <c r="N9456" s="27"/>
      <c r="R9456" s="15"/>
      <c r="X9456" s="3"/>
      <c r="Z9456" s="28"/>
    </row>
    <row r="9457" spans="2:26">
      <c r="B9457" s="2"/>
      <c r="N9457" s="27"/>
      <c r="R9457" s="15"/>
      <c r="X9457" s="3"/>
      <c r="Z9457" s="28"/>
    </row>
    <row r="9458" spans="2:26">
      <c r="B9458" s="2"/>
      <c r="N9458" s="27"/>
      <c r="R9458" s="15"/>
      <c r="X9458" s="3"/>
      <c r="Z9458" s="28"/>
    </row>
    <row r="9459" spans="2:26">
      <c r="B9459" s="2"/>
      <c r="N9459" s="27"/>
      <c r="R9459" s="15"/>
      <c r="X9459" s="3"/>
      <c r="Z9459" s="28"/>
    </row>
    <row r="9460" spans="2:26">
      <c r="B9460" s="2"/>
      <c r="N9460" s="27"/>
      <c r="R9460" s="15"/>
      <c r="X9460" s="3"/>
      <c r="Z9460" s="28"/>
    </row>
    <row r="9461" spans="2:26">
      <c r="B9461" s="2"/>
      <c r="N9461" s="27"/>
      <c r="R9461" s="15"/>
      <c r="X9461" s="3"/>
      <c r="Z9461" s="28"/>
    </row>
    <row r="9462" spans="2:26">
      <c r="B9462" s="2"/>
      <c r="N9462" s="27"/>
      <c r="R9462" s="15"/>
      <c r="X9462" s="3"/>
      <c r="Z9462" s="28"/>
    </row>
    <row r="9463" spans="2:26">
      <c r="B9463" s="2"/>
      <c r="N9463" s="27"/>
      <c r="R9463" s="15"/>
      <c r="X9463" s="3"/>
      <c r="Z9463" s="28"/>
    </row>
    <row r="9464" spans="2:26">
      <c r="B9464" s="2"/>
      <c r="N9464" s="27"/>
      <c r="R9464" s="15"/>
      <c r="X9464" s="3"/>
      <c r="Z9464" s="28"/>
    </row>
    <row r="9465" spans="2:26">
      <c r="B9465" s="2"/>
      <c r="N9465" s="27"/>
      <c r="R9465" s="15"/>
      <c r="X9465" s="3"/>
      <c r="Z9465" s="28"/>
    </row>
    <row r="9466" spans="2:26">
      <c r="B9466" s="2"/>
      <c r="N9466" s="27"/>
      <c r="R9466" s="15"/>
      <c r="X9466" s="3"/>
      <c r="Z9466" s="28"/>
    </row>
    <row r="9467" spans="2:26">
      <c r="B9467" s="2"/>
      <c r="N9467" s="27"/>
      <c r="R9467" s="15"/>
      <c r="X9467" s="3"/>
      <c r="Z9467" s="28"/>
    </row>
    <row r="9468" spans="2:26">
      <c r="B9468" s="2"/>
      <c r="N9468" s="27"/>
      <c r="R9468" s="15"/>
      <c r="X9468" s="3"/>
      <c r="Z9468" s="28"/>
    </row>
    <row r="9469" spans="2:26">
      <c r="B9469" s="2"/>
      <c r="N9469" s="27"/>
      <c r="R9469" s="15"/>
      <c r="X9469" s="3"/>
      <c r="Z9469" s="28"/>
    </row>
    <row r="9470" spans="2:26">
      <c r="B9470" s="2"/>
      <c r="N9470" s="27"/>
      <c r="R9470" s="15"/>
      <c r="X9470" s="3"/>
      <c r="Z9470" s="28"/>
    </row>
    <row r="9471" spans="2:26">
      <c r="B9471" s="2"/>
      <c r="N9471" s="27"/>
      <c r="R9471" s="15"/>
      <c r="X9471" s="3"/>
      <c r="Z9471" s="28"/>
    </row>
    <row r="9472" spans="2:26">
      <c r="B9472" s="2"/>
      <c r="N9472" s="27"/>
      <c r="R9472" s="15"/>
      <c r="X9472" s="3"/>
      <c r="Z9472" s="28"/>
    </row>
    <row r="9473" spans="2:26">
      <c r="B9473" s="2"/>
      <c r="N9473" s="27"/>
      <c r="R9473" s="15"/>
      <c r="X9473" s="3"/>
      <c r="Z9473" s="28"/>
    </row>
    <row r="9474" spans="2:26">
      <c r="B9474" s="2"/>
      <c r="N9474" s="27"/>
      <c r="R9474" s="15"/>
      <c r="X9474" s="3"/>
      <c r="Z9474" s="28"/>
    </row>
    <row r="9475" spans="2:26">
      <c r="B9475" s="2"/>
      <c r="N9475" s="27"/>
      <c r="R9475" s="15"/>
      <c r="X9475" s="3"/>
      <c r="Z9475" s="28"/>
    </row>
    <row r="9476" spans="2:26">
      <c r="B9476" s="2"/>
      <c r="N9476" s="27"/>
      <c r="R9476" s="15"/>
      <c r="X9476" s="3"/>
      <c r="Z9476" s="28"/>
    </row>
    <row r="9477" spans="2:26">
      <c r="B9477" s="2"/>
      <c r="N9477" s="27"/>
      <c r="R9477" s="15"/>
      <c r="X9477" s="3"/>
      <c r="Z9477" s="28"/>
    </row>
    <row r="9478" spans="2:26">
      <c r="B9478" s="2"/>
      <c r="N9478" s="27"/>
      <c r="R9478" s="15"/>
      <c r="X9478" s="3"/>
      <c r="Z9478" s="28"/>
    </row>
    <row r="9479" spans="2:26">
      <c r="B9479" s="2"/>
      <c r="N9479" s="27"/>
      <c r="R9479" s="15"/>
      <c r="X9479" s="3"/>
      <c r="Z9479" s="28"/>
    </row>
    <row r="9480" spans="2:26">
      <c r="B9480" s="2"/>
      <c r="N9480" s="27"/>
      <c r="R9480" s="15"/>
      <c r="X9480" s="3"/>
      <c r="Z9480" s="28"/>
    </row>
    <row r="9481" spans="2:26">
      <c r="B9481" s="2"/>
      <c r="N9481" s="27"/>
      <c r="R9481" s="15"/>
      <c r="X9481" s="3"/>
      <c r="Z9481" s="28"/>
    </row>
    <row r="9482" spans="2:26">
      <c r="B9482" s="2"/>
      <c r="N9482" s="27"/>
      <c r="R9482" s="15"/>
      <c r="X9482" s="3"/>
      <c r="Z9482" s="28"/>
    </row>
    <row r="9483" spans="2:26">
      <c r="B9483" s="2"/>
      <c r="N9483" s="27"/>
      <c r="R9483" s="15"/>
      <c r="X9483" s="3"/>
      <c r="Z9483" s="28"/>
    </row>
    <row r="9484" spans="2:26">
      <c r="B9484" s="2"/>
      <c r="N9484" s="27"/>
      <c r="R9484" s="15"/>
      <c r="X9484" s="3"/>
      <c r="Z9484" s="28"/>
    </row>
    <row r="9485" spans="2:26">
      <c r="B9485" s="2"/>
      <c r="N9485" s="27"/>
      <c r="R9485" s="15"/>
      <c r="X9485" s="3"/>
      <c r="Z9485" s="28"/>
    </row>
    <row r="9486" spans="2:26">
      <c r="B9486" s="2"/>
      <c r="N9486" s="27"/>
      <c r="R9486" s="15"/>
      <c r="X9486" s="3"/>
      <c r="Z9486" s="28"/>
    </row>
    <row r="9487" spans="2:26">
      <c r="B9487" s="2"/>
      <c r="N9487" s="27"/>
      <c r="R9487" s="15"/>
      <c r="X9487" s="3"/>
      <c r="Z9487" s="28"/>
    </row>
    <row r="9488" spans="2:26">
      <c r="B9488" s="2"/>
      <c r="N9488" s="27"/>
      <c r="R9488" s="15"/>
      <c r="X9488" s="3"/>
      <c r="Z9488" s="28"/>
    </row>
    <row r="9489" spans="2:26">
      <c r="B9489" s="2"/>
      <c r="N9489" s="27"/>
      <c r="R9489" s="15"/>
      <c r="X9489" s="3"/>
      <c r="Z9489" s="28"/>
    </row>
    <row r="9490" spans="2:26">
      <c r="B9490" s="2"/>
      <c r="N9490" s="27"/>
      <c r="R9490" s="15"/>
      <c r="X9490" s="3"/>
      <c r="Z9490" s="28"/>
    </row>
    <row r="9491" spans="2:26">
      <c r="B9491" s="2"/>
      <c r="N9491" s="27"/>
      <c r="R9491" s="15"/>
      <c r="X9491" s="3"/>
      <c r="Z9491" s="28"/>
    </row>
    <row r="9492" spans="2:26">
      <c r="B9492" s="2"/>
      <c r="N9492" s="27"/>
      <c r="R9492" s="15"/>
      <c r="X9492" s="3"/>
      <c r="Z9492" s="28"/>
    </row>
    <row r="9493" spans="2:26">
      <c r="B9493" s="2"/>
      <c r="N9493" s="27"/>
      <c r="R9493" s="15"/>
      <c r="X9493" s="3"/>
      <c r="Z9493" s="28"/>
    </row>
    <row r="9494" spans="2:26">
      <c r="B9494" s="2"/>
      <c r="N9494" s="27"/>
      <c r="R9494" s="15"/>
      <c r="X9494" s="3"/>
      <c r="Z9494" s="28"/>
    </row>
    <row r="9495" spans="2:26">
      <c r="B9495" s="2"/>
      <c r="N9495" s="27"/>
      <c r="R9495" s="15"/>
      <c r="X9495" s="3"/>
      <c r="Z9495" s="28"/>
    </row>
    <row r="9496" spans="2:26">
      <c r="B9496" s="2"/>
      <c r="N9496" s="27"/>
      <c r="R9496" s="15"/>
      <c r="X9496" s="3"/>
      <c r="Z9496" s="28"/>
    </row>
    <row r="9497" spans="2:26">
      <c r="B9497" s="2"/>
      <c r="N9497" s="27"/>
      <c r="R9497" s="15"/>
      <c r="X9497" s="3"/>
      <c r="Z9497" s="28"/>
    </row>
    <row r="9498" spans="2:26">
      <c r="B9498" s="2"/>
      <c r="N9498" s="27"/>
      <c r="R9498" s="15"/>
      <c r="X9498" s="3"/>
      <c r="Z9498" s="28"/>
    </row>
    <row r="9499" spans="2:26">
      <c r="B9499" s="2"/>
      <c r="N9499" s="27"/>
      <c r="R9499" s="15"/>
      <c r="X9499" s="3"/>
      <c r="Z9499" s="28"/>
    </row>
    <row r="9500" spans="2:26">
      <c r="B9500" s="2"/>
      <c r="N9500" s="27"/>
      <c r="R9500" s="15"/>
      <c r="X9500" s="3"/>
      <c r="Z9500" s="28"/>
    </row>
    <row r="9501" spans="2:26">
      <c r="B9501" s="2"/>
      <c r="N9501" s="27"/>
      <c r="R9501" s="15"/>
      <c r="X9501" s="3"/>
      <c r="Z9501" s="28"/>
    </row>
    <row r="9502" spans="2:26">
      <c r="B9502" s="2"/>
      <c r="N9502" s="27"/>
      <c r="R9502" s="15"/>
      <c r="X9502" s="3"/>
      <c r="Z9502" s="28"/>
    </row>
    <row r="9503" spans="2:26">
      <c r="B9503" s="2"/>
      <c r="N9503" s="27"/>
      <c r="R9503" s="15"/>
      <c r="X9503" s="3"/>
      <c r="Z9503" s="28"/>
    </row>
    <row r="9504" spans="2:26">
      <c r="B9504" s="2"/>
      <c r="N9504" s="27"/>
      <c r="R9504" s="15"/>
      <c r="X9504" s="3"/>
      <c r="Z9504" s="28"/>
    </row>
    <row r="9505" spans="2:26">
      <c r="B9505" s="2"/>
      <c r="N9505" s="27"/>
      <c r="R9505" s="15"/>
      <c r="X9505" s="3"/>
      <c r="Z9505" s="28"/>
    </row>
    <row r="9506" spans="2:26">
      <c r="B9506" s="2"/>
      <c r="N9506" s="27"/>
      <c r="R9506" s="15"/>
      <c r="X9506" s="3"/>
      <c r="Z9506" s="28"/>
    </row>
    <row r="9507" spans="2:26">
      <c r="B9507" s="2"/>
      <c r="N9507" s="27"/>
      <c r="R9507" s="15"/>
      <c r="X9507" s="3"/>
      <c r="Z9507" s="28"/>
    </row>
    <row r="9508" spans="2:26">
      <c r="B9508" s="2"/>
      <c r="N9508" s="27"/>
      <c r="R9508" s="15"/>
      <c r="X9508" s="3"/>
      <c r="Z9508" s="28"/>
    </row>
    <row r="9509" spans="2:26">
      <c r="B9509" s="2"/>
      <c r="N9509" s="27"/>
      <c r="R9509" s="15"/>
      <c r="X9509" s="3"/>
      <c r="Z9509" s="28"/>
    </row>
    <row r="9510" spans="2:26">
      <c r="B9510" s="2"/>
      <c r="N9510" s="27"/>
      <c r="R9510" s="15"/>
      <c r="X9510" s="3"/>
      <c r="Z9510" s="28"/>
    </row>
    <row r="9511" spans="2:26">
      <c r="B9511" s="2"/>
      <c r="N9511" s="27"/>
      <c r="R9511" s="15"/>
      <c r="X9511" s="3"/>
      <c r="Z9511" s="28"/>
    </row>
    <row r="9512" spans="2:26">
      <c r="B9512" s="2"/>
      <c r="N9512" s="27"/>
      <c r="R9512" s="15"/>
      <c r="X9512" s="3"/>
      <c r="Z9512" s="28"/>
    </row>
    <row r="9513" spans="2:26">
      <c r="B9513" s="2"/>
      <c r="N9513" s="27"/>
      <c r="R9513" s="15"/>
      <c r="X9513" s="3"/>
      <c r="Z9513" s="28"/>
    </row>
    <row r="9514" spans="2:26">
      <c r="B9514" s="2"/>
      <c r="N9514" s="27"/>
      <c r="R9514" s="15"/>
      <c r="X9514" s="3"/>
      <c r="Z9514" s="28"/>
    </row>
    <row r="9515" spans="2:26">
      <c r="B9515" s="2"/>
      <c r="N9515" s="27"/>
      <c r="R9515" s="15"/>
      <c r="X9515" s="3"/>
      <c r="Z9515" s="28"/>
    </row>
    <row r="9516" spans="2:26">
      <c r="B9516" s="2"/>
      <c r="N9516" s="27"/>
      <c r="R9516" s="15"/>
      <c r="X9516" s="3"/>
      <c r="Z9516" s="28"/>
    </row>
    <row r="9517" spans="2:26">
      <c r="B9517" s="2"/>
      <c r="N9517" s="27"/>
      <c r="R9517" s="15"/>
      <c r="X9517" s="3"/>
      <c r="Z9517" s="28"/>
    </row>
    <row r="9518" spans="2:26">
      <c r="B9518" s="2"/>
      <c r="N9518" s="27"/>
      <c r="R9518" s="15"/>
      <c r="X9518" s="3"/>
      <c r="Z9518" s="28"/>
    </row>
    <row r="9519" spans="2:26">
      <c r="B9519" s="2"/>
      <c r="N9519" s="27"/>
      <c r="R9519" s="15"/>
      <c r="X9519" s="3"/>
      <c r="Z9519" s="28"/>
    </row>
    <row r="9520" spans="2:26">
      <c r="B9520" s="2"/>
      <c r="N9520" s="27"/>
      <c r="R9520" s="15"/>
      <c r="X9520" s="3"/>
      <c r="Z9520" s="28"/>
    </row>
    <row r="9521" spans="2:26">
      <c r="B9521" s="2"/>
      <c r="N9521" s="27"/>
      <c r="R9521" s="15"/>
      <c r="X9521" s="3"/>
      <c r="Z9521" s="28"/>
    </row>
    <row r="9522" spans="2:26">
      <c r="B9522" s="2"/>
      <c r="N9522" s="27"/>
      <c r="R9522" s="15"/>
      <c r="X9522" s="3"/>
      <c r="Z9522" s="28"/>
    </row>
    <row r="9523" spans="2:26">
      <c r="B9523" s="2"/>
      <c r="N9523" s="27"/>
      <c r="R9523" s="15"/>
      <c r="X9523" s="3"/>
      <c r="Z9523" s="28"/>
    </row>
    <row r="9524" spans="2:26">
      <c r="B9524" s="2"/>
      <c r="N9524" s="27"/>
      <c r="R9524" s="15"/>
      <c r="X9524" s="3"/>
      <c r="Z9524" s="28"/>
    </row>
    <row r="9525" spans="2:26">
      <c r="B9525" s="2"/>
      <c r="N9525" s="27"/>
      <c r="R9525" s="15"/>
      <c r="X9525" s="3"/>
      <c r="Z9525" s="28"/>
    </row>
    <row r="9526" spans="2:26">
      <c r="B9526" s="2"/>
      <c r="N9526" s="27"/>
      <c r="R9526" s="15"/>
      <c r="X9526" s="3"/>
      <c r="Z9526" s="28"/>
    </row>
    <row r="9527" spans="2:26">
      <c r="B9527" s="2"/>
      <c r="N9527" s="27"/>
      <c r="R9527" s="15"/>
      <c r="X9527" s="3"/>
      <c r="Z9527" s="28"/>
    </row>
    <row r="9528" spans="2:26">
      <c r="B9528" s="2"/>
      <c r="N9528" s="27"/>
      <c r="R9528" s="15"/>
      <c r="X9528" s="3"/>
      <c r="Z9528" s="28"/>
    </row>
    <row r="9529" spans="2:26">
      <c r="B9529" s="2"/>
      <c r="N9529" s="27"/>
      <c r="R9529" s="15"/>
      <c r="X9529" s="3"/>
      <c r="Z9529" s="28"/>
    </row>
    <row r="9530" spans="2:26">
      <c r="B9530" s="2"/>
      <c r="N9530" s="27"/>
      <c r="R9530" s="15"/>
      <c r="X9530" s="3"/>
      <c r="Z9530" s="28"/>
    </row>
    <row r="9531" spans="2:26">
      <c r="B9531" s="2"/>
      <c r="N9531" s="27"/>
      <c r="R9531" s="15"/>
      <c r="X9531" s="3"/>
      <c r="Z9531" s="28"/>
    </row>
    <row r="9532" spans="2:26">
      <c r="B9532" s="2"/>
      <c r="N9532" s="27"/>
      <c r="R9532" s="15"/>
      <c r="X9532" s="3"/>
      <c r="Z9532" s="28"/>
    </row>
    <row r="9533" spans="2:26">
      <c r="B9533" s="2"/>
      <c r="N9533" s="27"/>
      <c r="R9533" s="15"/>
      <c r="X9533" s="3"/>
      <c r="Z9533" s="28"/>
    </row>
    <row r="9534" spans="2:26">
      <c r="B9534" s="2"/>
      <c r="N9534" s="27"/>
      <c r="R9534" s="15"/>
      <c r="X9534" s="3"/>
      <c r="Z9534" s="28"/>
    </row>
    <row r="9535" spans="2:26">
      <c r="B9535" s="2"/>
      <c r="N9535" s="27"/>
      <c r="R9535" s="15"/>
      <c r="X9535" s="3"/>
      <c r="Z9535" s="28"/>
    </row>
    <row r="9536" spans="2:26">
      <c r="B9536" s="2"/>
      <c r="N9536" s="27"/>
      <c r="R9536" s="15"/>
      <c r="X9536" s="3"/>
      <c r="Z9536" s="28"/>
    </row>
    <row r="9537" spans="2:26">
      <c r="B9537" s="2"/>
      <c r="N9537" s="27"/>
      <c r="R9537" s="15"/>
      <c r="X9537" s="3"/>
      <c r="Z9537" s="28"/>
    </row>
    <row r="9538" spans="2:26">
      <c r="B9538" s="2"/>
      <c r="N9538" s="27"/>
      <c r="R9538" s="15"/>
      <c r="X9538" s="3"/>
      <c r="Z9538" s="28"/>
    </row>
    <row r="9539" spans="2:26">
      <c r="B9539" s="2"/>
      <c r="N9539" s="27"/>
      <c r="R9539" s="15"/>
      <c r="X9539" s="3"/>
      <c r="Z9539" s="28"/>
    </row>
    <row r="9540" spans="2:26">
      <c r="B9540" s="2"/>
      <c r="N9540" s="27"/>
      <c r="R9540" s="15"/>
      <c r="X9540" s="3"/>
      <c r="Z9540" s="28"/>
    </row>
    <row r="9541" spans="2:26">
      <c r="B9541" s="2"/>
      <c r="N9541" s="27"/>
      <c r="R9541" s="15"/>
      <c r="X9541" s="3"/>
      <c r="Z9541" s="28"/>
    </row>
    <row r="9542" spans="2:26">
      <c r="B9542" s="2"/>
      <c r="N9542" s="27"/>
      <c r="R9542" s="15"/>
      <c r="X9542" s="3"/>
      <c r="Z9542" s="28"/>
    </row>
    <row r="9543" spans="2:26">
      <c r="B9543" s="2"/>
      <c r="N9543" s="27"/>
      <c r="R9543" s="15"/>
      <c r="X9543" s="3"/>
      <c r="Z9543" s="28"/>
    </row>
    <row r="9544" spans="2:26">
      <c r="B9544" s="2"/>
      <c r="N9544" s="27"/>
      <c r="R9544" s="15"/>
      <c r="X9544" s="3"/>
      <c r="Z9544" s="28"/>
    </row>
    <row r="9545" spans="2:26">
      <c r="B9545" s="2"/>
      <c r="N9545" s="27"/>
      <c r="R9545" s="15"/>
      <c r="X9545" s="3"/>
      <c r="Z9545" s="28"/>
    </row>
    <row r="9546" spans="2:26">
      <c r="B9546" s="2"/>
      <c r="N9546" s="27"/>
      <c r="R9546" s="15"/>
      <c r="X9546" s="3"/>
      <c r="Z9546" s="28"/>
    </row>
    <row r="9547" spans="2:26">
      <c r="B9547" s="2"/>
      <c r="N9547" s="27"/>
      <c r="R9547" s="15"/>
      <c r="X9547" s="3"/>
      <c r="Z9547" s="28"/>
    </row>
    <row r="9548" spans="2:26">
      <c r="B9548" s="2"/>
      <c r="N9548" s="27"/>
      <c r="R9548" s="15"/>
      <c r="X9548" s="3"/>
      <c r="Z9548" s="28"/>
    </row>
    <row r="9549" spans="2:26">
      <c r="B9549" s="2"/>
      <c r="N9549" s="27"/>
      <c r="R9549" s="15"/>
      <c r="X9549" s="3"/>
      <c r="Z9549" s="28"/>
    </row>
    <row r="9550" spans="2:26">
      <c r="B9550" s="2"/>
      <c r="N9550" s="27"/>
      <c r="R9550" s="15"/>
      <c r="X9550" s="3"/>
      <c r="Z9550" s="28"/>
    </row>
    <row r="9551" spans="2:26">
      <c r="B9551" s="2"/>
      <c r="N9551" s="27"/>
      <c r="R9551" s="15"/>
      <c r="X9551" s="3"/>
      <c r="Z9551" s="28"/>
    </row>
    <row r="9552" spans="2:26">
      <c r="B9552" s="2"/>
      <c r="N9552" s="27"/>
      <c r="R9552" s="15"/>
      <c r="X9552" s="3"/>
      <c r="Z9552" s="28"/>
    </row>
    <row r="9553" spans="2:26">
      <c r="B9553" s="2"/>
      <c r="N9553" s="27"/>
      <c r="R9553" s="15"/>
      <c r="X9553" s="3"/>
      <c r="Z9553" s="28"/>
    </row>
    <row r="9554" spans="2:26">
      <c r="B9554" s="2"/>
      <c r="N9554" s="27"/>
      <c r="R9554" s="15"/>
      <c r="X9554" s="3"/>
      <c r="Z9554" s="28"/>
    </row>
    <row r="9555" spans="2:26">
      <c r="B9555" s="2"/>
      <c r="N9555" s="27"/>
      <c r="R9555" s="15"/>
      <c r="X9555" s="3"/>
      <c r="Z9555" s="28"/>
    </row>
    <row r="9556" spans="2:26">
      <c r="B9556" s="2"/>
      <c r="N9556" s="27"/>
      <c r="R9556" s="15"/>
      <c r="X9556" s="3"/>
      <c r="Z9556" s="28"/>
    </row>
    <row r="9557" spans="2:26">
      <c r="B9557" s="2"/>
      <c r="N9557" s="27"/>
      <c r="R9557" s="15"/>
      <c r="X9557" s="3"/>
      <c r="Z9557" s="28"/>
    </row>
    <row r="9558" spans="2:26">
      <c r="B9558" s="2"/>
      <c r="N9558" s="27"/>
      <c r="R9558" s="15"/>
      <c r="X9558" s="3"/>
      <c r="Z9558" s="28"/>
    </row>
    <row r="9559" spans="2:26">
      <c r="B9559" s="2"/>
      <c r="N9559" s="27"/>
      <c r="R9559" s="15"/>
      <c r="X9559" s="3"/>
      <c r="Z9559" s="28"/>
    </row>
    <row r="9560" spans="2:26">
      <c r="B9560" s="2"/>
      <c r="N9560" s="27"/>
      <c r="R9560" s="15"/>
      <c r="X9560" s="3"/>
      <c r="Z9560" s="28"/>
    </row>
    <row r="9561" spans="2:26">
      <c r="B9561" s="2"/>
      <c r="N9561" s="27"/>
      <c r="R9561" s="15"/>
      <c r="X9561" s="3"/>
      <c r="Z9561" s="28"/>
    </row>
    <row r="9562" spans="2:26">
      <c r="B9562" s="2"/>
      <c r="N9562" s="27"/>
      <c r="R9562" s="15"/>
      <c r="X9562" s="3"/>
      <c r="Z9562" s="28"/>
    </row>
    <row r="9563" spans="2:26">
      <c r="B9563" s="2"/>
      <c r="N9563" s="27"/>
      <c r="R9563" s="15"/>
      <c r="X9563" s="3"/>
      <c r="Z9563" s="28"/>
    </row>
    <row r="9564" spans="2:26">
      <c r="B9564" s="2"/>
      <c r="N9564" s="27"/>
      <c r="R9564" s="15"/>
      <c r="X9564" s="3"/>
      <c r="Z9564" s="28"/>
    </row>
    <row r="9565" spans="2:26">
      <c r="B9565" s="2"/>
      <c r="N9565" s="27"/>
      <c r="R9565" s="15"/>
      <c r="X9565" s="3"/>
      <c r="Z9565" s="28"/>
    </row>
    <row r="9566" spans="2:26">
      <c r="B9566" s="2"/>
      <c r="N9566" s="27"/>
      <c r="R9566" s="15"/>
      <c r="X9566" s="3"/>
      <c r="Z9566" s="28"/>
    </row>
    <row r="9567" spans="2:26">
      <c r="B9567" s="2"/>
      <c r="N9567" s="27"/>
      <c r="R9567" s="15"/>
      <c r="X9567" s="3"/>
      <c r="Z9567" s="28"/>
    </row>
    <row r="9568" spans="2:26">
      <c r="B9568" s="2"/>
      <c r="N9568" s="27"/>
      <c r="R9568" s="15"/>
      <c r="X9568" s="3"/>
      <c r="Z9568" s="28"/>
    </row>
    <row r="9569" spans="2:26">
      <c r="B9569" s="2"/>
      <c r="N9569" s="27"/>
      <c r="R9569" s="15"/>
      <c r="X9569" s="3"/>
      <c r="Z9569" s="28"/>
    </row>
    <row r="9570" spans="2:26">
      <c r="B9570" s="2"/>
      <c r="N9570" s="27"/>
      <c r="R9570" s="15"/>
      <c r="X9570" s="3"/>
      <c r="Z9570" s="28"/>
    </row>
    <row r="9571" spans="2:26">
      <c r="B9571" s="2"/>
      <c r="N9571" s="27"/>
      <c r="R9571" s="15"/>
      <c r="X9571" s="3"/>
      <c r="Z9571" s="28"/>
    </row>
    <row r="9572" spans="2:26">
      <c r="B9572" s="2"/>
      <c r="N9572" s="27"/>
      <c r="R9572" s="15"/>
      <c r="X9572" s="3"/>
      <c r="Z9572" s="28"/>
    </row>
    <row r="9573" spans="2:26">
      <c r="B9573" s="2"/>
      <c r="N9573" s="27"/>
      <c r="R9573" s="15"/>
      <c r="X9573" s="3"/>
      <c r="Z9573" s="28"/>
    </row>
    <row r="9574" spans="2:26">
      <c r="B9574" s="2"/>
      <c r="N9574" s="27"/>
      <c r="R9574" s="15"/>
      <c r="X9574" s="3"/>
      <c r="Z9574" s="28"/>
    </row>
    <row r="9575" spans="2:26">
      <c r="B9575" s="2"/>
      <c r="N9575" s="27"/>
      <c r="R9575" s="15"/>
      <c r="X9575" s="3"/>
      <c r="Z9575" s="28"/>
    </row>
    <row r="9576" spans="2:26">
      <c r="B9576" s="2"/>
      <c r="N9576" s="27"/>
      <c r="R9576" s="15"/>
      <c r="X9576" s="3"/>
      <c r="Z9576" s="28"/>
    </row>
    <row r="9577" spans="2:26">
      <c r="B9577" s="2"/>
      <c r="N9577" s="27"/>
      <c r="R9577" s="15"/>
      <c r="X9577" s="3"/>
      <c r="Z9577" s="28"/>
    </row>
    <row r="9578" spans="2:26">
      <c r="B9578" s="2"/>
      <c r="N9578" s="27"/>
      <c r="R9578" s="15"/>
      <c r="X9578" s="3"/>
      <c r="Z9578" s="28"/>
    </row>
    <row r="9579" spans="2:26">
      <c r="B9579" s="2"/>
      <c r="N9579" s="27"/>
      <c r="R9579" s="15"/>
      <c r="X9579" s="3"/>
      <c r="Z9579" s="28"/>
    </row>
    <row r="9580" spans="2:26">
      <c r="B9580" s="2"/>
      <c r="N9580" s="27"/>
      <c r="R9580" s="15"/>
      <c r="X9580" s="3"/>
      <c r="Z9580" s="28"/>
    </row>
    <row r="9581" spans="2:26">
      <c r="B9581" s="2"/>
      <c r="N9581" s="27"/>
      <c r="R9581" s="15"/>
      <c r="X9581" s="3"/>
      <c r="Z9581" s="28"/>
    </row>
    <row r="9582" spans="2:26">
      <c r="B9582" s="2"/>
      <c r="N9582" s="27"/>
      <c r="R9582" s="15"/>
      <c r="X9582" s="3"/>
      <c r="Z9582" s="28"/>
    </row>
    <row r="9583" spans="2:26">
      <c r="B9583" s="2"/>
      <c r="N9583" s="27"/>
      <c r="R9583" s="15"/>
      <c r="X9583" s="3"/>
      <c r="Z9583" s="28"/>
    </row>
    <row r="9584" spans="2:26">
      <c r="B9584" s="2"/>
      <c r="N9584" s="27"/>
      <c r="R9584" s="15"/>
      <c r="X9584" s="3"/>
      <c r="Z9584" s="28"/>
    </row>
    <row r="9585" spans="2:26">
      <c r="B9585" s="2"/>
      <c r="N9585" s="27"/>
      <c r="R9585" s="15"/>
      <c r="X9585" s="3"/>
      <c r="Z9585" s="28"/>
    </row>
    <row r="9586" spans="2:26">
      <c r="B9586" s="2"/>
      <c r="N9586" s="27"/>
      <c r="R9586" s="15"/>
      <c r="X9586" s="3"/>
      <c r="Z9586" s="28"/>
    </row>
    <row r="9587" spans="2:26">
      <c r="B9587" s="2"/>
      <c r="N9587" s="27"/>
      <c r="R9587" s="15"/>
      <c r="X9587" s="3"/>
      <c r="Z9587" s="28"/>
    </row>
    <row r="9588" spans="2:26">
      <c r="B9588" s="2"/>
      <c r="N9588" s="27"/>
      <c r="R9588" s="15"/>
      <c r="X9588" s="3"/>
      <c r="Z9588" s="28"/>
    </row>
    <row r="9589" spans="2:26">
      <c r="B9589" s="2"/>
      <c r="N9589" s="27"/>
      <c r="R9589" s="15"/>
      <c r="X9589" s="3"/>
      <c r="Z9589" s="28"/>
    </row>
    <row r="9590" spans="2:26">
      <c r="B9590" s="2"/>
      <c r="N9590" s="27"/>
      <c r="R9590" s="15"/>
      <c r="X9590" s="3"/>
      <c r="Z9590" s="28"/>
    </row>
    <row r="9591" spans="2:26">
      <c r="B9591" s="2"/>
      <c r="N9591" s="27"/>
      <c r="R9591" s="15"/>
      <c r="X9591" s="3"/>
      <c r="Z9591" s="28"/>
    </row>
    <row r="9592" spans="2:26">
      <c r="B9592" s="2"/>
      <c r="N9592" s="27"/>
      <c r="R9592" s="15"/>
      <c r="X9592" s="3"/>
      <c r="Z9592" s="28"/>
    </row>
    <row r="9593" spans="2:26">
      <c r="B9593" s="2"/>
      <c r="N9593" s="27"/>
      <c r="R9593" s="15"/>
      <c r="X9593" s="3"/>
      <c r="Z9593" s="28"/>
    </row>
    <row r="9594" spans="2:26">
      <c r="B9594" s="2"/>
      <c r="N9594" s="27"/>
      <c r="R9594" s="15"/>
      <c r="X9594" s="3"/>
      <c r="Z9594" s="28"/>
    </row>
    <row r="9595" spans="2:26">
      <c r="B9595" s="2"/>
      <c r="N9595" s="27"/>
      <c r="R9595" s="15"/>
      <c r="X9595" s="3"/>
      <c r="Z9595" s="28"/>
    </row>
    <row r="9596" spans="2:26">
      <c r="B9596" s="2"/>
      <c r="N9596" s="27"/>
      <c r="R9596" s="15"/>
      <c r="X9596" s="3"/>
      <c r="Z9596" s="28"/>
    </row>
    <row r="9597" spans="2:26">
      <c r="B9597" s="2"/>
      <c r="N9597" s="27"/>
      <c r="R9597" s="15"/>
      <c r="X9597" s="3"/>
      <c r="Z9597" s="28"/>
    </row>
    <row r="9598" spans="2:26">
      <c r="B9598" s="2"/>
      <c r="N9598" s="27"/>
      <c r="R9598" s="15"/>
      <c r="X9598" s="3"/>
      <c r="Z9598" s="28"/>
    </row>
    <row r="9599" spans="2:26">
      <c r="B9599" s="2"/>
      <c r="N9599" s="27"/>
      <c r="R9599" s="15"/>
      <c r="X9599" s="3"/>
      <c r="Z9599" s="28"/>
    </row>
    <row r="9600" spans="2:26">
      <c r="B9600" s="2"/>
      <c r="N9600" s="27"/>
      <c r="R9600" s="15"/>
      <c r="X9600" s="3"/>
      <c r="Z9600" s="28"/>
    </row>
    <row r="9601" spans="2:26">
      <c r="B9601" s="2"/>
      <c r="N9601" s="27"/>
      <c r="R9601" s="15"/>
      <c r="X9601" s="3"/>
      <c r="Z9601" s="28"/>
    </row>
    <row r="9602" spans="2:26">
      <c r="B9602" s="2"/>
      <c r="N9602" s="27"/>
      <c r="R9602" s="15"/>
      <c r="X9602" s="3"/>
      <c r="Z9602" s="28"/>
    </row>
    <row r="9603" spans="2:26">
      <c r="B9603" s="2"/>
      <c r="N9603" s="27"/>
      <c r="R9603" s="15"/>
      <c r="X9603" s="3"/>
      <c r="Z9603" s="28"/>
    </row>
    <row r="9604" spans="2:26">
      <c r="B9604" s="2"/>
      <c r="N9604" s="27"/>
      <c r="R9604" s="15"/>
      <c r="X9604" s="3"/>
      <c r="Z9604" s="28"/>
    </row>
    <row r="9605" spans="2:26">
      <c r="B9605" s="2"/>
      <c r="N9605" s="27"/>
      <c r="R9605" s="15"/>
      <c r="X9605" s="3"/>
      <c r="Z9605" s="28"/>
    </row>
    <row r="9606" spans="2:26">
      <c r="B9606" s="2"/>
      <c r="N9606" s="27"/>
      <c r="R9606" s="15"/>
      <c r="X9606" s="3"/>
      <c r="Z9606" s="28"/>
    </row>
    <row r="9607" spans="2:26">
      <c r="B9607" s="2"/>
      <c r="N9607" s="27"/>
      <c r="R9607" s="15"/>
      <c r="X9607" s="3"/>
      <c r="Z9607" s="28"/>
    </row>
    <row r="9608" spans="2:26">
      <c r="B9608" s="2"/>
      <c r="N9608" s="27"/>
      <c r="R9608" s="15"/>
      <c r="X9608" s="3"/>
      <c r="Z9608" s="28"/>
    </row>
    <row r="9609" spans="2:26">
      <c r="B9609" s="2"/>
      <c r="N9609" s="27"/>
      <c r="R9609" s="15"/>
      <c r="X9609" s="3"/>
      <c r="Z9609" s="28"/>
    </row>
    <row r="9610" spans="2:26">
      <c r="B9610" s="2"/>
      <c r="N9610" s="27"/>
      <c r="R9610" s="15"/>
      <c r="X9610" s="3"/>
      <c r="Z9610" s="28"/>
    </row>
    <row r="9611" spans="2:26">
      <c r="B9611" s="2"/>
      <c r="N9611" s="27"/>
      <c r="R9611" s="15"/>
      <c r="X9611" s="3"/>
      <c r="Z9611" s="28"/>
    </row>
    <row r="9612" spans="2:26">
      <c r="B9612" s="2"/>
      <c r="N9612" s="27"/>
      <c r="R9612" s="15"/>
      <c r="X9612" s="3"/>
      <c r="Z9612" s="28"/>
    </row>
    <row r="9613" spans="2:26">
      <c r="B9613" s="2"/>
      <c r="N9613" s="27"/>
      <c r="R9613" s="15"/>
      <c r="X9613" s="3"/>
      <c r="Z9613" s="28"/>
    </row>
    <row r="9614" spans="2:26">
      <c r="B9614" s="2"/>
      <c r="N9614" s="27"/>
      <c r="R9614" s="15"/>
      <c r="X9614" s="3"/>
      <c r="Z9614" s="28"/>
    </row>
    <row r="9615" spans="2:26">
      <c r="B9615" s="2"/>
      <c r="N9615" s="27"/>
      <c r="R9615" s="15"/>
      <c r="X9615" s="3"/>
      <c r="Z9615" s="28"/>
    </row>
    <row r="9616" spans="2:26">
      <c r="B9616" s="2"/>
      <c r="N9616" s="27"/>
      <c r="R9616" s="15"/>
      <c r="X9616" s="3"/>
      <c r="Z9616" s="28"/>
    </row>
    <row r="9617" spans="2:26">
      <c r="B9617" s="2"/>
      <c r="N9617" s="27"/>
      <c r="R9617" s="15"/>
      <c r="X9617" s="3"/>
      <c r="Z9617" s="28"/>
    </row>
    <row r="9618" spans="2:26">
      <c r="B9618" s="2"/>
      <c r="N9618" s="27"/>
      <c r="R9618" s="15"/>
      <c r="X9618" s="3"/>
      <c r="Z9618" s="28"/>
    </row>
    <row r="9619" spans="2:26">
      <c r="B9619" s="2"/>
      <c r="N9619" s="27"/>
      <c r="R9619" s="15"/>
      <c r="X9619" s="3"/>
      <c r="Z9619" s="28"/>
    </row>
    <row r="9620" spans="2:26">
      <c r="B9620" s="2"/>
      <c r="N9620" s="27"/>
      <c r="R9620" s="15"/>
      <c r="X9620" s="3"/>
      <c r="Z9620" s="28"/>
    </row>
    <row r="9621" spans="2:26">
      <c r="B9621" s="2"/>
      <c r="N9621" s="27"/>
      <c r="R9621" s="15"/>
      <c r="X9621" s="3"/>
      <c r="Z9621" s="28"/>
    </row>
    <row r="9622" spans="2:26">
      <c r="B9622" s="2"/>
      <c r="N9622" s="27"/>
      <c r="R9622" s="15"/>
      <c r="X9622" s="3"/>
      <c r="Z9622" s="28"/>
    </row>
    <row r="9623" spans="2:26">
      <c r="B9623" s="2"/>
      <c r="N9623" s="27"/>
      <c r="R9623" s="15"/>
      <c r="X9623" s="3"/>
      <c r="Z9623" s="28"/>
    </row>
    <row r="9624" spans="2:26">
      <c r="B9624" s="2"/>
      <c r="N9624" s="27"/>
      <c r="R9624" s="15"/>
      <c r="X9624" s="3"/>
      <c r="Z9624" s="28"/>
    </row>
    <row r="9625" spans="2:26">
      <c r="B9625" s="2"/>
      <c r="N9625" s="27"/>
      <c r="R9625" s="15"/>
      <c r="X9625" s="3"/>
      <c r="Z9625" s="28"/>
    </row>
    <row r="9626" spans="2:26">
      <c r="B9626" s="2"/>
      <c r="N9626" s="27"/>
      <c r="R9626" s="15"/>
      <c r="X9626" s="3"/>
      <c r="Z9626" s="28"/>
    </row>
    <row r="9627" spans="2:26">
      <c r="B9627" s="2"/>
      <c r="N9627" s="27"/>
      <c r="R9627" s="15"/>
      <c r="X9627" s="3"/>
      <c r="Z9627" s="28"/>
    </row>
    <row r="9628" spans="2:26">
      <c r="B9628" s="2"/>
      <c r="N9628" s="27"/>
      <c r="R9628" s="15"/>
      <c r="X9628" s="3"/>
      <c r="Z9628" s="28"/>
    </row>
    <row r="9629" spans="2:26">
      <c r="B9629" s="2"/>
      <c r="N9629" s="27"/>
      <c r="R9629" s="15"/>
      <c r="X9629" s="3"/>
      <c r="Z9629" s="28"/>
    </row>
    <row r="9630" spans="2:26">
      <c r="B9630" s="2"/>
      <c r="N9630" s="27"/>
      <c r="R9630" s="15"/>
      <c r="X9630" s="3"/>
      <c r="Z9630" s="28"/>
    </row>
    <row r="9631" spans="2:26">
      <c r="B9631" s="2"/>
      <c r="N9631" s="27"/>
      <c r="R9631" s="15"/>
      <c r="X9631" s="3"/>
      <c r="Z9631" s="28"/>
    </row>
    <row r="9632" spans="2:26">
      <c r="B9632" s="2"/>
      <c r="N9632" s="27"/>
      <c r="R9632" s="15"/>
      <c r="X9632" s="3"/>
      <c r="Z9632" s="28"/>
    </row>
    <row r="9633" spans="2:26">
      <c r="B9633" s="2"/>
      <c r="N9633" s="27"/>
      <c r="R9633" s="15"/>
      <c r="X9633" s="3"/>
      <c r="Z9633" s="28"/>
    </row>
    <row r="9634" spans="2:26">
      <c r="B9634" s="2"/>
      <c r="N9634" s="27"/>
      <c r="R9634" s="15"/>
      <c r="X9634" s="3"/>
      <c r="Z9634" s="28"/>
    </row>
    <row r="9635" spans="2:26">
      <c r="B9635" s="2"/>
      <c r="N9635" s="27"/>
      <c r="R9635" s="15"/>
      <c r="X9635" s="3"/>
      <c r="Z9635" s="28"/>
    </row>
    <row r="9636" spans="2:26">
      <c r="B9636" s="2"/>
      <c r="N9636" s="27"/>
      <c r="R9636" s="15"/>
      <c r="X9636" s="3"/>
      <c r="Z9636" s="28"/>
    </row>
    <row r="9637" spans="2:26">
      <c r="B9637" s="2"/>
      <c r="N9637" s="27"/>
      <c r="R9637" s="15"/>
      <c r="X9637" s="3"/>
      <c r="Z9637" s="28"/>
    </row>
    <row r="9638" spans="2:26">
      <c r="B9638" s="2"/>
      <c r="N9638" s="27"/>
      <c r="R9638" s="15"/>
      <c r="X9638" s="3"/>
      <c r="Z9638" s="28"/>
    </row>
    <row r="9639" spans="2:26">
      <c r="B9639" s="2"/>
      <c r="N9639" s="27"/>
      <c r="R9639" s="15"/>
      <c r="X9639" s="3"/>
      <c r="Z9639" s="28"/>
    </row>
    <row r="9640" spans="2:26">
      <c r="B9640" s="2"/>
      <c r="N9640" s="27"/>
      <c r="R9640" s="15"/>
      <c r="X9640" s="3"/>
      <c r="Z9640" s="28"/>
    </row>
    <row r="9641" spans="2:26">
      <c r="B9641" s="2"/>
      <c r="N9641" s="27"/>
      <c r="R9641" s="15"/>
      <c r="X9641" s="3"/>
      <c r="Z9641" s="28"/>
    </row>
    <row r="9642" spans="2:26">
      <c r="B9642" s="2"/>
      <c r="N9642" s="27"/>
      <c r="R9642" s="15"/>
      <c r="X9642" s="3"/>
      <c r="Z9642" s="28"/>
    </row>
    <row r="9643" spans="2:26">
      <c r="B9643" s="2"/>
      <c r="N9643" s="27"/>
      <c r="R9643" s="15"/>
      <c r="X9643" s="3"/>
      <c r="Z9643" s="28"/>
    </row>
    <row r="9644" spans="2:26">
      <c r="B9644" s="2"/>
      <c r="N9644" s="27"/>
      <c r="R9644" s="15"/>
      <c r="X9644" s="3"/>
      <c r="Z9644" s="28"/>
    </row>
    <row r="9645" spans="2:26">
      <c r="B9645" s="2"/>
      <c r="N9645" s="27"/>
      <c r="R9645" s="15"/>
      <c r="X9645" s="3"/>
      <c r="Z9645" s="28"/>
    </row>
    <row r="9646" spans="2:26">
      <c r="B9646" s="2"/>
      <c r="N9646" s="27"/>
      <c r="R9646" s="15"/>
      <c r="X9646" s="3"/>
      <c r="Z9646" s="28"/>
    </row>
    <row r="9647" spans="2:26">
      <c r="B9647" s="2"/>
      <c r="N9647" s="27"/>
      <c r="R9647" s="15"/>
      <c r="X9647" s="3"/>
      <c r="Z9647" s="28"/>
    </row>
    <row r="9648" spans="2:26">
      <c r="B9648" s="2"/>
      <c r="N9648" s="27"/>
      <c r="R9648" s="15"/>
      <c r="X9648" s="3"/>
      <c r="Z9648" s="28"/>
    </row>
    <row r="9649" spans="2:26">
      <c r="B9649" s="2"/>
      <c r="N9649" s="27"/>
      <c r="R9649" s="15"/>
      <c r="X9649" s="3"/>
      <c r="Z9649" s="28"/>
    </row>
    <row r="9650" spans="2:26">
      <c r="B9650" s="2"/>
      <c r="N9650" s="27"/>
      <c r="R9650" s="15"/>
      <c r="X9650" s="3"/>
      <c r="Z9650" s="28"/>
    </row>
    <row r="9651" spans="2:26">
      <c r="B9651" s="2"/>
      <c r="N9651" s="27"/>
      <c r="R9651" s="15"/>
      <c r="X9651" s="3"/>
      <c r="Z9651" s="28"/>
    </row>
    <row r="9652" spans="2:26">
      <c r="B9652" s="2"/>
      <c r="N9652" s="27"/>
      <c r="R9652" s="15"/>
      <c r="X9652" s="3"/>
      <c r="Z9652" s="28"/>
    </row>
    <row r="9653" spans="2:26">
      <c r="B9653" s="2"/>
      <c r="N9653" s="27"/>
      <c r="R9653" s="15"/>
      <c r="X9653" s="3"/>
      <c r="Z9653" s="28"/>
    </row>
    <row r="9654" spans="2:26">
      <c r="B9654" s="2"/>
      <c r="N9654" s="27"/>
      <c r="R9654" s="15"/>
      <c r="X9654" s="3"/>
      <c r="Z9654" s="28"/>
    </row>
    <row r="9655" spans="2:26">
      <c r="B9655" s="2"/>
      <c r="N9655" s="27"/>
      <c r="R9655" s="15"/>
      <c r="X9655" s="3"/>
      <c r="Z9655" s="28"/>
    </row>
    <row r="9656" spans="2:26">
      <c r="B9656" s="2"/>
      <c r="N9656" s="27"/>
      <c r="R9656" s="15"/>
      <c r="X9656" s="3"/>
      <c r="Z9656" s="28"/>
    </row>
    <row r="9657" spans="2:26">
      <c r="B9657" s="2"/>
      <c r="N9657" s="27"/>
      <c r="R9657" s="15"/>
      <c r="X9657" s="3"/>
      <c r="Z9657" s="28"/>
    </row>
    <row r="9658" spans="2:26">
      <c r="B9658" s="2"/>
      <c r="N9658" s="27"/>
      <c r="R9658" s="15"/>
      <c r="X9658" s="3"/>
      <c r="Z9658" s="28"/>
    </row>
    <row r="9659" spans="2:26">
      <c r="B9659" s="2"/>
      <c r="N9659" s="27"/>
      <c r="R9659" s="15"/>
      <c r="X9659" s="3"/>
      <c r="Z9659" s="28"/>
    </row>
    <row r="9660" spans="2:26">
      <c r="B9660" s="2"/>
      <c r="N9660" s="27"/>
      <c r="R9660" s="15"/>
      <c r="X9660" s="3"/>
      <c r="Z9660" s="28"/>
    </row>
    <row r="9661" spans="2:26">
      <c r="B9661" s="2"/>
      <c r="N9661" s="27"/>
      <c r="R9661" s="15"/>
      <c r="X9661" s="3"/>
      <c r="Z9661" s="28"/>
    </row>
    <row r="9662" spans="2:26">
      <c r="B9662" s="2"/>
      <c r="N9662" s="27"/>
      <c r="R9662" s="15"/>
      <c r="X9662" s="3"/>
      <c r="Z9662" s="28"/>
    </row>
    <row r="9663" spans="2:26">
      <c r="B9663" s="2"/>
      <c r="N9663" s="27"/>
      <c r="R9663" s="15"/>
      <c r="X9663" s="3"/>
      <c r="Z9663" s="28"/>
    </row>
    <row r="9664" spans="2:26">
      <c r="B9664" s="2"/>
      <c r="N9664" s="27"/>
      <c r="R9664" s="15"/>
      <c r="X9664" s="3"/>
      <c r="Z9664" s="28"/>
    </row>
    <row r="9665" spans="2:26">
      <c r="B9665" s="2"/>
      <c r="N9665" s="27"/>
      <c r="R9665" s="15"/>
      <c r="X9665" s="3"/>
      <c r="Z9665" s="28"/>
    </row>
    <row r="9666" spans="2:26">
      <c r="B9666" s="2"/>
      <c r="N9666" s="27"/>
      <c r="R9666" s="15"/>
      <c r="X9666" s="3"/>
      <c r="Z9666" s="28"/>
    </row>
    <row r="9667" spans="2:26">
      <c r="B9667" s="2"/>
      <c r="N9667" s="27"/>
      <c r="R9667" s="15"/>
      <c r="X9667" s="3"/>
      <c r="Z9667" s="28"/>
    </row>
    <row r="9668" spans="2:26">
      <c r="B9668" s="2"/>
      <c r="N9668" s="27"/>
      <c r="R9668" s="15"/>
      <c r="X9668" s="3"/>
      <c r="Z9668" s="28"/>
    </row>
    <row r="9669" spans="2:26">
      <c r="B9669" s="2"/>
      <c r="N9669" s="27"/>
      <c r="R9669" s="15"/>
      <c r="X9669" s="3"/>
      <c r="Z9669" s="28"/>
    </row>
    <row r="9670" spans="2:26">
      <c r="B9670" s="2"/>
      <c r="N9670" s="27"/>
      <c r="R9670" s="15"/>
      <c r="X9670" s="3"/>
      <c r="Z9670" s="28"/>
    </row>
    <row r="9671" spans="2:26">
      <c r="B9671" s="2"/>
      <c r="N9671" s="27"/>
      <c r="R9671" s="15"/>
      <c r="X9671" s="3"/>
      <c r="Z9671" s="28"/>
    </row>
    <row r="9672" spans="2:26">
      <c r="B9672" s="2"/>
      <c r="N9672" s="27"/>
      <c r="R9672" s="15"/>
      <c r="X9672" s="3"/>
      <c r="Z9672" s="28"/>
    </row>
    <row r="9673" spans="2:26">
      <c r="B9673" s="2"/>
      <c r="N9673" s="27"/>
      <c r="R9673" s="15"/>
      <c r="X9673" s="3"/>
      <c r="Z9673" s="28"/>
    </row>
    <row r="9674" spans="2:26">
      <c r="B9674" s="2"/>
      <c r="N9674" s="27"/>
      <c r="R9674" s="15"/>
      <c r="X9674" s="3"/>
      <c r="Z9674" s="28"/>
    </row>
    <row r="9675" spans="2:26">
      <c r="B9675" s="2"/>
      <c r="N9675" s="27"/>
      <c r="R9675" s="15"/>
      <c r="X9675" s="3"/>
      <c r="Z9675" s="28"/>
    </row>
    <row r="9676" spans="2:26">
      <c r="B9676" s="2"/>
      <c r="N9676" s="27"/>
      <c r="R9676" s="15"/>
      <c r="X9676" s="3"/>
      <c r="Z9676" s="28"/>
    </row>
    <row r="9677" spans="2:26">
      <c r="B9677" s="2"/>
      <c r="N9677" s="27"/>
      <c r="R9677" s="15"/>
      <c r="X9677" s="3"/>
      <c r="Z9677" s="28"/>
    </row>
    <row r="9678" spans="2:26">
      <c r="B9678" s="2"/>
      <c r="N9678" s="27"/>
      <c r="R9678" s="15"/>
      <c r="X9678" s="3"/>
      <c r="Z9678" s="28"/>
    </row>
    <row r="9679" spans="2:26">
      <c r="B9679" s="2"/>
      <c r="N9679" s="27"/>
      <c r="R9679" s="15"/>
      <c r="X9679" s="3"/>
      <c r="Z9679" s="28"/>
    </row>
    <row r="9680" spans="2:26">
      <c r="B9680" s="2"/>
      <c r="N9680" s="27"/>
      <c r="R9680" s="15"/>
      <c r="X9680" s="3"/>
      <c r="Z9680" s="28"/>
    </row>
    <row r="9681" spans="2:26">
      <c r="B9681" s="2"/>
      <c r="N9681" s="27"/>
      <c r="R9681" s="15"/>
      <c r="X9681" s="3"/>
      <c r="Z9681" s="28"/>
    </row>
    <row r="9682" spans="2:26">
      <c r="B9682" s="2"/>
      <c r="N9682" s="27"/>
      <c r="R9682" s="15"/>
      <c r="X9682" s="3"/>
      <c r="Z9682" s="28"/>
    </row>
    <row r="9683" spans="2:26">
      <c r="B9683" s="2"/>
      <c r="N9683" s="27"/>
      <c r="R9683" s="15"/>
      <c r="X9683" s="3"/>
      <c r="Z9683" s="28"/>
    </row>
    <row r="9684" spans="2:26">
      <c r="B9684" s="2"/>
      <c r="N9684" s="27"/>
      <c r="R9684" s="15"/>
      <c r="X9684" s="3"/>
      <c r="Z9684" s="28"/>
    </row>
    <row r="9685" spans="2:26">
      <c r="B9685" s="2"/>
      <c r="N9685" s="27"/>
      <c r="R9685" s="15"/>
      <c r="X9685" s="3"/>
      <c r="Z9685" s="28"/>
    </row>
    <row r="9686" spans="2:26">
      <c r="B9686" s="2"/>
      <c r="N9686" s="27"/>
      <c r="R9686" s="15"/>
      <c r="X9686" s="3"/>
      <c r="Z9686" s="28"/>
    </row>
    <row r="9687" spans="2:26">
      <c r="B9687" s="2"/>
      <c r="N9687" s="27"/>
      <c r="R9687" s="15"/>
      <c r="X9687" s="3"/>
      <c r="Z9687" s="28"/>
    </row>
    <row r="9688" spans="2:26">
      <c r="B9688" s="2"/>
      <c r="N9688" s="27"/>
      <c r="R9688" s="15"/>
      <c r="X9688" s="3"/>
      <c r="Z9688" s="28"/>
    </row>
    <row r="9689" spans="2:26">
      <c r="B9689" s="2"/>
      <c r="N9689" s="27"/>
      <c r="R9689" s="15"/>
      <c r="X9689" s="3"/>
      <c r="Z9689" s="28"/>
    </row>
    <row r="9690" spans="2:26">
      <c r="B9690" s="2"/>
      <c r="N9690" s="27"/>
      <c r="R9690" s="15"/>
      <c r="X9690" s="3"/>
      <c r="Z9690" s="28"/>
    </row>
    <row r="9691" spans="2:26">
      <c r="B9691" s="2"/>
      <c r="N9691" s="27"/>
      <c r="R9691" s="15"/>
      <c r="X9691" s="3"/>
      <c r="Z9691" s="28"/>
    </row>
    <row r="9692" spans="2:26">
      <c r="B9692" s="2"/>
      <c r="N9692" s="27"/>
      <c r="R9692" s="15"/>
      <c r="X9692" s="3"/>
      <c r="Z9692" s="28"/>
    </row>
    <row r="9693" spans="2:26">
      <c r="B9693" s="2"/>
      <c r="N9693" s="27"/>
      <c r="R9693" s="15"/>
      <c r="X9693" s="3"/>
      <c r="Z9693" s="28"/>
    </row>
    <row r="9694" spans="2:26">
      <c r="B9694" s="2"/>
      <c r="N9694" s="27"/>
      <c r="R9694" s="15"/>
      <c r="X9694" s="3"/>
      <c r="Z9694" s="28"/>
    </row>
    <row r="9695" spans="2:26">
      <c r="B9695" s="2"/>
      <c r="N9695" s="27"/>
      <c r="R9695" s="15"/>
      <c r="X9695" s="3"/>
      <c r="Z9695" s="28"/>
    </row>
    <row r="9696" spans="2:26">
      <c r="B9696" s="2"/>
      <c r="N9696" s="27"/>
      <c r="R9696" s="15"/>
      <c r="X9696" s="3"/>
      <c r="Z9696" s="28"/>
    </row>
    <row r="9697" spans="2:26">
      <c r="B9697" s="2"/>
      <c r="N9697" s="27"/>
      <c r="R9697" s="15"/>
      <c r="X9697" s="3"/>
      <c r="Z9697" s="28"/>
    </row>
    <row r="9698" spans="2:26">
      <c r="B9698" s="2"/>
      <c r="N9698" s="27"/>
      <c r="R9698" s="15"/>
      <c r="X9698" s="3"/>
      <c r="Z9698" s="28"/>
    </row>
    <row r="9699" spans="2:26">
      <c r="B9699" s="2"/>
      <c r="N9699" s="27"/>
      <c r="R9699" s="15"/>
      <c r="X9699" s="3"/>
      <c r="Z9699" s="28"/>
    </row>
    <row r="9700" spans="2:26">
      <c r="B9700" s="2"/>
      <c r="N9700" s="27"/>
      <c r="R9700" s="15"/>
      <c r="X9700" s="3"/>
      <c r="Z9700" s="28"/>
    </row>
    <row r="9701" spans="2:26">
      <c r="B9701" s="2"/>
      <c r="N9701" s="27"/>
      <c r="R9701" s="15"/>
      <c r="X9701" s="3"/>
      <c r="Z9701" s="28"/>
    </row>
    <row r="9702" spans="2:26">
      <c r="B9702" s="2"/>
      <c r="N9702" s="27"/>
      <c r="R9702" s="15"/>
      <c r="X9702" s="3"/>
      <c r="Z9702" s="28"/>
    </row>
    <row r="9703" spans="2:26">
      <c r="B9703" s="2"/>
      <c r="N9703" s="27"/>
      <c r="R9703" s="15"/>
      <c r="X9703" s="3"/>
      <c r="Z9703" s="28"/>
    </row>
    <row r="9704" spans="2:26">
      <c r="B9704" s="2"/>
      <c r="N9704" s="27"/>
      <c r="R9704" s="15"/>
      <c r="X9704" s="3"/>
      <c r="Z9704" s="28"/>
    </row>
    <row r="9705" spans="2:26">
      <c r="B9705" s="2"/>
      <c r="N9705" s="27"/>
      <c r="R9705" s="15"/>
      <c r="X9705" s="3"/>
      <c r="Z9705" s="28"/>
    </row>
    <row r="9706" spans="2:26">
      <c r="B9706" s="2"/>
      <c r="N9706" s="27"/>
      <c r="R9706" s="15"/>
      <c r="X9706" s="3"/>
      <c r="Z9706" s="28"/>
    </row>
    <row r="9707" spans="2:26">
      <c r="B9707" s="2"/>
      <c r="N9707" s="27"/>
      <c r="R9707" s="15"/>
      <c r="X9707" s="3"/>
      <c r="Z9707" s="28"/>
    </row>
    <row r="9708" spans="2:26">
      <c r="B9708" s="2"/>
      <c r="N9708" s="27"/>
      <c r="R9708" s="15"/>
      <c r="X9708" s="3"/>
      <c r="Z9708" s="28"/>
    </row>
    <row r="9709" spans="2:26">
      <c r="B9709" s="2"/>
      <c r="N9709" s="27"/>
      <c r="R9709" s="15"/>
      <c r="X9709" s="3"/>
      <c r="Z9709" s="28"/>
    </row>
    <row r="9710" spans="2:26">
      <c r="B9710" s="2"/>
      <c r="N9710" s="27"/>
      <c r="R9710" s="15"/>
      <c r="X9710" s="3"/>
      <c r="Z9710" s="28"/>
    </row>
    <row r="9711" spans="2:26">
      <c r="B9711" s="2"/>
      <c r="N9711" s="27"/>
      <c r="R9711" s="15"/>
      <c r="X9711" s="3"/>
      <c r="Z9711" s="28"/>
    </row>
    <row r="9712" spans="2:26">
      <c r="B9712" s="2"/>
      <c r="N9712" s="27"/>
      <c r="R9712" s="15"/>
      <c r="X9712" s="3"/>
      <c r="Z9712" s="28"/>
    </row>
    <row r="9713" spans="2:26">
      <c r="B9713" s="2"/>
      <c r="N9713" s="27"/>
      <c r="R9713" s="15"/>
      <c r="X9713" s="3"/>
      <c r="Z9713" s="28"/>
    </row>
    <row r="9714" spans="2:26">
      <c r="B9714" s="2"/>
      <c r="N9714" s="27"/>
      <c r="R9714" s="15"/>
      <c r="X9714" s="3"/>
      <c r="Z9714" s="28"/>
    </row>
    <row r="9715" spans="2:26">
      <c r="B9715" s="2"/>
      <c r="N9715" s="27"/>
      <c r="R9715" s="15"/>
      <c r="X9715" s="3"/>
      <c r="Z9715" s="28"/>
    </row>
    <row r="9716" spans="2:26">
      <c r="B9716" s="2"/>
      <c r="N9716" s="27"/>
      <c r="R9716" s="15"/>
      <c r="X9716" s="3"/>
      <c r="Z9716" s="28"/>
    </row>
    <row r="9717" spans="2:26">
      <c r="B9717" s="2"/>
      <c r="N9717" s="27"/>
      <c r="R9717" s="15"/>
      <c r="X9717" s="3"/>
      <c r="Z9717" s="28"/>
    </row>
    <row r="9718" spans="2:26">
      <c r="B9718" s="2"/>
      <c r="N9718" s="27"/>
      <c r="R9718" s="15"/>
      <c r="X9718" s="3"/>
      <c r="Z9718" s="28"/>
    </row>
    <row r="9719" spans="2:26">
      <c r="B9719" s="2"/>
      <c r="N9719" s="27"/>
      <c r="R9719" s="15"/>
      <c r="X9719" s="3"/>
      <c r="Z9719" s="28"/>
    </row>
    <row r="9720" spans="2:26">
      <c r="B9720" s="2"/>
      <c r="N9720" s="27"/>
      <c r="R9720" s="15"/>
      <c r="X9720" s="3"/>
      <c r="Z9720" s="28"/>
    </row>
    <row r="9721" spans="2:26">
      <c r="B9721" s="2"/>
      <c r="N9721" s="27"/>
      <c r="R9721" s="15"/>
      <c r="X9721" s="3"/>
      <c r="Z9721" s="28"/>
    </row>
    <row r="9722" spans="2:26">
      <c r="B9722" s="2"/>
      <c r="N9722" s="27"/>
      <c r="R9722" s="15"/>
      <c r="X9722" s="3"/>
      <c r="Z9722" s="28"/>
    </row>
    <row r="9723" spans="2:26">
      <c r="B9723" s="2"/>
      <c r="N9723" s="27"/>
      <c r="R9723" s="15"/>
      <c r="X9723" s="3"/>
      <c r="Z9723" s="28"/>
    </row>
    <row r="9724" spans="2:26">
      <c r="B9724" s="2"/>
      <c r="N9724" s="27"/>
      <c r="R9724" s="15"/>
      <c r="X9724" s="3"/>
      <c r="Z9724" s="28"/>
    </row>
    <row r="9725" spans="2:26">
      <c r="B9725" s="2"/>
      <c r="N9725" s="27"/>
      <c r="R9725" s="15"/>
      <c r="X9725" s="3"/>
      <c r="Z9725" s="28"/>
    </row>
    <row r="9726" spans="2:26">
      <c r="B9726" s="2"/>
      <c r="N9726" s="27"/>
      <c r="R9726" s="15"/>
      <c r="X9726" s="3"/>
      <c r="Z9726" s="28"/>
    </row>
    <row r="9727" spans="2:26">
      <c r="B9727" s="2"/>
      <c r="N9727" s="27"/>
      <c r="R9727" s="15"/>
      <c r="X9727" s="3"/>
      <c r="Z9727" s="28"/>
    </row>
    <row r="9728" spans="2:26">
      <c r="B9728" s="2"/>
      <c r="N9728" s="27"/>
      <c r="R9728" s="15"/>
      <c r="X9728" s="3"/>
      <c r="Z9728" s="28"/>
    </row>
    <row r="9729" spans="2:26">
      <c r="B9729" s="2"/>
      <c r="N9729" s="27"/>
      <c r="R9729" s="15"/>
      <c r="X9729" s="3"/>
      <c r="Z9729" s="28"/>
    </row>
    <row r="9730" spans="2:26">
      <c r="B9730" s="2"/>
      <c r="N9730" s="27"/>
      <c r="R9730" s="15"/>
      <c r="X9730" s="3"/>
      <c r="Z9730" s="28"/>
    </row>
    <row r="9731" spans="2:26">
      <c r="B9731" s="2"/>
      <c r="N9731" s="27"/>
      <c r="R9731" s="15"/>
      <c r="X9731" s="3"/>
      <c r="Z9731" s="28"/>
    </row>
    <row r="9732" spans="2:26">
      <c r="B9732" s="2"/>
      <c r="N9732" s="27"/>
      <c r="R9732" s="15"/>
      <c r="X9732" s="3"/>
      <c r="Z9732" s="28"/>
    </row>
    <row r="9733" spans="2:26">
      <c r="B9733" s="2"/>
      <c r="N9733" s="27"/>
      <c r="R9733" s="15"/>
      <c r="X9733" s="3"/>
      <c r="Z9733" s="28"/>
    </row>
    <row r="9734" spans="2:26">
      <c r="B9734" s="2"/>
      <c r="N9734" s="27"/>
      <c r="R9734" s="15"/>
      <c r="X9734" s="3"/>
      <c r="Z9734" s="28"/>
    </row>
    <row r="9735" spans="2:26">
      <c r="B9735" s="2"/>
      <c r="N9735" s="27"/>
      <c r="R9735" s="15"/>
      <c r="X9735" s="3"/>
      <c r="Z9735" s="28"/>
    </row>
    <row r="9736" spans="2:26">
      <c r="B9736" s="2"/>
      <c r="N9736" s="27"/>
      <c r="R9736" s="15"/>
      <c r="X9736" s="3"/>
      <c r="Z9736" s="28"/>
    </row>
    <row r="9737" spans="2:26">
      <c r="B9737" s="2"/>
      <c r="N9737" s="27"/>
      <c r="R9737" s="15"/>
      <c r="X9737" s="3"/>
      <c r="Z9737" s="28"/>
    </row>
    <row r="9738" spans="2:26">
      <c r="B9738" s="2"/>
      <c r="N9738" s="27"/>
      <c r="R9738" s="15"/>
      <c r="X9738" s="3"/>
      <c r="Z9738" s="28"/>
    </row>
    <row r="9739" spans="2:26">
      <c r="B9739" s="2"/>
      <c r="N9739" s="27"/>
      <c r="R9739" s="15"/>
      <c r="X9739" s="3"/>
      <c r="Z9739" s="28"/>
    </row>
    <row r="9740" spans="2:26">
      <c r="B9740" s="2"/>
      <c r="N9740" s="27"/>
      <c r="R9740" s="15"/>
      <c r="X9740" s="3"/>
      <c r="Z9740" s="28"/>
    </row>
    <row r="9741" spans="2:26">
      <c r="B9741" s="2"/>
      <c r="N9741" s="27"/>
      <c r="R9741" s="15"/>
      <c r="X9741" s="3"/>
      <c r="Z9741" s="28"/>
    </row>
    <row r="9742" spans="2:26">
      <c r="B9742" s="2"/>
      <c r="N9742" s="27"/>
      <c r="R9742" s="15"/>
      <c r="X9742" s="3"/>
      <c r="Z9742" s="28"/>
    </row>
    <row r="9743" spans="2:26">
      <c r="B9743" s="2"/>
      <c r="N9743" s="27"/>
      <c r="R9743" s="15"/>
      <c r="X9743" s="3"/>
      <c r="Z9743" s="28"/>
    </row>
    <row r="9744" spans="2:26">
      <c r="B9744" s="2"/>
      <c r="N9744" s="27"/>
      <c r="R9744" s="15"/>
      <c r="X9744" s="3"/>
      <c r="Z9744" s="28"/>
    </row>
    <row r="9745" spans="2:26">
      <c r="B9745" s="2"/>
      <c r="N9745" s="27"/>
      <c r="R9745" s="15"/>
      <c r="X9745" s="3"/>
      <c r="Z9745" s="28"/>
    </row>
    <row r="9746" spans="2:26">
      <c r="B9746" s="2"/>
      <c r="N9746" s="27"/>
      <c r="R9746" s="15"/>
      <c r="X9746" s="3"/>
      <c r="Z9746" s="28"/>
    </row>
    <row r="9747" spans="2:26">
      <c r="B9747" s="2"/>
      <c r="N9747" s="27"/>
      <c r="R9747" s="15"/>
      <c r="X9747" s="3"/>
      <c r="Z9747" s="28"/>
    </row>
    <row r="9748" spans="2:26">
      <c r="B9748" s="2"/>
      <c r="N9748" s="27"/>
      <c r="R9748" s="15"/>
      <c r="X9748" s="3"/>
      <c r="Z9748" s="28"/>
    </row>
    <row r="9749" spans="2:26">
      <c r="B9749" s="2"/>
      <c r="N9749" s="27"/>
      <c r="R9749" s="15"/>
      <c r="X9749" s="3"/>
      <c r="Z9749" s="28"/>
    </row>
    <row r="9750" spans="2:26">
      <c r="B9750" s="2"/>
      <c r="N9750" s="27"/>
      <c r="R9750" s="15"/>
      <c r="X9750" s="3"/>
      <c r="Z9750" s="28"/>
    </row>
    <row r="9751" spans="2:26">
      <c r="B9751" s="2"/>
      <c r="N9751" s="27"/>
      <c r="R9751" s="15"/>
      <c r="X9751" s="3"/>
      <c r="Z9751" s="28"/>
    </row>
    <row r="9752" spans="2:26">
      <c r="B9752" s="2"/>
      <c r="N9752" s="27"/>
      <c r="R9752" s="15"/>
      <c r="X9752" s="3"/>
      <c r="Z9752" s="28"/>
    </row>
    <row r="9753" spans="2:26">
      <c r="B9753" s="2"/>
      <c r="N9753" s="27"/>
      <c r="R9753" s="15"/>
      <c r="X9753" s="3"/>
      <c r="Z9753" s="28"/>
    </row>
    <row r="9754" spans="2:26">
      <c r="B9754" s="2"/>
      <c r="N9754" s="27"/>
      <c r="R9754" s="15"/>
      <c r="X9754" s="3"/>
      <c r="Z9754" s="28"/>
    </row>
    <row r="9755" spans="2:26">
      <c r="B9755" s="2"/>
      <c r="N9755" s="27"/>
      <c r="R9755" s="15"/>
      <c r="X9755" s="3"/>
      <c r="Z9755" s="28"/>
    </row>
    <row r="9756" spans="2:26">
      <c r="B9756" s="2"/>
      <c r="N9756" s="27"/>
      <c r="R9756" s="15"/>
      <c r="X9756" s="3"/>
      <c r="Z9756" s="28"/>
    </row>
    <row r="9757" spans="2:26">
      <c r="B9757" s="2"/>
      <c r="N9757" s="27"/>
      <c r="R9757" s="15"/>
      <c r="X9757" s="3"/>
      <c r="Z9757" s="28"/>
    </row>
    <row r="9758" spans="2:26">
      <c r="B9758" s="2"/>
      <c r="N9758" s="27"/>
      <c r="R9758" s="15"/>
      <c r="X9758" s="3"/>
      <c r="Z9758" s="28"/>
    </row>
    <row r="9759" spans="2:26">
      <c r="B9759" s="2"/>
      <c r="N9759" s="27"/>
      <c r="R9759" s="15"/>
      <c r="X9759" s="3"/>
      <c r="Z9759" s="28"/>
    </row>
    <row r="9760" spans="2:26">
      <c r="B9760" s="2"/>
      <c r="N9760" s="27"/>
      <c r="R9760" s="15"/>
      <c r="X9760" s="3"/>
      <c r="Z9760" s="28"/>
    </row>
    <row r="9761" spans="2:26">
      <c r="B9761" s="2"/>
      <c r="N9761" s="27"/>
      <c r="R9761" s="15"/>
      <c r="X9761" s="3"/>
      <c r="Z9761" s="28"/>
    </row>
    <row r="9762" spans="2:26">
      <c r="B9762" s="2"/>
      <c r="N9762" s="27"/>
      <c r="R9762" s="15"/>
      <c r="X9762" s="3"/>
      <c r="Z9762" s="28"/>
    </row>
    <row r="9763" spans="2:26">
      <c r="B9763" s="2"/>
      <c r="N9763" s="27"/>
      <c r="R9763" s="15"/>
      <c r="X9763" s="3"/>
      <c r="Z9763" s="28"/>
    </row>
    <row r="9764" spans="2:26">
      <c r="B9764" s="2"/>
      <c r="N9764" s="27"/>
      <c r="R9764" s="15"/>
      <c r="X9764" s="3"/>
      <c r="Z9764" s="28"/>
    </row>
    <row r="9765" spans="2:26">
      <c r="B9765" s="2"/>
      <c r="N9765" s="27"/>
      <c r="R9765" s="15"/>
      <c r="X9765" s="3"/>
      <c r="Z9765" s="28"/>
    </row>
    <row r="9766" spans="2:26">
      <c r="B9766" s="2"/>
      <c r="N9766" s="27"/>
      <c r="R9766" s="15"/>
      <c r="X9766" s="3"/>
      <c r="Z9766" s="28"/>
    </row>
    <row r="9767" spans="2:26">
      <c r="B9767" s="2"/>
      <c r="N9767" s="27"/>
      <c r="R9767" s="15"/>
      <c r="X9767" s="3"/>
      <c r="Z9767" s="28"/>
    </row>
    <row r="9768" spans="2:26">
      <c r="B9768" s="2"/>
      <c r="N9768" s="27"/>
      <c r="R9768" s="15"/>
      <c r="X9768" s="3"/>
      <c r="Z9768" s="28"/>
    </row>
    <row r="9769" spans="2:26">
      <c r="B9769" s="2"/>
      <c r="N9769" s="27"/>
      <c r="R9769" s="15"/>
      <c r="X9769" s="3"/>
      <c r="Z9769" s="28"/>
    </row>
    <row r="9770" spans="2:26">
      <c r="B9770" s="2"/>
      <c r="N9770" s="27"/>
      <c r="R9770" s="15"/>
      <c r="X9770" s="3"/>
      <c r="Z9770" s="28"/>
    </row>
    <row r="9771" spans="2:26">
      <c r="B9771" s="2"/>
      <c r="N9771" s="27"/>
      <c r="R9771" s="15"/>
      <c r="X9771" s="3"/>
      <c r="Z9771" s="28"/>
    </row>
    <row r="9772" spans="2:26">
      <c r="B9772" s="2"/>
      <c r="N9772" s="27"/>
      <c r="R9772" s="15"/>
      <c r="X9772" s="3"/>
      <c r="Z9772" s="28"/>
    </row>
    <row r="9773" spans="2:26">
      <c r="B9773" s="2"/>
      <c r="N9773" s="27"/>
      <c r="R9773" s="15"/>
      <c r="X9773" s="3"/>
      <c r="Z9773" s="28"/>
    </row>
    <row r="9774" spans="2:26">
      <c r="B9774" s="2"/>
      <c r="N9774" s="27"/>
      <c r="R9774" s="15"/>
      <c r="X9774" s="3"/>
      <c r="Z9774" s="28"/>
    </row>
    <row r="9775" spans="2:26">
      <c r="B9775" s="2"/>
      <c r="N9775" s="27"/>
      <c r="R9775" s="15"/>
      <c r="X9775" s="3"/>
      <c r="Z9775" s="28"/>
    </row>
    <row r="9776" spans="2:26">
      <c r="B9776" s="2"/>
      <c r="N9776" s="27"/>
      <c r="R9776" s="15"/>
      <c r="X9776" s="3"/>
      <c r="Z9776" s="28"/>
    </row>
    <row r="9777" spans="2:26">
      <c r="B9777" s="2"/>
      <c r="N9777" s="27"/>
      <c r="R9777" s="15"/>
      <c r="X9777" s="3"/>
      <c r="Z9777" s="28"/>
    </row>
    <row r="9778" spans="2:26">
      <c r="B9778" s="2"/>
      <c r="N9778" s="27"/>
      <c r="R9778" s="15"/>
      <c r="X9778" s="3"/>
      <c r="Z9778" s="28"/>
    </row>
    <row r="9779" spans="2:26">
      <c r="B9779" s="2"/>
      <c r="N9779" s="27"/>
      <c r="R9779" s="15"/>
      <c r="X9779" s="3"/>
      <c r="Z9779" s="28"/>
    </row>
    <row r="9780" spans="2:26">
      <c r="B9780" s="2"/>
      <c r="N9780" s="27"/>
      <c r="R9780" s="15"/>
      <c r="X9780" s="3"/>
      <c r="Z9780" s="28"/>
    </row>
    <row r="9781" spans="2:26">
      <c r="B9781" s="2"/>
      <c r="N9781" s="27"/>
      <c r="R9781" s="15"/>
      <c r="X9781" s="3"/>
      <c r="Z9781" s="28"/>
    </row>
    <row r="9782" spans="2:26">
      <c r="B9782" s="2"/>
      <c r="N9782" s="27"/>
      <c r="R9782" s="15"/>
      <c r="X9782" s="3"/>
      <c r="Z9782" s="28"/>
    </row>
    <row r="9783" spans="2:26">
      <c r="B9783" s="2"/>
      <c r="N9783" s="27"/>
      <c r="R9783" s="15"/>
      <c r="X9783" s="3"/>
      <c r="Z9783" s="28"/>
    </row>
    <row r="9784" spans="2:26">
      <c r="B9784" s="2"/>
      <c r="N9784" s="27"/>
      <c r="R9784" s="15"/>
      <c r="X9784" s="3"/>
      <c r="Z9784" s="28"/>
    </row>
    <row r="9785" spans="2:26">
      <c r="B9785" s="2"/>
      <c r="N9785" s="27"/>
      <c r="R9785" s="15"/>
      <c r="X9785" s="3"/>
      <c r="Z9785" s="28"/>
    </row>
    <row r="9786" spans="2:26">
      <c r="B9786" s="2"/>
      <c r="N9786" s="27"/>
      <c r="R9786" s="15"/>
      <c r="X9786" s="3"/>
      <c r="Z9786" s="28"/>
    </row>
    <row r="9787" spans="2:26">
      <c r="B9787" s="2"/>
      <c r="N9787" s="27"/>
      <c r="R9787" s="15"/>
      <c r="X9787" s="3"/>
      <c r="Z9787" s="28"/>
    </row>
    <row r="9788" spans="2:26">
      <c r="B9788" s="2"/>
      <c r="N9788" s="27"/>
      <c r="R9788" s="15"/>
      <c r="X9788" s="3"/>
      <c r="Z9788" s="28"/>
    </row>
    <row r="9789" spans="2:26">
      <c r="B9789" s="2"/>
      <c r="N9789" s="27"/>
      <c r="R9789" s="15"/>
      <c r="X9789" s="3"/>
      <c r="Z9789" s="28"/>
    </row>
    <row r="9790" spans="2:26">
      <c r="B9790" s="2"/>
      <c r="N9790" s="27"/>
      <c r="R9790" s="15"/>
      <c r="X9790" s="3"/>
      <c r="Z9790" s="28"/>
    </row>
    <row r="9791" spans="2:26">
      <c r="B9791" s="2"/>
      <c r="N9791" s="27"/>
      <c r="R9791" s="15"/>
      <c r="X9791" s="3"/>
      <c r="Z9791" s="28"/>
    </row>
    <row r="9792" spans="2:26">
      <c r="B9792" s="2"/>
      <c r="N9792" s="27"/>
      <c r="R9792" s="15"/>
      <c r="X9792" s="3"/>
      <c r="Z9792" s="28"/>
    </row>
    <row r="9793" spans="2:26">
      <c r="B9793" s="2"/>
      <c r="N9793" s="27"/>
      <c r="R9793" s="15"/>
      <c r="X9793" s="3"/>
      <c r="Z9793" s="28"/>
    </row>
    <row r="9794" spans="2:26">
      <c r="B9794" s="2"/>
      <c r="N9794" s="27"/>
      <c r="R9794" s="15"/>
      <c r="X9794" s="3"/>
      <c r="Z9794" s="28"/>
    </row>
    <row r="9795" spans="2:26">
      <c r="B9795" s="2"/>
      <c r="N9795" s="27"/>
      <c r="R9795" s="15"/>
      <c r="X9795" s="3"/>
      <c r="Z9795" s="28"/>
    </row>
    <row r="9796" spans="2:26">
      <c r="B9796" s="2"/>
      <c r="N9796" s="27"/>
      <c r="R9796" s="15"/>
      <c r="X9796" s="3"/>
      <c r="Z9796" s="28"/>
    </row>
    <row r="9797" spans="2:26">
      <c r="B9797" s="2"/>
      <c r="N9797" s="27"/>
      <c r="R9797" s="15"/>
      <c r="X9797" s="3"/>
      <c r="Z9797" s="28"/>
    </row>
    <row r="9798" spans="2:26">
      <c r="B9798" s="2"/>
      <c r="N9798" s="27"/>
      <c r="R9798" s="15"/>
      <c r="X9798" s="3"/>
      <c r="Z9798" s="28"/>
    </row>
    <row r="9799" spans="2:26">
      <c r="B9799" s="2"/>
      <c r="N9799" s="27"/>
      <c r="R9799" s="15"/>
      <c r="X9799" s="3"/>
      <c r="Z9799" s="28"/>
    </row>
    <row r="9800" spans="2:26">
      <c r="B9800" s="2"/>
      <c r="N9800" s="27"/>
      <c r="R9800" s="15"/>
      <c r="X9800" s="3"/>
      <c r="Z9800" s="28"/>
    </row>
    <row r="9801" spans="2:26">
      <c r="B9801" s="2"/>
      <c r="N9801" s="27"/>
      <c r="R9801" s="15"/>
      <c r="X9801" s="3"/>
      <c r="Z9801" s="28"/>
    </row>
    <row r="9802" spans="2:26">
      <c r="B9802" s="2"/>
      <c r="N9802" s="27"/>
      <c r="R9802" s="15"/>
      <c r="X9802" s="3"/>
      <c r="Z9802" s="28"/>
    </row>
    <row r="9803" spans="2:26">
      <c r="B9803" s="2"/>
      <c r="N9803" s="27"/>
      <c r="R9803" s="15"/>
      <c r="X9803" s="3"/>
      <c r="Z9803" s="28"/>
    </row>
    <row r="9804" spans="2:26">
      <c r="B9804" s="2"/>
      <c r="N9804" s="27"/>
      <c r="R9804" s="15"/>
      <c r="X9804" s="3"/>
      <c r="Z9804" s="28"/>
    </row>
    <row r="9805" spans="2:26">
      <c r="B9805" s="2"/>
      <c r="N9805" s="27"/>
      <c r="R9805" s="15"/>
      <c r="X9805" s="3"/>
      <c r="Z9805" s="28"/>
    </row>
    <row r="9806" spans="2:26">
      <c r="B9806" s="2"/>
      <c r="N9806" s="27"/>
      <c r="R9806" s="15"/>
      <c r="X9806" s="3"/>
      <c r="Z9806" s="28"/>
    </row>
    <row r="9807" spans="2:26">
      <c r="B9807" s="2"/>
      <c r="N9807" s="27"/>
      <c r="R9807" s="15"/>
      <c r="X9807" s="3"/>
      <c r="Z9807" s="28"/>
    </row>
    <row r="9808" spans="2:26">
      <c r="B9808" s="2"/>
      <c r="N9808" s="27"/>
      <c r="R9808" s="15"/>
      <c r="X9808" s="3"/>
      <c r="Z9808" s="28"/>
    </row>
    <row r="9809" spans="2:26">
      <c r="B9809" s="2"/>
      <c r="N9809" s="27"/>
      <c r="R9809" s="15"/>
      <c r="X9809" s="3"/>
      <c r="Z9809" s="28"/>
    </row>
    <row r="9810" spans="2:26">
      <c r="B9810" s="2"/>
      <c r="N9810" s="27"/>
      <c r="R9810" s="15"/>
      <c r="X9810" s="3"/>
      <c r="Z9810" s="28"/>
    </row>
    <row r="9811" spans="2:26">
      <c r="B9811" s="2"/>
      <c r="N9811" s="27"/>
      <c r="R9811" s="15"/>
      <c r="X9811" s="3"/>
      <c r="Z9811" s="28"/>
    </row>
    <row r="9812" spans="2:26">
      <c r="B9812" s="2"/>
      <c r="N9812" s="27"/>
      <c r="R9812" s="15"/>
      <c r="X9812" s="3"/>
      <c r="Z9812" s="28"/>
    </row>
    <row r="9813" spans="2:26">
      <c r="B9813" s="2"/>
      <c r="N9813" s="27"/>
      <c r="R9813" s="15"/>
      <c r="X9813" s="3"/>
      <c r="Z9813" s="28"/>
    </row>
    <row r="9814" spans="2:26">
      <c r="B9814" s="2"/>
      <c r="N9814" s="27"/>
      <c r="R9814" s="15"/>
      <c r="X9814" s="3"/>
      <c r="Z9814" s="28"/>
    </row>
    <row r="9815" spans="2:26">
      <c r="B9815" s="2"/>
      <c r="N9815" s="27"/>
      <c r="R9815" s="15"/>
      <c r="X9815" s="3"/>
      <c r="Z9815" s="28"/>
    </row>
    <row r="9816" spans="2:26">
      <c r="B9816" s="2"/>
      <c r="N9816" s="27"/>
      <c r="R9816" s="15"/>
      <c r="X9816" s="3"/>
      <c r="Z9816" s="28"/>
    </row>
    <row r="9817" spans="2:26">
      <c r="B9817" s="2"/>
      <c r="N9817" s="27"/>
      <c r="R9817" s="15"/>
      <c r="X9817" s="3"/>
      <c r="Z9817" s="28"/>
    </row>
    <row r="9818" spans="2:26">
      <c r="B9818" s="2"/>
      <c r="N9818" s="27"/>
      <c r="R9818" s="15"/>
      <c r="X9818" s="3"/>
      <c r="Z9818" s="28"/>
    </row>
    <row r="9819" spans="2:26">
      <c r="B9819" s="2"/>
      <c r="N9819" s="27"/>
      <c r="R9819" s="15"/>
      <c r="X9819" s="3"/>
      <c r="Z9819" s="28"/>
    </row>
    <row r="9820" spans="2:26">
      <c r="B9820" s="2"/>
      <c r="N9820" s="27"/>
      <c r="R9820" s="15"/>
      <c r="X9820" s="3"/>
      <c r="Z9820" s="28"/>
    </row>
    <row r="9821" spans="2:26">
      <c r="B9821" s="2"/>
      <c r="N9821" s="27"/>
      <c r="R9821" s="15"/>
      <c r="X9821" s="3"/>
      <c r="Z9821" s="28"/>
    </row>
    <row r="9822" spans="2:26">
      <c r="B9822" s="2"/>
      <c r="N9822" s="27"/>
      <c r="R9822" s="15"/>
      <c r="X9822" s="3"/>
      <c r="Z9822" s="28"/>
    </row>
    <row r="9823" spans="2:26">
      <c r="B9823" s="2"/>
      <c r="N9823" s="27"/>
      <c r="R9823" s="15"/>
      <c r="X9823" s="3"/>
      <c r="Z9823" s="28"/>
    </row>
    <row r="9824" spans="2:26">
      <c r="B9824" s="2"/>
      <c r="N9824" s="27"/>
      <c r="R9824" s="15"/>
      <c r="X9824" s="3"/>
      <c r="Z9824" s="28"/>
    </row>
    <row r="9825" spans="2:26">
      <c r="B9825" s="2"/>
      <c r="N9825" s="27"/>
      <c r="R9825" s="15"/>
      <c r="X9825" s="3"/>
      <c r="Z9825" s="28"/>
    </row>
    <row r="9826" spans="2:26">
      <c r="B9826" s="2"/>
      <c r="N9826" s="27"/>
      <c r="R9826" s="15"/>
      <c r="X9826" s="3"/>
      <c r="Z9826" s="28"/>
    </row>
    <row r="9827" spans="2:26">
      <c r="B9827" s="2"/>
      <c r="N9827" s="27"/>
      <c r="R9827" s="15"/>
      <c r="X9827" s="3"/>
      <c r="Z9827" s="28"/>
    </row>
    <row r="9828" spans="2:26">
      <c r="B9828" s="2"/>
      <c r="N9828" s="27"/>
      <c r="R9828" s="15"/>
      <c r="X9828" s="3"/>
      <c r="Z9828" s="28"/>
    </row>
    <row r="9829" spans="2:26">
      <c r="B9829" s="2"/>
      <c r="N9829" s="27"/>
      <c r="R9829" s="15"/>
      <c r="X9829" s="3"/>
      <c r="Z9829" s="28"/>
    </row>
    <row r="9830" spans="2:26">
      <c r="B9830" s="2"/>
      <c r="N9830" s="27"/>
      <c r="R9830" s="15"/>
      <c r="X9830" s="3"/>
      <c r="Z9830" s="28"/>
    </row>
    <row r="9831" spans="2:26">
      <c r="B9831" s="2"/>
      <c r="N9831" s="27"/>
      <c r="R9831" s="15"/>
      <c r="X9831" s="3"/>
      <c r="Z9831" s="28"/>
    </row>
    <row r="9832" spans="2:26">
      <c r="B9832" s="2"/>
      <c r="N9832" s="27"/>
      <c r="R9832" s="15"/>
      <c r="X9832" s="3"/>
      <c r="Z9832" s="28"/>
    </row>
    <row r="9833" spans="2:26">
      <c r="B9833" s="2"/>
      <c r="N9833" s="27"/>
      <c r="R9833" s="15"/>
      <c r="X9833" s="3"/>
      <c r="Z9833" s="28"/>
    </row>
    <row r="9834" spans="2:26">
      <c r="B9834" s="2"/>
      <c r="N9834" s="27"/>
      <c r="R9834" s="15"/>
      <c r="X9834" s="3"/>
      <c r="Z9834" s="28"/>
    </row>
    <row r="9835" spans="2:26">
      <c r="B9835" s="2"/>
      <c r="N9835" s="27"/>
      <c r="R9835" s="15"/>
      <c r="X9835" s="3"/>
      <c r="Z9835" s="28"/>
    </row>
    <row r="9836" spans="2:26">
      <c r="B9836" s="2"/>
      <c r="N9836" s="27"/>
      <c r="R9836" s="15"/>
      <c r="X9836" s="3"/>
      <c r="Z9836" s="28"/>
    </row>
    <row r="9837" spans="2:26">
      <c r="B9837" s="2"/>
      <c r="N9837" s="27"/>
      <c r="R9837" s="15"/>
      <c r="X9837" s="3"/>
      <c r="Z9837" s="28"/>
    </row>
    <row r="9838" spans="2:26">
      <c r="B9838" s="2"/>
      <c r="N9838" s="27"/>
      <c r="R9838" s="15"/>
      <c r="X9838" s="3"/>
      <c r="Z9838" s="28"/>
    </row>
    <row r="9839" spans="2:26">
      <c r="B9839" s="2"/>
      <c r="N9839" s="27"/>
      <c r="R9839" s="15"/>
      <c r="X9839" s="3"/>
      <c r="Z9839" s="28"/>
    </row>
    <row r="9840" spans="2:26">
      <c r="B9840" s="2"/>
      <c r="N9840" s="27"/>
      <c r="R9840" s="15"/>
      <c r="X9840" s="3"/>
      <c r="Z9840" s="28"/>
    </row>
    <row r="9841" spans="2:26">
      <c r="B9841" s="2"/>
      <c r="N9841" s="27"/>
      <c r="R9841" s="15"/>
      <c r="X9841" s="3"/>
      <c r="Z9841" s="28"/>
    </row>
    <row r="9842" spans="2:26">
      <c r="B9842" s="2"/>
      <c r="N9842" s="27"/>
      <c r="R9842" s="15"/>
      <c r="X9842" s="3"/>
      <c r="Z9842" s="28"/>
    </row>
    <row r="9843" spans="2:26">
      <c r="B9843" s="2"/>
      <c r="N9843" s="27"/>
      <c r="R9843" s="15"/>
      <c r="X9843" s="3"/>
      <c r="Z9843" s="28"/>
    </row>
    <row r="9844" spans="2:26">
      <c r="B9844" s="2"/>
      <c r="N9844" s="27"/>
      <c r="R9844" s="15"/>
      <c r="X9844" s="3"/>
      <c r="Z9844" s="28"/>
    </row>
    <row r="9845" spans="2:26">
      <c r="B9845" s="2"/>
      <c r="N9845" s="27"/>
      <c r="R9845" s="15"/>
      <c r="X9845" s="3"/>
      <c r="Z9845" s="28"/>
    </row>
    <row r="9846" spans="2:26">
      <c r="B9846" s="2"/>
      <c r="N9846" s="27"/>
      <c r="R9846" s="15"/>
      <c r="X9846" s="3"/>
      <c r="Z9846" s="28"/>
    </row>
    <row r="9847" spans="2:26">
      <c r="B9847" s="2"/>
      <c r="N9847" s="27"/>
      <c r="R9847" s="15"/>
      <c r="X9847" s="3"/>
      <c r="Z9847" s="28"/>
    </row>
    <row r="9848" spans="2:26">
      <c r="B9848" s="2"/>
      <c r="N9848" s="27"/>
      <c r="R9848" s="15"/>
      <c r="X9848" s="3"/>
      <c r="Z9848" s="28"/>
    </row>
    <row r="9849" spans="2:26">
      <c r="B9849" s="2"/>
      <c r="N9849" s="27"/>
      <c r="R9849" s="15"/>
      <c r="X9849" s="3"/>
      <c r="Z9849" s="28"/>
    </row>
    <row r="9850" spans="2:26">
      <c r="B9850" s="2"/>
      <c r="N9850" s="27"/>
      <c r="R9850" s="15"/>
      <c r="X9850" s="3"/>
      <c r="Z9850" s="28"/>
    </row>
    <row r="9851" spans="2:26">
      <c r="B9851" s="2"/>
      <c r="N9851" s="27"/>
      <c r="R9851" s="15"/>
      <c r="X9851" s="3"/>
      <c r="Z9851" s="28"/>
    </row>
    <row r="9852" spans="2:26">
      <c r="B9852" s="2"/>
      <c r="N9852" s="27"/>
      <c r="R9852" s="15"/>
      <c r="X9852" s="3"/>
      <c r="Z9852" s="28"/>
    </row>
    <row r="9853" spans="2:26">
      <c r="B9853" s="2"/>
      <c r="N9853" s="27"/>
      <c r="R9853" s="15"/>
      <c r="X9853" s="3"/>
      <c r="Z9853" s="28"/>
    </row>
    <row r="9854" spans="2:26">
      <c r="B9854" s="2"/>
      <c r="N9854" s="27"/>
      <c r="R9854" s="15"/>
      <c r="X9854" s="3"/>
      <c r="Z9854" s="28"/>
    </row>
    <row r="9855" spans="2:26">
      <c r="B9855" s="2"/>
      <c r="N9855" s="27"/>
      <c r="R9855" s="15"/>
      <c r="X9855" s="3"/>
      <c r="Z9855" s="28"/>
    </row>
    <row r="9856" spans="2:26">
      <c r="B9856" s="2"/>
      <c r="N9856" s="27"/>
      <c r="R9856" s="15"/>
      <c r="X9856" s="3"/>
      <c r="Z9856" s="28"/>
    </row>
    <row r="9857" spans="2:26">
      <c r="B9857" s="2"/>
      <c r="N9857" s="27"/>
      <c r="R9857" s="15"/>
      <c r="X9857" s="3"/>
      <c r="Z9857" s="28"/>
    </row>
    <row r="9858" spans="2:26">
      <c r="B9858" s="2"/>
      <c r="N9858" s="27"/>
      <c r="R9858" s="15"/>
      <c r="X9858" s="3"/>
      <c r="Z9858" s="28"/>
    </row>
    <row r="9859" spans="2:26">
      <c r="B9859" s="2"/>
      <c r="N9859" s="27"/>
      <c r="R9859" s="15"/>
      <c r="X9859" s="3"/>
      <c r="Z9859" s="28"/>
    </row>
    <row r="9860" spans="2:26">
      <c r="B9860" s="2"/>
      <c r="N9860" s="27"/>
      <c r="R9860" s="15"/>
      <c r="X9860" s="3"/>
      <c r="Z9860" s="28"/>
    </row>
    <row r="9861" spans="2:26">
      <c r="B9861" s="2"/>
      <c r="N9861" s="27"/>
      <c r="R9861" s="15"/>
      <c r="X9861" s="3"/>
      <c r="Z9861" s="28"/>
    </row>
    <row r="9862" spans="2:26">
      <c r="B9862" s="2"/>
      <c r="N9862" s="27"/>
      <c r="R9862" s="15"/>
      <c r="X9862" s="3"/>
      <c r="Z9862" s="28"/>
    </row>
    <row r="9863" spans="2:26">
      <c r="B9863" s="2"/>
      <c r="N9863" s="27"/>
      <c r="R9863" s="15"/>
      <c r="X9863" s="3"/>
      <c r="Z9863" s="28"/>
    </row>
    <row r="9864" spans="2:26">
      <c r="B9864" s="2"/>
      <c r="N9864" s="27"/>
      <c r="R9864" s="15"/>
      <c r="X9864" s="3"/>
      <c r="Z9864" s="28"/>
    </row>
    <row r="9865" spans="2:26">
      <c r="B9865" s="2"/>
      <c r="N9865" s="27"/>
      <c r="R9865" s="15"/>
      <c r="X9865" s="3"/>
      <c r="Z9865" s="28"/>
    </row>
    <row r="9866" spans="2:26">
      <c r="B9866" s="2"/>
      <c r="N9866" s="27"/>
      <c r="R9866" s="15"/>
      <c r="X9866" s="3"/>
      <c r="Z9866" s="28"/>
    </row>
    <row r="9867" spans="2:26">
      <c r="B9867" s="2"/>
      <c r="N9867" s="27"/>
      <c r="R9867" s="15"/>
      <c r="X9867" s="3"/>
      <c r="Z9867" s="28"/>
    </row>
    <row r="9868" spans="2:26">
      <c r="B9868" s="2"/>
      <c r="N9868" s="27"/>
      <c r="R9868" s="15"/>
      <c r="X9868" s="3"/>
      <c r="Z9868" s="28"/>
    </row>
    <row r="9869" spans="2:26">
      <c r="B9869" s="2"/>
      <c r="N9869" s="27"/>
      <c r="R9869" s="15"/>
      <c r="X9869" s="3"/>
      <c r="Z9869" s="28"/>
    </row>
    <row r="9870" spans="2:26">
      <c r="B9870" s="2"/>
      <c r="N9870" s="27"/>
      <c r="R9870" s="15"/>
      <c r="X9870" s="3"/>
      <c r="Z9870" s="28"/>
    </row>
    <row r="9871" spans="2:26">
      <c r="B9871" s="2"/>
      <c r="N9871" s="27"/>
      <c r="R9871" s="15"/>
      <c r="X9871" s="3"/>
      <c r="Z9871" s="28"/>
    </row>
    <row r="9872" spans="2:26">
      <c r="B9872" s="2"/>
      <c r="N9872" s="27"/>
      <c r="R9872" s="15"/>
      <c r="X9872" s="3"/>
      <c r="Z9872" s="28"/>
    </row>
    <row r="9873" spans="2:26">
      <c r="B9873" s="2"/>
      <c r="N9873" s="27"/>
      <c r="R9873" s="15"/>
      <c r="X9873" s="3"/>
      <c r="Z9873" s="28"/>
    </row>
    <row r="9874" spans="2:26">
      <c r="B9874" s="2"/>
      <c r="N9874" s="27"/>
      <c r="R9874" s="15"/>
      <c r="X9874" s="3"/>
      <c r="Z9874" s="28"/>
    </row>
    <row r="9875" spans="2:26">
      <c r="B9875" s="2"/>
      <c r="N9875" s="27"/>
      <c r="R9875" s="15"/>
      <c r="X9875" s="3"/>
      <c r="Z9875" s="28"/>
    </row>
    <row r="9876" spans="2:26">
      <c r="B9876" s="2"/>
      <c r="N9876" s="27"/>
      <c r="R9876" s="15"/>
      <c r="X9876" s="3"/>
      <c r="Z9876" s="28"/>
    </row>
    <row r="9877" spans="2:26">
      <c r="B9877" s="2"/>
      <c r="N9877" s="27"/>
      <c r="R9877" s="15"/>
      <c r="X9877" s="3"/>
      <c r="Z9877" s="28"/>
    </row>
    <row r="9878" spans="2:26">
      <c r="B9878" s="2"/>
      <c r="N9878" s="27"/>
      <c r="R9878" s="15"/>
      <c r="X9878" s="3"/>
      <c r="Z9878" s="28"/>
    </row>
    <row r="9879" spans="2:26">
      <c r="B9879" s="2"/>
      <c r="N9879" s="27"/>
      <c r="R9879" s="15"/>
      <c r="X9879" s="3"/>
      <c r="Z9879" s="28"/>
    </row>
    <row r="9880" spans="2:26">
      <c r="B9880" s="2"/>
      <c r="N9880" s="27"/>
      <c r="R9880" s="15"/>
      <c r="X9880" s="3"/>
      <c r="Z9880" s="28"/>
    </row>
    <row r="9881" spans="2:26">
      <c r="B9881" s="2"/>
      <c r="N9881" s="27"/>
      <c r="R9881" s="15"/>
      <c r="X9881" s="3"/>
      <c r="Z9881" s="28"/>
    </row>
    <row r="9882" spans="2:26">
      <c r="B9882" s="2"/>
      <c r="N9882" s="27"/>
      <c r="R9882" s="15"/>
      <c r="X9882" s="3"/>
      <c r="Z9882" s="28"/>
    </row>
    <row r="9883" spans="2:26">
      <c r="B9883" s="2"/>
      <c r="N9883" s="27"/>
      <c r="R9883" s="15"/>
      <c r="X9883" s="3"/>
      <c r="Z9883" s="28"/>
    </row>
    <row r="9884" spans="2:26">
      <c r="B9884" s="2"/>
      <c r="N9884" s="27"/>
      <c r="R9884" s="15"/>
      <c r="X9884" s="3"/>
      <c r="Z9884" s="28"/>
    </row>
    <row r="9885" spans="2:26">
      <c r="B9885" s="2"/>
      <c r="N9885" s="27"/>
      <c r="R9885" s="15"/>
      <c r="X9885" s="3"/>
      <c r="Z9885" s="28"/>
    </row>
    <row r="9886" spans="2:26">
      <c r="B9886" s="2"/>
      <c r="N9886" s="27"/>
      <c r="R9886" s="15"/>
      <c r="X9886" s="3"/>
      <c r="Z9886" s="28"/>
    </row>
    <row r="9887" spans="2:26">
      <c r="B9887" s="2"/>
      <c r="N9887" s="27"/>
      <c r="R9887" s="15"/>
      <c r="X9887" s="3"/>
      <c r="Z9887" s="28"/>
    </row>
    <row r="9888" spans="2:26">
      <c r="B9888" s="2"/>
      <c r="N9888" s="27"/>
      <c r="R9888" s="15"/>
      <c r="X9888" s="3"/>
      <c r="Z9888" s="28"/>
    </row>
    <row r="9889" spans="2:26">
      <c r="B9889" s="2"/>
      <c r="N9889" s="27"/>
      <c r="R9889" s="15"/>
      <c r="X9889" s="3"/>
      <c r="Z9889" s="28"/>
    </row>
    <row r="9890" spans="2:26">
      <c r="B9890" s="2"/>
      <c r="N9890" s="27"/>
      <c r="R9890" s="15"/>
      <c r="X9890" s="3"/>
      <c r="Z9890" s="28"/>
    </row>
    <row r="9891" spans="2:26">
      <c r="B9891" s="2"/>
      <c r="N9891" s="27"/>
      <c r="R9891" s="15"/>
      <c r="X9891" s="3"/>
      <c r="Z9891" s="28"/>
    </row>
    <row r="9892" spans="2:26">
      <c r="B9892" s="2"/>
      <c r="N9892" s="27"/>
      <c r="R9892" s="15"/>
      <c r="X9892" s="3"/>
      <c r="Z9892" s="28"/>
    </row>
    <row r="9893" spans="2:26">
      <c r="B9893" s="2"/>
      <c r="N9893" s="27"/>
      <c r="R9893" s="15"/>
      <c r="X9893" s="3"/>
      <c r="Z9893" s="28"/>
    </row>
    <row r="9894" spans="2:26">
      <c r="B9894" s="2"/>
      <c r="N9894" s="27"/>
      <c r="R9894" s="15"/>
      <c r="X9894" s="3"/>
      <c r="Z9894" s="28"/>
    </row>
    <row r="9895" spans="2:26">
      <c r="B9895" s="2"/>
      <c r="N9895" s="27"/>
      <c r="R9895" s="15"/>
      <c r="X9895" s="3"/>
      <c r="Z9895" s="28"/>
    </row>
    <row r="9896" spans="2:26">
      <c r="B9896" s="2"/>
      <c r="N9896" s="27"/>
      <c r="R9896" s="15"/>
      <c r="X9896" s="3"/>
      <c r="Z9896" s="28"/>
    </row>
    <row r="9897" spans="2:26">
      <c r="B9897" s="2"/>
      <c r="N9897" s="27"/>
      <c r="R9897" s="15"/>
      <c r="X9897" s="3"/>
      <c r="Z9897" s="28"/>
    </row>
    <row r="9898" spans="2:26">
      <c r="B9898" s="2"/>
      <c r="N9898" s="27"/>
      <c r="R9898" s="15"/>
      <c r="X9898" s="3"/>
      <c r="Z9898" s="28"/>
    </row>
    <row r="9899" spans="2:26">
      <c r="B9899" s="2"/>
      <c r="N9899" s="27"/>
      <c r="R9899" s="15"/>
      <c r="X9899" s="3"/>
      <c r="Z9899" s="28"/>
    </row>
    <row r="9900" spans="2:26">
      <c r="B9900" s="2"/>
      <c r="N9900" s="27"/>
      <c r="R9900" s="15"/>
      <c r="X9900" s="3"/>
      <c r="Z9900" s="28"/>
    </row>
    <row r="9901" spans="2:26">
      <c r="B9901" s="2"/>
      <c r="N9901" s="27"/>
      <c r="R9901" s="15"/>
      <c r="X9901" s="3"/>
      <c r="Z9901" s="28"/>
    </row>
    <row r="9902" spans="2:26">
      <c r="B9902" s="2"/>
      <c r="N9902" s="27"/>
      <c r="R9902" s="15"/>
      <c r="X9902" s="3"/>
      <c r="Z9902" s="28"/>
    </row>
    <row r="9903" spans="2:26">
      <c r="B9903" s="2"/>
      <c r="N9903" s="27"/>
      <c r="R9903" s="15"/>
      <c r="X9903" s="3"/>
      <c r="Z9903" s="28"/>
    </row>
    <row r="9904" spans="2:26">
      <c r="B9904" s="2"/>
      <c r="N9904" s="27"/>
      <c r="R9904" s="15"/>
      <c r="X9904" s="3"/>
      <c r="Z9904" s="28"/>
    </row>
    <row r="9905" spans="2:26">
      <c r="B9905" s="2"/>
      <c r="N9905" s="27"/>
      <c r="R9905" s="15"/>
      <c r="X9905" s="3"/>
      <c r="Z9905" s="28"/>
    </row>
    <row r="9906" spans="2:26">
      <c r="B9906" s="2"/>
      <c r="N9906" s="27"/>
      <c r="R9906" s="15"/>
      <c r="X9906" s="3"/>
      <c r="Z9906" s="28"/>
    </row>
    <row r="9907" spans="2:26">
      <c r="B9907" s="2"/>
      <c r="N9907" s="27"/>
      <c r="R9907" s="15"/>
      <c r="X9907" s="3"/>
      <c r="Z9907" s="28"/>
    </row>
    <row r="9908" spans="2:26">
      <c r="B9908" s="2"/>
      <c r="N9908" s="27"/>
      <c r="R9908" s="15"/>
      <c r="X9908" s="3"/>
      <c r="Z9908" s="28"/>
    </row>
    <row r="9909" spans="2:26">
      <c r="B9909" s="2"/>
      <c r="N9909" s="27"/>
      <c r="R9909" s="15"/>
      <c r="X9909" s="3"/>
      <c r="Z9909" s="28"/>
    </row>
    <row r="9910" spans="2:26">
      <c r="B9910" s="2"/>
      <c r="N9910" s="27"/>
      <c r="R9910" s="15"/>
      <c r="X9910" s="3"/>
      <c r="Z9910" s="28"/>
    </row>
    <row r="9911" spans="2:26">
      <c r="B9911" s="2"/>
      <c r="N9911" s="27"/>
      <c r="R9911" s="15"/>
      <c r="X9911" s="3"/>
      <c r="Z9911" s="28"/>
    </row>
    <row r="9912" spans="2:26">
      <c r="B9912" s="2"/>
      <c r="N9912" s="27"/>
      <c r="R9912" s="15"/>
      <c r="X9912" s="3"/>
      <c r="Z9912" s="28"/>
    </row>
    <row r="9913" spans="2:26">
      <c r="B9913" s="2"/>
      <c r="N9913" s="27"/>
      <c r="R9913" s="15"/>
      <c r="X9913" s="3"/>
      <c r="Z9913" s="28"/>
    </row>
    <row r="9914" spans="2:26">
      <c r="B9914" s="2"/>
      <c r="N9914" s="27"/>
      <c r="R9914" s="15"/>
      <c r="X9914" s="3"/>
      <c r="Z9914" s="28"/>
    </row>
    <row r="9915" spans="2:26">
      <c r="B9915" s="2"/>
      <c r="N9915" s="27"/>
      <c r="R9915" s="15"/>
      <c r="X9915" s="3"/>
      <c r="Z9915" s="28"/>
    </row>
    <row r="9916" spans="2:26">
      <c r="B9916" s="2"/>
      <c r="N9916" s="27"/>
      <c r="R9916" s="15"/>
      <c r="X9916" s="3"/>
      <c r="Z9916" s="28"/>
    </row>
    <row r="9917" spans="2:26">
      <c r="B9917" s="2"/>
      <c r="N9917" s="27"/>
      <c r="R9917" s="15"/>
      <c r="X9917" s="3"/>
      <c r="Z9917" s="28"/>
    </row>
    <row r="9918" spans="2:26">
      <c r="B9918" s="2"/>
      <c r="N9918" s="27"/>
      <c r="R9918" s="15"/>
      <c r="X9918" s="3"/>
      <c r="Z9918" s="28"/>
    </row>
    <row r="9919" spans="2:26">
      <c r="B9919" s="2"/>
      <c r="N9919" s="27"/>
      <c r="R9919" s="15"/>
      <c r="X9919" s="3"/>
      <c r="Z9919" s="28"/>
    </row>
    <row r="9920" spans="2:26">
      <c r="B9920" s="2"/>
      <c r="N9920" s="27"/>
      <c r="R9920" s="15"/>
      <c r="X9920" s="3"/>
      <c r="Z9920" s="28"/>
    </row>
    <row r="9921" spans="2:26">
      <c r="B9921" s="2"/>
      <c r="N9921" s="27"/>
      <c r="R9921" s="15"/>
      <c r="X9921" s="3"/>
      <c r="Z9921" s="28"/>
    </row>
    <row r="9922" spans="2:26">
      <c r="B9922" s="2"/>
      <c r="N9922" s="27"/>
      <c r="R9922" s="15"/>
      <c r="X9922" s="3"/>
      <c r="Z9922" s="28"/>
    </row>
    <row r="9923" spans="2:26">
      <c r="B9923" s="2"/>
      <c r="N9923" s="27"/>
      <c r="R9923" s="15"/>
      <c r="X9923" s="3"/>
      <c r="Z9923" s="28"/>
    </row>
    <row r="9924" spans="2:26">
      <c r="B9924" s="2"/>
      <c r="N9924" s="27"/>
      <c r="R9924" s="15"/>
      <c r="X9924" s="3"/>
      <c r="Z9924" s="28"/>
    </row>
    <row r="9925" spans="2:26">
      <c r="B9925" s="2"/>
      <c r="N9925" s="27"/>
      <c r="R9925" s="15"/>
      <c r="X9925" s="3"/>
      <c r="Z9925" s="28"/>
    </row>
    <row r="9926" spans="2:26">
      <c r="B9926" s="2"/>
      <c r="N9926" s="27"/>
      <c r="R9926" s="15"/>
      <c r="X9926" s="3"/>
      <c r="Z9926" s="28"/>
    </row>
    <row r="9927" spans="2:26">
      <c r="B9927" s="2"/>
      <c r="N9927" s="27"/>
      <c r="R9927" s="15"/>
      <c r="X9927" s="3"/>
      <c r="Z9927" s="28"/>
    </row>
    <row r="9928" spans="2:26">
      <c r="B9928" s="2"/>
      <c r="N9928" s="27"/>
      <c r="R9928" s="15"/>
      <c r="X9928" s="3"/>
      <c r="Z9928" s="28"/>
    </row>
    <row r="9929" spans="2:26">
      <c r="B9929" s="2"/>
      <c r="N9929" s="27"/>
      <c r="R9929" s="15"/>
      <c r="X9929" s="3"/>
      <c r="Z9929" s="28"/>
    </row>
    <row r="9930" spans="2:26">
      <c r="B9930" s="2"/>
      <c r="N9930" s="27"/>
      <c r="R9930" s="15"/>
      <c r="X9930" s="3"/>
      <c r="Z9930" s="28"/>
    </row>
    <row r="9931" spans="2:26">
      <c r="B9931" s="2"/>
      <c r="N9931" s="27"/>
      <c r="R9931" s="15"/>
      <c r="X9931" s="3"/>
      <c r="Z9931" s="28"/>
    </row>
    <row r="9932" spans="2:26">
      <c r="B9932" s="2"/>
      <c r="N9932" s="27"/>
      <c r="R9932" s="15"/>
      <c r="X9932" s="3"/>
      <c r="Z9932" s="28"/>
    </row>
    <row r="9933" spans="2:26">
      <c r="B9933" s="2"/>
      <c r="N9933" s="27"/>
      <c r="R9933" s="15"/>
      <c r="X9933" s="3"/>
      <c r="Z9933" s="28"/>
    </row>
    <row r="9934" spans="2:26">
      <c r="B9934" s="2"/>
      <c r="N9934" s="27"/>
      <c r="R9934" s="15"/>
      <c r="X9934" s="3"/>
      <c r="Z9934" s="28"/>
    </row>
    <row r="9935" spans="2:26">
      <c r="B9935" s="2"/>
      <c r="N9935" s="27"/>
      <c r="R9935" s="15"/>
      <c r="X9935" s="3"/>
      <c r="Z9935" s="28"/>
    </row>
    <row r="9936" spans="2:26">
      <c r="B9936" s="2"/>
      <c r="N9936" s="27"/>
      <c r="R9936" s="15"/>
      <c r="X9936" s="3"/>
      <c r="Z9936" s="28"/>
    </row>
    <row r="9937" spans="2:26">
      <c r="B9937" s="2"/>
      <c r="N9937" s="27"/>
      <c r="R9937" s="15"/>
      <c r="X9937" s="3"/>
      <c r="Z9937" s="28"/>
    </row>
    <row r="9938" spans="2:26">
      <c r="B9938" s="2"/>
      <c r="N9938" s="27"/>
      <c r="R9938" s="15"/>
      <c r="X9938" s="3"/>
      <c r="Z9938" s="28"/>
    </row>
    <row r="9939" spans="2:26">
      <c r="B9939" s="2"/>
      <c r="N9939" s="27"/>
      <c r="R9939" s="15"/>
      <c r="X9939" s="3"/>
      <c r="Z9939" s="28"/>
    </row>
    <row r="9940" spans="2:26">
      <c r="B9940" s="2"/>
      <c r="N9940" s="27"/>
      <c r="R9940" s="15"/>
      <c r="X9940" s="3"/>
      <c r="Z9940" s="28"/>
    </row>
    <row r="9941" spans="2:26">
      <c r="B9941" s="2"/>
      <c r="N9941" s="27"/>
      <c r="R9941" s="15"/>
      <c r="X9941" s="3"/>
      <c r="Z9941" s="28"/>
    </row>
    <row r="9942" spans="2:26">
      <c r="B9942" s="2"/>
      <c r="N9942" s="27"/>
      <c r="R9942" s="15"/>
      <c r="X9942" s="3"/>
      <c r="Z9942" s="28"/>
    </row>
    <row r="9943" spans="2:26">
      <c r="B9943" s="2"/>
      <c r="N9943" s="27"/>
      <c r="R9943" s="15"/>
      <c r="X9943" s="3"/>
      <c r="Z9943" s="28"/>
    </row>
    <row r="9944" spans="2:26">
      <c r="B9944" s="2"/>
      <c r="N9944" s="27"/>
      <c r="R9944" s="15"/>
      <c r="X9944" s="3"/>
      <c r="Z9944" s="28"/>
    </row>
    <row r="9945" spans="2:26">
      <c r="B9945" s="2"/>
      <c r="N9945" s="27"/>
      <c r="R9945" s="15"/>
      <c r="X9945" s="3"/>
      <c r="Z9945" s="28"/>
    </row>
    <row r="9946" spans="2:26">
      <c r="B9946" s="2"/>
      <c r="N9946" s="27"/>
      <c r="R9946" s="15"/>
      <c r="X9946" s="3"/>
      <c r="Z9946" s="28"/>
    </row>
    <row r="9947" spans="2:26">
      <c r="B9947" s="2"/>
      <c r="N9947" s="27"/>
      <c r="R9947" s="15"/>
      <c r="X9947" s="3"/>
      <c r="Z9947" s="28"/>
    </row>
    <row r="9948" spans="2:26">
      <c r="B9948" s="2"/>
      <c r="N9948" s="27"/>
      <c r="R9948" s="15"/>
      <c r="X9948" s="3"/>
      <c r="Z9948" s="28"/>
    </row>
    <row r="9949" spans="2:26">
      <c r="B9949" s="2"/>
      <c r="N9949" s="27"/>
      <c r="R9949" s="15"/>
      <c r="X9949" s="3"/>
      <c r="Z9949" s="28"/>
    </row>
    <row r="9950" spans="2:26">
      <c r="B9950" s="2"/>
      <c r="N9950" s="27"/>
      <c r="R9950" s="15"/>
      <c r="X9950" s="3"/>
      <c r="Z9950" s="28"/>
    </row>
    <row r="9951" spans="2:26">
      <c r="B9951" s="2"/>
      <c r="N9951" s="27"/>
      <c r="R9951" s="15"/>
      <c r="X9951" s="3"/>
      <c r="Z9951" s="28"/>
    </row>
    <row r="9952" spans="2:26">
      <c r="B9952" s="2"/>
      <c r="N9952" s="27"/>
      <c r="R9952" s="15"/>
      <c r="X9952" s="3"/>
      <c r="Z9952" s="28"/>
    </row>
    <row r="9953" spans="2:26">
      <c r="B9953" s="2"/>
      <c r="N9953" s="27"/>
      <c r="R9953" s="15"/>
      <c r="X9953" s="3"/>
      <c r="Z9953" s="28"/>
    </row>
    <row r="9954" spans="2:26">
      <c r="B9954" s="2"/>
      <c r="N9954" s="27"/>
      <c r="R9954" s="15"/>
      <c r="X9954" s="3"/>
      <c r="Z9954" s="28"/>
    </row>
    <row r="9955" spans="2:26">
      <c r="B9955" s="2"/>
      <c r="N9955" s="27"/>
      <c r="R9955" s="15"/>
      <c r="X9955" s="3"/>
      <c r="Z9955" s="28"/>
    </row>
    <row r="9956" spans="2:26">
      <c r="B9956" s="2"/>
      <c r="N9956" s="27"/>
      <c r="R9956" s="15"/>
      <c r="X9956" s="3"/>
      <c r="Z9956" s="28"/>
    </row>
    <row r="9957" spans="2:26">
      <c r="B9957" s="2"/>
      <c r="N9957" s="27"/>
      <c r="R9957" s="15"/>
      <c r="X9957" s="3"/>
      <c r="Z9957" s="28"/>
    </row>
    <row r="9958" spans="2:26">
      <c r="B9958" s="2"/>
      <c r="N9958" s="27"/>
      <c r="R9958" s="15"/>
      <c r="X9958" s="3"/>
      <c r="Z9958" s="28"/>
    </row>
    <row r="9959" spans="2:26">
      <c r="B9959" s="2"/>
      <c r="N9959" s="27"/>
      <c r="R9959" s="15"/>
      <c r="X9959" s="3"/>
      <c r="Z9959" s="28"/>
    </row>
    <row r="9960" spans="2:26">
      <c r="B9960" s="2"/>
      <c r="N9960" s="27"/>
      <c r="R9960" s="15"/>
      <c r="X9960" s="3"/>
      <c r="Z9960" s="28"/>
    </row>
    <row r="9961" spans="2:26">
      <c r="B9961" s="2"/>
      <c r="N9961" s="27"/>
      <c r="R9961" s="15"/>
      <c r="X9961" s="3"/>
      <c r="Z9961" s="28"/>
    </row>
    <row r="9962" spans="2:26">
      <c r="B9962" s="2"/>
      <c r="N9962" s="27"/>
      <c r="R9962" s="15"/>
      <c r="X9962" s="3"/>
      <c r="Z9962" s="28"/>
    </row>
    <row r="9963" spans="2:26">
      <c r="B9963" s="2"/>
      <c r="N9963" s="27"/>
      <c r="R9963" s="15"/>
      <c r="X9963" s="3"/>
      <c r="Z9963" s="28"/>
    </row>
    <row r="9964" spans="2:26">
      <c r="B9964" s="2"/>
      <c r="N9964" s="27"/>
      <c r="R9964" s="15"/>
      <c r="X9964" s="3"/>
      <c r="Z9964" s="28"/>
    </row>
    <row r="9965" spans="2:26">
      <c r="B9965" s="2"/>
      <c r="N9965" s="27"/>
      <c r="R9965" s="15"/>
      <c r="X9965" s="3"/>
      <c r="Z9965" s="28"/>
    </row>
    <row r="9966" spans="2:26">
      <c r="B9966" s="2"/>
      <c r="N9966" s="27"/>
      <c r="R9966" s="15"/>
      <c r="X9966" s="3"/>
      <c r="Z9966" s="28"/>
    </row>
    <row r="9967" spans="2:26">
      <c r="B9967" s="2"/>
      <c r="N9967" s="27"/>
      <c r="R9967" s="15"/>
      <c r="X9967" s="3"/>
      <c r="Z9967" s="28"/>
    </row>
    <row r="9968" spans="2:26">
      <c r="B9968" s="2"/>
      <c r="N9968" s="27"/>
      <c r="R9968" s="15"/>
      <c r="X9968" s="3"/>
      <c r="Z9968" s="28"/>
    </row>
    <row r="9969" spans="2:26">
      <c r="B9969" s="2"/>
      <c r="N9969" s="27"/>
      <c r="R9969" s="15"/>
      <c r="X9969" s="3"/>
      <c r="Z9969" s="28"/>
    </row>
    <row r="9970" spans="2:26">
      <c r="B9970" s="2"/>
      <c r="N9970" s="27"/>
      <c r="R9970" s="15"/>
      <c r="X9970" s="3"/>
      <c r="Z9970" s="28"/>
    </row>
    <row r="9971" spans="2:26">
      <c r="B9971" s="2"/>
      <c r="N9971" s="27"/>
      <c r="R9971" s="15"/>
      <c r="X9971" s="3"/>
      <c r="Z9971" s="28"/>
    </row>
    <row r="9972" spans="2:26">
      <c r="B9972" s="2"/>
      <c r="N9972" s="27"/>
      <c r="R9972" s="15"/>
      <c r="X9972" s="3"/>
      <c r="Z9972" s="28"/>
    </row>
    <row r="9973" spans="2:26">
      <c r="B9973" s="2"/>
      <c r="N9973" s="27"/>
      <c r="R9973" s="15"/>
      <c r="X9973" s="3"/>
      <c r="Z9973" s="28"/>
    </row>
    <row r="9974" spans="2:26">
      <c r="B9974" s="2"/>
      <c r="N9974" s="27"/>
      <c r="R9974" s="15"/>
      <c r="X9974" s="3"/>
      <c r="Z9974" s="28"/>
    </row>
    <row r="9975" spans="2:26">
      <c r="B9975" s="2"/>
      <c r="N9975" s="27"/>
      <c r="R9975" s="15"/>
      <c r="X9975" s="3"/>
      <c r="Z9975" s="28"/>
    </row>
    <row r="9976" spans="2:26">
      <c r="B9976" s="2"/>
      <c r="N9976" s="27"/>
      <c r="R9976" s="15"/>
      <c r="X9976" s="3"/>
      <c r="Z9976" s="28"/>
    </row>
    <row r="9977" spans="2:26">
      <c r="B9977" s="2"/>
      <c r="N9977" s="27"/>
      <c r="R9977" s="15"/>
      <c r="X9977" s="3"/>
      <c r="Z9977" s="28"/>
    </row>
    <row r="9978" spans="2:26">
      <c r="B9978" s="2"/>
      <c r="N9978" s="27"/>
      <c r="R9978" s="15"/>
      <c r="X9978" s="3"/>
      <c r="Z9978" s="28"/>
    </row>
    <row r="9979" spans="2:26">
      <c r="B9979" s="2"/>
      <c r="N9979" s="27"/>
      <c r="R9979" s="15"/>
      <c r="X9979" s="3"/>
      <c r="Z9979" s="28"/>
    </row>
    <row r="9980" spans="2:26">
      <c r="B9980" s="2"/>
      <c r="N9980" s="27"/>
      <c r="R9980" s="15"/>
      <c r="X9980" s="3"/>
      <c r="Z9980" s="28"/>
    </row>
    <row r="9981" spans="2:26">
      <c r="B9981" s="2"/>
      <c r="N9981" s="27"/>
      <c r="R9981" s="15"/>
      <c r="X9981" s="3"/>
      <c r="Z9981" s="28"/>
    </row>
    <row r="9982" spans="2:26">
      <c r="B9982" s="2"/>
      <c r="N9982" s="27"/>
      <c r="R9982" s="15"/>
      <c r="X9982" s="3"/>
      <c r="Z9982" s="28"/>
    </row>
    <row r="9983" spans="2:26">
      <c r="B9983" s="2"/>
      <c r="N9983" s="27"/>
      <c r="R9983" s="15"/>
      <c r="X9983" s="3"/>
      <c r="Z9983" s="28"/>
    </row>
    <row r="9984" spans="2:26">
      <c r="B9984" s="2"/>
      <c r="N9984" s="27"/>
      <c r="R9984" s="15"/>
      <c r="X9984" s="3"/>
      <c r="Z9984" s="28"/>
    </row>
    <row r="9985" spans="2:26">
      <c r="B9985" s="2"/>
      <c r="N9985" s="27"/>
      <c r="R9985" s="15"/>
      <c r="X9985" s="3"/>
      <c r="Z9985" s="28"/>
    </row>
    <row r="9986" spans="2:26">
      <c r="B9986" s="2"/>
      <c r="N9986" s="27"/>
      <c r="R9986" s="15"/>
      <c r="X9986" s="3"/>
      <c r="Z9986" s="28"/>
    </row>
    <row r="9987" spans="2:26">
      <c r="B9987" s="2"/>
      <c r="N9987" s="27"/>
      <c r="R9987" s="15"/>
      <c r="X9987" s="3"/>
      <c r="Z9987" s="28"/>
    </row>
    <row r="9988" spans="2:26">
      <c r="B9988" s="2"/>
      <c r="N9988" s="27"/>
      <c r="R9988" s="15"/>
      <c r="X9988" s="3"/>
      <c r="Z9988" s="28"/>
    </row>
    <row r="9989" spans="2:26">
      <c r="B9989" s="2"/>
      <c r="N9989" s="27"/>
      <c r="R9989" s="15"/>
      <c r="X9989" s="3"/>
      <c r="Z9989" s="28"/>
    </row>
    <row r="9990" spans="2:26">
      <c r="B9990" s="2"/>
      <c r="N9990" s="27"/>
      <c r="R9990" s="15"/>
      <c r="X9990" s="3"/>
      <c r="Z9990" s="28"/>
    </row>
    <row r="9991" spans="2:26">
      <c r="B9991" s="2"/>
      <c r="N9991" s="27"/>
      <c r="R9991" s="15"/>
      <c r="X9991" s="3"/>
      <c r="Z9991" s="28"/>
    </row>
    <row r="9992" spans="2:26">
      <c r="B9992" s="2"/>
      <c r="N9992" s="27"/>
      <c r="R9992" s="15"/>
      <c r="X9992" s="3"/>
      <c r="Z9992" s="28"/>
    </row>
    <row r="9993" spans="2:26">
      <c r="B9993" s="2"/>
      <c r="N9993" s="27"/>
      <c r="R9993" s="15"/>
      <c r="X9993" s="3"/>
      <c r="Z9993" s="28"/>
    </row>
    <row r="9994" spans="2:26">
      <c r="B9994" s="2"/>
      <c r="N9994" s="27"/>
      <c r="R9994" s="15"/>
      <c r="X9994" s="3"/>
      <c r="Z9994" s="28"/>
    </row>
    <row r="9995" spans="2:26">
      <c r="B9995" s="2"/>
      <c r="N9995" s="27"/>
      <c r="R9995" s="15"/>
      <c r="X9995" s="3"/>
      <c r="Z9995" s="28"/>
    </row>
    <row r="9996" spans="2:26">
      <c r="B9996" s="2"/>
      <c r="N9996" s="27"/>
      <c r="R9996" s="15"/>
      <c r="X9996" s="3"/>
      <c r="Z9996" s="28"/>
    </row>
    <row r="9997" spans="2:26">
      <c r="B9997" s="2"/>
      <c r="N9997" s="27"/>
      <c r="R9997" s="15"/>
      <c r="X9997" s="3"/>
      <c r="Z9997" s="28"/>
    </row>
    <row r="9998" spans="2:26">
      <c r="B9998" s="2"/>
      <c r="N9998" s="27"/>
      <c r="R9998" s="15"/>
      <c r="X9998" s="3"/>
      <c r="Z9998" s="28"/>
    </row>
    <row r="9999" spans="2:26">
      <c r="B9999" s="2"/>
      <c r="N9999" s="27"/>
      <c r="R9999" s="15"/>
      <c r="X9999" s="3"/>
      <c r="Z9999" s="28"/>
    </row>
    <row r="10000" spans="2:26">
      <c r="B10000" s="2"/>
      <c r="N10000" s="27"/>
      <c r="R10000" s="15"/>
      <c r="X10000" s="3"/>
      <c r="Z10000" s="28"/>
    </row>
    <row r="10001" spans="2:26">
      <c r="B10001" s="2"/>
      <c r="N10001" s="27"/>
      <c r="R10001" s="15"/>
      <c r="X10001" s="3"/>
      <c r="Z10001" s="28"/>
    </row>
    <row r="10002" spans="2:26">
      <c r="B10002" s="2"/>
      <c r="N10002" s="27"/>
      <c r="R10002" s="15"/>
      <c r="X10002" s="3"/>
      <c r="Z10002" s="28"/>
    </row>
    <row r="10003" spans="2:26">
      <c r="B10003" s="2"/>
      <c r="N10003" s="27"/>
      <c r="R10003" s="15"/>
      <c r="X10003" s="3"/>
      <c r="Z10003" s="28"/>
    </row>
    <row r="10004" spans="2:26">
      <c r="B10004" s="2"/>
      <c r="N10004" s="27"/>
      <c r="R10004" s="15"/>
      <c r="X10004" s="3"/>
      <c r="Z10004" s="28"/>
    </row>
    <row r="10005" spans="2:26">
      <c r="B10005" s="2"/>
      <c r="N10005" s="27"/>
      <c r="R10005" s="15"/>
      <c r="X10005" s="3"/>
      <c r="Z10005" s="28"/>
    </row>
    <row r="10006" spans="2:26">
      <c r="B10006" s="2"/>
      <c r="N10006" s="27"/>
      <c r="R10006" s="15"/>
      <c r="X10006" s="3"/>
      <c r="Z10006" s="28"/>
    </row>
    <row r="10007" spans="2:26">
      <c r="B10007" s="2"/>
      <c r="N10007" s="27"/>
      <c r="R10007" s="15"/>
      <c r="X10007" s="3"/>
      <c r="Z10007" s="28"/>
    </row>
    <row r="10008" spans="2:26">
      <c r="B10008" s="2"/>
      <c r="N10008" s="27"/>
      <c r="R10008" s="15"/>
      <c r="X10008" s="3"/>
      <c r="Z10008" s="28"/>
    </row>
    <row r="10009" spans="2:26">
      <c r="B10009" s="2"/>
      <c r="N10009" s="27"/>
      <c r="R10009" s="15"/>
      <c r="X10009" s="3"/>
      <c r="Z10009" s="28"/>
    </row>
    <row r="10010" spans="2:26">
      <c r="B10010" s="2"/>
      <c r="N10010" s="27"/>
      <c r="R10010" s="15"/>
      <c r="X10010" s="3"/>
      <c r="Z10010" s="28"/>
    </row>
    <row r="10011" spans="2:26">
      <c r="B10011" s="2"/>
      <c r="N10011" s="27"/>
      <c r="R10011" s="15"/>
      <c r="X10011" s="3"/>
      <c r="Z10011" s="28"/>
    </row>
    <row r="10012" spans="2:26">
      <c r="B10012" s="2"/>
      <c r="N10012" s="27"/>
      <c r="R10012" s="15"/>
      <c r="X10012" s="3"/>
      <c r="Z10012" s="28"/>
    </row>
    <row r="10013" spans="2:26">
      <c r="B10013" s="2"/>
      <c r="N10013" s="27"/>
      <c r="R10013" s="15"/>
      <c r="X10013" s="3"/>
      <c r="Z10013" s="28"/>
    </row>
    <row r="10014" spans="2:26">
      <c r="B10014" s="2"/>
      <c r="N10014" s="27"/>
      <c r="R10014" s="15"/>
      <c r="X10014" s="3"/>
      <c r="Z10014" s="28"/>
    </row>
    <row r="10015" spans="2:26">
      <c r="B10015" s="2"/>
      <c r="N10015" s="27"/>
      <c r="R10015" s="15"/>
      <c r="X10015" s="3"/>
      <c r="Z10015" s="28"/>
    </row>
    <row r="10016" spans="2:26">
      <c r="B10016" s="2"/>
      <c r="N10016" s="27"/>
      <c r="R10016" s="15"/>
      <c r="X10016" s="3"/>
      <c r="Z10016" s="28"/>
    </row>
    <row r="10017" spans="2:26">
      <c r="B10017" s="2"/>
      <c r="N10017" s="27"/>
      <c r="R10017" s="15"/>
      <c r="X10017" s="3"/>
      <c r="Z10017" s="28"/>
    </row>
    <row r="10018" spans="2:26">
      <c r="B10018" s="2"/>
      <c r="N10018" s="27"/>
      <c r="R10018" s="15"/>
      <c r="X10018" s="3"/>
      <c r="Z10018" s="28"/>
    </row>
    <row r="10019" spans="2:26">
      <c r="B10019" s="2"/>
      <c r="N10019" s="27"/>
      <c r="R10019" s="15"/>
      <c r="X10019" s="3"/>
      <c r="Z10019" s="28"/>
    </row>
    <row r="10020" spans="2:26">
      <c r="B10020" s="2"/>
      <c r="N10020" s="27"/>
      <c r="R10020" s="15"/>
      <c r="X10020" s="3"/>
      <c r="Z10020" s="28"/>
    </row>
    <row r="10021" spans="2:26">
      <c r="B10021" s="2"/>
      <c r="N10021" s="27"/>
      <c r="R10021" s="15"/>
      <c r="X10021" s="3"/>
      <c r="Z10021" s="28"/>
    </row>
    <row r="10022" spans="2:26">
      <c r="B10022" s="2"/>
      <c r="N10022" s="27"/>
      <c r="R10022" s="15"/>
      <c r="X10022" s="3"/>
      <c r="Z10022" s="28"/>
    </row>
    <row r="10023" spans="2:26">
      <c r="B10023" s="2"/>
      <c r="N10023" s="27"/>
      <c r="R10023" s="15"/>
      <c r="X10023" s="3"/>
      <c r="Z10023" s="28"/>
    </row>
    <row r="10024" spans="2:26">
      <c r="B10024" s="2"/>
      <c r="N10024" s="27"/>
      <c r="R10024" s="15"/>
      <c r="X10024" s="3"/>
      <c r="Z10024" s="28"/>
    </row>
    <row r="10025" spans="2:26">
      <c r="B10025" s="2"/>
      <c r="N10025" s="27"/>
      <c r="R10025" s="15"/>
      <c r="X10025" s="3"/>
      <c r="Z10025" s="28"/>
    </row>
    <row r="10026" spans="2:26">
      <c r="B10026" s="2"/>
      <c r="N10026" s="27"/>
      <c r="R10026" s="15"/>
      <c r="X10026" s="3"/>
      <c r="Z10026" s="28"/>
    </row>
    <row r="10027" spans="2:26">
      <c r="B10027" s="2"/>
      <c r="N10027" s="27"/>
      <c r="R10027" s="15"/>
      <c r="X10027" s="3"/>
      <c r="Z10027" s="28"/>
    </row>
    <row r="10028" spans="2:26">
      <c r="B10028" s="2"/>
      <c r="N10028" s="27"/>
      <c r="R10028" s="15"/>
      <c r="X10028" s="3"/>
      <c r="Z10028" s="28"/>
    </row>
    <row r="10029" spans="2:26">
      <c r="B10029" s="2"/>
      <c r="N10029" s="27"/>
      <c r="R10029" s="15"/>
      <c r="X10029" s="3"/>
      <c r="Z10029" s="28"/>
    </row>
    <row r="10030" spans="2:26">
      <c r="B10030" s="2"/>
      <c r="N10030" s="27"/>
      <c r="R10030" s="15"/>
      <c r="X10030" s="3"/>
      <c r="Z10030" s="28"/>
    </row>
    <row r="10031" spans="2:26">
      <c r="B10031" s="2"/>
      <c r="N10031" s="27"/>
      <c r="R10031" s="15"/>
      <c r="X10031" s="3"/>
      <c r="Z10031" s="28"/>
    </row>
    <row r="10032" spans="2:26">
      <c r="B10032" s="2"/>
      <c r="N10032" s="27"/>
      <c r="R10032" s="15"/>
      <c r="X10032" s="3"/>
      <c r="Z10032" s="28"/>
    </row>
    <row r="10033" spans="2:26">
      <c r="B10033" s="2"/>
      <c r="N10033" s="27"/>
      <c r="R10033" s="15"/>
      <c r="X10033" s="3"/>
      <c r="Z10033" s="28"/>
    </row>
    <row r="10034" spans="2:26">
      <c r="B10034" s="2"/>
      <c r="N10034" s="27"/>
      <c r="R10034" s="15"/>
      <c r="X10034" s="3"/>
      <c r="Z10034" s="28"/>
    </row>
    <row r="10035" spans="2:26">
      <c r="B10035" s="2"/>
      <c r="N10035" s="27"/>
      <c r="R10035" s="15"/>
      <c r="X10035" s="3"/>
      <c r="Z10035" s="28"/>
    </row>
    <row r="10036" spans="2:26">
      <c r="B10036" s="2"/>
      <c r="N10036" s="27"/>
      <c r="R10036" s="15"/>
      <c r="X10036" s="3"/>
      <c r="Z10036" s="28"/>
    </row>
    <row r="10037" spans="2:26">
      <c r="B10037" s="2"/>
      <c r="N10037" s="27"/>
      <c r="R10037" s="15"/>
      <c r="X10037" s="3"/>
      <c r="Z10037" s="28"/>
    </row>
    <row r="10038" spans="2:26">
      <c r="B10038" s="2"/>
      <c r="N10038" s="27"/>
      <c r="R10038" s="15"/>
      <c r="X10038" s="3"/>
      <c r="Z10038" s="28"/>
    </row>
    <row r="10039" spans="2:26">
      <c r="B10039" s="2"/>
      <c r="N10039" s="27"/>
      <c r="R10039" s="15"/>
      <c r="X10039" s="3"/>
      <c r="Z10039" s="28"/>
    </row>
    <row r="10040" spans="2:26">
      <c r="B10040" s="2"/>
      <c r="N10040" s="27"/>
      <c r="R10040" s="15"/>
      <c r="X10040" s="3"/>
      <c r="Z10040" s="28"/>
    </row>
    <row r="10041" spans="2:26">
      <c r="B10041" s="2"/>
      <c r="N10041" s="27"/>
      <c r="R10041" s="15"/>
      <c r="X10041" s="3"/>
      <c r="Z10041" s="28"/>
    </row>
    <row r="10042" spans="2:26">
      <c r="B10042" s="2"/>
      <c r="N10042" s="27"/>
      <c r="R10042" s="15"/>
      <c r="X10042" s="3"/>
      <c r="Z10042" s="28"/>
    </row>
    <row r="10043" spans="2:26">
      <c r="B10043" s="2"/>
      <c r="N10043" s="27"/>
      <c r="R10043" s="15"/>
      <c r="X10043" s="3"/>
      <c r="Z10043" s="28"/>
    </row>
    <row r="10044" spans="2:26">
      <c r="B10044" s="2"/>
      <c r="N10044" s="27"/>
      <c r="R10044" s="15"/>
      <c r="X10044" s="3"/>
      <c r="Z10044" s="28"/>
    </row>
    <row r="10045" spans="2:26">
      <c r="B10045" s="2"/>
      <c r="N10045" s="27"/>
      <c r="R10045" s="15"/>
      <c r="X10045" s="3"/>
      <c r="Z10045" s="28"/>
    </row>
    <row r="10046" spans="2:26">
      <c r="B10046" s="2"/>
      <c r="N10046" s="27"/>
      <c r="R10046" s="15"/>
      <c r="X10046" s="3"/>
      <c r="Z10046" s="28"/>
    </row>
    <row r="10047" spans="2:26">
      <c r="B10047" s="2"/>
      <c r="N10047" s="27"/>
      <c r="R10047" s="15"/>
      <c r="X10047" s="3"/>
      <c r="Z10047" s="28"/>
    </row>
    <row r="10048" spans="2:26">
      <c r="B10048" s="2"/>
      <c r="N10048" s="27"/>
      <c r="R10048" s="15"/>
      <c r="X10048" s="3"/>
      <c r="Z10048" s="28"/>
    </row>
    <row r="10049" spans="2:26">
      <c r="B10049" s="2"/>
      <c r="N10049" s="27"/>
      <c r="R10049" s="15"/>
      <c r="X10049" s="3"/>
      <c r="Z10049" s="28"/>
    </row>
    <row r="10050" spans="2:26">
      <c r="B10050" s="2"/>
      <c r="N10050" s="27"/>
      <c r="R10050" s="15"/>
      <c r="X10050" s="3"/>
      <c r="Z10050" s="28"/>
    </row>
    <row r="10051" spans="2:26">
      <c r="B10051" s="2"/>
      <c r="N10051" s="27"/>
      <c r="R10051" s="15"/>
      <c r="X10051" s="3"/>
      <c r="Z10051" s="28"/>
    </row>
    <row r="10052" spans="2:26">
      <c r="B10052" s="2"/>
      <c r="N10052" s="27"/>
      <c r="R10052" s="15"/>
      <c r="X10052" s="3"/>
      <c r="Z10052" s="28"/>
    </row>
    <row r="10053" spans="2:26">
      <c r="B10053" s="2"/>
      <c r="N10053" s="27"/>
      <c r="R10053" s="15"/>
      <c r="X10053" s="3"/>
      <c r="Z10053" s="28"/>
    </row>
    <row r="10054" spans="2:26">
      <c r="B10054" s="2"/>
      <c r="N10054" s="27"/>
      <c r="R10054" s="15"/>
      <c r="X10054" s="3"/>
      <c r="Z10054" s="28"/>
    </row>
    <row r="10055" spans="2:26">
      <c r="B10055" s="2"/>
      <c r="N10055" s="27"/>
      <c r="R10055" s="15"/>
      <c r="X10055" s="3"/>
      <c r="Z10055" s="28"/>
    </row>
    <row r="10056" spans="2:26">
      <c r="B10056" s="2"/>
      <c r="N10056" s="27"/>
      <c r="R10056" s="15"/>
      <c r="X10056" s="3"/>
      <c r="Z10056" s="28"/>
    </row>
    <row r="10057" spans="2:26">
      <c r="B10057" s="2"/>
      <c r="N10057" s="27"/>
      <c r="R10057" s="15"/>
      <c r="X10057" s="3"/>
      <c r="Z10057" s="28"/>
    </row>
    <row r="10058" spans="2:26">
      <c r="B10058" s="2"/>
      <c r="N10058" s="27"/>
      <c r="R10058" s="15"/>
      <c r="X10058" s="3"/>
      <c r="Z10058" s="28"/>
    </row>
    <row r="10059" spans="2:26">
      <c r="B10059" s="2"/>
      <c r="N10059" s="27"/>
      <c r="R10059" s="15"/>
      <c r="X10059" s="3"/>
      <c r="Z10059" s="28"/>
    </row>
    <row r="10060" spans="2:26">
      <c r="B10060" s="2"/>
      <c r="N10060" s="27"/>
      <c r="R10060" s="15"/>
      <c r="X10060" s="3"/>
      <c r="Z10060" s="28"/>
    </row>
    <row r="10061" spans="2:26">
      <c r="B10061" s="2"/>
      <c r="N10061" s="27"/>
      <c r="R10061" s="15"/>
      <c r="X10061" s="3"/>
      <c r="Z10061" s="28"/>
    </row>
    <row r="10062" spans="2:26">
      <c r="B10062" s="2"/>
      <c r="N10062" s="27"/>
      <c r="R10062" s="15"/>
      <c r="X10062" s="3"/>
      <c r="Z10062" s="28"/>
    </row>
    <row r="10063" spans="2:26">
      <c r="B10063" s="2"/>
      <c r="N10063" s="27"/>
      <c r="R10063" s="15"/>
      <c r="X10063" s="3"/>
      <c r="Z10063" s="28"/>
    </row>
    <row r="10064" spans="2:26">
      <c r="B10064" s="2"/>
      <c r="N10064" s="27"/>
      <c r="R10064" s="15"/>
      <c r="X10064" s="3"/>
      <c r="Z10064" s="28"/>
    </row>
    <row r="10065" spans="2:26">
      <c r="B10065" s="2"/>
      <c r="N10065" s="27"/>
      <c r="R10065" s="15"/>
      <c r="X10065" s="3"/>
      <c r="Z10065" s="28"/>
    </row>
    <row r="10066" spans="2:26">
      <c r="B10066" s="2"/>
      <c r="N10066" s="27"/>
      <c r="R10066" s="15"/>
      <c r="X10066" s="3"/>
      <c r="Z10066" s="28"/>
    </row>
    <row r="10067" spans="2:26">
      <c r="B10067" s="2"/>
      <c r="N10067" s="27"/>
      <c r="R10067" s="15"/>
      <c r="X10067" s="3"/>
      <c r="Z10067" s="28"/>
    </row>
    <row r="10068" spans="2:26">
      <c r="B10068" s="2"/>
      <c r="N10068" s="27"/>
      <c r="R10068" s="15"/>
      <c r="X10068" s="3"/>
      <c r="Z10068" s="28"/>
    </row>
    <row r="10069" spans="2:26">
      <c r="B10069" s="2"/>
      <c r="N10069" s="27"/>
      <c r="R10069" s="15"/>
      <c r="X10069" s="3"/>
      <c r="Z10069" s="28"/>
    </row>
    <row r="10070" spans="2:26">
      <c r="B10070" s="2"/>
      <c r="N10070" s="27"/>
      <c r="R10070" s="15"/>
      <c r="X10070" s="3"/>
      <c r="Z10070" s="28"/>
    </row>
    <row r="10071" spans="2:26">
      <c r="B10071" s="2"/>
      <c r="N10071" s="27"/>
      <c r="R10071" s="15"/>
      <c r="X10071" s="3"/>
      <c r="Z10071" s="28"/>
    </row>
    <row r="10072" spans="2:26">
      <c r="B10072" s="2"/>
      <c r="N10072" s="27"/>
      <c r="R10072" s="15"/>
      <c r="X10072" s="3"/>
      <c r="Z10072" s="28"/>
    </row>
    <row r="10073" spans="2:26">
      <c r="B10073" s="2"/>
      <c r="N10073" s="27"/>
      <c r="R10073" s="15"/>
      <c r="X10073" s="3"/>
      <c r="Z10073" s="28"/>
    </row>
    <row r="10074" spans="2:26">
      <c r="B10074" s="2"/>
      <c r="N10074" s="27"/>
      <c r="R10074" s="15"/>
      <c r="X10074" s="3"/>
      <c r="Z10074" s="28"/>
    </row>
    <row r="10075" spans="2:26">
      <c r="B10075" s="2"/>
      <c r="N10075" s="27"/>
      <c r="R10075" s="15"/>
      <c r="X10075" s="3"/>
      <c r="Z10075" s="28"/>
    </row>
    <row r="10076" spans="2:26">
      <c r="B10076" s="2"/>
      <c r="N10076" s="27"/>
      <c r="R10076" s="15"/>
      <c r="X10076" s="3"/>
      <c r="Z10076" s="28"/>
    </row>
    <row r="10077" spans="2:26">
      <c r="B10077" s="2"/>
      <c r="N10077" s="27"/>
      <c r="R10077" s="15"/>
      <c r="X10077" s="3"/>
      <c r="Z10077" s="28"/>
    </row>
    <row r="10078" spans="2:26">
      <c r="B10078" s="2"/>
      <c r="N10078" s="27"/>
      <c r="R10078" s="15"/>
      <c r="X10078" s="3"/>
      <c r="Z10078" s="28"/>
    </row>
    <row r="10079" spans="2:26">
      <c r="B10079" s="2"/>
      <c r="N10079" s="27"/>
      <c r="R10079" s="15"/>
      <c r="X10079" s="3"/>
      <c r="Z10079" s="28"/>
    </row>
    <row r="10080" spans="2:26">
      <c r="B10080" s="2"/>
      <c r="N10080" s="27"/>
      <c r="R10080" s="15"/>
      <c r="X10080" s="3"/>
      <c r="Z10080" s="28"/>
    </row>
    <row r="10081" spans="2:26">
      <c r="B10081" s="2"/>
      <c r="N10081" s="27"/>
      <c r="R10081" s="15"/>
      <c r="X10081" s="3"/>
      <c r="Z10081" s="28"/>
    </row>
    <row r="10082" spans="2:26">
      <c r="B10082" s="2"/>
      <c r="N10082" s="27"/>
      <c r="R10082" s="15"/>
      <c r="X10082" s="3"/>
      <c r="Z10082" s="28"/>
    </row>
    <row r="10083" spans="2:26">
      <c r="B10083" s="2"/>
      <c r="N10083" s="27"/>
      <c r="R10083" s="15"/>
      <c r="X10083" s="3"/>
      <c r="Z10083" s="28"/>
    </row>
    <row r="10084" spans="2:26">
      <c r="B10084" s="2"/>
      <c r="N10084" s="27"/>
      <c r="R10084" s="15"/>
      <c r="X10084" s="3"/>
      <c r="Z10084" s="28"/>
    </row>
    <row r="10085" spans="2:26">
      <c r="B10085" s="2"/>
      <c r="N10085" s="27"/>
      <c r="R10085" s="15"/>
      <c r="X10085" s="3"/>
      <c r="Z10085" s="28"/>
    </row>
    <row r="10086" spans="2:26">
      <c r="B10086" s="2"/>
      <c r="N10086" s="27"/>
      <c r="R10086" s="15"/>
      <c r="X10086" s="3"/>
      <c r="Z10086" s="28"/>
    </row>
    <row r="10087" spans="2:26">
      <c r="B10087" s="2"/>
      <c r="N10087" s="27"/>
      <c r="R10087" s="15"/>
      <c r="X10087" s="3"/>
      <c r="Z10087" s="28"/>
    </row>
    <row r="10088" spans="2:26">
      <c r="B10088" s="2"/>
      <c r="N10088" s="27"/>
      <c r="R10088" s="15"/>
      <c r="X10088" s="3"/>
      <c r="Z10088" s="28"/>
    </row>
    <row r="10089" spans="2:26">
      <c r="B10089" s="2"/>
      <c r="N10089" s="27"/>
      <c r="R10089" s="15"/>
      <c r="X10089" s="3"/>
      <c r="Z10089" s="28"/>
    </row>
    <row r="10090" spans="2:26">
      <c r="B10090" s="2"/>
      <c r="N10090" s="27"/>
      <c r="R10090" s="15"/>
      <c r="X10090" s="3"/>
      <c r="Z10090" s="28"/>
    </row>
    <row r="10091" spans="2:26">
      <c r="B10091" s="2"/>
      <c r="N10091" s="27"/>
      <c r="R10091" s="15"/>
      <c r="X10091" s="3"/>
      <c r="Z10091" s="28"/>
    </row>
    <row r="10092" spans="2:26">
      <c r="B10092" s="2"/>
      <c r="N10092" s="27"/>
      <c r="R10092" s="15"/>
      <c r="X10092" s="3"/>
      <c r="Z10092" s="28"/>
    </row>
    <row r="10093" spans="2:26">
      <c r="B10093" s="2"/>
      <c r="N10093" s="27"/>
      <c r="R10093" s="15"/>
      <c r="X10093" s="3"/>
      <c r="Z10093" s="28"/>
    </row>
    <row r="10094" spans="2:26">
      <c r="B10094" s="2"/>
      <c r="N10094" s="27"/>
      <c r="R10094" s="15"/>
      <c r="X10094" s="3"/>
      <c r="Z10094" s="28"/>
    </row>
    <row r="10095" spans="2:26">
      <c r="B10095" s="2"/>
      <c r="N10095" s="27"/>
      <c r="R10095" s="15"/>
      <c r="X10095" s="3"/>
      <c r="Z10095" s="28"/>
    </row>
    <row r="10096" spans="2:26">
      <c r="B10096" s="2"/>
      <c r="N10096" s="27"/>
      <c r="R10096" s="15"/>
      <c r="X10096" s="3"/>
      <c r="Z10096" s="28"/>
    </row>
    <row r="10097" spans="2:26">
      <c r="B10097" s="2"/>
      <c r="N10097" s="27"/>
      <c r="R10097" s="15"/>
      <c r="X10097" s="3"/>
      <c r="Z10097" s="28"/>
    </row>
    <row r="10098" spans="2:26">
      <c r="B10098" s="2"/>
      <c r="N10098" s="27"/>
      <c r="R10098" s="15"/>
      <c r="X10098" s="3"/>
      <c r="Z10098" s="28"/>
    </row>
    <row r="10099" spans="2:26">
      <c r="B10099" s="2"/>
      <c r="N10099" s="27"/>
      <c r="R10099" s="15"/>
      <c r="X10099" s="3"/>
      <c r="Z10099" s="28"/>
    </row>
    <row r="10100" spans="2:26">
      <c r="B10100" s="2"/>
      <c r="N10100" s="27"/>
      <c r="R10100" s="15"/>
      <c r="X10100" s="3"/>
      <c r="Z10100" s="28"/>
    </row>
    <row r="10101" spans="2:26">
      <c r="B10101" s="2"/>
      <c r="N10101" s="27"/>
      <c r="R10101" s="15"/>
      <c r="X10101" s="3"/>
      <c r="Z10101" s="28"/>
    </row>
    <row r="10102" spans="2:26">
      <c r="B10102" s="2"/>
      <c r="N10102" s="27"/>
      <c r="R10102" s="15"/>
      <c r="X10102" s="3"/>
      <c r="Z10102" s="28"/>
    </row>
    <row r="10103" spans="2:26">
      <c r="B10103" s="2"/>
      <c r="N10103" s="27"/>
      <c r="R10103" s="15"/>
      <c r="X10103" s="3"/>
      <c r="Z10103" s="28"/>
    </row>
    <row r="10104" spans="2:26">
      <c r="B10104" s="2"/>
      <c r="N10104" s="27"/>
      <c r="R10104" s="15"/>
      <c r="X10104" s="3"/>
      <c r="Z10104" s="28"/>
    </row>
    <row r="10105" spans="2:26">
      <c r="B10105" s="2"/>
      <c r="N10105" s="27"/>
      <c r="R10105" s="15"/>
      <c r="X10105" s="3"/>
      <c r="Z10105" s="28"/>
    </row>
    <row r="10106" spans="2:26">
      <c r="B10106" s="2"/>
      <c r="N10106" s="27"/>
      <c r="R10106" s="15"/>
      <c r="X10106" s="3"/>
      <c r="Z10106" s="28"/>
    </row>
    <row r="10107" spans="2:26">
      <c r="B10107" s="2"/>
      <c r="N10107" s="27"/>
      <c r="R10107" s="15"/>
      <c r="X10107" s="3"/>
      <c r="Z10107" s="28"/>
    </row>
    <row r="10108" spans="2:26">
      <c r="B10108" s="2"/>
      <c r="N10108" s="27"/>
      <c r="R10108" s="15"/>
      <c r="X10108" s="3"/>
      <c r="Z10108" s="28"/>
    </row>
    <row r="10109" spans="2:26">
      <c r="B10109" s="2"/>
      <c r="N10109" s="27"/>
      <c r="R10109" s="15"/>
      <c r="X10109" s="3"/>
      <c r="Z10109" s="28"/>
    </row>
    <row r="10110" spans="2:26">
      <c r="B10110" s="2"/>
      <c r="N10110" s="27"/>
      <c r="R10110" s="15"/>
      <c r="X10110" s="3"/>
      <c r="Z10110" s="28"/>
    </row>
    <row r="10111" spans="2:26">
      <c r="B10111" s="2"/>
      <c r="N10111" s="27"/>
      <c r="R10111" s="15"/>
      <c r="X10111" s="3"/>
      <c r="Z10111" s="28"/>
    </row>
    <row r="10112" spans="2:26">
      <c r="B10112" s="2"/>
      <c r="N10112" s="27"/>
      <c r="R10112" s="15"/>
      <c r="X10112" s="3"/>
      <c r="Z10112" s="28"/>
    </row>
    <row r="10113" spans="2:26">
      <c r="B10113" s="2"/>
      <c r="N10113" s="27"/>
      <c r="R10113" s="15"/>
      <c r="X10113" s="3"/>
      <c r="Z10113" s="28"/>
    </row>
    <row r="10114" spans="2:26">
      <c r="B10114" s="2"/>
      <c r="N10114" s="27"/>
      <c r="R10114" s="15"/>
      <c r="X10114" s="3"/>
      <c r="Z10114" s="28"/>
    </row>
    <row r="10115" spans="2:26">
      <c r="B10115" s="2"/>
      <c r="N10115" s="27"/>
      <c r="R10115" s="15"/>
      <c r="X10115" s="3"/>
      <c r="Z10115" s="28"/>
    </row>
    <row r="10116" spans="2:26">
      <c r="B10116" s="2"/>
      <c r="N10116" s="27"/>
      <c r="R10116" s="15"/>
      <c r="X10116" s="3"/>
      <c r="Z10116" s="28"/>
    </row>
    <row r="10117" spans="2:26">
      <c r="B10117" s="2"/>
      <c r="N10117" s="27"/>
      <c r="R10117" s="15"/>
      <c r="X10117" s="3"/>
      <c r="Z10117" s="28"/>
    </row>
    <row r="10118" spans="2:26">
      <c r="B10118" s="2"/>
      <c r="N10118" s="27"/>
      <c r="R10118" s="15"/>
      <c r="X10118" s="3"/>
      <c r="Z10118" s="28"/>
    </row>
    <row r="10119" spans="2:26">
      <c r="B10119" s="2"/>
      <c r="N10119" s="27"/>
      <c r="R10119" s="15"/>
      <c r="X10119" s="3"/>
      <c r="Z10119" s="28"/>
    </row>
    <row r="10120" spans="2:26">
      <c r="B10120" s="2"/>
      <c r="N10120" s="27"/>
      <c r="R10120" s="15"/>
      <c r="X10120" s="3"/>
      <c r="Z10120" s="28"/>
    </row>
    <row r="10121" spans="2:26">
      <c r="B10121" s="2"/>
      <c r="N10121" s="27"/>
      <c r="R10121" s="15"/>
      <c r="X10121" s="3"/>
      <c r="Z10121" s="28"/>
    </row>
    <row r="10122" spans="2:26">
      <c r="B10122" s="2"/>
      <c r="N10122" s="27"/>
      <c r="R10122" s="15"/>
      <c r="X10122" s="3"/>
      <c r="Z10122" s="28"/>
    </row>
    <row r="10123" spans="2:26">
      <c r="B10123" s="2"/>
      <c r="N10123" s="27"/>
      <c r="R10123" s="15"/>
      <c r="X10123" s="3"/>
      <c r="Z10123" s="28"/>
    </row>
    <row r="10124" spans="2:26">
      <c r="B10124" s="2"/>
      <c r="N10124" s="27"/>
      <c r="R10124" s="15"/>
      <c r="X10124" s="3"/>
      <c r="Z10124" s="28"/>
    </row>
    <row r="10125" spans="2:26">
      <c r="B10125" s="2"/>
      <c r="N10125" s="27"/>
      <c r="R10125" s="15"/>
      <c r="X10125" s="3"/>
      <c r="Z10125" s="28"/>
    </row>
    <row r="10126" spans="2:26">
      <c r="B10126" s="2"/>
      <c r="N10126" s="27"/>
      <c r="R10126" s="15"/>
      <c r="X10126" s="3"/>
      <c r="Z10126" s="28"/>
    </row>
    <row r="10127" spans="2:26">
      <c r="B10127" s="2"/>
      <c r="N10127" s="27"/>
      <c r="R10127" s="15"/>
      <c r="X10127" s="3"/>
      <c r="Z10127" s="28"/>
    </row>
    <row r="10128" spans="2:26">
      <c r="B10128" s="2"/>
      <c r="N10128" s="27"/>
      <c r="R10128" s="15"/>
      <c r="X10128" s="3"/>
      <c r="Z10128" s="28"/>
    </row>
    <row r="10129" spans="2:26">
      <c r="B10129" s="2"/>
      <c r="N10129" s="27"/>
      <c r="R10129" s="15"/>
      <c r="X10129" s="3"/>
      <c r="Z10129" s="28"/>
    </row>
    <row r="10130" spans="2:26">
      <c r="B10130" s="2"/>
      <c r="N10130" s="27"/>
      <c r="R10130" s="15"/>
      <c r="X10130" s="3"/>
      <c r="Z10130" s="28"/>
    </row>
    <row r="10131" spans="2:26">
      <c r="B10131" s="2"/>
      <c r="N10131" s="27"/>
      <c r="R10131" s="15"/>
      <c r="X10131" s="3"/>
      <c r="Z10131" s="28"/>
    </row>
    <row r="10132" spans="2:26">
      <c r="B10132" s="2"/>
      <c r="N10132" s="27"/>
      <c r="R10132" s="15"/>
      <c r="X10132" s="3"/>
      <c r="Z10132" s="28"/>
    </row>
    <row r="10133" spans="2:26">
      <c r="B10133" s="2"/>
      <c r="N10133" s="27"/>
      <c r="R10133" s="15"/>
      <c r="X10133" s="3"/>
      <c r="Z10133" s="28"/>
    </row>
    <row r="10134" spans="2:26">
      <c r="B10134" s="2"/>
      <c r="N10134" s="27"/>
      <c r="R10134" s="15"/>
      <c r="X10134" s="3"/>
      <c r="Z10134" s="28"/>
    </row>
    <row r="10135" spans="2:26">
      <c r="B10135" s="2"/>
      <c r="N10135" s="27"/>
      <c r="R10135" s="15"/>
      <c r="X10135" s="3"/>
      <c r="Z10135" s="28"/>
    </row>
    <row r="10136" spans="2:26">
      <c r="B10136" s="2"/>
      <c r="N10136" s="27"/>
      <c r="R10136" s="15"/>
      <c r="X10136" s="3"/>
      <c r="Z10136" s="28"/>
    </row>
    <row r="10137" spans="2:26">
      <c r="B10137" s="2"/>
      <c r="N10137" s="27"/>
      <c r="R10137" s="15"/>
      <c r="X10137" s="3"/>
      <c r="Z10137" s="28"/>
    </row>
    <row r="10138" spans="2:26">
      <c r="B10138" s="2"/>
      <c r="N10138" s="27"/>
      <c r="R10138" s="15"/>
      <c r="X10138" s="3"/>
      <c r="Z10138" s="28"/>
    </row>
    <row r="10139" spans="2:26">
      <c r="B10139" s="2"/>
      <c r="N10139" s="27"/>
      <c r="R10139" s="15"/>
      <c r="X10139" s="3"/>
      <c r="Z10139" s="28"/>
    </row>
    <row r="10140" spans="2:26">
      <c r="B10140" s="2"/>
      <c r="N10140" s="27"/>
      <c r="R10140" s="15"/>
      <c r="X10140" s="3"/>
      <c r="Z10140" s="28"/>
    </row>
    <row r="10141" spans="2:26">
      <c r="B10141" s="2"/>
      <c r="N10141" s="27"/>
      <c r="R10141" s="15"/>
      <c r="X10141" s="3"/>
      <c r="Z10141" s="28"/>
    </row>
    <row r="10142" spans="2:26">
      <c r="B10142" s="2"/>
      <c r="N10142" s="27"/>
      <c r="R10142" s="15"/>
      <c r="X10142" s="3"/>
      <c r="Z10142" s="28"/>
    </row>
    <row r="10143" spans="2:26">
      <c r="B10143" s="2"/>
      <c r="N10143" s="27"/>
      <c r="R10143" s="15"/>
      <c r="X10143" s="3"/>
      <c r="Z10143" s="28"/>
    </row>
    <row r="10144" spans="2:26">
      <c r="B10144" s="2"/>
      <c r="N10144" s="27"/>
      <c r="R10144" s="15"/>
      <c r="X10144" s="3"/>
      <c r="Z10144" s="28"/>
    </row>
    <row r="10145" spans="2:26">
      <c r="B10145" s="2"/>
      <c r="N10145" s="27"/>
      <c r="R10145" s="15"/>
      <c r="X10145" s="3"/>
      <c r="Z10145" s="28"/>
    </row>
    <row r="10146" spans="2:26">
      <c r="B10146" s="2"/>
      <c r="N10146" s="27"/>
      <c r="R10146" s="15"/>
      <c r="X10146" s="3"/>
      <c r="Z10146" s="28"/>
    </row>
    <row r="10147" spans="2:26">
      <c r="B10147" s="2"/>
      <c r="N10147" s="27"/>
      <c r="R10147" s="15"/>
      <c r="X10147" s="3"/>
      <c r="Z10147" s="28"/>
    </row>
    <row r="10148" spans="2:26">
      <c r="B10148" s="2"/>
      <c r="N10148" s="27"/>
      <c r="R10148" s="15"/>
      <c r="X10148" s="3"/>
      <c r="Z10148" s="28"/>
    </row>
    <row r="10149" spans="2:26">
      <c r="B10149" s="2"/>
      <c r="N10149" s="27"/>
      <c r="R10149" s="15"/>
      <c r="X10149" s="3"/>
      <c r="Z10149" s="28"/>
    </row>
    <row r="10150" spans="2:26">
      <c r="B10150" s="2"/>
      <c r="N10150" s="27"/>
      <c r="R10150" s="15"/>
      <c r="X10150" s="3"/>
      <c r="Z10150" s="28"/>
    </row>
    <row r="10151" spans="2:26">
      <c r="B10151" s="2"/>
      <c r="N10151" s="27"/>
      <c r="R10151" s="15"/>
      <c r="X10151" s="3"/>
      <c r="Z10151" s="28"/>
    </row>
    <row r="10152" spans="2:26">
      <c r="B10152" s="2"/>
      <c r="N10152" s="27"/>
      <c r="R10152" s="15"/>
      <c r="X10152" s="3"/>
      <c r="Z10152" s="28"/>
    </row>
    <row r="10153" spans="2:26">
      <c r="B10153" s="2"/>
      <c r="N10153" s="27"/>
      <c r="R10153" s="15"/>
      <c r="X10153" s="3"/>
      <c r="Z10153" s="28"/>
    </row>
    <row r="10154" spans="2:26">
      <c r="B10154" s="2"/>
      <c r="N10154" s="27"/>
      <c r="R10154" s="15"/>
      <c r="X10154" s="3"/>
      <c r="Z10154" s="28"/>
    </row>
    <row r="10155" spans="2:26">
      <c r="B10155" s="2"/>
      <c r="N10155" s="27"/>
      <c r="R10155" s="15"/>
      <c r="X10155" s="3"/>
      <c r="Z10155" s="28"/>
    </row>
    <row r="10156" spans="2:26">
      <c r="B10156" s="2"/>
      <c r="N10156" s="27"/>
      <c r="R10156" s="15"/>
      <c r="X10156" s="3"/>
      <c r="Z10156" s="28"/>
    </row>
    <row r="10157" spans="2:26">
      <c r="B10157" s="2"/>
      <c r="N10157" s="27"/>
      <c r="R10157" s="15"/>
      <c r="X10157" s="3"/>
      <c r="Z10157" s="28"/>
    </row>
    <row r="10158" spans="2:26">
      <c r="B10158" s="2"/>
      <c r="N10158" s="27"/>
      <c r="R10158" s="15"/>
      <c r="X10158" s="3"/>
      <c r="Z10158" s="28"/>
    </row>
    <row r="10159" spans="2:26">
      <c r="B10159" s="2"/>
      <c r="N10159" s="27"/>
      <c r="R10159" s="15"/>
      <c r="X10159" s="3"/>
      <c r="Z10159" s="28"/>
    </row>
    <row r="10160" spans="2:26">
      <c r="B10160" s="2"/>
      <c r="N10160" s="27"/>
      <c r="R10160" s="15"/>
      <c r="X10160" s="3"/>
      <c r="Z10160" s="28"/>
    </row>
    <row r="10161" spans="2:26">
      <c r="B10161" s="2"/>
      <c r="N10161" s="27"/>
      <c r="R10161" s="15"/>
      <c r="X10161" s="3"/>
      <c r="Z10161" s="28"/>
    </row>
    <row r="10162" spans="2:26">
      <c r="B10162" s="2"/>
      <c r="N10162" s="27"/>
      <c r="R10162" s="15"/>
      <c r="X10162" s="3"/>
      <c r="Z10162" s="28"/>
    </row>
    <row r="10163" spans="2:26">
      <c r="B10163" s="2"/>
      <c r="N10163" s="27"/>
      <c r="R10163" s="15"/>
      <c r="X10163" s="3"/>
      <c r="Z10163" s="28"/>
    </row>
    <row r="10164" spans="2:26">
      <c r="B10164" s="2"/>
      <c r="N10164" s="27"/>
      <c r="R10164" s="15"/>
      <c r="X10164" s="3"/>
      <c r="Z10164" s="28"/>
    </row>
    <row r="10165" spans="2:26">
      <c r="B10165" s="2"/>
      <c r="N10165" s="27"/>
      <c r="R10165" s="15"/>
      <c r="X10165" s="3"/>
      <c r="Z10165" s="28"/>
    </row>
    <row r="10166" spans="2:26">
      <c r="B10166" s="2"/>
      <c r="N10166" s="27"/>
      <c r="R10166" s="15"/>
      <c r="X10166" s="3"/>
      <c r="Z10166" s="28"/>
    </row>
    <row r="10167" spans="2:26">
      <c r="B10167" s="2"/>
      <c r="N10167" s="27"/>
      <c r="R10167" s="15"/>
      <c r="X10167" s="3"/>
      <c r="Z10167" s="28"/>
    </row>
    <row r="10168" spans="2:26">
      <c r="B10168" s="2"/>
      <c r="N10168" s="27"/>
      <c r="R10168" s="15"/>
      <c r="X10168" s="3"/>
      <c r="Z10168" s="28"/>
    </row>
    <row r="10169" spans="2:26">
      <c r="B10169" s="2"/>
      <c r="N10169" s="27"/>
      <c r="R10169" s="15"/>
      <c r="X10169" s="3"/>
      <c r="Z10169" s="28"/>
    </row>
    <row r="10170" spans="2:26">
      <c r="B10170" s="2"/>
      <c r="N10170" s="27"/>
      <c r="R10170" s="15"/>
      <c r="X10170" s="3"/>
      <c r="Z10170" s="28"/>
    </row>
    <row r="10171" spans="2:26">
      <c r="B10171" s="2"/>
      <c r="N10171" s="27"/>
      <c r="R10171" s="15"/>
      <c r="X10171" s="3"/>
      <c r="Z10171" s="28"/>
    </row>
    <row r="10172" spans="2:26">
      <c r="B10172" s="2"/>
      <c r="N10172" s="27"/>
      <c r="R10172" s="15"/>
      <c r="X10172" s="3"/>
      <c r="Z10172" s="28"/>
    </row>
    <row r="10173" spans="2:26">
      <c r="B10173" s="2"/>
      <c r="N10173" s="27"/>
      <c r="R10173" s="15"/>
      <c r="X10173" s="3"/>
      <c r="Z10173" s="28"/>
    </row>
    <row r="10174" spans="2:26">
      <c r="B10174" s="2"/>
      <c r="N10174" s="27"/>
      <c r="R10174" s="15"/>
      <c r="X10174" s="3"/>
      <c r="Z10174" s="28"/>
    </row>
    <row r="10175" spans="2:26">
      <c r="B10175" s="2"/>
      <c r="N10175" s="27"/>
      <c r="R10175" s="15"/>
      <c r="X10175" s="3"/>
      <c r="Z10175" s="28"/>
    </row>
    <row r="10176" spans="2:26">
      <c r="B10176" s="2"/>
      <c r="N10176" s="27"/>
      <c r="R10176" s="15"/>
      <c r="X10176" s="3"/>
      <c r="Z10176" s="28"/>
    </row>
    <row r="10177" spans="2:26">
      <c r="B10177" s="2"/>
      <c r="N10177" s="27"/>
      <c r="R10177" s="15"/>
      <c r="X10177" s="3"/>
      <c r="Z10177" s="28"/>
    </row>
    <row r="10178" spans="2:26">
      <c r="B10178" s="2"/>
      <c r="N10178" s="27"/>
      <c r="R10178" s="15"/>
      <c r="X10178" s="3"/>
      <c r="Z10178" s="28"/>
    </row>
    <row r="10179" spans="2:26">
      <c r="B10179" s="2"/>
      <c r="N10179" s="27"/>
      <c r="R10179" s="15"/>
      <c r="X10179" s="3"/>
      <c r="Z10179" s="28"/>
    </row>
    <row r="10180" spans="2:26">
      <c r="B10180" s="2"/>
      <c r="N10180" s="27"/>
      <c r="R10180" s="15"/>
      <c r="X10180" s="3"/>
      <c r="Z10180" s="28"/>
    </row>
    <row r="10181" spans="2:26">
      <c r="B10181" s="2"/>
      <c r="N10181" s="27"/>
      <c r="R10181" s="15"/>
      <c r="X10181" s="3"/>
      <c r="Z10181" s="28"/>
    </row>
    <row r="10182" spans="2:26">
      <c r="B10182" s="2"/>
      <c r="N10182" s="27"/>
      <c r="R10182" s="15"/>
      <c r="X10182" s="3"/>
      <c r="Z10182" s="28"/>
    </row>
    <row r="10183" spans="2:26">
      <c r="B10183" s="2"/>
      <c r="N10183" s="27"/>
      <c r="R10183" s="15"/>
      <c r="X10183" s="3"/>
      <c r="Z10183" s="28"/>
    </row>
    <row r="10184" spans="2:26">
      <c r="B10184" s="2"/>
      <c r="N10184" s="27"/>
      <c r="R10184" s="15"/>
      <c r="X10184" s="3"/>
      <c r="Z10184" s="28"/>
    </row>
    <row r="10185" spans="2:26">
      <c r="B10185" s="2"/>
      <c r="N10185" s="27"/>
      <c r="R10185" s="15"/>
      <c r="X10185" s="3"/>
      <c r="Z10185" s="28"/>
    </row>
    <row r="10186" spans="2:26">
      <c r="B10186" s="2"/>
      <c r="N10186" s="27"/>
      <c r="R10186" s="15"/>
      <c r="X10186" s="3"/>
      <c r="Z10186" s="28"/>
    </row>
    <row r="10187" spans="2:26">
      <c r="B10187" s="2"/>
      <c r="N10187" s="27"/>
      <c r="R10187" s="15"/>
      <c r="X10187" s="3"/>
      <c r="Z10187" s="28"/>
    </row>
    <row r="10188" spans="2:26">
      <c r="B10188" s="2"/>
      <c r="N10188" s="27"/>
      <c r="R10188" s="15"/>
      <c r="X10188" s="3"/>
      <c r="Z10188" s="28"/>
    </row>
    <row r="10189" spans="2:26">
      <c r="B10189" s="2"/>
      <c r="N10189" s="27"/>
      <c r="R10189" s="15"/>
      <c r="X10189" s="3"/>
      <c r="Z10189" s="28"/>
    </row>
    <row r="10190" spans="2:26">
      <c r="B10190" s="2"/>
      <c r="N10190" s="27"/>
      <c r="R10190" s="15"/>
      <c r="X10190" s="3"/>
      <c r="Z10190" s="28"/>
    </row>
    <row r="10191" spans="2:26">
      <c r="B10191" s="2"/>
      <c r="N10191" s="27"/>
      <c r="R10191" s="15"/>
      <c r="X10191" s="3"/>
      <c r="Z10191" s="28"/>
    </row>
    <row r="10192" spans="2:26">
      <c r="B10192" s="2"/>
      <c r="N10192" s="27"/>
      <c r="R10192" s="15"/>
      <c r="X10192" s="3"/>
      <c r="Z10192" s="28"/>
    </row>
    <row r="10193" spans="2:26">
      <c r="B10193" s="2"/>
      <c r="N10193" s="27"/>
      <c r="R10193" s="15"/>
      <c r="X10193" s="3"/>
      <c r="Z10193" s="28"/>
    </row>
    <row r="10194" spans="2:26">
      <c r="B10194" s="2"/>
      <c r="N10194" s="27"/>
      <c r="R10194" s="15"/>
      <c r="X10194" s="3"/>
      <c r="Z10194" s="28"/>
    </row>
    <row r="10195" spans="2:26">
      <c r="B10195" s="2"/>
      <c r="N10195" s="27"/>
      <c r="R10195" s="15"/>
      <c r="X10195" s="3"/>
      <c r="Z10195" s="28"/>
    </row>
    <row r="10196" spans="2:26">
      <c r="B10196" s="2"/>
      <c r="N10196" s="27"/>
      <c r="R10196" s="15"/>
      <c r="X10196" s="3"/>
      <c r="Z10196" s="28"/>
    </row>
    <row r="10197" spans="2:26">
      <c r="B10197" s="2"/>
      <c r="N10197" s="27"/>
      <c r="R10197" s="15"/>
      <c r="X10197" s="3"/>
      <c r="Z10197" s="28"/>
    </row>
    <row r="10198" spans="2:26">
      <c r="B10198" s="2"/>
      <c r="N10198" s="27"/>
      <c r="R10198" s="15"/>
      <c r="X10198" s="3"/>
      <c r="Z10198" s="28"/>
    </row>
    <row r="10199" spans="2:26">
      <c r="B10199" s="2"/>
      <c r="N10199" s="27"/>
      <c r="R10199" s="15"/>
      <c r="X10199" s="3"/>
      <c r="Z10199" s="28"/>
    </row>
    <row r="10200" spans="2:26">
      <c r="B10200" s="2"/>
      <c r="N10200" s="27"/>
      <c r="R10200" s="15"/>
      <c r="X10200" s="3"/>
      <c r="Z10200" s="28"/>
    </row>
    <row r="10201" spans="2:26">
      <c r="B10201" s="2"/>
      <c r="N10201" s="27"/>
      <c r="R10201" s="15"/>
      <c r="X10201" s="3"/>
      <c r="Z10201" s="28"/>
    </row>
    <row r="10202" spans="2:26">
      <c r="B10202" s="2"/>
      <c r="N10202" s="27"/>
      <c r="R10202" s="15"/>
      <c r="X10202" s="3"/>
      <c r="Z10202" s="28"/>
    </row>
    <row r="10203" spans="2:26">
      <c r="B10203" s="2"/>
      <c r="N10203" s="27"/>
      <c r="R10203" s="15"/>
      <c r="X10203" s="3"/>
      <c r="Z10203" s="28"/>
    </row>
    <row r="10204" spans="2:26">
      <c r="B10204" s="2"/>
      <c r="N10204" s="27"/>
      <c r="R10204" s="15"/>
      <c r="X10204" s="3"/>
      <c r="Z10204" s="28"/>
    </row>
    <row r="10205" spans="2:26">
      <c r="B10205" s="2"/>
      <c r="N10205" s="27"/>
      <c r="R10205" s="15"/>
      <c r="X10205" s="3"/>
      <c r="Z10205" s="28"/>
    </row>
    <row r="10206" spans="2:26">
      <c r="B10206" s="2"/>
      <c r="N10206" s="27"/>
      <c r="R10206" s="15"/>
      <c r="X10206" s="3"/>
      <c r="Z10206" s="28"/>
    </row>
    <row r="10207" spans="2:26">
      <c r="B10207" s="2"/>
      <c r="N10207" s="27"/>
      <c r="R10207" s="15"/>
      <c r="X10207" s="3"/>
      <c r="Z10207" s="28"/>
    </row>
    <row r="10208" spans="2:26">
      <c r="B10208" s="2"/>
      <c r="N10208" s="27"/>
      <c r="R10208" s="15"/>
      <c r="X10208" s="3"/>
      <c r="Z10208" s="28"/>
    </row>
    <row r="10209" spans="2:26">
      <c r="B10209" s="2"/>
      <c r="N10209" s="27"/>
      <c r="R10209" s="15"/>
      <c r="X10209" s="3"/>
      <c r="Z10209" s="28"/>
    </row>
    <row r="10210" spans="2:26">
      <c r="B10210" s="2"/>
      <c r="N10210" s="27"/>
      <c r="R10210" s="15"/>
      <c r="X10210" s="3"/>
      <c r="Z10210" s="28"/>
    </row>
    <row r="10211" spans="2:26">
      <c r="B10211" s="2"/>
      <c r="N10211" s="27"/>
      <c r="R10211" s="15"/>
      <c r="X10211" s="3"/>
      <c r="Z10211" s="28"/>
    </row>
    <row r="10212" spans="2:26">
      <c r="B10212" s="2"/>
      <c r="N10212" s="27"/>
      <c r="R10212" s="15"/>
      <c r="X10212" s="3"/>
      <c r="Z10212" s="28"/>
    </row>
    <row r="10213" spans="2:26">
      <c r="B10213" s="2"/>
      <c r="N10213" s="27"/>
      <c r="R10213" s="15"/>
      <c r="X10213" s="3"/>
      <c r="Z10213" s="28"/>
    </row>
    <row r="10214" spans="2:26">
      <c r="B10214" s="2"/>
      <c r="N10214" s="27"/>
      <c r="R10214" s="15"/>
      <c r="X10214" s="3"/>
      <c r="Z10214" s="28"/>
    </row>
    <row r="10215" spans="2:26">
      <c r="B10215" s="2"/>
      <c r="N10215" s="27"/>
      <c r="R10215" s="15"/>
      <c r="X10215" s="3"/>
      <c r="Z10215" s="28"/>
    </row>
    <row r="10216" spans="2:26">
      <c r="B10216" s="2"/>
      <c r="N10216" s="27"/>
      <c r="R10216" s="15"/>
      <c r="X10216" s="3"/>
      <c r="Z10216" s="28"/>
    </row>
    <row r="10217" spans="2:26">
      <c r="B10217" s="2"/>
      <c r="N10217" s="27"/>
      <c r="R10217" s="15"/>
      <c r="X10217" s="3"/>
      <c r="Z10217" s="28"/>
    </row>
    <row r="10218" spans="2:26">
      <c r="B10218" s="2"/>
      <c r="N10218" s="27"/>
      <c r="R10218" s="15"/>
      <c r="X10218" s="3"/>
      <c r="Z10218" s="28"/>
    </row>
    <row r="10219" spans="2:26">
      <c r="B10219" s="2"/>
      <c r="N10219" s="27"/>
      <c r="R10219" s="15"/>
      <c r="X10219" s="3"/>
      <c r="Z10219" s="28"/>
    </row>
    <row r="10220" spans="2:26">
      <c r="B10220" s="2"/>
      <c r="N10220" s="27"/>
      <c r="R10220" s="15"/>
      <c r="X10220" s="3"/>
      <c r="Z10220" s="28"/>
    </row>
    <row r="10221" spans="2:26">
      <c r="B10221" s="2"/>
      <c r="N10221" s="27"/>
      <c r="R10221" s="15"/>
      <c r="X10221" s="3"/>
      <c r="Z10221" s="28"/>
    </row>
    <row r="10222" spans="2:26">
      <c r="B10222" s="2"/>
      <c r="N10222" s="27"/>
      <c r="R10222" s="15"/>
      <c r="X10222" s="3"/>
      <c r="Z10222" s="28"/>
    </row>
    <row r="10223" spans="2:26">
      <c r="B10223" s="2"/>
      <c r="N10223" s="27"/>
      <c r="R10223" s="15"/>
      <c r="X10223" s="3"/>
      <c r="Z10223" s="28"/>
    </row>
    <row r="10224" spans="2:26">
      <c r="B10224" s="2"/>
      <c r="N10224" s="27"/>
      <c r="R10224" s="15"/>
      <c r="X10224" s="3"/>
      <c r="Z10224" s="28"/>
    </row>
    <row r="10225" spans="2:26">
      <c r="B10225" s="2"/>
      <c r="N10225" s="27"/>
      <c r="R10225" s="15"/>
      <c r="X10225" s="3"/>
      <c r="Z10225" s="28"/>
    </row>
    <row r="10226" spans="2:26">
      <c r="B10226" s="2"/>
      <c r="N10226" s="27"/>
      <c r="R10226" s="15"/>
      <c r="X10226" s="3"/>
      <c r="Z10226" s="28"/>
    </row>
    <row r="10227" spans="2:26">
      <c r="B10227" s="2"/>
      <c r="N10227" s="27"/>
      <c r="R10227" s="15"/>
      <c r="X10227" s="3"/>
      <c r="Z10227" s="28"/>
    </row>
    <row r="10228" spans="2:26">
      <c r="B10228" s="2"/>
      <c r="N10228" s="27"/>
      <c r="R10228" s="15"/>
      <c r="X10228" s="3"/>
      <c r="Z10228" s="28"/>
    </row>
    <row r="10229" spans="2:26">
      <c r="B10229" s="2"/>
      <c r="N10229" s="27"/>
      <c r="R10229" s="15"/>
      <c r="X10229" s="3"/>
      <c r="Z10229" s="28"/>
    </row>
    <row r="10230" spans="2:26">
      <c r="B10230" s="2"/>
      <c r="N10230" s="27"/>
      <c r="R10230" s="15"/>
      <c r="X10230" s="3"/>
      <c r="Z10230" s="28"/>
    </row>
    <row r="10231" spans="2:26">
      <c r="B10231" s="2"/>
      <c r="N10231" s="27"/>
      <c r="R10231" s="15"/>
      <c r="X10231" s="3"/>
      <c r="Z10231" s="28"/>
    </row>
    <row r="10232" spans="2:26">
      <c r="B10232" s="2"/>
      <c r="N10232" s="27"/>
      <c r="R10232" s="15"/>
      <c r="X10232" s="3"/>
      <c r="Z10232" s="28"/>
    </row>
    <row r="10233" spans="2:26">
      <c r="B10233" s="2"/>
      <c r="N10233" s="27"/>
      <c r="R10233" s="15"/>
      <c r="X10233" s="3"/>
      <c r="Z10233" s="28"/>
    </row>
    <row r="10234" spans="2:26">
      <c r="B10234" s="2"/>
      <c r="N10234" s="27"/>
      <c r="R10234" s="15"/>
      <c r="X10234" s="3"/>
      <c r="Z10234" s="28"/>
    </row>
    <row r="10235" spans="2:26">
      <c r="B10235" s="2"/>
      <c r="N10235" s="27"/>
      <c r="R10235" s="15"/>
      <c r="X10235" s="3"/>
      <c r="Z10235" s="28"/>
    </row>
    <row r="10236" spans="2:26">
      <c r="B10236" s="2"/>
      <c r="N10236" s="27"/>
      <c r="R10236" s="15"/>
      <c r="X10236" s="3"/>
      <c r="Z10236" s="28"/>
    </row>
    <row r="10237" spans="2:26">
      <c r="B10237" s="2"/>
      <c r="N10237" s="27"/>
      <c r="R10237" s="15"/>
      <c r="X10237" s="3"/>
      <c r="Z10237" s="28"/>
    </row>
    <row r="10238" spans="2:26">
      <c r="B10238" s="2"/>
      <c r="N10238" s="27"/>
      <c r="R10238" s="15"/>
      <c r="X10238" s="3"/>
      <c r="Z10238" s="28"/>
    </row>
    <row r="10239" spans="2:26">
      <c r="B10239" s="2"/>
      <c r="N10239" s="27"/>
      <c r="R10239" s="15"/>
      <c r="X10239" s="3"/>
      <c r="Z10239" s="28"/>
    </row>
    <row r="10240" spans="2:26">
      <c r="B10240" s="2"/>
      <c r="N10240" s="27"/>
      <c r="R10240" s="15"/>
      <c r="X10240" s="3"/>
      <c r="Z10240" s="28"/>
    </row>
    <row r="10241" spans="2:26">
      <c r="B10241" s="2"/>
      <c r="N10241" s="27"/>
      <c r="R10241" s="15"/>
      <c r="X10241" s="3"/>
      <c r="Z10241" s="28"/>
    </row>
    <row r="10242" spans="2:26">
      <c r="B10242" s="2"/>
      <c r="N10242" s="27"/>
      <c r="R10242" s="15"/>
      <c r="X10242" s="3"/>
      <c r="Z10242" s="28"/>
    </row>
    <row r="10243" spans="2:26">
      <c r="B10243" s="2"/>
      <c r="N10243" s="27"/>
      <c r="R10243" s="15"/>
      <c r="X10243" s="3"/>
      <c r="Z10243" s="28"/>
    </row>
    <row r="10244" spans="2:26">
      <c r="B10244" s="2"/>
      <c r="N10244" s="27"/>
      <c r="R10244" s="15"/>
      <c r="X10244" s="3"/>
      <c r="Z10244" s="28"/>
    </row>
    <row r="10245" spans="2:26">
      <c r="B10245" s="2"/>
      <c r="N10245" s="27"/>
      <c r="R10245" s="15"/>
      <c r="X10245" s="3"/>
      <c r="Z10245" s="28"/>
    </row>
    <row r="10246" spans="2:26">
      <c r="B10246" s="2"/>
      <c r="N10246" s="27"/>
      <c r="R10246" s="15"/>
      <c r="X10246" s="3"/>
      <c r="Z10246" s="28"/>
    </row>
    <row r="10247" spans="2:26">
      <c r="B10247" s="2"/>
      <c r="N10247" s="27"/>
      <c r="R10247" s="15"/>
      <c r="X10247" s="3"/>
      <c r="Z10247" s="28"/>
    </row>
    <row r="10248" spans="2:26">
      <c r="B10248" s="2"/>
      <c r="N10248" s="27"/>
      <c r="R10248" s="15"/>
      <c r="X10248" s="3"/>
      <c r="Z10248" s="28"/>
    </row>
    <row r="10249" spans="2:26">
      <c r="B10249" s="2"/>
      <c r="N10249" s="27"/>
      <c r="R10249" s="15"/>
      <c r="X10249" s="3"/>
      <c r="Z10249" s="28"/>
    </row>
    <row r="10250" spans="2:26">
      <c r="B10250" s="2"/>
      <c r="N10250" s="27"/>
      <c r="R10250" s="15"/>
      <c r="X10250" s="3"/>
      <c r="Z10250" s="28"/>
    </row>
    <row r="10251" spans="2:26">
      <c r="B10251" s="2"/>
      <c r="N10251" s="27"/>
      <c r="R10251" s="15"/>
      <c r="X10251" s="3"/>
      <c r="Z10251" s="28"/>
    </row>
    <row r="10252" spans="2:26">
      <c r="B10252" s="2"/>
      <c r="N10252" s="27"/>
      <c r="R10252" s="15"/>
      <c r="X10252" s="3"/>
      <c r="Z10252" s="28"/>
    </row>
    <row r="10253" spans="2:26">
      <c r="B10253" s="2"/>
      <c r="N10253" s="27"/>
      <c r="R10253" s="15"/>
      <c r="X10253" s="3"/>
      <c r="Z10253" s="28"/>
    </row>
    <row r="10254" spans="2:26">
      <c r="B10254" s="2"/>
      <c r="N10254" s="27"/>
      <c r="R10254" s="15"/>
      <c r="X10254" s="3"/>
      <c r="Z10254" s="28"/>
    </row>
    <row r="10255" spans="2:26">
      <c r="B10255" s="2"/>
      <c r="N10255" s="27"/>
      <c r="R10255" s="15"/>
      <c r="X10255" s="3"/>
      <c r="Z10255" s="28"/>
    </row>
    <row r="10256" spans="2:26">
      <c r="B10256" s="2"/>
      <c r="N10256" s="27"/>
      <c r="R10256" s="15"/>
      <c r="X10256" s="3"/>
      <c r="Z10256" s="28"/>
    </row>
    <row r="10257" spans="2:26">
      <c r="B10257" s="2"/>
      <c r="N10257" s="27"/>
      <c r="R10257" s="15"/>
      <c r="X10257" s="3"/>
      <c r="Z10257" s="28"/>
    </row>
    <row r="10258" spans="2:26">
      <c r="B10258" s="2"/>
      <c r="N10258" s="27"/>
      <c r="R10258" s="15"/>
      <c r="X10258" s="3"/>
      <c r="Z10258" s="28"/>
    </row>
    <row r="10259" spans="2:26">
      <c r="B10259" s="2"/>
      <c r="N10259" s="27"/>
      <c r="R10259" s="15"/>
      <c r="X10259" s="3"/>
      <c r="Z10259" s="28"/>
    </row>
    <row r="10260" spans="2:26">
      <c r="B10260" s="2"/>
      <c r="N10260" s="27"/>
      <c r="R10260" s="15"/>
      <c r="X10260" s="3"/>
      <c r="Z10260" s="28"/>
    </row>
    <row r="10261" spans="2:26">
      <c r="B10261" s="2"/>
      <c r="N10261" s="27"/>
      <c r="R10261" s="15"/>
      <c r="X10261" s="3"/>
      <c r="Z10261" s="28"/>
    </row>
    <row r="10262" spans="2:26">
      <c r="B10262" s="2"/>
      <c r="N10262" s="27"/>
      <c r="R10262" s="15"/>
      <c r="X10262" s="3"/>
      <c r="Z10262" s="28"/>
    </row>
    <row r="10263" spans="2:26">
      <c r="B10263" s="2"/>
      <c r="N10263" s="27"/>
      <c r="R10263" s="15"/>
      <c r="X10263" s="3"/>
      <c r="Z10263" s="28"/>
    </row>
    <row r="10264" spans="2:26">
      <c r="B10264" s="2"/>
      <c r="N10264" s="27"/>
      <c r="R10264" s="15"/>
      <c r="X10264" s="3"/>
      <c r="Z10264" s="28"/>
    </row>
    <row r="10265" spans="2:26">
      <c r="B10265" s="2"/>
      <c r="N10265" s="27"/>
      <c r="R10265" s="15"/>
      <c r="X10265" s="3"/>
      <c r="Z10265" s="28"/>
    </row>
    <row r="10266" spans="2:26">
      <c r="B10266" s="2"/>
      <c r="N10266" s="27"/>
      <c r="R10266" s="15"/>
      <c r="X10266" s="3"/>
      <c r="Z10266" s="28"/>
    </row>
    <row r="10267" spans="2:26">
      <c r="B10267" s="2"/>
      <c r="N10267" s="27"/>
      <c r="R10267" s="15"/>
      <c r="X10267" s="3"/>
      <c r="Z10267" s="28"/>
    </row>
    <row r="10268" spans="2:26">
      <c r="B10268" s="2"/>
      <c r="N10268" s="27"/>
      <c r="R10268" s="15"/>
      <c r="X10268" s="3"/>
      <c r="Z10268" s="28"/>
    </row>
    <row r="10269" spans="2:26">
      <c r="B10269" s="2"/>
      <c r="N10269" s="27"/>
      <c r="R10269" s="15"/>
      <c r="X10269" s="3"/>
      <c r="Z10269" s="28"/>
    </row>
    <row r="10270" spans="2:26">
      <c r="B10270" s="2"/>
      <c r="N10270" s="27"/>
      <c r="R10270" s="15"/>
      <c r="X10270" s="3"/>
      <c r="Z10270" s="28"/>
    </row>
    <row r="10271" spans="2:26">
      <c r="B10271" s="2"/>
      <c r="N10271" s="27"/>
      <c r="R10271" s="15"/>
      <c r="X10271" s="3"/>
      <c r="Z10271" s="28"/>
    </row>
    <row r="10272" spans="2:26">
      <c r="B10272" s="2"/>
      <c r="N10272" s="27"/>
      <c r="R10272" s="15"/>
      <c r="X10272" s="3"/>
      <c r="Z10272" s="28"/>
    </row>
    <row r="10273" spans="2:26">
      <c r="B10273" s="2"/>
      <c r="N10273" s="27"/>
      <c r="R10273" s="15"/>
      <c r="X10273" s="3"/>
      <c r="Z10273" s="28"/>
    </row>
    <row r="10274" spans="2:26">
      <c r="B10274" s="2"/>
      <c r="N10274" s="27"/>
      <c r="R10274" s="15"/>
      <c r="X10274" s="3"/>
      <c r="Z10274" s="28"/>
    </row>
    <row r="10275" spans="2:26">
      <c r="B10275" s="2"/>
      <c r="N10275" s="27"/>
      <c r="R10275" s="15"/>
      <c r="X10275" s="3"/>
      <c r="Z10275" s="28"/>
    </row>
    <row r="10276" spans="2:26">
      <c r="B10276" s="2"/>
      <c r="N10276" s="27"/>
      <c r="R10276" s="15"/>
      <c r="X10276" s="3"/>
      <c r="Z10276" s="28"/>
    </row>
    <row r="10277" spans="2:26">
      <c r="B10277" s="2"/>
      <c r="N10277" s="27"/>
      <c r="R10277" s="15"/>
      <c r="X10277" s="3"/>
      <c r="Z10277" s="28"/>
    </row>
    <row r="10278" spans="2:26">
      <c r="B10278" s="2"/>
      <c r="N10278" s="27"/>
      <c r="R10278" s="15"/>
      <c r="X10278" s="3"/>
      <c r="Z10278" s="28"/>
    </row>
    <row r="10279" spans="2:26">
      <c r="B10279" s="2"/>
      <c r="N10279" s="27"/>
      <c r="R10279" s="15"/>
      <c r="X10279" s="3"/>
      <c r="Z10279" s="28"/>
    </row>
    <row r="10280" spans="2:26">
      <c r="B10280" s="2"/>
      <c r="N10280" s="27"/>
      <c r="R10280" s="15"/>
      <c r="X10280" s="3"/>
      <c r="Z10280" s="28"/>
    </row>
    <row r="10281" spans="2:26">
      <c r="B10281" s="2"/>
      <c r="N10281" s="27"/>
      <c r="R10281" s="15"/>
      <c r="X10281" s="3"/>
      <c r="Z10281" s="28"/>
    </row>
    <row r="10282" spans="2:26">
      <c r="B10282" s="2"/>
      <c r="N10282" s="27"/>
      <c r="R10282" s="15"/>
      <c r="X10282" s="3"/>
      <c r="Z10282" s="28"/>
    </row>
    <row r="10283" spans="2:26">
      <c r="B10283" s="2"/>
      <c r="N10283" s="27"/>
      <c r="R10283" s="15"/>
      <c r="X10283" s="3"/>
      <c r="Z10283" s="28"/>
    </row>
    <row r="10284" spans="2:26">
      <c r="B10284" s="2"/>
      <c r="N10284" s="27"/>
      <c r="R10284" s="15"/>
      <c r="X10284" s="3"/>
      <c r="Z10284" s="28"/>
    </row>
    <row r="10285" spans="2:26">
      <c r="B10285" s="2"/>
      <c r="N10285" s="27"/>
      <c r="R10285" s="15"/>
      <c r="X10285" s="3"/>
      <c r="Z10285" s="28"/>
    </row>
    <row r="10286" spans="2:26">
      <c r="B10286" s="2"/>
      <c r="N10286" s="27"/>
      <c r="R10286" s="15"/>
      <c r="X10286" s="3"/>
      <c r="Z10286" s="28"/>
    </row>
    <row r="10287" spans="2:26">
      <c r="B10287" s="2"/>
      <c r="N10287" s="27"/>
      <c r="R10287" s="15"/>
      <c r="X10287" s="3"/>
      <c r="Z10287" s="28"/>
    </row>
    <row r="10288" spans="2:26">
      <c r="B10288" s="2"/>
      <c r="N10288" s="27"/>
      <c r="R10288" s="15"/>
      <c r="X10288" s="3"/>
      <c r="Z10288" s="28"/>
    </row>
    <row r="10289" spans="2:26">
      <c r="B10289" s="2"/>
      <c r="N10289" s="27"/>
      <c r="R10289" s="15"/>
      <c r="X10289" s="3"/>
      <c r="Z10289" s="28"/>
    </row>
    <row r="10290" spans="2:26">
      <c r="B10290" s="2"/>
      <c r="N10290" s="27"/>
      <c r="R10290" s="15"/>
      <c r="X10290" s="3"/>
      <c r="Z10290" s="28"/>
    </row>
    <row r="10291" spans="2:26">
      <c r="B10291" s="2"/>
      <c r="N10291" s="27"/>
      <c r="R10291" s="15"/>
      <c r="X10291" s="3"/>
      <c r="Z10291" s="28"/>
    </row>
    <row r="10292" spans="2:26">
      <c r="B10292" s="2"/>
      <c r="N10292" s="27"/>
      <c r="R10292" s="15"/>
      <c r="X10292" s="3"/>
      <c r="Z10292" s="28"/>
    </row>
    <row r="10293" spans="2:26">
      <c r="B10293" s="2"/>
      <c r="N10293" s="27"/>
      <c r="R10293" s="15"/>
      <c r="X10293" s="3"/>
      <c r="Z10293" s="28"/>
    </row>
    <row r="10294" spans="2:26">
      <c r="B10294" s="2"/>
      <c r="N10294" s="27"/>
      <c r="R10294" s="15"/>
      <c r="X10294" s="3"/>
      <c r="Z10294" s="28"/>
    </row>
    <row r="10295" spans="2:26">
      <c r="B10295" s="2"/>
      <c r="N10295" s="27"/>
      <c r="R10295" s="15"/>
      <c r="X10295" s="3"/>
      <c r="Z10295" s="28"/>
    </row>
    <row r="10296" spans="2:26">
      <c r="B10296" s="2"/>
      <c r="N10296" s="27"/>
      <c r="R10296" s="15"/>
      <c r="X10296" s="3"/>
      <c r="Z10296" s="28"/>
    </row>
    <row r="10297" spans="2:26">
      <c r="B10297" s="2"/>
      <c r="N10297" s="27"/>
      <c r="R10297" s="15"/>
      <c r="X10297" s="3"/>
      <c r="Z10297" s="28"/>
    </row>
    <row r="10298" spans="2:26">
      <c r="B10298" s="2"/>
      <c r="N10298" s="27"/>
      <c r="R10298" s="15"/>
      <c r="X10298" s="3"/>
      <c r="Z10298" s="28"/>
    </row>
    <row r="10299" spans="2:26">
      <c r="B10299" s="2"/>
      <c r="N10299" s="27"/>
      <c r="R10299" s="15"/>
      <c r="X10299" s="3"/>
      <c r="Z10299" s="28"/>
    </row>
    <row r="10300" spans="2:26">
      <c r="B10300" s="2"/>
      <c r="N10300" s="27"/>
      <c r="R10300" s="15"/>
      <c r="X10300" s="3"/>
      <c r="Z10300" s="28"/>
    </row>
    <row r="10301" spans="2:26">
      <c r="B10301" s="2"/>
      <c r="N10301" s="27"/>
      <c r="R10301" s="15"/>
      <c r="X10301" s="3"/>
      <c r="Z10301" s="28"/>
    </row>
    <row r="10302" spans="2:26">
      <c r="B10302" s="2"/>
      <c r="N10302" s="27"/>
      <c r="R10302" s="15"/>
      <c r="X10302" s="3"/>
      <c r="Z10302" s="28"/>
    </row>
    <row r="10303" spans="2:26">
      <c r="B10303" s="2"/>
      <c r="N10303" s="27"/>
      <c r="R10303" s="15"/>
      <c r="X10303" s="3"/>
      <c r="Z10303" s="28"/>
    </row>
    <row r="10304" spans="2:26">
      <c r="B10304" s="2"/>
      <c r="N10304" s="27"/>
      <c r="R10304" s="15"/>
      <c r="X10304" s="3"/>
      <c r="Z10304" s="28"/>
    </row>
    <row r="10305" spans="2:26">
      <c r="B10305" s="2"/>
      <c r="N10305" s="27"/>
      <c r="R10305" s="15"/>
      <c r="X10305" s="3"/>
      <c r="Z10305" s="28"/>
    </row>
    <row r="10306" spans="2:26">
      <c r="B10306" s="2"/>
      <c r="N10306" s="27"/>
      <c r="R10306" s="15"/>
      <c r="X10306" s="3"/>
      <c r="Z10306" s="28"/>
    </row>
    <row r="10307" spans="2:26">
      <c r="B10307" s="2"/>
      <c r="N10307" s="27"/>
      <c r="R10307" s="15"/>
      <c r="X10307" s="3"/>
      <c r="Z10307" s="28"/>
    </row>
    <row r="10308" spans="2:26">
      <c r="B10308" s="2"/>
      <c r="N10308" s="27"/>
      <c r="R10308" s="15"/>
      <c r="X10308" s="3"/>
      <c r="Z10308" s="28"/>
    </row>
    <row r="10309" spans="2:26">
      <c r="B10309" s="2"/>
      <c r="N10309" s="27"/>
      <c r="R10309" s="15"/>
      <c r="X10309" s="3"/>
      <c r="Z10309" s="28"/>
    </row>
    <row r="10310" spans="2:26">
      <c r="B10310" s="2"/>
      <c r="N10310" s="27"/>
      <c r="R10310" s="15"/>
      <c r="X10310" s="3"/>
      <c r="Z10310" s="28"/>
    </row>
    <row r="10311" spans="2:26">
      <c r="B10311" s="2"/>
      <c r="N10311" s="27"/>
      <c r="R10311" s="15"/>
      <c r="X10311" s="3"/>
      <c r="Z10311" s="28"/>
    </row>
    <row r="10312" spans="2:26">
      <c r="B10312" s="2"/>
      <c r="N10312" s="27"/>
      <c r="R10312" s="15"/>
      <c r="X10312" s="3"/>
      <c r="Z10312" s="28"/>
    </row>
    <row r="10313" spans="2:26">
      <c r="B10313" s="2"/>
      <c r="N10313" s="27"/>
      <c r="R10313" s="15"/>
      <c r="X10313" s="3"/>
      <c r="Z10313" s="28"/>
    </row>
    <row r="10314" spans="2:26">
      <c r="B10314" s="2"/>
      <c r="N10314" s="27"/>
      <c r="R10314" s="15"/>
      <c r="X10314" s="3"/>
      <c r="Z10314" s="28"/>
    </row>
    <row r="10315" spans="2:26">
      <c r="B10315" s="2"/>
      <c r="N10315" s="27"/>
      <c r="R10315" s="15"/>
      <c r="X10315" s="3"/>
      <c r="Z10315" s="28"/>
    </row>
    <row r="10316" spans="2:26">
      <c r="B10316" s="2"/>
      <c r="N10316" s="27"/>
      <c r="R10316" s="15"/>
      <c r="X10316" s="3"/>
      <c r="Z10316" s="28"/>
    </row>
    <row r="10317" spans="2:26">
      <c r="B10317" s="2"/>
      <c r="N10317" s="27"/>
      <c r="R10317" s="15"/>
      <c r="X10317" s="3"/>
      <c r="Z10317" s="28"/>
    </row>
    <row r="10318" spans="2:26">
      <c r="B10318" s="2"/>
      <c r="N10318" s="27"/>
      <c r="R10318" s="15"/>
      <c r="X10318" s="3"/>
      <c r="Z10318" s="28"/>
    </row>
    <row r="10319" spans="2:26">
      <c r="B10319" s="2"/>
      <c r="N10319" s="27"/>
      <c r="R10319" s="15"/>
      <c r="X10319" s="3"/>
      <c r="Z10319" s="28"/>
    </row>
    <row r="10320" spans="2:26">
      <c r="B10320" s="2"/>
      <c r="N10320" s="27"/>
      <c r="R10320" s="15"/>
      <c r="X10320" s="3"/>
      <c r="Z10320" s="28"/>
    </row>
    <row r="10321" spans="2:26">
      <c r="B10321" s="2"/>
      <c r="N10321" s="27"/>
      <c r="R10321" s="15"/>
      <c r="X10321" s="3"/>
      <c r="Z10321" s="28"/>
    </row>
    <row r="10322" spans="2:26">
      <c r="B10322" s="2"/>
      <c r="N10322" s="27"/>
      <c r="R10322" s="15"/>
      <c r="X10322" s="3"/>
      <c r="Z10322" s="28"/>
    </row>
    <row r="10323" spans="2:26">
      <c r="B10323" s="2"/>
      <c r="N10323" s="27"/>
      <c r="R10323" s="15"/>
      <c r="X10323" s="3"/>
      <c r="Z10323" s="28"/>
    </row>
    <row r="10324" spans="2:26">
      <c r="B10324" s="2"/>
      <c r="N10324" s="27"/>
      <c r="R10324" s="15"/>
      <c r="X10324" s="3"/>
      <c r="Z10324" s="28"/>
    </row>
    <row r="10325" spans="2:26">
      <c r="B10325" s="2"/>
      <c r="N10325" s="27"/>
      <c r="R10325" s="15"/>
      <c r="X10325" s="3"/>
      <c r="Z10325" s="28"/>
    </row>
    <row r="10326" spans="2:26">
      <c r="B10326" s="2"/>
      <c r="N10326" s="27"/>
      <c r="R10326" s="15"/>
      <c r="X10326" s="3"/>
      <c r="Z10326" s="28"/>
    </row>
    <row r="10327" spans="2:26">
      <c r="B10327" s="2"/>
      <c r="N10327" s="27"/>
      <c r="R10327" s="15"/>
      <c r="X10327" s="3"/>
      <c r="Z10327" s="28"/>
    </row>
    <row r="10328" spans="2:26">
      <c r="B10328" s="2"/>
      <c r="N10328" s="27"/>
      <c r="R10328" s="15"/>
      <c r="X10328" s="3"/>
      <c r="Z10328" s="28"/>
    </row>
    <row r="10329" spans="2:26">
      <c r="B10329" s="2"/>
      <c r="N10329" s="27"/>
      <c r="R10329" s="15"/>
      <c r="X10329" s="3"/>
      <c r="Z10329" s="28"/>
    </row>
    <row r="10330" spans="2:26">
      <c r="B10330" s="2"/>
      <c r="N10330" s="27"/>
      <c r="R10330" s="15"/>
      <c r="X10330" s="3"/>
      <c r="Z10330" s="28"/>
    </row>
    <row r="10331" spans="2:26">
      <c r="B10331" s="2"/>
      <c r="N10331" s="27"/>
      <c r="R10331" s="15"/>
      <c r="X10331" s="3"/>
      <c r="Z10331" s="28"/>
    </row>
    <row r="10332" spans="2:26">
      <c r="B10332" s="2"/>
      <c r="N10332" s="27"/>
      <c r="R10332" s="15"/>
      <c r="X10332" s="3"/>
      <c r="Z10332" s="28"/>
    </row>
    <row r="10333" spans="2:26">
      <c r="B10333" s="2"/>
      <c r="N10333" s="27"/>
      <c r="R10333" s="15"/>
      <c r="X10333" s="3"/>
      <c r="Z10333" s="28"/>
    </row>
    <row r="10334" spans="2:26">
      <c r="B10334" s="2"/>
      <c r="N10334" s="27"/>
      <c r="R10334" s="15"/>
      <c r="X10334" s="3"/>
      <c r="Z10334" s="28"/>
    </row>
    <row r="10335" spans="2:26">
      <c r="B10335" s="2"/>
      <c r="N10335" s="27"/>
      <c r="R10335" s="15"/>
      <c r="X10335" s="3"/>
      <c r="Z10335" s="28"/>
    </row>
    <row r="10336" spans="2:26">
      <c r="B10336" s="2"/>
      <c r="N10336" s="27"/>
      <c r="R10336" s="15"/>
      <c r="X10336" s="3"/>
      <c r="Z10336" s="28"/>
    </row>
    <row r="10337" spans="2:26">
      <c r="B10337" s="2"/>
      <c r="N10337" s="27"/>
      <c r="R10337" s="15"/>
      <c r="X10337" s="3"/>
      <c r="Z10337" s="28"/>
    </row>
    <row r="10338" spans="2:26">
      <c r="B10338" s="2"/>
      <c r="N10338" s="27"/>
      <c r="R10338" s="15"/>
      <c r="X10338" s="3"/>
      <c r="Z10338" s="28"/>
    </row>
    <row r="10339" spans="2:26">
      <c r="B10339" s="2"/>
      <c r="N10339" s="27"/>
      <c r="R10339" s="15"/>
      <c r="X10339" s="3"/>
      <c r="Z10339" s="28"/>
    </row>
    <row r="10340" spans="2:26">
      <c r="B10340" s="2"/>
      <c r="N10340" s="27"/>
      <c r="R10340" s="15"/>
      <c r="X10340" s="3"/>
      <c r="Z10340" s="28"/>
    </row>
    <row r="10341" spans="2:26">
      <c r="B10341" s="2"/>
      <c r="N10341" s="27"/>
      <c r="R10341" s="15"/>
      <c r="X10341" s="3"/>
      <c r="Z10341" s="28"/>
    </row>
    <row r="10342" spans="2:26">
      <c r="B10342" s="2"/>
      <c r="N10342" s="27"/>
      <c r="R10342" s="15"/>
      <c r="X10342" s="3"/>
      <c r="Z10342" s="28"/>
    </row>
    <row r="10343" spans="2:26">
      <c r="B10343" s="2"/>
      <c r="N10343" s="27"/>
      <c r="R10343" s="15"/>
      <c r="X10343" s="3"/>
      <c r="Z10343" s="28"/>
    </row>
    <row r="10344" spans="2:26">
      <c r="B10344" s="2"/>
      <c r="N10344" s="27"/>
      <c r="R10344" s="15"/>
      <c r="X10344" s="3"/>
      <c r="Z10344" s="28"/>
    </row>
    <row r="10345" spans="2:26">
      <c r="B10345" s="2"/>
      <c r="N10345" s="27"/>
      <c r="R10345" s="15"/>
      <c r="X10345" s="3"/>
      <c r="Z10345" s="28"/>
    </row>
    <row r="10346" spans="2:26">
      <c r="B10346" s="2"/>
      <c r="N10346" s="27"/>
      <c r="R10346" s="15"/>
      <c r="X10346" s="3"/>
      <c r="Z10346" s="28"/>
    </row>
    <row r="10347" spans="2:26">
      <c r="B10347" s="2"/>
      <c r="N10347" s="27"/>
      <c r="R10347" s="15"/>
      <c r="X10347" s="3"/>
      <c r="Z10347" s="28"/>
    </row>
    <row r="10348" spans="2:26">
      <c r="B10348" s="2"/>
      <c r="N10348" s="27"/>
      <c r="R10348" s="15"/>
      <c r="X10348" s="3"/>
      <c r="Z10348" s="28"/>
    </row>
    <row r="10349" spans="2:26">
      <c r="B10349" s="2"/>
      <c r="N10349" s="27"/>
      <c r="R10349" s="15"/>
      <c r="X10349" s="3"/>
      <c r="Z10349" s="28"/>
    </row>
    <row r="10350" spans="2:26">
      <c r="B10350" s="2"/>
      <c r="N10350" s="27"/>
      <c r="R10350" s="15"/>
      <c r="X10350" s="3"/>
      <c r="Z10350" s="28"/>
    </row>
    <row r="10351" spans="2:26">
      <c r="B10351" s="2"/>
      <c r="N10351" s="27"/>
      <c r="R10351" s="15"/>
      <c r="X10351" s="3"/>
      <c r="Z10351" s="28"/>
    </row>
    <row r="10352" spans="2:26">
      <c r="B10352" s="2"/>
      <c r="N10352" s="27"/>
      <c r="R10352" s="15"/>
      <c r="X10352" s="3"/>
      <c r="Z10352" s="28"/>
    </row>
    <row r="10353" spans="2:26">
      <c r="B10353" s="2"/>
      <c r="N10353" s="27"/>
      <c r="R10353" s="15"/>
      <c r="X10353" s="3"/>
      <c r="Z10353" s="28"/>
    </row>
    <row r="10354" spans="2:26">
      <c r="B10354" s="2"/>
      <c r="N10354" s="27"/>
      <c r="R10354" s="15"/>
      <c r="X10354" s="3"/>
      <c r="Z10354" s="28"/>
    </row>
    <row r="10355" spans="2:26">
      <c r="B10355" s="2"/>
      <c r="N10355" s="27"/>
      <c r="R10355" s="15"/>
      <c r="X10355" s="3"/>
      <c r="Z10355" s="28"/>
    </row>
    <row r="10356" spans="2:26">
      <c r="B10356" s="2"/>
      <c r="N10356" s="27"/>
      <c r="R10356" s="15"/>
      <c r="X10356" s="3"/>
      <c r="Z10356" s="28"/>
    </row>
    <row r="10357" spans="2:26">
      <c r="B10357" s="2"/>
      <c r="N10357" s="27"/>
      <c r="R10357" s="15"/>
      <c r="X10357" s="3"/>
      <c r="Z10357" s="28"/>
    </row>
    <row r="10358" spans="2:26">
      <c r="B10358" s="2"/>
      <c r="N10358" s="27"/>
      <c r="R10358" s="15"/>
      <c r="X10358" s="3"/>
      <c r="Z10358" s="28"/>
    </row>
    <row r="10359" spans="2:26">
      <c r="B10359" s="2"/>
      <c r="N10359" s="27"/>
      <c r="R10359" s="15"/>
      <c r="X10359" s="3"/>
      <c r="Z10359" s="28"/>
    </row>
    <row r="10360" spans="2:26">
      <c r="B10360" s="2"/>
      <c r="N10360" s="27"/>
      <c r="R10360" s="15"/>
      <c r="X10360" s="3"/>
      <c r="Z10360" s="28"/>
    </row>
    <row r="10361" spans="2:26">
      <c r="B10361" s="2"/>
      <c r="N10361" s="27"/>
      <c r="R10361" s="15"/>
      <c r="X10361" s="3"/>
      <c r="Z10361" s="28"/>
    </row>
    <row r="10362" spans="2:26">
      <c r="B10362" s="2"/>
      <c r="N10362" s="27"/>
      <c r="R10362" s="15"/>
      <c r="X10362" s="3"/>
      <c r="Z10362" s="28"/>
    </row>
    <row r="10363" spans="2:26">
      <c r="B10363" s="2"/>
      <c r="N10363" s="27"/>
      <c r="R10363" s="15"/>
      <c r="X10363" s="3"/>
      <c r="Z10363" s="28"/>
    </row>
    <row r="10364" spans="2:26">
      <c r="B10364" s="2"/>
      <c r="N10364" s="27"/>
      <c r="R10364" s="15"/>
      <c r="X10364" s="3"/>
      <c r="Z10364" s="28"/>
    </row>
    <row r="10365" spans="2:26">
      <c r="B10365" s="2"/>
      <c r="N10365" s="27"/>
      <c r="R10365" s="15"/>
      <c r="X10365" s="3"/>
      <c r="Z10365" s="28"/>
    </row>
    <row r="10366" spans="2:26">
      <c r="B10366" s="2"/>
      <c r="N10366" s="27"/>
      <c r="R10366" s="15"/>
      <c r="X10366" s="3"/>
      <c r="Z10366" s="28"/>
    </row>
    <row r="10367" spans="2:26">
      <c r="B10367" s="2"/>
      <c r="N10367" s="27"/>
      <c r="R10367" s="15"/>
      <c r="X10367" s="3"/>
      <c r="Z10367" s="28"/>
    </row>
    <row r="10368" spans="2:26">
      <c r="B10368" s="2"/>
      <c r="N10368" s="27"/>
      <c r="R10368" s="15"/>
      <c r="X10368" s="3"/>
      <c r="Z10368" s="28"/>
    </row>
    <row r="10369" spans="2:26">
      <c r="B10369" s="2"/>
      <c r="N10369" s="27"/>
      <c r="R10369" s="15"/>
      <c r="X10369" s="3"/>
      <c r="Z10369" s="28"/>
    </row>
    <row r="10370" spans="2:26">
      <c r="B10370" s="2"/>
      <c r="N10370" s="27"/>
      <c r="R10370" s="15"/>
      <c r="X10370" s="3"/>
      <c r="Z10370" s="28"/>
    </row>
    <row r="10371" spans="2:26">
      <c r="B10371" s="2"/>
      <c r="N10371" s="27"/>
      <c r="R10371" s="15"/>
      <c r="X10371" s="3"/>
      <c r="Z10371" s="28"/>
    </row>
    <row r="10372" spans="2:26">
      <c r="B10372" s="2"/>
      <c r="N10372" s="27"/>
      <c r="R10372" s="15"/>
      <c r="X10372" s="3"/>
      <c r="Z10372" s="28"/>
    </row>
    <row r="10373" spans="2:26">
      <c r="B10373" s="2"/>
      <c r="N10373" s="27"/>
      <c r="R10373" s="15"/>
      <c r="X10373" s="3"/>
      <c r="Z10373" s="28"/>
    </row>
    <row r="10374" spans="2:26">
      <c r="B10374" s="2"/>
      <c r="N10374" s="27"/>
      <c r="R10374" s="15"/>
      <c r="X10374" s="3"/>
      <c r="Z10374" s="28"/>
    </row>
    <row r="10375" spans="2:26">
      <c r="B10375" s="2"/>
      <c r="N10375" s="27"/>
      <c r="R10375" s="15"/>
      <c r="X10375" s="3"/>
      <c r="Z10375" s="28"/>
    </row>
    <row r="10376" spans="2:26">
      <c r="B10376" s="2"/>
      <c r="N10376" s="27"/>
      <c r="R10376" s="15"/>
      <c r="X10376" s="3"/>
      <c r="Z10376" s="28"/>
    </row>
    <row r="10377" spans="2:26">
      <c r="B10377" s="2"/>
      <c r="N10377" s="27"/>
      <c r="R10377" s="15"/>
      <c r="X10377" s="3"/>
      <c r="Z10377" s="28"/>
    </row>
    <row r="10378" spans="2:26">
      <c r="B10378" s="2"/>
      <c r="N10378" s="27"/>
      <c r="R10378" s="15"/>
      <c r="X10378" s="3"/>
      <c r="Z10378" s="28"/>
    </row>
    <row r="10379" spans="2:26">
      <c r="B10379" s="2"/>
      <c r="N10379" s="27"/>
      <c r="R10379" s="15"/>
      <c r="X10379" s="3"/>
      <c r="Z10379" s="28"/>
    </row>
    <row r="10380" spans="2:26">
      <c r="B10380" s="2"/>
      <c r="N10380" s="27"/>
      <c r="R10380" s="15"/>
      <c r="X10380" s="3"/>
      <c r="Z10380" s="28"/>
    </row>
    <row r="10381" spans="2:26">
      <c r="B10381" s="2"/>
      <c r="N10381" s="27"/>
      <c r="R10381" s="15"/>
      <c r="X10381" s="3"/>
      <c r="Z10381" s="28"/>
    </row>
    <row r="10382" spans="2:26">
      <c r="B10382" s="2"/>
      <c r="N10382" s="27"/>
      <c r="R10382" s="15"/>
      <c r="X10382" s="3"/>
      <c r="Z10382" s="28"/>
    </row>
    <row r="10383" spans="2:26">
      <c r="B10383" s="2"/>
      <c r="N10383" s="27"/>
      <c r="R10383" s="15"/>
      <c r="X10383" s="3"/>
      <c r="Z10383" s="28"/>
    </row>
    <row r="10384" spans="2:26">
      <c r="B10384" s="2"/>
      <c r="N10384" s="27"/>
      <c r="R10384" s="15"/>
      <c r="X10384" s="3"/>
      <c r="Z10384" s="28"/>
    </row>
    <row r="10385" spans="2:26">
      <c r="B10385" s="2"/>
      <c r="N10385" s="27"/>
      <c r="R10385" s="15"/>
      <c r="X10385" s="3"/>
      <c r="Z10385" s="28"/>
    </row>
    <row r="10386" spans="2:26">
      <c r="B10386" s="2"/>
      <c r="N10386" s="27"/>
      <c r="R10386" s="15"/>
      <c r="X10386" s="3"/>
      <c r="Z10386" s="28"/>
    </row>
    <row r="10387" spans="2:26">
      <c r="B10387" s="2"/>
      <c r="N10387" s="27"/>
      <c r="R10387" s="15"/>
      <c r="X10387" s="3"/>
      <c r="Z10387" s="28"/>
    </row>
    <row r="10388" spans="2:26">
      <c r="B10388" s="2"/>
      <c r="N10388" s="27"/>
      <c r="R10388" s="15"/>
      <c r="X10388" s="3"/>
      <c r="Z10388" s="28"/>
    </row>
    <row r="10389" spans="2:26">
      <c r="B10389" s="2"/>
      <c r="N10389" s="27"/>
      <c r="R10389" s="15"/>
      <c r="X10389" s="3"/>
      <c r="Z10389" s="28"/>
    </row>
    <row r="10390" spans="2:26">
      <c r="B10390" s="2"/>
      <c r="N10390" s="27"/>
      <c r="R10390" s="15"/>
      <c r="X10390" s="3"/>
      <c r="Z10390" s="28"/>
    </row>
    <row r="10391" spans="2:26">
      <c r="B10391" s="2"/>
      <c r="N10391" s="27"/>
      <c r="R10391" s="15"/>
      <c r="X10391" s="3"/>
      <c r="Z10391" s="28"/>
    </row>
    <row r="10392" spans="2:26">
      <c r="B10392" s="2"/>
      <c r="N10392" s="27"/>
      <c r="R10392" s="15"/>
      <c r="X10392" s="3"/>
      <c r="Z10392" s="28"/>
    </row>
    <row r="10393" spans="2:26">
      <c r="B10393" s="2"/>
      <c r="N10393" s="27"/>
      <c r="R10393" s="15"/>
      <c r="X10393" s="3"/>
      <c r="Z10393" s="28"/>
    </row>
    <row r="10394" spans="2:26">
      <c r="B10394" s="2"/>
      <c r="N10394" s="27"/>
      <c r="R10394" s="15"/>
      <c r="X10394" s="3"/>
      <c r="Z10394" s="28"/>
    </row>
    <row r="10395" spans="2:26">
      <c r="B10395" s="2"/>
      <c r="N10395" s="27"/>
      <c r="R10395" s="15"/>
      <c r="X10395" s="3"/>
      <c r="Z10395" s="28"/>
    </row>
    <row r="10396" spans="2:26">
      <c r="B10396" s="2"/>
      <c r="N10396" s="27"/>
      <c r="R10396" s="15"/>
      <c r="X10396" s="3"/>
      <c r="Z10396" s="28"/>
    </row>
    <row r="10397" spans="2:26">
      <c r="B10397" s="2"/>
      <c r="N10397" s="27"/>
      <c r="R10397" s="15"/>
      <c r="X10397" s="3"/>
      <c r="Z10397" s="28"/>
    </row>
    <row r="10398" spans="2:26">
      <c r="B10398" s="2"/>
      <c r="N10398" s="27"/>
      <c r="R10398" s="15"/>
      <c r="X10398" s="3"/>
      <c r="Z10398" s="28"/>
    </row>
    <row r="10399" spans="2:26">
      <c r="B10399" s="2"/>
      <c r="N10399" s="27"/>
      <c r="R10399" s="15"/>
      <c r="X10399" s="3"/>
      <c r="Z10399" s="28"/>
    </row>
    <row r="10400" spans="2:26">
      <c r="B10400" s="2"/>
      <c r="N10400" s="27"/>
      <c r="R10400" s="15"/>
      <c r="X10400" s="3"/>
      <c r="Z10400" s="28"/>
    </row>
    <row r="10401" spans="2:26">
      <c r="B10401" s="2"/>
      <c r="N10401" s="27"/>
      <c r="R10401" s="15"/>
      <c r="X10401" s="3"/>
      <c r="Z10401" s="28"/>
    </row>
    <row r="10402" spans="2:26">
      <c r="B10402" s="2"/>
      <c r="N10402" s="27"/>
      <c r="R10402" s="15"/>
      <c r="X10402" s="3"/>
      <c r="Z10402" s="28"/>
    </row>
    <row r="10403" spans="2:26">
      <c r="B10403" s="2"/>
      <c r="N10403" s="27"/>
      <c r="R10403" s="15"/>
      <c r="X10403" s="3"/>
      <c r="Z10403" s="28"/>
    </row>
    <row r="10404" spans="2:26">
      <c r="B10404" s="2"/>
      <c r="N10404" s="27"/>
      <c r="R10404" s="15"/>
      <c r="X10404" s="3"/>
      <c r="Z10404" s="28"/>
    </row>
    <row r="10405" spans="2:26">
      <c r="B10405" s="2"/>
      <c r="N10405" s="27"/>
      <c r="R10405" s="15"/>
      <c r="X10405" s="3"/>
      <c r="Z10405" s="28"/>
    </row>
    <row r="10406" spans="2:26">
      <c r="B10406" s="2"/>
      <c r="N10406" s="27"/>
      <c r="R10406" s="15"/>
      <c r="X10406" s="3"/>
      <c r="Z10406" s="28"/>
    </row>
    <row r="10407" spans="2:26">
      <c r="B10407" s="2"/>
      <c r="N10407" s="27"/>
      <c r="R10407" s="15"/>
      <c r="X10407" s="3"/>
      <c r="Z10407" s="28"/>
    </row>
    <row r="10408" spans="2:26">
      <c r="B10408" s="2"/>
      <c r="N10408" s="27"/>
      <c r="R10408" s="15"/>
      <c r="X10408" s="3"/>
      <c r="Z10408" s="28"/>
    </row>
    <row r="10409" spans="2:26">
      <c r="B10409" s="2"/>
      <c r="N10409" s="27"/>
      <c r="R10409" s="15"/>
      <c r="X10409" s="3"/>
      <c r="Z10409" s="28"/>
    </row>
    <row r="10410" spans="2:26">
      <c r="B10410" s="2"/>
      <c r="N10410" s="27"/>
      <c r="R10410" s="15"/>
      <c r="X10410" s="3"/>
      <c r="Z10410" s="28"/>
    </row>
    <row r="10411" spans="2:26">
      <c r="B10411" s="2"/>
      <c r="N10411" s="27"/>
      <c r="R10411" s="15"/>
      <c r="X10411" s="3"/>
      <c r="Z10411" s="28"/>
    </row>
    <row r="10412" spans="2:26">
      <c r="B10412" s="2"/>
      <c r="N10412" s="27"/>
      <c r="R10412" s="15"/>
      <c r="X10412" s="3"/>
      <c r="Z10412" s="28"/>
    </row>
    <row r="10413" spans="2:26">
      <c r="B10413" s="2"/>
      <c r="N10413" s="27"/>
      <c r="R10413" s="15"/>
      <c r="X10413" s="3"/>
      <c r="Z10413" s="28"/>
    </row>
    <row r="10414" spans="2:26">
      <c r="B10414" s="2"/>
      <c r="N10414" s="27"/>
      <c r="R10414" s="15"/>
      <c r="X10414" s="3"/>
      <c r="Z10414" s="28"/>
    </row>
    <row r="10415" spans="2:26">
      <c r="B10415" s="2"/>
      <c r="N10415" s="27"/>
      <c r="R10415" s="15"/>
      <c r="X10415" s="3"/>
      <c r="Z10415" s="28"/>
    </row>
    <row r="10416" spans="2:26">
      <c r="B10416" s="2"/>
      <c r="N10416" s="27"/>
      <c r="R10416" s="15"/>
      <c r="X10416" s="3"/>
      <c r="Z10416" s="28"/>
    </row>
    <row r="10417" spans="2:26">
      <c r="B10417" s="2"/>
      <c r="N10417" s="27"/>
      <c r="R10417" s="15"/>
      <c r="X10417" s="3"/>
      <c r="Z10417" s="28"/>
    </row>
    <row r="10418" spans="2:26">
      <c r="B10418" s="2"/>
      <c r="N10418" s="27"/>
      <c r="R10418" s="15"/>
      <c r="X10418" s="3"/>
      <c r="Z10418" s="28"/>
    </row>
    <row r="10419" spans="2:26">
      <c r="B10419" s="2"/>
      <c r="N10419" s="27"/>
      <c r="R10419" s="15"/>
      <c r="X10419" s="3"/>
      <c r="Z10419" s="28"/>
    </row>
    <row r="10420" spans="2:26">
      <c r="B10420" s="2"/>
      <c r="N10420" s="27"/>
      <c r="R10420" s="15"/>
      <c r="X10420" s="3"/>
      <c r="Z10420" s="28"/>
    </row>
    <row r="10421" spans="2:26">
      <c r="B10421" s="2"/>
      <c r="N10421" s="27"/>
      <c r="R10421" s="15"/>
      <c r="X10421" s="3"/>
      <c r="Z10421" s="28"/>
    </row>
    <row r="10422" spans="2:26">
      <c r="B10422" s="2"/>
      <c r="N10422" s="27"/>
      <c r="R10422" s="15"/>
      <c r="X10422" s="3"/>
      <c r="Z10422" s="28"/>
    </row>
    <row r="10423" spans="2:26">
      <c r="B10423" s="2"/>
      <c r="N10423" s="27"/>
      <c r="R10423" s="15"/>
      <c r="X10423" s="3"/>
      <c r="Z10423" s="28"/>
    </row>
    <row r="10424" spans="2:26">
      <c r="B10424" s="2"/>
      <c r="N10424" s="27"/>
      <c r="R10424" s="15"/>
      <c r="X10424" s="3"/>
      <c r="Z10424" s="28"/>
    </row>
    <row r="10425" spans="2:26">
      <c r="B10425" s="2"/>
      <c r="N10425" s="27"/>
      <c r="R10425" s="15"/>
      <c r="X10425" s="3"/>
      <c r="Z10425" s="28"/>
    </row>
    <row r="10426" spans="2:26">
      <c r="B10426" s="2"/>
      <c r="N10426" s="27"/>
      <c r="R10426" s="15"/>
      <c r="X10426" s="3"/>
      <c r="Z10426" s="28"/>
    </row>
    <row r="10427" spans="2:26">
      <c r="B10427" s="2"/>
      <c r="N10427" s="27"/>
      <c r="R10427" s="15"/>
      <c r="X10427" s="3"/>
      <c r="Z10427" s="28"/>
    </row>
    <row r="10428" spans="2:26">
      <c r="B10428" s="2"/>
      <c r="N10428" s="27"/>
      <c r="R10428" s="15"/>
      <c r="X10428" s="3"/>
      <c r="Z10428" s="28"/>
    </row>
    <row r="10429" spans="2:26">
      <c r="B10429" s="2"/>
      <c r="N10429" s="27"/>
      <c r="R10429" s="15"/>
      <c r="X10429" s="3"/>
      <c r="Z10429" s="28"/>
    </row>
    <row r="10430" spans="2:26">
      <c r="B10430" s="2"/>
      <c r="N10430" s="27"/>
      <c r="R10430" s="15"/>
      <c r="X10430" s="3"/>
      <c r="Z10430" s="28"/>
    </row>
    <row r="10431" spans="2:26">
      <c r="B10431" s="2"/>
      <c r="N10431" s="27"/>
      <c r="R10431" s="15"/>
      <c r="X10431" s="3"/>
      <c r="Z10431" s="28"/>
    </row>
    <row r="10432" spans="2:26">
      <c r="B10432" s="2"/>
      <c r="N10432" s="27"/>
      <c r="R10432" s="15"/>
      <c r="X10432" s="3"/>
      <c r="Z10432" s="28"/>
    </row>
    <row r="10433" spans="2:26">
      <c r="B10433" s="2"/>
      <c r="N10433" s="27"/>
      <c r="R10433" s="15"/>
      <c r="X10433" s="3"/>
      <c r="Z10433" s="28"/>
    </row>
    <row r="10434" spans="2:26">
      <c r="B10434" s="2"/>
      <c r="N10434" s="27"/>
      <c r="R10434" s="15"/>
      <c r="X10434" s="3"/>
      <c r="Z10434" s="28"/>
    </row>
    <row r="10435" spans="2:26">
      <c r="B10435" s="2"/>
      <c r="N10435" s="27"/>
      <c r="R10435" s="15"/>
      <c r="X10435" s="3"/>
      <c r="Z10435" s="28"/>
    </row>
    <row r="10436" spans="2:26">
      <c r="B10436" s="2"/>
      <c r="N10436" s="27"/>
      <c r="R10436" s="15"/>
      <c r="X10436" s="3"/>
      <c r="Z10436" s="28"/>
    </row>
    <row r="10437" spans="2:26">
      <c r="B10437" s="2"/>
      <c r="N10437" s="27"/>
      <c r="R10437" s="15"/>
      <c r="X10437" s="3"/>
      <c r="Z10437" s="28"/>
    </row>
    <row r="10438" spans="2:26">
      <c r="B10438" s="2"/>
      <c r="N10438" s="27"/>
      <c r="R10438" s="15"/>
      <c r="X10438" s="3"/>
      <c r="Z10438" s="28"/>
    </row>
    <row r="10439" spans="2:26">
      <c r="B10439" s="2"/>
      <c r="N10439" s="27"/>
      <c r="R10439" s="15"/>
      <c r="X10439" s="3"/>
      <c r="Z10439" s="28"/>
    </row>
    <row r="10440" spans="2:26">
      <c r="B10440" s="2"/>
      <c r="N10440" s="27"/>
      <c r="R10440" s="15"/>
      <c r="X10440" s="3"/>
      <c r="Z10440" s="28"/>
    </row>
    <row r="10441" spans="2:26">
      <c r="B10441" s="2"/>
      <c r="N10441" s="27"/>
      <c r="R10441" s="15"/>
      <c r="X10441" s="3"/>
      <c r="Z10441" s="28"/>
    </row>
    <row r="10442" spans="2:26">
      <c r="B10442" s="2"/>
      <c r="N10442" s="27"/>
      <c r="R10442" s="15"/>
      <c r="X10442" s="3"/>
      <c r="Z10442" s="28"/>
    </row>
    <row r="10443" spans="2:26">
      <c r="B10443" s="2"/>
      <c r="N10443" s="27"/>
      <c r="R10443" s="15"/>
      <c r="X10443" s="3"/>
      <c r="Z10443" s="28"/>
    </row>
    <row r="10444" spans="2:26">
      <c r="B10444" s="2"/>
      <c r="N10444" s="27"/>
      <c r="R10444" s="15"/>
      <c r="X10444" s="3"/>
      <c r="Z10444" s="28"/>
    </row>
    <row r="10445" spans="2:26">
      <c r="B10445" s="2"/>
      <c r="N10445" s="27"/>
      <c r="R10445" s="15"/>
      <c r="X10445" s="3"/>
      <c r="Z10445" s="28"/>
    </row>
    <row r="10446" spans="2:26">
      <c r="B10446" s="2"/>
      <c r="N10446" s="27"/>
      <c r="R10446" s="15"/>
      <c r="X10446" s="3"/>
      <c r="Z10446" s="28"/>
    </row>
    <row r="10447" spans="2:26">
      <c r="B10447" s="2"/>
      <c r="N10447" s="27"/>
      <c r="R10447" s="15"/>
      <c r="X10447" s="3"/>
      <c r="Z10447" s="28"/>
    </row>
    <row r="10448" spans="2:26">
      <c r="B10448" s="2"/>
      <c r="N10448" s="27"/>
      <c r="R10448" s="15"/>
      <c r="X10448" s="3"/>
      <c r="Z10448" s="28"/>
    </row>
    <row r="10449" spans="2:26">
      <c r="B10449" s="2"/>
      <c r="N10449" s="27"/>
      <c r="R10449" s="15"/>
      <c r="X10449" s="3"/>
      <c r="Z10449" s="28"/>
    </row>
    <row r="10450" spans="2:26">
      <c r="B10450" s="2"/>
      <c r="N10450" s="27"/>
      <c r="R10450" s="15"/>
      <c r="X10450" s="3"/>
      <c r="Z10450" s="28"/>
    </row>
    <row r="10451" spans="2:26">
      <c r="B10451" s="2"/>
      <c r="N10451" s="27"/>
      <c r="R10451" s="15"/>
      <c r="X10451" s="3"/>
      <c r="Z10451" s="28"/>
    </row>
    <row r="10452" spans="2:26">
      <c r="B10452" s="2"/>
      <c r="N10452" s="27"/>
      <c r="R10452" s="15"/>
      <c r="X10452" s="3"/>
      <c r="Z10452" s="28"/>
    </row>
    <row r="10453" spans="2:26">
      <c r="B10453" s="2"/>
      <c r="N10453" s="27"/>
      <c r="R10453" s="15"/>
      <c r="X10453" s="3"/>
      <c r="Z10453" s="28"/>
    </row>
    <row r="10454" spans="2:26">
      <c r="B10454" s="2"/>
      <c r="N10454" s="27"/>
      <c r="R10454" s="15"/>
      <c r="X10454" s="3"/>
      <c r="Z10454" s="28"/>
    </row>
    <row r="10455" spans="2:26">
      <c r="B10455" s="2"/>
      <c r="N10455" s="27"/>
      <c r="R10455" s="15"/>
      <c r="X10455" s="3"/>
      <c r="Z10455" s="28"/>
    </row>
    <row r="10456" spans="2:26">
      <c r="B10456" s="2"/>
      <c r="N10456" s="27"/>
      <c r="R10456" s="15"/>
      <c r="X10456" s="3"/>
      <c r="Z10456" s="28"/>
    </row>
    <row r="10457" spans="2:26">
      <c r="B10457" s="2"/>
      <c r="N10457" s="27"/>
      <c r="R10457" s="15"/>
      <c r="X10457" s="3"/>
      <c r="Z10457" s="28"/>
    </row>
    <row r="10458" spans="2:26">
      <c r="B10458" s="2"/>
      <c r="N10458" s="27"/>
      <c r="R10458" s="15"/>
      <c r="X10458" s="3"/>
      <c r="Z10458" s="28"/>
    </row>
    <row r="10459" spans="2:26">
      <c r="B10459" s="2"/>
      <c r="N10459" s="27"/>
      <c r="R10459" s="15"/>
      <c r="X10459" s="3"/>
      <c r="Z10459" s="28"/>
    </row>
    <row r="10460" spans="2:26">
      <c r="B10460" s="2"/>
      <c r="N10460" s="27"/>
      <c r="R10460" s="15"/>
      <c r="X10460" s="3"/>
      <c r="Z10460" s="28"/>
    </row>
    <row r="10461" spans="2:26">
      <c r="B10461" s="2"/>
      <c r="N10461" s="27"/>
      <c r="R10461" s="15"/>
      <c r="X10461" s="3"/>
      <c r="Z10461" s="28"/>
    </row>
    <row r="10462" spans="2:26">
      <c r="B10462" s="2"/>
      <c r="N10462" s="27"/>
      <c r="R10462" s="15"/>
      <c r="X10462" s="3"/>
      <c r="Z10462" s="28"/>
    </row>
    <row r="10463" spans="2:26">
      <c r="B10463" s="2"/>
      <c r="N10463" s="27"/>
      <c r="R10463" s="15"/>
      <c r="X10463" s="3"/>
      <c r="Z10463" s="28"/>
    </row>
    <row r="10464" spans="2:26">
      <c r="B10464" s="2"/>
      <c r="N10464" s="27"/>
      <c r="R10464" s="15"/>
      <c r="X10464" s="3"/>
      <c r="Z10464" s="28"/>
    </row>
    <row r="10465" spans="2:26">
      <c r="B10465" s="2"/>
      <c r="N10465" s="27"/>
      <c r="R10465" s="15"/>
      <c r="X10465" s="3"/>
      <c r="Z10465" s="28"/>
    </row>
    <row r="10466" spans="2:26">
      <c r="B10466" s="2"/>
      <c r="N10466" s="27"/>
      <c r="R10466" s="15"/>
      <c r="X10466" s="3"/>
      <c r="Z10466" s="28"/>
    </row>
    <row r="10467" spans="2:26">
      <c r="B10467" s="2"/>
      <c r="N10467" s="27"/>
      <c r="R10467" s="15"/>
      <c r="X10467" s="3"/>
      <c r="Z10467" s="28"/>
    </row>
    <row r="10468" spans="2:26">
      <c r="B10468" s="2"/>
      <c r="N10468" s="27"/>
      <c r="R10468" s="15"/>
      <c r="X10468" s="3"/>
      <c r="Z10468" s="28"/>
    </row>
    <row r="10469" spans="2:26">
      <c r="B10469" s="2"/>
      <c r="N10469" s="27"/>
      <c r="R10469" s="15"/>
      <c r="X10469" s="3"/>
      <c r="Z10469" s="28"/>
    </row>
  </sheetData>
  <sheetProtection algorithmName="SHA-512" hashValue="hqoQ4/LkvIgrhVv3xc38Yk/NdBuuiBB82UtKdyy1Yn54VU+2wOkAnJFJ6Jq9ra6gdbHFxfg0YzSon8l7uuwcWA==" saltValue="MBMAYo+nKB045/U4CEJ4Aw==" spinCount="100000" sheet="1" objects="1" scenarios="1" formatCells="0" formatColumns="0" formatRows="0"/>
  <protectedRanges>
    <protectedRange sqref="A23:XFD23" name="Range3"/>
    <protectedRange sqref="A3:Z6 A24:Z121" name="Leads List 1_1"/>
    <protectedRange sqref="AA3:XFD6 A122:XFD100012 AA24:XFD121" name="Leads List 1"/>
  </protectedRanges>
  <customSheetViews>
    <customSheetView guid="{82FC3B1B-7B28-4E2A-B7A0-4534A26F3642}" scale="90" hiddenColumns="1" topLeftCell="A312">
      <selection activeCell="B339" sqref="B339"/>
      <pageMargins left="0" right="0" top="0" bottom="0" header="0" footer="0"/>
      <pageSetup orientation="portrait" r:id="rId1"/>
    </customSheetView>
    <customSheetView guid="{F0D6CCAB-F353-4C30-A9A8-F9184F7C5D96}" showPageBreaks="1" hiddenColumns="1">
      <pane ySplit="1" topLeftCell="A2" activePane="bottomLeft" state="frozen"/>
      <selection pane="bottomLeft" sqref="A1:XFD3"/>
      <pageMargins left="0" right="0" top="0" bottom="0" header="0" footer="0"/>
      <pageSetup orientation="portrait" r:id="rId2"/>
    </customSheetView>
  </customSheetViews>
  <mergeCells count="31">
    <mergeCell ref="A7:A20"/>
    <mergeCell ref="B19:J20"/>
    <mergeCell ref="L7:Z7"/>
    <mergeCell ref="L12:Z12"/>
    <mergeCell ref="L13:Z13"/>
    <mergeCell ref="L14:Z14"/>
    <mergeCell ref="L15:Z15"/>
    <mergeCell ref="L18:Z18"/>
    <mergeCell ref="L19:Z19"/>
    <mergeCell ref="L20:Z20"/>
    <mergeCell ref="B16:J17"/>
    <mergeCell ref="L8:Z9"/>
    <mergeCell ref="L10:Z11"/>
    <mergeCell ref="L16:Z17"/>
    <mergeCell ref="K16:K17"/>
    <mergeCell ref="A1:Z1"/>
    <mergeCell ref="A22:Z22"/>
    <mergeCell ref="B12:J12"/>
    <mergeCell ref="B13:J13"/>
    <mergeCell ref="B14:J14"/>
    <mergeCell ref="B15:J15"/>
    <mergeCell ref="B18:J18"/>
    <mergeCell ref="K10:K11"/>
    <mergeCell ref="A4:Z4"/>
    <mergeCell ref="A5:Z6"/>
    <mergeCell ref="B7:J8"/>
    <mergeCell ref="B9:J9"/>
    <mergeCell ref="B10:J10"/>
    <mergeCell ref="B11:J11"/>
    <mergeCell ref="K8:K9"/>
    <mergeCell ref="A21:Z21"/>
  </mergeCells>
  <phoneticPr fontId="20" type="noConversion"/>
  <conditionalFormatting sqref="R40:R10469">
    <cfRule type="cellIs" dxfId="618" priority="48" operator="equal">
      <formula>0</formula>
    </cfRule>
    <cfRule type="cellIs" dxfId="617" priority="63" operator="lessThan">
      <formula>0.8</formula>
    </cfRule>
    <cfRule type="cellIs" dxfId="616" priority="65" operator="between">
      <formula>0.8001</formula>
      <formula>2</formula>
    </cfRule>
  </conditionalFormatting>
  <conditionalFormatting sqref="X40:X10469">
    <cfRule type="containsText" dxfId="615" priority="23" operator="containsText" text="FRU">
      <formula>NOT(ISERROR(SEARCH("FRU",X40)))</formula>
    </cfRule>
    <cfRule type="containsText" dxfId="614" priority="24" operator="containsText" text="LP">
      <formula>NOT(ISERROR(SEARCH("LP",X40)))</formula>
    </cfRule>
    <cfRule type="containsText" dxfId="613" priority="25" operator="containsText" text="LT">
      <formula>NOT(ISERROR(SEARCH("LT",X40)))</formula>
    </cfRule>
  </conditionalFormatting>
  <conditionalFormatting sqref="A117:Z10469">
    <cfRule type="expression" dxfId="612" priority="28">
      <formula>$C117="***NEW***"</formula>
    </cfRule>
  </conditionalFormatting>
  <conditionalFormatting sqref="A40:Z10469">
    <cfRule type="expression" dxfId="611" priority="26">
      <formula>$C40="Follow Up"</formula>
    </cfRule>
    <cfRule type="expression" dxfId="610" priority="27">
      <formula>$C40="HOT!"</formula>
    </cfRule>
    <cfRule type="expression" dxfId="609" priority="29">
      <formula>$C40="No Longer Interested"</formula>
    </cfRule>
    <cfRule type="expression" dxfId="608" priority="30">
      <formula>$C40="DNC"</formula>
    </cfRule>
    <cfRule type="expression" dxfId="607" priority="46">
      <formula>$C40="***NEW***"</formula>
    </cfRule>
  </conditionalFormatting>
  <conditionalFormatting sqref="X3">
    <cfRule type="containsText" dxfId="606" priority="12" operator="containsText" text="FRU">
      <formula>NOT(ISERROR(SEARCH("FRU",X3)))</formula>
    </cfRule>
    <cfRule type="containsText" dxfId="605" priority="13" operator="containsText" text="LP">
      <formula>NOT(ISERROR(SEARCH("LP",X3)))</formula>
    </cfRule>
    <cfRule type="containsText" dxfId="604" priority="14" operator="containsText" text="LT">
      <formula>NOT(ISERROR(SEARCH("LT",X3)))</formula>
    </cfRule>
  </conditionalFormatting>
  <conditionalFormatting sqref="B3:Q3 S3:Z3">
    <cfRule type="expression" dxfId="603" priority="15">
      <formula>$C3="Follow Up"</formula>
    </cfRule>
    <cfRule type="expression" dxfId="602" priority="16">
      <formula>$C3="HOT!"</formula>
    </cfRule>
    <cfRule type="expression" dxfId="601" priority="17">
      <formula>$C3="No Longer Interested"</formula>
    </cfRule>
    <cfRule type="expression" dxfId="600" priority="18">
      <formula>$C3="DNC"</formula>
    </cfRule>
    <cfRule type="expression" dxfId="599" priority="19">
      <formula>$C3="***NEW***"</formula>
    </cfRule>
  </conditionalFormatting>
  <conditionalFormatting sqref="R24:R39">
    <cfRule type="cellIs" dxfId="598" priority="9" operator="equal">
      <formula>0</formula>
    </cfRule>
    <cfRule type="cellIs" dxfId="597" priority="10" operator="lessThan">
      <formula>0.8</formula>
    </cfRule>
    <cfRule type="cellIs" dxfId="596" priority="11" operator="between">
      <formula>0.8001</formula>
      <formula>2</formula>
    </cfRule>
  </conditionalFormatting>
  <conditionalFormatting sqref="X24:X39">
    <cfRule type="containsText" dxfId="595" priority="1" operator="containsText" text="FRU">
      <formula>NOT(ISERROR(SEARCH("FRU",X24)))</formula>
    </cfRule>
    <cfRule type="containsText" dxfId="594" priority="2" operator="containsText" text="LP">
      <formula>NOT(ISERROR(SEARCH("LP",X24)))</formula>
    </cfRule>
    <cfRule type="containsText" dxfId="593" priority="3" operator="containsText" text="LT">
      <formula>NOT(ISERROR(SEARCH("LT",X24)))</formula>
    </cfRule>
  </conditionalFormatting>
  <conditionalFormatting sqref="A24:Z39">
    <cfRule type="expression" dxfId="592" priority="4">
      <formula>$C24="Follow Up"</formula>
    </cfRule>
    <cfRule type="expression" dxfId="591" priority="5">
      <formula>$C24="HOT!"</formula>
    </cfRule>
    <cfRule type="expression" dxfId="590" priority="6">
      <formula>$C24="No Longer Interested"</formula>
    </cfRule>
    <cfRule type="expression" dxfId="589" priority="7">
      <formula>$C24="DNC"</formula>
    </cfRule>
    <cfRule type="expression" dxfId="588" priority="8">
      <formula>$C24="***NEW***"</formula>
    </cfRule>
  </conditionalFormatting>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26630" r:id="rId6" name="Button 6">
              <controlPr defaultSize="0" print="0" autoFill="0" autoPict="0" macro="[0]!ClearLastRow">
                <anchor moveWithCells="1" sizeWithCells="1">
                  <from>
                    <xdr:col>22</xdr:col>
                    <xdr:colOff>342900</xdr:colOff>
                    <xdr:row>21</xdr:row>
                    <xdr:rowOff>85725</xdr:rowOff>
                  </from>
                  <to>
                    <xdr:col>25</xdr:col>
                    <xdr:colOff>771525</xdr:colOff>
                    <xdr:row>21</xdr:row>
                    <xdr:rowOff>428625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xr:uid="{93CAC3F0-FA74-4A0B-BC28-BEFB340353AE}">
          <x14:formula1>
            <xm:f>WCL!$C$64:$C$70</xm:f>
          </x14:formula1>
          <xm:sqref>C9486:C10013</xm:sqref>
        </x14:dataValidation>
        <x14:dataValidation type="list" allowBlank="1" showInputMessage="1" xr:uid="{07CA17A0-ACA4-4A95-A8CA-779A31026FB8}">
          <x14:formula1>
            <xm:f>WCL!$C$64:$C$72</xm:f>
          </x14:formula1>
          <xm:sqref>C24:C9485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33BE2-E0C4-469C-BBAE-434A4E9F5802}">
  <sheetPr codeName="Sheet17">
    <tabColor rgb="FFFF0000"/>
  </sheetPr>
  <dimension ref="A1:AA8284"/>
  <sheetViews>
    <sheetView zoomScale="85" zoomScaleNormal="85" workbookViewId="0">
      <selection activeCell="F7" sqref="F7"/>
    </sheetView>
  </sheetViews>
  <sheetFormatPr defaultColWidth="8.85546875" defaultRowHeight="15"/>
  <cols>
    <col min="1" max="1" width="5.5703125" bestFit="1" customWidth="1"/>
    <col min="2" max="2" width="10.85546875" customWidth="1"/>
    <col min="3" max="3" width="19" customWidth="1"/>
    <col min="4" max="4" width="12.140625" customWidth="1"/>
    <col min="5" max="6" width="14" customWidth="1"/>
    <col min="7" max="7" width="27.7109375" customWidth="1"/>
    <col min="8" max="8" width="5.140625" customWidth="1"/>
    <col min="9" max="9" width="9.28515625" customWidth="1"/>
    <col min="10" max="10" width="12" customWidth="1"/>
    <col min="11" max="11" width="10.28515625" customWidth="1"/>
    <col min="12" max="12" width="16" customWidth="1"/>
    <col min="13" max="13" width="14.85546875" customWidth="1"/>
    <col min="14" max="14" width="0" hidden="1" customWidth="1"/>
    <col min="15" max="15" width="8.42578125" customWidth="1"/>
    <col min="16" max="17" width="14.28515625" customWidth="1"/>
    <col min="18" max="18" width="9" customWidth="1"/>
    <col min="19" max="19" width="8.140625" customWidth="1"/>
    <col min="20" max="20" width="10" customWidth="1"/>
    <col min="21" max="21" width="6.28515625" customWidth="1"/>
    <col min="22" max="22" width="5.5703125" customWidth="1"/>
    <col min="23" max="23" width="9.140625" customWidth="1"/>
    <col min="24" max="24" width="6" customWidth="1"/>
    <col min="25" max="25" width="11" bestFit="1" customWidth="1"/>
    <col min="26" max="26" width="12.5703125" customWidth="1"/>
    <col min="27" max="27" width="51.5703125" style="24" customWidth="1"/>
  </cols>
  <sheetData>
    <row r="1" spans="1:26" ht="39.6" customHeight="1" collapsed="1" thickBot="1">
      <c r="A1" s="564" t="s">
        <v>117</v>
      </c>
      <c r="B1" s="565"/>
      <c r="C1" s="565"/>
      <c r="D1" s="565"/>
      <c r="E1" s="565"/>
      <c r="F1" s="565"/>
      <c r="G1" s="565"/>
      <c r="H1" s="565"/>
      <c r="I1" s="565"/>
      <c r="J1" s="565"/>
      <c r="K1" s="565"/>
      <c r="L1" s="565"/>
      <c r="M1" s="565"/>
      <c r="N1" s="565"/>
      <c r="O1" s="565"/>
      <c r="P1" s="565"/>
      <c r="Q1" s="565"/>
      <c r="R1" s="565"/>
      <c r="S1" s="565"/>
      <c r="T1" s="565"/>
      <c r="U1" s="565"/>
      <c r="V1" s="565"/>
      <c r="W1" s="565"/>
      <c r="X1" s="565"/>
      <c r="Y1" s="565"/>
      <c r="Z1" s="565"/>
    </row>
    <row r="2" spans="1:26" ht="32.25" customHeight="1" thickBot="1">
      <c r="A2" s="7" t="s">
        <v>66</v>
      </c>
      <c r="B2" s="14" t="s">
        <v>67</v>
      </c>
      <c r="C2" s="7" t="s">
        <v>68</v>
      </c>
      <c r="D2" s="7" t="s">
        <v>69</v>
      </c>
      <c r="E2" s="7" t="s">
        <v>70</v>
      </c>
      <c r="F2" s="7" t="s">
        <v>71</v>
      </c>
      <c r="G2" s="7" t="s">
        <v>72</v>
      </c>
      <c r="H2" s="7" t="s">
        <v>73</v>
      </c>
      <c r="I2" s="7" t="s">
        <v>112</v>
      </c>
      <c r="J2" s="7" t="s">
        <v>75</v>
      </c>
      <c r="K2" s="7" t="s">
        <v>113</v>
      </c>
      <c r="L2" s="9" t="s">
        <v>77</v>
      </c>
      <c r="M2" s="9" t="s">
        <v>78</v>
      </c>
      <c r="N2" s="25" t="s">
        <v>79</v>
      </c>
      <c r="O2" s="11" t="s">
        <v>80</v>
      </c>
      <c r="P2" s="9" t="s">
        <v>81</v>
      </c>
      <c r="Q2" s="9" t="s">
        <v>82</v>
      </c>
      <c r="R2" s="11" t="s">
        <v>83</v>
      </c>
      <c r="S2" s="7" t="s">
        <v>84</v>
      </c>
      <c r="T2" s="7" t="s">
        <v>85</v>
      </c>
      <c r="U2" s="7" t="s">
        <v>86</v>
      </c>
      <c r="V2" s="7" t="s">
        <v>87</v>
      </c>
      <c r="W2" s="7" t="s">
        <v>114</v>
      </c>
      <c r="X2" s="7" t="s">
        <v>89</v>
      </c>
      <c r="Y2" s="9" t="s">
        <v>90</v>
      </c>
      <c r="Z2" s="12" t="s">
        <v>91</v>
      </c>
    </row>
    <row r="3" spans="1:26">
      <c r="A3" s="3"/>
      <c r="B3" s="2"/>
      <c r="C3" s="5"/>
      <c r="F3" s="16"/>
      <c r="H3" s="3"/>
      <c r="J3" s="3"/>
      <c r="L3" s="4"/>
      <c r="M3" s="4"/>
      <c r="N3" s="27"/>
      <c r="O3" s="10"/>
      <c r="P3" s="4"/>
      <c r="Q3" s="4"/>
      <c r="R3" s="15"/>
      <c r="U3" s="3"/>
      <c r="V3" s="3"/>
      <c r="W3" s="3"/>
      <c r="X3" s="3"/>
      <c r="Y3" s="4"/>
      <c r="Z3" s="28"/>
    </row>
    <row r="4" spans="1:26" customFormat="1">
      <c r="A4" s="3"/>
      <c r="B4" s="2"/>
      <c r="C4" s="5"/>
      <c r="F4" s="16"/>
      <c r="H4" s="3"/>
      <c r="J4" s="3"/>
      <c r="L4" s="4"/>
      <c r="M4" s="4"/>
      <c r="N4" s="464"/>
      <c r="O4" s="10"/>
      <c r="P4" s="4"/>
      <c r="Q4" s="4"/>
      <c r="R4" s="465"/>
      <c r="U4" s="3"/>
      <c r="V4" s="3"/>
      <c r="W4" s="3"/>
      <c r="X4" s="3"/>
      <c r="Y4" s="4"/>
      <c r="Z4" s="466"/>
    </row>
    <row r="5" spans="1:26">
      <c r="C5" s="5"/>
      <c r="R5" s="465"/>
    </row>
    <row r="6" spans="1:26">
      <c r="C6" s="5"/>
      <c r="R6" s="465"/>
    </row>
    <row r="7" spans="1:26">
      <c r="C7" s="5"/>
      <c r="R7" s="465"/>
    </row>
    <row r="8" spans="1:26">
      <c r="C8" s="5"/>
      <c r="R8" s="465"/>
    </row>
    <row r="9" spans="1:26">
      <c r="C9" s="5"/>
      <c r="R9" s="465"/>
    </row>
    <row r="10" spans="1:26">
      <c r="C10" s="5"/>
      <c r="R10" s="465"/>
    </row>
    <row r="11" spans="1:26">
      <c r="C11" s="5"/>
      <c r="R11" s="465"/>
    </row>
    <row r="12" spans="1:26">
      <c r="C12" s="5"/>
      <c r="R12" s="465"/>
    </row>
    <row r="13" spans="1:26">
      <c r="C13" s="5"/>
      <c r="R13" s="465"/>
    </row>
    <row r="14" spans="1:26">
      <c r="C14" s="5"/>
      <c r="R14" s="465"/>
    </row>
    <row r="15" spans="1:26">
      <c r="C15" s="5"/>
      <c r="R15" s="465"/>
    </row>
    <row r="16" spans="1:26">
      <c r="C16" s="5"/>
      <c r="R16" s="465"/>
    </row>
    <row r="17" spans="3:18">
      <c r="C17" s="5"/>
      <c r="R17" s="465"/>
    </row>
    <row r="18" spans="3:18">
      <c r="C18" s="5"/>
      <c r="R18" s="465"/>
    </row>
    <row r="19" spans="3:18">
      <c r="C19" s="5"/>
      <c r="R19" s="465"/>
    </row>
    <row r="20" spans="3:18">
      <c r="C20" s="5"/>
      <c r="R20" s="465"/>
    </row>
    <row r="21" spans="3:18">
      <c r="C21" s="5"/>
      <c r="R21" s="15"/>
    </row>
    <row r="22" spans="3:18">
      <c r="C22" s="5"/>
      <c r="R22" s="15"/>
    </row>
    <row r="23" spans="3:18">
      <c r="C23" s="5"/>
      <c r="R23" s="15"/>
    </row>
    <row r="24" spans="3:18">
      <c r="C24" s="5"/>
      <c r="R24" s="15"/>
    </row>
    <row r="25" spans="3:18">
      <c r="C25" s="5"/>
      <c r="R25" s="15"/>
    </row>
    <row r="26" spans="3:18">
      <c r="C26" s="5"/>
      <c r="R26" s="15"/>
    </row>
    <row r="27" spans="3:18">
      <c r="C27" s="5"/>
      <c r="R27" s="15"/>
    </row>
    <row r="28" spans="3:18">
      <c r="C28" s="5"/>
      <c r="R28" s="15"/>
    </row>
    <row r="29" spans="3:18">
      <c r="C29" s="5"/>
      <c r="R29" s="15"/>
    </row>
    <row r="30" spans="3:18">
      <c r="C30" s="5"/>
      <c r="R30" s="15"/>
    </row>
    <row r="31" spans="3:18">
      <c r="C31" s="5"/>
      <c r="R31" s="15"/>
    </row>
    <row r="32" spans="3:18">
      <c r="C32" s="5"/>
      <c r="R32" s="15"/>
    </row>
    <row r="33" spans="3:18">
      <c r="C33" s="5"/>
      <c r="R33" s="15"/>
    </row>
    <row r="34" spans="3:18">
      <c r="C34" s="5"/>
      <c r="R34" s="15"/>
    </row>
    <row r="35" spans="3:18">
      <c r="C35" s="5"/>
      <c r="R35" s="15"/>
    </row>
    <row r="36" spans="3:18">
      <c r="C36" s="5"/>
      <c r="R36" s="15"/>
    </row>
    <row r="37" spans="3:18">
      <c r="C37" s="5"/>
      <c r="R37" s="15"/>
    </row>
    <row r="38" spans="3:18">
      <c r="C38" s="5"/>
      <c r="R38" s="15"/>
    </row>
    <row r="39" spans="3:18">
      <c r="C39" s="5"/>
      <c r="R39" s="15"/>
    </row>
    <row r="40" spans="3:18">
      <c r="C40" s="5"/>
      <c r="R40" s="15"/>
    </row>
    <row r="41" spans="3:18">
      <c r="C41" s="5"/>
      <c r="R41" s="15"/>
    </row>
    <row r="42" spans="3:18">
      <c r="C42" s="5"/>
      <c r="R42" s="15"/>
    </row>
    <row r="43" spans="3:18">
      <c r="C43" s="5"/>
      <c r="R43" s="15"/>
    </row>
    <row r="44" spans="3:18">
      <c r="C44" s="5"/>
      <c r="R44" s="15"/>
    </row>
    <row r="45" spans="3:18">
      <c r="C45" s="5"/>
      <c r="R45" s="15"/>
    </row>
    <row r="46" spans="3:18">
      <c r="C46" s="5"/>
      <c r="R46" s="15"/>
    </row>
    <row r="47" spans="3:18">
      <c r="C47" s="5"/>
      <c r="R47" s="15"/>
    </row>
    <row r="48" spans="3:18">
      <c r="C48" s="5"/>
      <c r="R48" s="15"/>
    </row>
    <row r="49" spans="3:18">
      <c r="C49" s="5"/>
      <c r="R49" s="15"/>
    </row>
    <row r="50" spans="3:18">
      <c r="C50" s="5"/>
      <c r="R50" s="15"/>
    </row>
    <row r="51" spans="3:18">
      <c r="C51" s="5"/>
      <c r="R51" s="15"/>
    </row>
    <row r="52" spans="3:18">
      <c r="C52" s="5"/>
      <c r="R52" s="15"/>
    </row>
    <row r="53" spans="3:18">
      <c r="C53" s="5"/>
      <c r="R53" s="15"/>
    </row>
    <row r="54" spans="3:18">
      <c r="C54" s="5"/>
      <c r="R54" s="15"/>
    </row>
    <row r="55" spans="3:18">
      <c r="C55" s="5"/>
      <c r="R55" s="15"/>
    </row>
    <row r="56" spans="3:18">
      <c r="C56" s="5"/>
      <c r="R56" s="15"/>
    </row>
    <row r="57" spans="3:18">
      <c r="C57" s="5"/>
      <c r="R57" s="15"/>
    </row>
    <row r="58" spans="3:18">
      <c r="C58" s="5"/>
      <c r="R58" s="15"/>
    </row>
    <row r="59" spans="3:18">
      <c r="C59" s="5"/>
      <c r="R59" s="15"/>
    </row>
    <row r="60" spans="3:18">
      <c r="C60" s="5"/>
      <c r="R60" s="15"/>
    </row>
    <row r="61" spans="3:18">
      <c r="C61" s="5"/>
      <c r="R61" s="15"/>
    </row>
    <row r="62" spans="3:18">
      <c r="C62" s="5"/>
      <c r="R62" s="15"/>
    </row>
    <row r="63" spans="3:18">
      <c r="C63" s="5"/>
      <c r="R63" s="15"/>
    </row>
    <row r="64" spans="3:18">
      <c r="C64" s="5"/>
      <c r="R64" s="15"/>
    </row>
    <row r="65" spans="3:18">
      <c r="C65" s="5"/>
      <c r="R65" s="15"/>
    </row>
    <row r="66" spans="3:18">
      <c r="C66" s="5"/>
      <c r="R66" s="15"/>
    </row>
    <row r="67" spans="3:18">
      <c r="C67" s="5"/>
      <c r="R67" s="15"/>
    </row>
    <row r="68" spans="3:18">
      <c r="C68" s="5"/>
      <c r="R68" s="15"/>
    </row>
    <row r="69" spans="3:18">
      <c r="C69" s="5"/>
      <c r="R69" s="15"/>
    </row>
    <row r="70" spans="3:18">
      <c r="C70" s="5"/>
      <c r="R70" s="15"/>
    </row>
    <row r="71" spans="3:18">
      <c r="C71" s="5"/>
      <c r="R71" s="15"/>
    </row>
    <row r="72" spans="3:18">
      <c r="C72" s="5"/>
      <c r="R72" s="15"/>
    </row>
    <row r="73" spans="3:18">
      <c r="C73" s="5"/>
      <c r="R73" s="15"/>
    </row>
    <row r="74" spans="3:18">
      <c r="C74" s="5"/>
      <c r="R74" s="15"/>
    </row>
    <row r="75" spans="3:18">
      <c r="C75" s="5"/>
      <c r="R75" s="15"/>
    </row>
    <row r="76" spans="3:18">
      <c r="C76" s="5"/>
      <c r="R76" s="15"/>
    </row>
    <row r="77" spans="3:18">
      <c r="C77" s="5"/>
      <c r="R77" s="15"/>
    </row>
    <row r="78" spans="3:18">
      <c r="C78" s="5"/>
      <c r="R78" s="15"/>
    </row>
    <row r="79" spans="3:18">
      <c r="C79" s="5"/>
      <c r="R79" s="15"/>
    </row>
    <row r="80" spans="3:18">
      <c r="C80" s="5"/>
      <c r="R80" s="15"/>
    </row>
    <row r="81" spans="3:18">
      <c r="C81" s="5"/>
      <c r="R81" s="15"/>
    </row>
    <row r="82" spans="3:18">
      <c r="C82" s="5"/>
      <c r="R82" s="15"/>
    </row>
    <row r="83" spans="3:18">
      <c r="C83" s="5"/>
      <c r="R83" s="15"/>
    </row>
    <row r="84" spans="3:18">
      <c r="C84" s="5"/>
      <c r="R84" s="15"/>
    </row>
    <row r="85" spans="3:18">
      <c r="C85" s="5"/>
      <c r="R85" s="15"/>
    </row>
    <row r="86" spans="3:18">
      <c r="C86" s="5"/>
      <c r="R86" s="15"/>
    </row>
    <row r="87" spans="3:18">
      <c r="C87" s="5"/>
      <c r="R87" s="15"/>
    </row>
    <row r="88" spans="3:18">
      <c r="C88" s="5"/>
      <c r="R88" s="15"/>
    </row>
    <row r="89" spans="3:18">
      <c r="C89" s="5"/>
      <c r="R89" s="15"/>
    </row>
    <row r="90" spans="3:18">
      <c r="C90" s="5"/>
      <c r="R90" s="15"/>
    </row>
    <row r="91" spans="3:18">
      <c r="C91" s="5"/>
      <c r="R91" s="15"/>
    </row>
    <row r="92" spans="3:18">
      <c r="C92" s="5"/>
      <c r="R92" s="15"/>
    </row>
    <row r="93" spans="3:18">
      <c r="C93" s="5"/>
      <c r="R93" s="15"/>
    </row>
    <row r="94" spans="3:18">
      <c r="C94" s="5"/>
      <c r="R94" s="15"/>
    </row>
    <row r="95" spans="3:18">
      <c r="C95" s="5"/>
      <c r="R95" s="15"/>
    </row>
    <row r="96" spans="3:18">
      <c r="C96" s="5"/>
      <c r="R96" s="15"/>
    </row>
    <row r="97" spans="3:18">
      <c r="C97" s="5"/>
      <c r="R97" s="15"/>
    </row>
    <row r="98" spans="3:18">
      <c r="C98" s="5"/>
      <c r="R98" s="15"/>
    </row>
    <row r="99" spans="3:18">
      <c r="C99" s="5"/>
      <c r="R99" s="15"/>
    </row>
    <row r="100" spans="3:18">
      <c r="C100" s="5"/>
      <c r="R100" s="15"/>
    </row>
    <row r="101" spans="3:18">
      <c r="C101" s="5"/>
      <c r="R101" s="15"/>
    </row>
    <row r="102" spans="3:18">
      <c r="C102" s="5"/>
      <c r="R102" s="15"/>
    </row>
    <row r="103" spans="3:18">
      <c r="C103" s="5"/>
      <c r="R103" s="15"/>
    </row>
    <row r="104" spans="3:18">
      <c r="C104" s="5"/>
      <c r="R104" s="15"/>
    </row>
    <row r="105" spans="3:18">
      <c r="C105" s="5"/>
      <c r="R105" s="15"/>
    </row>
    <row r="106" spans="3:18">
      <c r="C106" s="5"/>
      <c r="R106" s="15"/>
    </row>
    <row r="107" spans="3:18">
      <c r="C107" s="5"/>
      <c r="R107" s="15"/>
    </row>
    <row r="108" spans="3:18">
      <c r="C108" s="5"/>
      <c r="R108" s="15"/>
    </row>
    <row r="109" spans="3:18">
      <c r="C109" s="5"/>
      <c r="R109" s="15"/>
    </row>
    <row r="110" spans="3:18">
      <c r="C110" s="5"/>
      <c r="R110" s="15"/>
    </row>
    <row r="111" spans="3:18">
      <c r="C111" s="5"/>
      <c r="R111" s="15"/>
    </row>
    <row r="112" spans="3:18">
      <c r="C112" s="5"/>
      <c r="R112" s="15"/>
    </row>
    <row r="113" spans="3:18">
      <c r="C113" s="5"/>
      <c r="R113" s="15"/>
    </row>
    <row r="114" spans="3:18">
      <c r="C114" s="5"/>
      <c r="R114" s="15"/>
    </row>
    <row r="115" spans="3:18">
      <c r="C115" s="5"/>
      <c r="R115" s="15"/>
    </row>
    <row r="116" spans="3:18">
      <c r="C116" s="5"/>
      <c r="R116" s="15"/>
    </row>
    <row r="117" spans="3:18">
      <c r="C117" s="5"/>
      <c r="R117" s="15"/>
    </row>
    <row r="118" spans="3:18">
      <c r="C118" s="5"/>
      <c r="R118" s="15"/>
    </row>
    <row r="119" spans="3:18">
      <c r="C119" s="5"/>
      <c r="R119" s="15"/>
    </row>
    <row r="120" spans="3:18">
      <c r="C120" s="5"/>
      <c r="R120" s="15"/>
    </row>
    <row r="121" spans="3:18">
      <c r="C121" s="5"/>
      <c r="R121" s="15"/>
    </row>
    <row r="122" spans="3:18">
      <c r="C122" s="5"/>
      <c r="R122" s="15"/>
    </row>
    <row r="123" spans="3:18">
      <c r="C123" s="5"/>
      <c r="R123" s="15"/>
    </row>
    <row r="124" spans="3:18">
      <c r="C124" s="5"/>
      <c r="R124" s="15"/>
    </row>
    <row r="125" spans="3:18">
      <c r="C125" s="5"/>
      <c r="R125" s="15"/>
    </row>
    <row r="126" spans="3:18">
      <c r="C126" s="5"/>
      <c r="R126" s="15"/>
    </row>
    <row r="127" spans="3:18">
      <c r="C127" s="5"/>
      <c r="R127" s="15"/>
    </row>
    <row r="128" spans="3:18">
      <c r="C128" s="5"/>
      <c r="R128" s="15"/>
    </row>
    <row r="129" spans="3:18">
      <c r="C129" s="5"/>
      <c r="R129" s="15"/>
    </row>
    <row r="130" spans="3:18">
      <c r="C130" s="5"/>
      <c r="R130" s="15"/>
    </row>
    <row r="131" spans="3:18">
      <c r="C131" s="5"/>
      <c r="R131" s="15"/>
    </row>
    <row r="132" spans="3:18">
      <c r="C132" s="5"/>
      <c r="R132" s="15"/>
    </row>
    <row r="133" spans="3:18">
      <c r="C133" s="5"/>
      <c r="R133" s="15"/>
    </row>
    <row r="134" spans="3:18">
      <c r="C134" s="5"/>
      <c r="R134" s="15"/>
    </row>
    <row r="135" spans="3:18">
      <c r="C135" s="5"/>
      <c r="R135" s="15"/>
    </row>
    <row r="136" spans="3:18">
      <c r="C136" s="5"/>
      <c r="R136" s="15"/>
    </row>
    <row r="137" spans="3:18">
      <c r="C137" s="5"/>
      <c r="R137" s="15"/>
    </row>
    <row r="138" spans="3:18">
      <c r="C138" s="5"/>
      <c r="R138" s="15"/>
    </row>
    <row r="139" spans="3:18">
      <c r="C139" s="5"/>
      <c r="R139" s="15"/>
    </row>
    <row r="140" spans="3:18">
      <c r="C140" s="5"/>
      <c r="R140" s="15"/>
    </row>
    <row r="141" spans="3:18">
      <c r="C141" s="5"/>
      <c r="R141" s="15"/>
    </row>
    <row r="142" spans="3:18">
      <c r="C142" s="5"/>
      <c r="R142" s="15"/>
    </row>
    <row r="143" spans="3:18">
      <c r="C143" s="5"/>
      <c r="R143" s="15"/>
    </row>
    <row r="144" spans="3:18">
      <c r="C144" s="5"/>
      <c r="R144" s="15"/>
    </row>
    <row r="145" spans="3:18">
      <c r="C145" s="5"/>
      <c r="R145" s="15"/>
    </row>
    <row r="146" spans="3:18">
      <c r="C146" s="5"/>
      <c r="R146" s="15"/>
    </row>
    <row r="147" spans="3:18">
      <c r="C147" s="5"/>
      <c r="R147" s="15"/>
    </row>
    <row r="148" spans="3:18">
      <c r="C148" s="5"/>
      <c r="R148" s="15"/>
    </row>
    <row r="149" spans="3:18">
      <c r="C149" s="5"/>
      <c r="R149" s="15"/>
    </row>
    <row r="150" spans="3:18">
      <c r="C150" s="5"/>
      <c r="R150" s="15"/>
    </row>
    <row r="151" spans="3:18">
      <c r="C151" s="5"/>
      <c r="R151" s="15"/>
    </row>
    <row r="152" spans="3:18">
      <c r="C152" s="5"/>
      <c r="R152" s="15"/>
    </row>
    <row r="153" spans="3:18">
      <c r="C153" s="5"/>
      <c r="R153" s="15"/>
    </row>
    <row r="154" spans="3:18">
      <c r="C154" s="5"/>
      <c r="R154" s="15"/>
    </row>
    <row r="155" spans="3:18">
      <c r="C155" s="5"/>
      <c r="R155" s="15"/>
    </row>
    <row r="156" spans="3:18">
      <c r="C156" s="5"/>
      <c r="R156" s="15"/>
    </row>
    <row r="157" spans="3:18">
      <c r="C157" s="5"/>
      <c r="R157" s="15"/>
    </row>
    <row r="158" spans="3:18">
      <c r="C158" s="5"/>
      <c r="R158" s="15"/>
    </row>
    <row r="159" spans="3:18">
      <c r="C159" s="5"/>
      <c r="R159" s="15"/>
    </row>
    <row r="160" spans="3:18">
      <c r="C160" s="5"/>
      <c r="R160" s="15"/>
    </row>
    <row r="161" spans="3:18">
      <c r="C161" s="5"/>
      <c r="R161" s="15"/>
    </row>
    <row r="162" spans="3:18">
      <c r="C162" s="5"/>
      <c r="R162" s="15"/>
    </row>
    <row r="163" spans="3:18">
      <c r="C163" s="5"/>
      <c r="R163" s="15"/>
    </row>
    <row r="164" spans="3:18">
      <c r="C164" s="5"/>
      <c r="R164" s="15"/>
    </row>
    <row r="165" spans="3:18">
      <c r="C165" s="5"/>
      <c r="R165" s="15"/>
    </row>
    <row r="166" spans="3:18">
      <c r="C166" s="5"/>
      <c r="R166" s="15"/>
    </row>
    <row r="167" spans="3:18">
      <c r="C167" s="5"/>
      <c r="R167" s="15"/>
    </row>
    <row r="168" spans="3:18">
      <c r="C168" s="5"/>
      <c r="R168" s="15"/>
    </row>
    <row r="169" spans="3:18">
      <c r="C169" s="5"/>
      <c r="R169" s="15"/>
    </row>
    <row r="170" spans="3:18">
      <c r="C170" s="5"/>
      <c r="R170" s="15"/>
    </row>
    <row r="171" spans="3:18">
      <c r="C171" s="5"/>
      <c r="R171" s="15"/>
    </row>
    <row r="172" spans="3:18">
      <c r="C172" s="5"/>
      <c r="R172" s="15"/>
    </row>
    <row r="173" spans="3:18">
      <c r="C173" s="5"/>
      <c r="R173" s="15"/>
    </row>
    <row r="174" spans="3:18">
      <c r="C174" s="5"/>
      <c r="R174" s="15"/>
    </row>
    <row r="175" spans="3:18">
      <c r="C175" s="5"/>
      <c r="R175" s="15"/>
    </row>
    <row r="176" spans="3:18">
      <c r="C176" s="5"/>
      <c r="R176" s="15"/>
    </row>
    <row r="177" spans="3:18">
      <c r="C177" s="5"/>
      <c r="R177" s="15"/>
    </row>
    <row r="178" spans="3:18">
      <c r="C178" s="5"/>
      <c r="R178" s="15"/>
    </row>
    <row r="179" spans="3:18">
      <c r="C179" s="5"/>
      <c r="R179" s="15"/>
    </row>
    <row r="180" spans="3:18">
      <c r="C180" s="5"/>
      <c r="R180" s="15"/>
    </row>
    <row r="181" spans="3:18">
      <c r="C181" s="5"/>
      <c r="R181" s="15"/>
    </row>
    <row r="182" spans="3:18">
      <c r="C182" s="5"/>
      <c r="R182" s="15"/>
    </row>
    <row r="183" spans="3:18">
      <c r="C183" s="5"/>
      <c r="R183" s="15"/>
    </row>
    <row r="184" spans="3:18">
      <c r="C184" s="5"/>
      <c r="R184" s="15"/>
    </row>
    <row r="185" spans="3:18">
      <c r="C185" s="5"/>
      <c r="R185" s="15"/>
    </row>
    <row r="186" spans="3:18">
      <c r="C186" s="5"/>
      <c r="R186" s="15"/>
    </row>
    <row r="187" spans="3:18">
      <c r="C187" s="5"/>
      <c r="R187" s="15"/>
    </row>
    <row r="188" spans="3:18">
      <c r="C188" s="5"/>
      <c r="R188" s="15"/>
    </row>
    <row r="189" spans="3:18">
      <c r="C189" s="5"/>
      <c r="R189" s="15"/>
    </row>
    <row r="190" spans="3:18">
      <c r="C190" s="5"/>
      <c r="R190" s="15"/>
    </row>
    <row r="191" spans="3:18">
      <c r="C191" s="5"/>
      <c r="R191" s="15"/>
    </row>
    <row r="192" spans="3:18">
      <c r="C192" s="5"/>
      <c r="R192" s="15"/>
    </row>
    <row r="193" spans="3:18">
      <c r="C193" s="5"/>
      <c r="R193" s="15"/>
    </row>
    <row r="194" spans="3:18">
      <c r="C194" s="5"/>
      <c r="R194" s="15"/>
    </row>
    <row r="195" spans="3:18">
      <c r="C195" s="5"/>
      <c r="R195" s="15"/>
    </row>
    <row r="196" spans="3:18">
      <c r="C196" s="5"/>
      <c r="R196" s="15"/>
    </row>
    <row r="197" spans="3:18">
      <c r="C197" s="5"/>
      <c r="R197" s="15"/>
    </row>
    <row r="198" spans="3:18">
      <c r="C198" s="5"/>
      <c r="R198" s="15"/>
    </row>
    <row r="199" spans="3:18">
      <c r="C199" s="5"/>
      <c r="R199" s="15"/>
    </row>
    <row r="200" spans="3:18">
      <c r="C200" s="5"/>
      <c r="R200" s="15"/>
    </row>
    <row r="201" spans="3:18">
      <c r="C201" s="5"/>
      <c r="R201" s="15"/>
    </row>
    <row r="202" spans="3:18">
      <c r="C202" s="5"/>
      <c r="R202" s="15"/>
    </row>
    <row r="203" spans="3:18">
      <c r="C203" s="5"/>
      <c r="R203" s="15"/>
    </row>
    <row r="204" spans="3:18">
      <c r="C204" s="5"/>
      <c r="R204" s="15"/>
    </row>
    <row r="205" spans="3:18">
      <c r="C205" s="5"/>
      <c r="R205" s="15"/>
    </row>
    <row r="206" spans="3:18">
      <c r="C206" s="5"/>
      <c r="R206" s="15"/>
    </row>
    <row r="207" spans="3:18">
      <c r="C207" s="5"/>
      <c r="R207" s="15"/>
    </row>
    <row r="208" spans="3:18">
      <c r="C208" s="5"/>
      <c r="R208" s="15"/>
    </row>
    <row r="209" spans="3:18">
      <c r="C209" s="5"/>
      <c r="R209" s="15"/>
    </row>
    <row r="210" spans="3:18">
      <c r="C210" s="5"/>
      <c r="R210" s="15"/>
    </row>
    <row r="211" spans="3:18">
      <c r="C211" s="5"/>
      <c r="R211" s="15"/>
    </row>
    <row r="212" spans="3:18">
      <c r="C212" s="5"/>
      <c r="R212" s="15"/>
    </row>
    <row r="213" spans="3:18">
      <c r="C213" s="5"/>
      <c r="R213" s="15"/>
    </row>
    <row r="214" spans="3:18">
      <c r="C214" s="5"/>
      <c r="R214" s="15"/>
    </row>
    <row r="215" spans="3:18">
      <c r="C215" s="5"/>
      <c r="R215" s="15"/>
    </row>
    <row r="216" spans="3:18">
      <c r="C216" s="5"/>
      <c r="R216" s="15"/>
    </row>
    <row r="217" spans="3:18">
      <c r="C217" s="5"/>
      <c r="R217" s="15"/>
    </row>
    <row r="218" spans="3:18">
      <c r="C218" s="5"/>
      <c r="R218" s="15"/>
    </row>
    <row r="219" spans="3:18">
      <c r="C219" s="5"/>
      <c r="R219" s="15"/>
    </row>
    <row r="220" spans="3:18">
      <c r="C220" s="5"/>
      <c r="R220" s="15"/>
    </row>
    <row r="221" spans="3:18">
      <c r="C221" s="5"/>
      <c r="R221" s="15"/>
    </row>
    <row r="222" spans="3:18">
      <c r="C222" s="5"/>
      <c r="R222" s="15"/>
    </row>
    <row r="223" spans="3:18">
      <c r="C223" s="5"/>
      <c r="R223" s="15"/>
    </row>
    <row r="224" spans="3:18">
      <c r="C224" s="5"/>
      <c r="R224" s="15"/>
    </row>
    <row r="225" spans="3:18">
      <c r="C225" s="5"/>
      <c r="R225" s="15"/>
    </row>
    <row r="226" spans="3:18">
      <c r="C226" s="5"/>
      <c r="R226" s="15"/>
    </row>
    <row r="227" spans="3:18">
      <c r="C227" s="5"/>
      <c r="R227" s="15"/>
    </row>
    <row r="228" spans="3:18">
      <c r="C228" s="5"/>
      <c r="R228" s="15"/>
    </row>
    <row r="229" spans="3:18">
      <c r="C229" s="5"/>
      <c r="R229" s="15"/>
    </row>
    <row r="230" spans="3:18">
      <c r="C230" s="5"/>
      <c r="R230" s="15"/>
    </row>
    <row r="231" spans="3:18">
      <c r="C231" s="5"/>
      <c r="R231" s="15"/>
    </row>
    <row r="232" spans="3:18">
      <c r="C232" s="5"/>
      <c r="R232" s="15"/>
    </row>
    <row r="233" spans="3:18">
      <c r="C233" s="5"/>
      <c r="R233" s="15"/>
    </row>
    <row r="234" spans="3:18">
      <c r="C234" s="5"/>
      <c r="R234" s="15"/>
    </row>
    <row r="235" spans="3:18">
      <c r="C235" s="5"/>
      <c r="R235" s="15"/>
    </row>
    <row r="236" spans="3:18">
      <c r="C236" s="5"/>
      <c r="R236" s="15"/>
    </row>
    <row r="237" spans="3:18">
      <c r="C237" s="5"/>
      <c r="R237" s="15"/>
    </row>
    <row r="238" spans="3:18">
      <c r="C238" s="5"/>
      <c r="R238" s="15"/>
    </row>
    <row r="239" spans="3:18">
      <c r="C239" s="5"/>
      <c r="R239" s="15"/>
    </row>
    <row r="240" spans="3:18">
      <c r="C240" s="5"/>
      <c r="R240" s="15"/>
    </row>
    <row r="241" spans="3:18">
      <c r="C241" s="5"/>
      <c r="R241" s="15"/>
    </row>
    <row r="242" spans="3:18">
      <c r="C242" s="5"/>
      <c r="R242" s="15"/>
    </row>
    <row r="243" spans="3:18">
      <c r="C243" s="5"/>
      <c r="R243" s="15"/>
    </row>
    <row r="244" spans="3:18">
      <c r="C244" s="5"/>
      <c r="R244" s="15"/>
    </row>
    <row r="245" spans="3:18">
      <c r="C245" s="5"/>
      <c r="R245" s="15"/>
    </row>
    <row r="246" spans="3:18">
      <c r="C246" s="5"/>
      <c r="R246" s="15"/>
    </row>
    <row r="247" spans="3:18">
      <c r="C247" s="5"/>
      <c r="R247" s="15"/>
    </row>
    <row r="248" spans="3:18">
      <c r="C248" s="5"/>
      <c r="R248" s="15"/>
    </row>
    <row r="249" spans="3:18">
      <c r="C249" s="5"/>
      <c r="R249" s="15"/>
    </row>
    <row r="250" spans="3:18">
      <c r="C250" s="5"/>
      <c r="R250" s="15"/>
    </row>
    <row r="251" spans="3:18">
      <c r="C251" s="5"/>
      <c r="R251" s="15"/>
    </row>
    <row r="252" spans="3:18">
      <c r="C252" s="5"/>
      <c r="R252" s="15"/>
    </row>
    <row r="253" spans="3:18">
      <c r="C253" s="5"/>
      <c r="R253" s="15"/>
    </row>
    <row r="254" spans="3:18">
      <c r="C254" s="5"/>
      <c r="R254" s="15"/>
    </row>
    <row r="255" spans="3:18">
      <c r="C255" s="5"/>
      <c r="R255" s="15"/>
    </row>
    <row r="256" spans="3:18">
      <c r="C256" s="5"/>
      <c r="R256" s="15"/>
    </row>
    <row r="257" spans="3:18">
      <c r="C257" s="5"/>
      <c r="R257" s="15"/>
    </row>
    <row r="258" spans="3:18">
      <c r="C258" s="5"/>
      <c r="R258" s="15"/>
    </row>
    <row r="259" spans="3:18">
      <c r="C259" s="5"/>
      <c r="R259" s="15"/>
    </row>
    <row r="260" spans="3:18">
      <c r="C260" s="5"/>
      <c r="R260" s="15"/>
    </row>
    <row r="261" spans="3:18">
      <c r="C261" s="5"/>
      <c r="R261" s="15"/>
    </row>
    <row r="262" spans="3:18">
      <c r="C262" s="5"/>
      <c r="R262" s="15"/>
    </row>
    <row r="263" spans="3:18">
      <c r="C263" s="5"/>
      <c r="R263" s="15"/>
    </row>
    <row r="264" spans="3:18">
      <c r="C264" s="5"/>
      <c r="R264" s="15"/>
    </row>
    <row r="265" spans="3:18">
      <c r="C265" s="5"/>
      <c r="R265" s="15"/>
    </row>
    <row r="266" spans="3:18">
      <c r="C266" s="5"/>
      <c r="R266" s="15"/>
    </row>
    <row r="267" spans="3:18">
      <c r="C267" s="5"/>
      <c r="R267" s="15"/>
    </row>
    <row r="268" spans="3:18">
      <c r="C268" s="5"/>
      <c r="R268" s="15"/>
    </row>
    <row r="269" spans="3:18">
      <c r="C269" s="5"/>
      <c r="R269" s="15"/>
    </row>
    <row r="270" spans="3:18">
      <c r="C270" s="5"/>
      <c r="R270" s="15"/>
    </row>
    <row r="271" spans="3:18">
      <c r="C271" s="5"/>
      <c r="R271" s="15"/>
    </row>
    <row r="272" spans="3:18">
      <c r="C272" s="5"/>
      <c r="R272" s="15"/>
    </row>
    <row r="273" spans="3:18">
      <c r="C273" s="5"/>
      <c r="R273" s="15"/>
    </row>
    <row r="274" spans="3:18">
      <c r="C274" s="5"/>
      <c r="R274" s="15"/>
    </row>
    <row r="275" spans="3:18">
      <c r="C275" s="5"/>
      <c r="R275" s="15"/>
    </row>
    <row r="276" spans="3:18">
      <c r="C276" s="5"/>
      <c r="R276" s="15"/>
    </row>
    <row r="277" spans="3:18">
      <c r="C277" s="5"/>
      <c r="R277" s="15"/>
    </row>
    <row r="278" spans="3:18">
      <c r="C278" s="5"/>
      <c r="R278" s="15"/>
    </row>
    <row r="279" spans="3:18">
      <c r="C279" s="5"/>
      <c r="R279" s="15"/>
    </row>
    <row r="280" spans="3:18">
      <c r="C280" s="5"/>
      <c r="R280" s="15"/>
    </row>
    <row r="281" spans="3:18">
      <c r="C281" s="5"/>
      <c r="R281" s="15"/>
    </row>
    <row r="282" spans="3:18">
      <c r="C282" s="5"/>
      <c r="R282" s="15"/>
    </row>
    <row r="283" spans="3:18">
      <c r="C283" s="5"/>
      <c r="R283" s="15"/>
    </row>
    <row r="284" spans="3:18">
      <c r="C284" s="5"/>
      <c r="R284" s="15"/>
    </row>
    <row r="285" spans="3:18">
      <c r="C285" s="5"/>
      <c r="R285" s="15"/>
    </row>
    <row r="286" spans="3:18">
      <c r="C286" s="5"/>
      <c r="R286" s="15"/>
    </row>
    <row r="287" spans="3:18">
      <c r="C287" s="5"/>
      <c r="R287" s="15"/>
    </row>
    <row r="288" spans="3:18">
      <c r="C288" s="5"/>
      <c r="R288" s="15"/>
    </row>
    <row r="289" spans="3:18">
      <c r="C289" s="5"/>
      <c r="R289" s="15"/>
    </row>
    <row r="290" spans="3:18">
      <c r="C290" s="5"/>
      <c r="R290" s="15"/>
    </row>
    <row r="291" spans="3:18">
      <c r="C291" s="5"/>
      <c r="R291" s="15"/>
    </row>
    <row r="292" spans="3:18">
      <c r="C292" s="5"/>
      <c r="R292" s="15"/>
    </row>
    <row r="293" spans="3:18">
      <c r="C293" s="5"/>
      <c r="R293" s="15"/>
    </row>
    <row r="294" spans="3:18">
      <c r="C294" s="5"/>
      <c r="R294" s="15"/>
    </row>
    <row r="295" spans="3:18">
      <c r="C295" s="5"/>
      <c r="R295" s="15"/>
    </row>
    <row r="296" spans="3:18">
      <c r="C296" s="5"/>
      <c r="R296" s="15"/>
    </row>
    <row r="297" spans="3:18">
      <c r="C297" s="5"/>
      <c r="R297" s="15"/>
    </row>
    <row r="298" spans="3:18">
      <c r="C298" s="5"/>
      <c r="R298" s="15"/>
    </row>
    <row r="299" spans="3:18">
      <c r="C299" s="5"/>
      <c r="R299" s="15"/>
    </row>
    <row r="300" spans="3:18">
      <c r="C300" s="5"/>
      <c r="R300" s="15"/>
    </row>
    <row r="301" spans="3:18">
      <c r="C301" s="5"/>
      <c r="R301" s="15"/>
    </row>
    <row r="302" spans="3:18">
      <c r="C302" s="5"/>
      <c r="R302" s="15"/>
    </row>
    <row r="303" spans="3:18">
      <c r="C303" s="5"/>
      <c r="R303" s="15"/>
    </row>
    <row r="304" spans="3:18">
      <c r="C304" s="5"/>
      <c r="R304" s="15"/>
    </row>
    <row r="305" spans="3:18">
      <c r="C305" s="5"/>
      <c r="R305" s="15"/>
    </row>
    <row r="306" spans="3:18">
      <c r="C306" s="5"/>
      <c r="R306" s="15"/>
    </row>
    <row r="307" spans="3:18">
      <c r="C307" s="5"/>
      <c r="R307" s="15"/>
    </row>
    <row r="308" spans="3:18">
      <c r="C308" s="5"/>
      <c r="R308" s="15"/>
    </row>
    <row r="309" spans="3:18">
      <c r="C309" s="5"/>
      <c r="R309" s="15"/>
    </row>
    <row r="310" spans="3:18">
      <c r="C310" s="5"/>
      <c r="R310" s="15"/>
    </row>
    <row r="311" spans="3:18">
      <c r="C311" s="5"/>
      <c r="R311" s="15"/>
    </row>
    <row r="312" spans="3:18">
      <c r="C312" s="5"/>
      <c r="R312" s="15"/>
    </row>
    <row r="313" spans="3:18">
      <c r="C313" s="5"/>
      <c r="R313" s="15"/>
    </row>
    <row r="314" spans="3:18">
      <c r="C314" s="5"/>
      <c r="R314" s="15"/>
    </row>
    <row r="315" spans="3:18">
      <c r="C315" s="5"/>
      <c r="R315" s="15"/>
    </row>
    <row r="316" spans="3:18">
      <c r="C316" s="5"/>
      <c r="R316" s="15"/>
    </row>
    <row r="317" spans="3:18">
      <c r="C317" s="5"/>
      <c r="R317" s="15"/>
    </row>
    <row r="318" spans="3:18">
      <c r="C318" s="5"/>
      <c r="R318" s="15"/>
    </row>
    <row r="319" spans="3:18">
      <c r="C319" s="5"/>
      <c r="R319" s="15"/>
    </row>
    <row r="320" spans="3:18">
      <c r="C320" s="5"/>
      <c r="R320" s="15"/>
    </row>
    <row r="321" spans="3:18">
      <c r="C321" s="5"/>
      <c r="R321" s="15"/>
    </row>
    <row r="322" spans="3:18">
      <c r="C322" s="5"/>
      <c r="R322" s="15"/>
    </row>
    <row r="323" spans="3:18">
      <c r="C323" s="5"/>
      <c r="R323" s="15"/>
    </row>
    <row r="324" spans="3:18">
      <c r="C324" s="5"/>
      <c r="R324" s="15"/>
    </row>
    <row r="325" spans="3:18">
      <c r="C325" s="5"/>
      <c r="R325" s="15"/>
    </row>
    <row r="326" spans="3:18">
      <c r="C326" s="5"/>
      <c r="R326" s="15"/>
    </row>
    <row r="327" spans="3:18">
      <c r="C327" s="5"/>
      <c r="R327" s="15"/>
    </row>
    <row r="328" spans="3:18">
      <c r="C328" s="5"/>
      <c r="R328" s="15"/>
    </row>
    <row r="329" spans="3:18">
      <c r="C329" s="5"/>
      <c r="R329" s="15"/>
    </row>
    <row r="330" spans="3:18">
      <c r="C330" s="5"/>
      <c r="R330" s="15"/>
    </row>
    <row r="331" spans="3:18">
      <c r="C331" s="5"/>
      <c r="R331" s="15"/>
    </row>
    <row r="332" spans="3:18">
      <c r="C332" s="5"/>
      <c r="R332" s="15"/>
    </row>
    <row r="333" spans="3:18">
      <c r="C333" s="5"/>
      <c r="R333" s="15"/>
    </row>
    <row r="334" spans="3:18">
      <c r="C334" s="5"/>
      <c r="R334" s="15"/>
    </row>
    <row r="335" spans="3:18">
      <c r="C335" s="5"/>
      <c r="R335" s="15"/>
    </row>
    <row r="336" spans="3:18">
      <c r="C336" s="5"/>
      <c r="R336" s="15"/>
    </row>
    <row r="337" spans="3:18">
      <c r="C337" s="5"/>
      <c r="R337" s="15"/>
    </row>
    <row r="338" spans="3:18">
      <c r="C338" s="5"/>
      <c r="R338" s="15"/>
    </row>
    <row r="339" spans="3:18">
      <c r="C339" s="5"/>
      <c r="R339" s="15"/>
    </row>
    <row r="340" spans="3:18">
      <c r="C340" s="5"/>
      <c r="R340" s="15"/>
    </row>
    <row r="341" spans="3:18">
      <c r="C341" s="5"/>
      <c r="R341" s="15"/>
    </row>
    <row r="342" spans="3:18">
      <c r="C342" s="5"/>
      <c r="R342" s="15"/>
    </row>
    <row r="343" spans="3:18">
      <c r="C343" s="5"/>
      <c r="R343" s="15"/>
    </row>
    <row r="344" spans="3:18">
      <c r="C344" s="5"/>
      <c r="R344" s="15"/>
    </row>
    <row r="345" spans="3:18">
      <c r="C345" s="5"/>
      <c r="R345" s="15"/>
    </row>
    <row r="346" spans="3:18">
      <c r="C346" s="5"/>
      <c r="R346" s="15"/>
    </row>
    <row r="347" spans="3:18">
      <c r="C347" s="5"/>
      <c r="R347" s="15"/>
    </row>
    <row r="348" spans="3:18">
      <c r="C348" s="5"/>
      <c r="R348" s="15"/>
    </row>
    <row r="349" spans="3:18">
      <c r="C349" s="5"/>
      <c r="R349" s="15"/>
    </row>
    <row r="350" spans="3:18">
      <c r="C350" s="5"/>
      <c r="R350" s="15"/>
    </row>
    <row r="351" spans="3:18">
      <c r="C351" s="5"/>
      <c r="R351" s="15"/>
    </row>
    <row r="352" spans="3:18">
      <c r="C352" s="5"/>
      <c r="R352" s="15"/>
    </row>
    <row r="353" spans="3:18">
      <c r="C353" s="5"/>
      <c r="R353" s="15"/>
    </row>
    <row r="354" spans="3:18">
      <c r="C354" s="5"/>
      <c r="R354" s="15"/>
    </row>
    <row r="355" spans="3:18">
      <c r="C355" s="5"/>
      <c r="R355" s="15"/>
    </row>
    <row r="356" spans="3:18">
      <c r="C356" s="5"/>
      <c r="R356" s="15"/>
    </row>
    <row r="357" spans="3:18">
      <c r="C357" s="5"/>
      <c r="R357" s="15"/>
    </row>
    <row r="358" spans="3:18">
      <c r="C358" s="5"/>
      <c r="R358" s="15"/>
    </row>
    <row r="359" spans="3:18">
      <c r="C359" s="5"/>
      <c r="R359" s="15"/>
    </row>
    <row r="360" spans="3:18">
      <c r="C360" s="5"/>
      <c r="R360" s="15"/>
    </row>
    <row r="361" spans="3:18">
      <c r="C361" s="5"/>
      <c r="R361" s="15"/>
    </row>
    <row r="362" spans="3:18">
      <c r="C362" s="5"/>
      <c r="R362" s="15"/>
    </row>
    <row r="363" spans="3:18">
      <c r="C363" s="5"/>
      <c r="R363" s="15"/>
    </row>
    <row r="364" spans="3:18">
      <c r="C364" s="5"/>
      <c r="R364" s="15"/>
    </row>
    <row r="365" spans="3:18">
      <c r="C365" s="5"/>
      <c r="R365" s="15"/>
    </row>
    <row r="366" spans="3:18">
      <c r="C366" s="5"/>
      <c r="R366" s="15"/>
    </row>
    <row r="367" spans="3:18">
      <c r="C367" s="5"/>
      <c r="R367" s="15"/>
    </row>
    <row r="368" spans="3:18">
      <c r="C368" s="5"/>
      <c r="R368" s="15"/>
    </row>
    <row r="369" spans="3:18">
      <c r="C369" s="5"/>
      <c r="R369" s="15"/>
    </row>
    <row r="370" spans="3:18">
      <c r="C370" s="5"/>
      <c r="R370" s="15"/>
    </row>
    <row r="371" spans="3:18">
      <c r="C371" s="5"/>
      <c r="R371" s="15"/>
    </row>
    <row r="372" spans="3:18">
      <c r="C372" s="5"/>
      <c r="R372" s="15"/>
    </row>
    <row r="373" spans="3:18">
      <c r="C373" s="5"/>
      <c r="R373" s="15"/>
    </row>
    <row r="374" spans="3:18">
      <c r="C374" s="5"/>
      <c r="R374" s="15"/>
    </row>
    <row r="375" spans="3:18">
      <c r="C375" s="5"/>
      <c r="R375" s="15"/>
    </row>
    <row r="376" spans="3:18">
      <c r="C376" s="5"/>
      <c r="R376" s="15"/>
    </row>
    <row r="377" spans="3:18">
      <c r="C377" s="5"/>
      <c r="R377" s="15"/>
    </row>
    <row r="378" spans="3:18">
      <c r="C378" s="5"/>
      <c r="R378" s="15"/>
    </row>
    <row r="379" spans="3:18">
      <c r="C379" s="5"/>
      <c r="R379" s="15"/>
    </row>
    <row r="380" spans="3:18">
      <c r="C380" s="5"/>
      <c r="R380" s="15"/>
    </row>
    <row r="381" spans="3:18">
      <c r="C381" s="5"/>
      <c r="R381" s="15"/>
    </row>
    <row r="382" spans="3:18">
      <c r="C382" s="5"/>
      <c r="R382" s="15"/>
    </row>
    <row r="383" spans="3:18">
      <c r="C383" s="5"/>
      <c r="R383" s="15"/>
    </row>
    <row r="384" spans="3:18">
      <c r="C384" s="5"/>
      <c r="R384" s="15"/>
    </row>
    <row r="385" spans="3:18">
      <c r="C385" s="5"/>
      <c r="R385" s="15"/>
    </row>
    <row r="386" spans="3:18">
      <c r="C386" s="5"/>
      <c r="R386" s="15"/>
    </row>
    <row r="387" spans="3:18">
      <c r="C387" s="5"/>
      <c r="R387" s="15"/>
    </row>
    <row r="388" spans="3:18">
      <c r="C388" s="5"/>
      <c r="R388" s="15"/>
    </row>
    <row r="389" spans="3:18">
      <c r="C389" s="5"/>
      <c r="R389" s="15"/>
    </row>
    <row r="390" spans="3:18">
      <c r="C390" s="5"/>
      <c r="R390" s="15"/>
    </row>
    <row r="391" spans="3:18">
      <c r="C391" s="5"/>
      <c r="R391" s="15"/>
    </row>
    <row r="392" spans="3:18">
      <c r="C392" s="5"/>
      <c r="R392" s="15"/>
    </row>
    <row r="393" spans="3:18">
      <c r="C393" s="5"/>
      <c r="R393" s="15"/>
    </row>
    <row r="394" spans="3:18">
      <c r="C394" s="5"/>
      <c r="R394" s="15"/>
    </row>
    <row r="395" spans="3:18">
      <c r="C395" s="5"/>
      <c r="R395" s="15"/>
    </row>
    <row r="396" spans="3:18">
      <c r="C396" s="5"/>
      <c r="R396" s="15"/>
    </row>
    <row r="397" spans="3:18">
      <c r="C397" s="5"/>
      <c r="R397" s="15"/>
    </row>
    <row r="398" spans="3:18">
      <c r="C398" s="5"/>
      <c r="R398" s="15"/>
    </row>
    <row r="399" spans="3:18">
      <c r="C399" s="5"/>
      <c r="R399" s="15"/>
    </row>
    <row r="400" spans="3:18">
      <c r="C400" s="5"/>
      <c r="R400" s="15"/>
    </row>
    <row r="401" spans="3:18">
      <c r="C401" s="5"/>
      <c r="R401" s="15"/>
    </row>
    <row r="402" spans="3:18">
      <c r="C402" s="5"/>
      <c r="R402" s="15"/>
    </row>
    <row r="403" spans="3:18">
      <c r="C403" s="5"/>
      <c r="R403" s="15"/>
    </row>
    <row r="404" spans="3:18">
      <c r="C404" s="5"/>
      <c r="R404" s="15"/>
    </row>
    <row r="405" spans="3:18">
      <c r="C405" s="5"/>
      <c r="R405" s="15"/>
    </row>
    <row r="406" spans="3:18">
      <c r="C406" s="5"/>
      <c r="R406" s="15"/>
    </row>
    <row r="407" spans="3:18">
      <c r="C407" s="5"/>
      <c r="R407" s="15"/>
    </row>
    <row r="408" spans="3:18">
      <c r="C408" s="5"/>
      <c r="R408" s="15"/>
    </row>
    <row r="409" spans="3:18">
      <c r="C409" s="5"/>
      <c r="R409" s="15"/>
    </row>
    <row r="410" spans="3:18">
      <c r="C410" s="5"/>
      <c r="R410" s="15"/>
    </row>
    <row r="411" spans="3:18">
      <c r="C411" s="5"/>
      <c r="R411" s="15"/>
    </row>
    <row r="412" spans="3:18">
      <c r="C412" s="5"/>
      <c r="R412" s="15"/>
    </row>
    <row r="413" spans="3:18">
      <c r="C413" s="5"/>
      <c r="R413" s="15"/>
    </row>
    <row r="414" spans="3:18">
      <c r="C414" s="5"/>
      <c r="R414" s="15"/>
    </row>
    <row r="415" spans="3:18">
      <c r="C415" s="5"/>
      <c r="R415" s="15"/>
    </row>
    <row r="416" spans="3:18">
      <c r="C416" s="5"/>
      <c r="R416" s="15"/>
    </row>
    <row r="417" spans="3:18">
      <c r="C417" s="5"/>
      <c r="R417" s="15"/>
    </row>
    <row r="418" spans="3:18">
      <c r="C418" s="5"/>
      <c r="R418" s="15"/>
    </row>
    <row r="419" spans="3:18">
      <c r="C419" s="5"/>
      <c r="R419" s="15"/>
    </row>
    <row r="420" spans="3:18">
      <c r="C420" s="5"/>
      <c r="R420" s="15"/>
    </row>
    <row r="421" spans="3:18">
      <c r="C421" s="5"/>
      <c r="R421" s="15"/>
    </row>
    <row r="422" spans="3:18">
      <c r="C422" s="5"/>
      <c r="R422" s="15"/>
    </row>
    <row r="423" spans="3:18">
      <c r="C423" s="5"/>
      <c r="R423" s="15"/>
    </row>
    <row r="424" spans="3:18">
      <c r="C424" s="5"/>
      <c r="R424" s="15"/>
    </row>
    <row r="425" spans="3:18">
      <c r="C425" s="5"/>
      <c r="R425" s="15"/>
    </row>
    <row r="426" spans="3:18">
      <c r="C426" s="5"/>
      <c r="R426" s="15"/>
    </row>
    <row r="427" spans="3:18">
      <c r="C427" s="5"/>
      <c r="R427" s="15"/>
    </row>
    <row r="428" spans="3:18">
      <c r="C428" s="5"/>
      <c r="R428" s="15"/>
    </row>
    <row r="429" spans="3:18">
      <c r="C429" s="5"/>
      <c r="R429" s="15"/>
    </row>
    <row r="430" spans="3:18">
      <c r="C430" s="5"/>
      <c r="R430" s="15"/>
    </row>
    <row r="431" spans="3:18">
      <c r="C431" s="5"/>
      <c r="R431" s="15"/>
    </row>
    <row r="432" spans="3:18">
      <c r="C432" s="5"/>
      <c r="R432" s="15"/>
    </row>
    <row r="433" spans="3:18">
      <c r="C433" s="5"/>
      <c r="R433" s="15"/>
    </row>
    <row r="434" spans="3:18">
      <c r="C434" s="5"/>
      <c r="R434" s="15"/>
    </row>
    <row r="435" spans="3:18">
      <c r="C435" s="5"/>
      <c r="R435" s="15"/>
    </row>
    <row r="436" spans="3:18">
      <c r="C436" s="5"/>
      <c r="R436" s="15"/>
    </row>
    <row r="437" spans="3:18">
      <c r="C437" s="5"/>
      <c r="R437" s="15"/>
    </row>
    <row r="438" spans="3:18">
      <c r="C438" s="5"/>
      <c r="R438" s="15"/>
    </row>
    <row r="439" spans="3:18">
      <c r="C439" s="5"/>
      <c r="R439" s="15"/>
    </row>
    <row r="440" spans="3:18">
      <c r="C440" s="5"/>
      <c r="R440" s="15"/>
    </row>
    <row r="441" spans="3:18">
      <c r="C441" s="5"/>
      <c r="R441" s="15"/>
    </row>
    <row r="442" spans="3:18">
      <c r="C442" s="5"/>
      <c r="R442" s="15"/>
    </row>
    <row r="443" spans="3:18">
      <c r="C443" s="5"/>
      <c r="R443" s="15"/>
    </row>
    <row r="444" spans="3:18">
      <c r="C444" s="5"/>
      <c r="R444" s="15"/>
    </row>
    <row r="445" spans="3:18">
      <c r="C445" s="5"/>
      <c r="R445" s="15"/>
    </row>
    <row r="446" spans="3:18">
      <c r="C446" s="5"/>
      <c r="R446" s="15"/>
    </row>
    <row r="447" spans="3:18">
      <c r="C447" s="5"/>
      <c r="R447" s="15"/>
    </row>
    <row r="448" spans="3:18">
      <c r="C448" s="5"/>
      <c r="R448" s="15"/>
    </row>
    <row r="449" spans="3:18">
      <c r="C449" s="5"/>
      <c r="R449" s="15"/>
    </row>
    <row r="450" spans="3:18">
      <c r="C450" s="5"/>
      <c r="R450" s="15"/>
    </row>
    <row r="451" spans="3:18">
      <c r="C451" s="5"/>
      <c r="R451" s="15"/>
    </row>
    <row r="452" spans="3:18">
      <c r="C452" s="5"/>
      <c r="R452" s="15"/>
    </row>
    <row r="453" spans="3:18">
      <c r="C453" s="5"/>
      <c r="R453" s="15"/>
    </row>
    <row r="454" spans="3:18">
      <c r="C454" s="5"/>
      <c r="R454" s="15"/>
    </row>
    <row r="455" spans="3:18">
      <c r="C455" s="5"/>
      <c r="R455" s="15"/>
    </row>
    <row r="456" spans="3:18">
      <c r="C456" s="5"/>
      <c r="R456" s="15"/>
    </row>
    <row r="457" spans="3:18">
      <c r="C457" s="5"/>
      <c r="R457" s="15"/>
    </row>
    <row r="458" spans="3:18">
      <c r="C458" s="5"/>
      <c r="R458" s="15"/>
    </row>
    <row r="459" spans="3:18">
      <c r="C459" s="5"/>
      <c r="R459" s="15"/>
    </row>
    <row r="460" spans="3:18">
      <c r="C460" s="5"/>
      <c r="R460" s="15"/>
    </row>
    <row r="461" spans="3:18">
      <c r="C461" s="5"/>
      <c r="R461" s="15"/>
    </row>
    <row r="462" spans="3:18">
      <c r="C462" s="5"/>
      <c r="R462" s="15"/>
    </row>
    <row r="463" spans="3:18">
      <c r="C463" s="5"/>
      <c r="R463" s="15"/>
    </row>
    <row r="464" spans="3:18">
      <c r="C464" s="5"/>
      <c r="R464" s="15"/>
    </row>
    <row r="465" spans="3:18">
      <c r="C465" s="5"/>
      <c r="R465" s="15"/>
    </row>
    <row r="466" spans="3:18">
      <c r="C466" s="5"/>
      <c r="R466" s="15"/>
    </row>
    <row r="467" spans="3:18">
      <c r="C467" s="5"/>
      <c r="R467" s="15"/>
    </row>
    <row r="468" spans="3:18">
      <c r="C468" s="5"/>
      <c r="R468" s="15"/>
    </row>
    <row r="469" spans="3:18">
      <c r="C469" s="5"/>
      <c r="R469" s="15"/>
    </row>
    <row r="470" spans="3:18">
      <c r="C470" s="5"/>
      <c r="R470" s="15"/>
    </row>
    <row r="471" spans="3:18">
      <c r="C471" s="5"/>
      <c r="R471" s="15"/>
    </row>
    <row r="472" spans="3:18">
      <c r="C472" s="5"/>
      <c r="R472" s="15"/>
    </row>
    <row r="473" spans="3:18">
      <c r="C473" s="5"/>
      <c r="R473" s="15"/>
    </row>
    <row r="474" spans="3:18">
      <c r="C474" s="5"/>
      <c r="R474" s="15"/>
    </row>
    <row r="475" spans="3:18">
      <c r="C475" s="5"/>
      <c r="R475" s="15"/>
    </row>
    <row r="476" spans="3:18">
      <c r="C476" s="5"/>
      <c r="R476" s="15"/>
    </row>
    <row r="477" spans="3:18">
      <c r="C477" s="5"/>
      <c r="R477" s="15"/>
    </row>
    <row r="478" spans="3:18">
      <c r="C478" s="5"/>
      <c r="R478" s="15"/>
    </row>
    <row r="479" spans="3:18">
      <c r="C479" s="5"/>
      <c r="R479" s="15"/>
    </row>
    <row r="480" spans="3:18">
      <c r="C480" s="5"/>
      <c r="R480" s="15"/>
    </row>
    <row r="481" spans="3:18">
      <c r="C481" s="5"/>
      <c r="R481" s="15"/>
    </row>
    <row r="482" spans="3:18">
      <c r="C482" s="5"/>
      <c r="R482" s="15"/>
    </row>
    <row r="483" spans="3:18">
      <c r="C483" s="5"/>
      <c r="R483" s="15"/>
    </row>
    <row r="484" spans="3:18">
      <c r="C484" s="5"/>
      <c r="R484" s="15"/>
    </row>
    <row r="485" spans="3:18">
      <c r="C485" s="5"/>
      <c r="R485" s="15"/>
    </row>
    <row r="486" spans="3:18">
      <c r="C486" s="5"/>
      <c r="R486" s="15"/>
    </row>
    <row r="487" spans="3:18">
      <c r="C487" s="5"/>
      <c r="R487" s="15"/>
    </row>
    <row r="488" spans="3:18">
      <c r="C488" s="5"/>
      <c r="R488" s="15"/>
    </row>
    <row r="489" spans="3:18">
      <c r="C489" s="5"/>
      <c r="R489" s="15"/>
    </row>
    <row r="490" spans="3:18">
      <c r="C490" s="5"/>
      <c r="R490" s="15"/>
    </row>
    <row r="491" spans="3:18">
      <c r="C491" s="5"/>
      <c r="R491" s="15"/>
    </row>
    <row r="492" spans="3:18">
      <c r="C492" s="5"/>
      <c r="R492" s="15"/>
    </row>
    <row r="493" spans="3:18">
      <c r="C493" s="5"/>
      <c r="R493" s="15"/>
    </row>
    <row r="494" spans="3:18">
      <c r="C494" s="5"/>
      <c r="R494" s="15"/>
    </row>
    <row r="495" spans="3:18">
      <c r="C495" s="5"/>
      <c r="R495" s="15"/>
    </row>
    <row r="496" spans="3:18">
      <c r="C496" s="5"/>
      <c r="R496" s="15"/>
    </row>
    <row r="497" spans="3:18">
      <c r="C497" s="5"/>
      <c r="R497" s="15"/>
    </row>
    <row r="498" spans="3:18">
      <c r="C498" s="5"/>
      <c r="R498" s="15"/>
    </row>
    <row r="499" spans="3:18">
      <c r="C499" s="5"/>
      <c r="R499" s="15"/>
    </row>
    <row r="500" spans="3:18">
      <c r="C500" s="5"/>
      <c r="R500" s="15"/>
    </row>
    <row r="501" spans="3:18">
      <c r="C501" s="5"/>
      <c r="R501" s="15"/>
    </row>
    <row r="502" spans="3:18">
      <c r="C502" s="5"/>
      <c r="R502" s="15"/>
    </row>
    <row r="503" spans="3:18">
      <c r="C503" s="5"/>
      <c r="R503" s="15"/>
    </row>
    <row r="504" spans="3:18">
      <c r="C504" s="5"/>
      <c r="R504" s="15"/>
    </row>
    <row r="505" spans="3:18">
      <c r="C505" s="5"/>
      <c r="R505" s="15"/>
    </row>
    <row r="506" spans="3:18">
      <c r="C506" s="5"/>
      <c r="R506" s="15"/>
    </row>
    <row r="507" spans="3:18">
      <c r="C507" s="5"/>
      <c r="R507" s="15"/>
    </row>
    <row r="508" spans="3:18">
      <c r="C508" s="5"/>
      <c r="R508" s="15"/>
    </row>
    <row r="509" spans="3:18">
      <c r="C509" s="5"/>
      <c r="R509" s="15"/>
    </row>
    <row r="510" spans="3:18">
      <c r="C510" s="5"/>
      <c r="R510" s="15"/>
    </row>
    <row r="511" spans="3:18">
      <c r="C511" s="5"/>
      <c r="R511" s="15"/>
    </row>
    <row r="512" spans="3:18">
      <c r="C512" s="5"/>
      <c r="R512" s="15"/>
    </row>
    <row r="513" spans="3:18">
      <c r="C513" s="5"/>
      <c r="R513" s="15"/>
    </row>
    <row r="514" spans="3:18">
      <c r="C514" s="5"/>
      <c r="R514" s="15"/>
    </row>
    <row r="515" spans="3:18">
      <c r="C515" s="5"/>
      <c r="R515" s="15"/>
    </row>
    <row r="516" spans="3:18">
      <c r="C516" s="5"/>
      <c r="R516" s="15"/>
    </row>
    <row r="517" spans="3:18">
      <c r="C517" s="5"/>
      <c r="R517" s="15"/>
    </row>
    <row r="518" spans="3:18">
      <c r="C518" s="5"/>
      <c r="R518" s="15"/>
    </row>
    <row r="519" spans="3:18">
      <c r="C519" s="5"/>
      <c r="R519" s="15"/>
    </row>
    <row r="520" spans="3:18">
      <c r="C520" s="5"/>
      <c r="R520" s="15"/>
    </row>
    <row r="521" spans="3:18">
      <c r="C521" s="5"/>
      <c r="R521" s="15"/>
    </row>
    <row r="522" spans="3:18">
      <c r="C522" s="5"/>
      <c r="R522" s="15"/>
    </row>
    <row r="523" spans="3:18">
      <c r="C523" s="5"/>
      <c r="R523" s="15"/>
    </row>
    <row r="524" spans="3:18">
      <c r="C524" s="5"/>
      <c r="R524" s="15"/>
    </row>
    <row r="525" spans="3:18">
      <c r="C525" s="5"/>
      <c r="R525" s="15"/>
    </row>
    <row r="526" spans="3:18">
      <c r="C526" s="5"/>
      <c r="R526" s="15"/>
    </row>
    <row r="527" spans="3:18">
      <c r="C527" s="5"/>
      <c r="R527" s="15"/>
    </row>
    <row r="528" spans="3:18">
      <c r="C528" s="5"/>
      <c r="R528" s="15"/>
    </row>
    <row r="529" spans="3:18">
      <c r="C529" s="5"/>
      <c r="R529" s="15"/>
    </row>
    <row r="530" spans="3:18">
      <c r="C530" s="5"/>
      <c r="R530" s="15"/>
    </row>
    <row r="531" spans="3:18">
      <c r="C531" s="5"/>
      <c r="R531" s="15"/>
    </row>
    <row r="532" spans="3:18">
      <c r="C532" s="5"/>
      <c r="R532" s="15"/>
    </row>
    <row r="533" spans="3:18">
      <c r="C533" s="5"/>
      <c r="R533" s="15"/>
    </row>
    <row r="534" spans="3:18">
      <c r="C534" s="5"/>
      <c r="R534" s="15"/>
    </row>
    <row r="535" spans="3:18">
      <c r="C535" s="5"/>
      <c r="R535" s="15"/>
    </row>
    <row r="536" spans="3:18">
      <c r="C536" s="5"/>
      <c r="R536" s="15"/>
    </row>
    <row r="537" spans="3:18">
      <c r="C537" s="5"/>
      <c r="R537" s="15"/>
    </row>
    <row r="538" spans="3:18">
      <c r="C538" s="5"/>
      <c r="R538" s="15"/>
    </row>
    <row r="539" spans="3:18">
      <c r="C539" s="5"/>
      <c r="R539" s="15"/>
    </row>
    <row r="540" spans="3:18">
      <c r="C540" s="5"/>
      <c r="R540" s="15"/>
    </row>
    <row r="541" spans="3:18">
      <c r="C541" s="5"/>
      <c r="R541" s="15"/>
    </row>
    <row r="542" spans="3:18">
      <c r="C542" s="5"/>
      <c r="R542" s="15"/>
    </row>
    <row r="543" spans="3:18">
      <c r="C543" s="5"/>
      <c r="R543" s="15"/>
    </row>
    <row r="544" spans="3:18">
      <c r="C544" s="5"/>
      <c r="R544" s="15"/>
    </row>
    <row r="545" spans="3:18">
      <c r="C545" s="5"/>
      <c r="R545" s="15"/>
    </row>
    <row r="546" spans="3:18">
      <c r="C546" s="5"/>
      <c r="R546" s="15"/>
    </row>
    <row r="547" spans="3:18">
      <c r="C547" s="5"/>
      <c r="R547" s="15"/>
    </row>
    <row r="548" spans="3:18">
      <c r="C548" s="5"/>
      <c r="R548" s="15"/>
    </row>
    <row r="549" spans="3:18">
      <c r="C549" s="5"/>
      <c r="R549" s="15"/>
    </row>
    <row r="550" spans="3:18">
      <c r="C550" s="5"/>
      <c r="R550" s="15"/>
    </row>
    <row r="551" spans="3:18">
      <c r="C551" s="5"/>
      <c r="R551" s="15"/>
    </row>
    <row r="552" spans="3:18">
      <c r="C552" s="5"/>
      <c r="R552" s="15"/>
    </row>
    <row r="553" spans="3:18">
      <c r="C553" s="5"/>
      <c r="R553" s="15"/>
    </row>
    <row r="554" spans="3:18">
      <c r="C554" s="5"/>
      <c r="R554" s="15"/>
    </row>
    <row r="555" spans="3:18">
      <c r="C555" s="5"/>
      <c r="R555" s="15"/>
    </row>
    <row r="556" spans="3:18">
      <c r="C556" s="5"/>
      <c r="R556" s="15"/>
    </row>
    <row r="557" spans="3:18">
      <c r="C557" s="5"/>
      <c r="R557" s="15"/>
    </row>
    <row r="558" spans="3:18">
      <c r="C558" s="5"/>
      <c r="R558" s="15"/>
    </row>
    <row r="559" spans="3:18">
      <c r="C559" s="5"/>
      <c r="R559" s="15"/>
    </row>
    <row r="560" spans="3:18">
      <c r="C560" s="5"/>
      <c r="R560" s="15"/>
    </row>
    <row r="561" spans="3:18">
      <c r="C561" s="5"/>
      <c r="R561" s="15"/>
    </row>
    <row r="562" spans="3:18">
      <c r="C562" s="5"/>
      <c r="R562" s="15"/>
    </row>
    <row r="563" spans="3:18">
      <c r="C563" s="5"/>
      <c r="R563" s="15"/>
    </row>
    <row r="564" spans="3:18">
      <c r="C564" s="5"/>
      <c r="R564" s="15"/>
    </row>
    <row r="565" spans="3:18">
      <c r="C565" s="5"/>
      <c r="R565" s="15"/>
    </row>
    <row r="566" spans="3:18">
      <c r="C566" s="5"/>
      <c r="R566" s="15"/>
    </row>
    <row r="567" spans="3:18">
      <c r="C567" s="5"/>
      <c r="R567" s="15"/>
    </row>
    <row r="568" spans="3:18">
      <c r="C568" s="5"/>
      <c r="R568" s="15"/>
    </row>
    <row r="569" spans="3:18">
      <c r="C569" s="5"/>
      <c r="R569" s="15"/>
    </row>
    <row r="570" spans="3:18">
      <c r="C570" s="5"/>
      <c r="R570" s="15"/>
    </row>
    <row r="571" spans="3:18">
      <c r="C571" s="5"/>
      <c r="R571" s="15"/>
    </row>
    <row r="572" spans="3:18">
      <c r="C572" s="5"/>
      <c r="R572" s="15"/>
    </row>
    <row r="573" spans="3:18">
      <c r="C573" s="5"/>
      <c r="R573" s="15"/>
    </row>
    <row r="574" spans="3:18">
      <c r="C574" s="5"/>
      <c r="R574" s="15"/>
    </row>
    <row r="575" spans="3:18">
      <c r="C575" s="5"/>
      <c r="R575" s="15"/>
    </row>
    <row r="576" spans="3:18">
      <c r="C576" s="5"/>
      <c r="R576" s="15"/>
    </row>
    <row r="577" spans="3:18">
      <c r="C577" s="5"/>
      <c r="R577" s="15"/>
    </row>
    <row r="578" spans="3:18">
      <c r="C578" s="5"/>
      <c r="R578" s="15"/>
    </row>
    <row r="579" spans="3:18">
      <c r="C579" s="5"/>
      <c r="R579" s="15"/>
    </row>
    <row r="580" spans="3:18">
      <c r="C580" s="5"/>
      <c r="R580" s="15"/>
    </row>
    <row r="581" spans="3:18">
      <c r="C581" s="5"/>
      <c r="R581" s="15"/>
    </row>
    <row r="582" spans="3:18">
      <c r="C582" s="5"/>
      <c r="R582" s="15"/>
    </row>
    <row r="583" spans="3:18">
      <c r="C583" s="5"/>
      <c r="R583" s="15"/>
    </row>
    <row r="584" spans="3:18">
      <c r="C584" s="5"/>
      <c r="R584" s="15"/>
    </row>
    <row r="585" spans="3:18">
      <c r="C585" s="5"/>
      <c r="R585" s="15"/>
    </row>
    <row r="586" spans="3:18">
      <c r="C586" s="5"/>
      <c r="R586" s="15"/>
    </row>
    <row r="587" spans="3:18">
      <c r="C587" s="5"/>
      <c r="R587" s="15"/>
    </row>
    <row r="588" spans="3:18">
      <c r="C588" s="5"/>
      <c r="R588" s="15"/>
    </row>
    <row r="589" spans="3:18">
      <c r="C589" s="5"/>
      <c r="R589" s="15"/>
    </row>
    <row r="590" spans="3:18">
      <c r="C590" s="5"/>
      <c r="R590" s="15"/>
    </row>
    <row r="591" spans="3:18">
      <c r="C591" s="5"/>
      <c r="R591" s="15"/>
    </row>
    <row r="592" spans="3:18">
      <c r="C592" s="5"/>
      <c r="R592" s="15"/>
    </row>
    <row r="593" spans="3:18">
      <c r="C593" s="5"/>
      <c r="R593" s="15"/>
    </row>
    <row r="594" spans="3:18">
      <c r="C594" s="5"/>
      <c r="R594" s="15"/>
    </row>
    <row r="595" spans="3:18">
      <c r="C595" s="5"/>
      <c r="R595" s="15"/>
    </row>
    <row r="596" spans="3:18">
      <c r="C596" s="5"/>
      <c r="R596" s="15"/>
    </row>
    <row r="597" spans="3:18">
      <c r="C597" s="5"/>
      <c r="R597" s="15"/>
    </row>
    <row r="598" spans="3:18">
      <c r="C598" s="5"/>
      <c r="R598" s="15"/>
    </row>
    <row r="599" spans="3:18">
      <c r="C599" s="5"/>
      <c r="R599" s="15"/>
    </row>
    <row r="600" spans="3:18">
      <c r="C600" s="5"/>
      <c r="R600" s="15"/>
    </row>
    <row r="601" spans="3:18">
      <c r="C601" s="5"/>
      <c r="R601" s="15"/>
    </row>
    <row r="602" spans="3:18">
      <c r="C602" s="5"/>
      <c r="R602" s="15"/>
    </row>
    <row r="603" spans="3:18">
      <c r="C603" s="5"/>
      <c r="R603" s="15"/>
    </row>
    <row r="604" spans="3:18">
      <c r="C604" s="5"/>
      <c r="R604" s="15"/>
    </row>
    <row r="605" spans="3:18">
      <c r="C605" s="5"/>
      <c r="R605" s="15"/>
    </row>
    <row r="606" spans="3:18">
      <c r="C606" s="5"/>
      <c r="R606" s="15"/>
    </row>
    <row r="607" spans="3:18">
      <c r="C607" s="5"/>
      <c r="R607" s="15"/>
    </row>
    <row r="608" spans="3:18">
      <c r="C608" s="5"/>
      <c r="R608" s="15"/>
    </row>
    <row r="609" spans="3:18">
      <c r="C609" s="5"/>
      <c r="R609" s="15"/>
    </row>
    <row r="610" spans="3:18">
      <c r="C610" s="5"/>
      <c r="R610" s="15"/>
    </row>
    <row r="611" spans="3:18">
      <c r="C611" s="5"/>
      <c r="R611" s="15"/>
    </row>
    <row r="612" spans="3:18">
      <c r="C612" s="5"/>
      <c r="R612" s="15"/>
    </row>
    <row r="613" spans="3:18">
      <c r="C613" s="5"/>
      <c r="R613" s="15"/>
    </row>
    <row r="614" spans="3:18">
      <c r="C614" s="5"/>
      <c r="R614" s="15"/>
    </row>
    <row r="615" spans="3:18">
      <c r="C615" s="5"/>
      <c r="R615" s="15"/>
    </row>
    <row r="616" spans="3:18">
      <c r="C616" s="5"/>
      <c r="R616" s="15"/>
    </row>
    <row r="617" spans="3:18">
      <c r="C617" s="5"/>
      <c r="R617" s="15"/>
    </row>
    <row r="618" spans="3:18">
      <c r="C618" s="5"/>
      <c r="R618" s="15"/>
    </row>
    <row r="619" spans="3:18">
      <c r="C619" s="5"/>
      <c r="R619" s="15"/>
    </row>
    <row r="620" spans="3:18">
      <c r="C620" s="5"/>
      <c r="R620" s="15"/>
    </row>
    <row r="621" spans="3:18">
      <c r="C621" s="5"/>
      <c r="R621" s="15"/>
    </row>
    <row r="622" spans="3:18">
      <c r="C622" s="5"/>
      <c r="R622" s="15"/>
    </row>
    <row r="623" spans="3:18">
      <c r="C623" s="5"/>
      <c r="R623" s="15"/>
    </row>
    <row r="624" spans="3:18">
      <c r="C624" s="5"/>
      <c r="R624" s="15"/>
    </row>
    <row r="625" spans="3:18">
      <c r="C625" s="5"/>
      <c r="R625" s="15"/>
    </row>
    <row r="626" spans="3:18">
      <c r="C626" s="5"/>
      <c r="R626" s="15"/>
    </row>
    <row r="627" spans="3:18">
      <c r="C627" s="5"/>
      <c r="R627" s="15"/>
    </row>
    <row r="628" spans="3:18">
      <c r="C628" s="5"/>
      <c r="R628" s="15"/>
    </row>
    <row r="629" spans="3:18">
      <c r="C629" s="5"/>
      <c r="R629" s="15"/>
    </row>
    <row r="630" spans="3:18">
      <c r="C630" s="5"/>
      <c r="R630" s="15"/>
    </row>
    <row r="631" spans="3:18">
      <c r="C631" s="5"/>
      <c r="R631" s="15"/>
    </row>
    <row r="632" spans="3:18">
      <c r="C632" s="5"/>
      <c r="R632" s="15"/>
    </row>
    <row r="633" spans="3:18">
      <c r="C633" s="5"/>
      <c r="R633" s="15"/>
    </row>
    <row r="634" spans="3:18">
      <c r="C634" s="5"/>
      <c r="R634" s="15"/>
    </row>
    <row r="635" spans="3:18">
      <c r="C635" s="5"/>
      <c r="R635" s="15"/>
    </row>
    <row r="636" spans="3:18">
      <c r="C636" s="5"/>
      <c r="R636" s="15"/>
    </row>
    <row r="637" spans="3:18">
      <c r="C637" s="5"/>
      <c r="R637" s="15"/>
    </row>
    <row r="638" spans="3:18">
      <c r="C638" s="5"/>
      <c r="R638" s="15"/>
    </row>
    <row r="639" spans="3:18">
      <c r="C639" s="5"/>
      <c r="R639" s="15"/>
    </row>
    <row r="640" spans="3:18">
      <c r="C640" s="5"/>
      <c r="R640" s="15"/>
    </row>
    <row r="641" spans="3:18">
      <c r="C641" s="5"/>
      <c r="R641" s="15"/>
    </row>
    <row r="642" spans="3:18">
      <c r="C642" s="5"/>
      <c r="R642" s="15"/>
    </row>
    <row r="643" spans="3:18">
      <c r="C643" s="5"/>
      <c r="R643" s="15"/>
    </row>
    <row r="644" spans="3:18">
      <c r="C644" s="5"/>
      <c r="R644" s="15"/>
    </row>
    <row r="645" spans="3:18">
      <c r="C645" s="5"/>
      <c r="R645" s="15"/>
    </row>
    <row r="646" spans="3:18">
      <c r="C646" s="5"/>
      <c r="R646" s="15"/>
    </row>
    <row r="647" spans="3:18">
      <c r="C647" s="5"/>
      <c r="R647" s="15"/>
    </row>
    <row r="648" spans="3:18">
      <c r="C648" s="5"/>
      <c r="R648" s="15"/>
    </row>
    <row r="649" spans="3:18">
      <c r="C649" s="5"/>
      <c r="R649" s="15"/>
    </row>
    <row r="650" spans="3:18">
      <c r="C650" s="5"/>
      <c r="R650" s="15"/>
    </row>
    <row r="651" spans="3:18">
      <c r="C651" s="5"/>
      <c r="R651" s="15"/>
    </row>
    <row r="652" spans="3:18">
      <c r="C652" s="5"/>
      <c r="R652" s="15"/>
    </row>
    <row r="653" spans="3:18">
      <c r="C653" s="5"/>
      <c r="R653" s="15"/>
    </row>
    <row r="654" spans="3:18">
      <c r="C654" s="5"/>
      <c r="R654" s="15"/>
    </row>
    <row r="655" spans="3:18">
      <c r="C655" s="5"/>
      <c r="R655" s="15"/>
    </row>
    <row r="656" spans="3:18">
      <c r="C656" s="5"/>
      <c r="R656" s="15"/>
    </row>
    <row r="657" spans="3:18">
      <c r="C657" s="5"/>
      <c r="R657" s="15"/>
    </row>
    <row r="658" spans="3:18">
      <c r="C658" s="5"/>
      <c r="R658" s="15"/>
    </row>
    <row r="659" spans="3:18">
      <c r="C659" s="5"/>
      <c r="R659" s="15"/>
    </row>
    <row r="660" spans="3:18">
      <c r="C660" s="5"/>
      <c r="R660" s="15"/>
    </row>
    <row r="661" spans="3:18">
      <c r="C661" s="5"/>
      <c r="R661" s="15"/>
    </row>
    <row r="662" spans="3:18">
      <c r="C662" s="5"/>
      <c r="R662" s="15"/>
    </row>
    <row r="663" spans="3:18">
      <c r="C663" s="5"/>
      <c r="R663" s="15"/>
    </row>
    <row r="664" spans="3:18">
      <c r="C664" s="5"/>
      <c r="R664" s="15"/>
    </row>
    <row r="665" spans="3:18">
      <c r="C665" s="5"/>
      <c r="R665" s="15"/>
    </row>
    <row r="666" spans="3:18">
      <c r="C666" s="5"/>
      <c r="R666" s="15"/>
    </row>
    <row r="667" spans="3:18">
      <c r="C667" s="5"/>
      <c r="R667" s="15"/>
    </row>
    <row r="668" spans="3:18">
      <c r="C668" s="5"/>
      <c r="R668" s="15"/>
    </row>
    <row r="669" spans="3:18">
      <c r="C669" s="5"/>
      <c r="R669" s="15"/>
    </row>
    <row r="670" spans="3:18">
      <c r="C670" s="5"/>
      <c r="R670" s="15"/>
    </row>
    <row r="671" spans="3:18">
      <c r="C671" s="5"/>
      <c r="R671" s="15"/>
    </row>
    <row r="672" spans="3:18">
      <c r="C672" s="5"/>
      <c r="R672" s="15"/>
    </row>
    <row r="673" spans="3:18">
      <c r="C673" s="5"/>
      <c r="R673" s="15"/>
    </row>
    <row r="674" spans="3:18">
      <c r="C674" s="5"/>
      <c r="R674" s="15"/>
    </row>
    <row r="675" spans="3:18">
      <c r="C675" s="5"/>
      <c r="R675" s="15"/>
    </row>
    <row r="676" spans="3:18">
      <c r="C676" s="5"/>
      <c r="R676" s="15"/>
    </row>
    <row r="677" spans="3:18">
      <c r="C677" s="5"/>
      <c r="R677" s="15"/>
    </row>
    <row r="678" spans="3:18">
      <c r="C678" s="5"/>
      <c r="R678" s="15"/>
    </row>
    <row r="679" spans="3:18">
      <c r="C679" s="5"/>
      <c r="R679" s="15"/>
    </row>
    <row r="680" spans="3:18">
      <c r="C680" s="5"/>
      <c r="R680" s="15"/>
    </row>
    <row r="681" spans="3:18">
      <c r="C681" s="5"/>
      <c r="R681" s="15"/>
    </row>
    <row r="682" spans="3:18">
      <c r="C682" s="5"/>
      <c r="R682" s="15"/>
    </row>
    <row r="683" spans="3:18">
      <c r="C683" s="5"/>
      <c r="R683" s="15"/>
    </row>
    <row r="684" spans="3:18">
      <c r="C684" s="5"/>
      <c r="R684" s="15"/>
    </row>
    <row r="685" spans="3:18">
      <c r="C685" s="5"/>
      <c r="R685" s="15"/>
    </row>
    <row r="686" spans="3:18">
      <c r="C686" s="5"/>
      <c r="R686" s="15"/>
    </row>
    <row r="687" spans="3:18">
      <c r="C687" s="5"/>
      <c r="R687" s="15"/>
    </row>
    <row r="688" spans="3:18">
      <c r="C688" s="5"/>
      <c r="R688" s="15"/>
    </row>
    <row r="689" spans="3:18">
      <c r="C689" s="5"/>
      <c r="R689" s="15"/>
    </row>
    <row r="690" spans="3:18">
      <c r="C690" s="5"/>
      <c r="R690" s="15"/>
    </row>
    <row r="691" spans="3:18">
      <c r="C691" s="5"/>
      <c r="R691" s="15"/>
    </row>
    <row r="692" spans="3:18">
      <c r="C692" s="5"/>
      <c r="R692" s="15"/>
    </row>
    <row r="693" spans="3:18">
      <c r="C693" s="5"/>
      <c r="R693" s="15"/>
    </row>
    <row r="694" spans="3:18">
      <c r="C694" s="5"/>
      <c r="R694" s="15"/>
    </row>
    <row r="695" spans="3:18">
      <c r="C695" s="5"/>
      <c r="R695" s="15"/>
    </row>
    <row r="696" spans="3:18">
      <c r="C696" s="5"/>
      <c r="R696" s="15"/>
    </row>
    <row r="697" spans="3:18">
      <c r="C697" s="5"/>
      <c r="R697" s="15"/>
    </row>
    <row r="698" spans="3:18">
      <c r="C698" s="5"/>
      <c r="R698" s="15"/>
    </row>
    <row r="699" spans="3:18">
      <c r="C699" s="5"/>
      <c r="R699" s="15"/>
    </row>
    <row r="700" spans="3:18">
      <c r="C700" s="5"/>
      <c r="R700" s="15"/>
    </row>
    <row r="701" spans="3:18">
      <c r="C701" s="5"/>
      <c r="R701" s="15"/>
    </row>
    <row r="702" spans="3:18">
      <c r="C702" s="5"/>
      <c r="R702" s="15"/>
    </row>
    <row r="703" spans="3:18">
      <c r="C703" s="5"/>
      <c r="R703" s="15"/>
    </row>
    <row r="704" spans="3:18">
      <c r="C704" s="5"/>
      <c r="R704" s="15"/>
    </row>
    <row r="705" spans="3:18">
      <c r="C705" s="5"/>
      <c r="R705" s="15"/>
    </row>
    <row r="706" spans="3:18">
      <c r="C706" s="5"/>
      <c r="R706" s="15"/>
    </row>
    <row r="707" spans="3:18">
      <c r="C707" s="5"/>
      <c r="R707" s="15"/>
    </row>
    <row r="708" spans="3:18">
      <c r="C708" s="5"/>
      <c r="R708" s="15"/>
    </row>
    <row r="709" spans="3:18">
      <c r="C709" s="5"/>
      <c r="R709" s="15"/>
    </row>
    <row r="710" spans="3:18">
      <c r="C710" s="5"/>
      <c r="R710" s="15"/>
    </row>
    <row r="711" spans="3:18">
      <c r="C711" s="5"/>
      <c r="R711" s="15"/>
    </row>
    <row r="712" spans="3:18">
      <c r="C712" s="5"/>
      <c r="R712" s="15"/>
    </row>
    <row r="713" spans="3:18">
      <c r="C713" s="5"/>
      <c r="R713" s="15"/>
    </row>
    <row r="714" spans="3:18">
      <c r="C714" s="5"/>
      <c r="R714" s="15"/>
    </row>
    <row r="715" spans="3:18">
      <c r="C715" s="5"/>
      <c r="R715" s="15"/>
    </row>
    <row r="716" spans="3:18">
      <c r="C716" s="5"/>
      <c r="R716" s="15"/>
    </row>
    <row r="717" spans="3:18">
      <c r="C717" s="5"/>
      <c r="R717" s="15"/>
    </row>
    <row r="718" spans="3:18">
      <c r="C718" s="5"/>
      <c r="R718" s="15"/>
    </row>
    <row r="719" spans="3:18">
      <c r="C719" s="5"/>
      <c r="R719" s="15"/>
    </row>
    <row r="720" spans="3:18">
      <c r="C720" s="5"/>
      <c r="R720" s="15"/>
    </row>
    <row r="721" spans="3:18">
      <c r="C721" s="5"/>
      <c r="R721" s="15"/>
    </row>
    <row r="722" spans="3:18">
      <c r="C722" s="5"/>
      <c r="R722" s="15"/>
    </row>
    <row r="723" spans="3:18">
      <c r="C723" s="5"/>
      <c r="R723" s="15"/>
    </row>
    <row r="724" spans="3:18">
      <c r="C724" s="5"/>
      <c r="R724" s="15"/>
    </row>
    <row r="725" spans="3:18">
      <c r="C725" s="5"/>
      <c r="R725" s="15"/>
    </row>
    <row r="726" spans="3:18">
      <c r="C726" s="5"/>
      <c r="R726" s="15"/>
    </row>
    <row r="727" spans="3:18">
      <c r="C727" s="5"/>
      <c r="R727" s="15"/>
    </row>
    <row r="728" spans="3:18">
      <c r="C728" s="5"/>
      <c r="R728" s="15"/>
    </row>
    <row r="729" spans="3:18">
      <c r="C729" s="5"/>
      <c r="R729" s="15"/>
    </row>
    <row r="730" spans="3:18">
      <c r="C730" s="5"/>
      <c r="R730" s="15"/>
    </row>
    <row r="731" spans="3:18">
      <c r="C731" s="5"/>
      <c r="R731" s="15"/>
    </row>
    <row r="732" spans="3:18">
      <c r="C732" s="5"/>
      <c r="R732" s="15"/>
    </row>
    <row r="733" spans="3:18">
      <c r="C733" s="5"/>
      <c r="R733" s="15"/>
    </row>
    <row r="734" spans="3:18">
      <c r="C734" s="5"/>
      <c r="R734" s="15"/>
    </row>
    <row r="735" spans="3:18">
      <c r="C735" s="5"/>
      <c r="R735" s="15"/>
    </row>
    <row r="736" spans="3:18">
      <c r="C736" s="5"/>
      <c r="R736" s="15"/>
    </row>
    <row r="737" spans="3:18">
      <c r="C737" s="5"/>
      <c r="R737" s="15"/>
    </row>
    <row r="738" spans="3:18">
      <c r="C738" s="5"/>
      <c r="R738" s="15"/>
    </row>
    <row r="739" spans="3:18">
      <c r="C739" s="5"/>
      <c r="R739" s="15"/>
    </row>
    <row r="740" spans="3:18">
      <c r="C740" s="5"/>
      <c r="R740" s="15"/>
    </row>
    <row r="741" spans="3:18">
      <c r="C741" s="5"/>
      <c r="R741" s="15"/>
    </row>
    <row r="742" spans="3:18">
      <c r="C742" s="5"/>
      <c r="R742" s="15"/>
    </row>
    <row r="743" spans="3:18">
      <c r="C743" s="5"/>
      <c r="R743" s="15"/>
    </row>
    <row r="744" spans="3:18">
      <c r="C744" s="5"/>
      <c r="R744" s="15"/>
    </row>
    <row r="745" spans="3:18">
      <c r="C745" s="5"/>
      <c r="R745" s="15"/>
    </row>
    <row r="746" spans="3:18">
      <c r="C746" s="5"/>
      <c r="R746" s="15"/>
    </row>
    <row r="747" spans="3:18">
      <c r="C747" s="5"/>
      <c r="R747" s="15"/>
    </row>
    <row r="748" spans="3:18">
      <c r="C748" s="5"/>
      <c r="R748" s="15"/>
    </row>
    <row r="749" spans="3:18">
      <c r="C749" s="5"/>
      <c r="R749" s="15"/>
    </row>
    <row r="750" spans="3:18">
      <c r="C750" s="5"/>
      <c r="R750" s="15"/>
    </row>
    <row r="751" spans="3:18">
      <c r="C751" s="5"/>
      <c r="R751" s="15"/>
    </row>
    <row r="752" spans="3:18">
      <c r="C752" s="5"/>
      <c r="R752" s="15"/>
    </row>
    <row r="753" spans="3:18">
      <c r="C753" s="5"/>
      <c r="R753" s="15"/>
    </row>
    <row r="754" spans="3:18">
      <c r="C754" s="5"/>
      <c r="R754" s="15"/>
    </row>
    <row r="755" spans="3:18">
      <c r="C755" s="5"/>
      <c r="R755" s="15"/>
    </row>
    <row r="756" spans="3:18">
      <c r="C756" s="5"/>
      <c r="R756" s="15"/>
    </row>
    <row r="757" spans="3:18">
      <c r="C757" s="5"/>
      <c r="R757" s="15"/>
    </row>
    <row r="758" spans="3:18">
      <c r="C758" s="5"/>
      <c r="R758" s="15"/>
    </row>
    <row r="759" spans="3:18">
      <c r="C759" s="5"/>
      <c r="R759" s="15"/>
    </row>
    <row r="760" spans="3:18">
      <c r="C760" s="5"/>
      <c r="R760" s="15"/>
    </row>
    <row r="761" spans="3:18">
      <c r="C761" s="5"/>
      <c r="R761" s="15"/>
    </row>
    <row r="762" spans="3:18">
      <c r="C762" s="5"/>
      <c r="R762" s="15"/>
    </row>
    <row r="763" spans="3:18">
      <c r="C763" s="5"/>
      <c r="R763" s="15"/>
    </row>
    <row r="764" spans="3:18">
      <c r="C764" s="5"/>
      <c r="R764" s="15"/>
    </row>
    <row r="765" spans="3:18">
      <c r="C765" s="5"/>
      <c r="R765" s="15"/>
    </row>
    <row r="766" spans="3:18">
      <c r="C766" s="5"/>
      <c r="R766" s="15"/>
    </row>
    <row r="767" spans="3:18">
      <c r="C767" s="5"/>
      <c r="R767" s="15"/>
    </row>
    <row r="768" spans="3:18">
      <c r="C768" s="5"/>
      <c r="R768" s="15"/>
    </row>
    <row r="769" spans="3:18">
      <c r="C769" s="5"/>
      <c r="R769" s="15"/>
    </row>
    <row r="770" spans="3:18">
      <c r="C770" s="5"/>
      <c r="R770" s="15"/>
    </row>
    <row r="771" spans="3:18">
      <c r="C771" s="5"/>
      <c r="R771" s="15"/>
    </row>
    <row r="772" spans="3:18">
      <c r="C772" s="5"/>
      <c r="R772" s="15"/>
    </row>
    <row r="773" spans="3:18">
      <c r="C773" s="5"/>
      <c r="R773" s="15"/>
    </row>
    <row r="774" spans="3:18">
      <c r="C774" s="5"/>
      <c r="R774" s="15"/>
    </row>
    <row r="775" spans="3:18">
      <c r="C775" s="5"/>
      <c r="R775" s="15"/>
    </row>
    <row r="776" spans="3:18">
      <c r="C776" s="5"/>
      <c r="R776" s="15"/>
    </row>
    <row r="777" spans="3:18">
      <c r="C777" s="5"/>
      <c r="R777" s="15"/>
    </row>
    <row r="778" spans="3:18">
      <c r="C778" s="5"/>
      <c r="R778" s="15"/>
    </row>
    <row r="779" spans="3:18">
      <c r="C779" s="5"/>
      <c r="R779" s="15"/>
    </row>
    <row r="780" spans="3:18">
      <c r="C780" s="5"/>
      <c r="R780" s="15"/>
    </row>
    <row r="781" spans="3:18">
      <c r="C781" s="5"/>
      <c r="R781" s="15"/>
    </row>
    <row r="782" spans="3:18">
      <c r="C782" s="5"/>
      <c r="R782" s="15"/>
    </row>
    <row r="783" spans="3:18">
      <c r="C783" s="5"/>
      <c r="R783" s="15"/>
    </row>
    <row r="784" spans="3:18">
      <c r="C784" s="5"/>
      <c r="R784" s="15"/>
    </row>
    <row r="785" spans="3:18">
      <c r="C785" s="5"/>
      <c r="R785" s="15"/>
    </row>
    <row r="786" spans="3:18">
      <c r="C786" s="5"/>
      <c r="R786" s="15"/>
    </row>
    <row r="787" spans="3:18">
      <c r="C787" s="5"/>
      <c r="R787" s="15"/>
    </row>
    <row r="788" spans="3:18">
      <c r="C788" s="5"/>
      <c r="R788" s="15"/>
    </row>
    <row r="789" spans="3:18">
      <c r="C789" s="5"/>
      <c r="R789" s="15"/>
    </row>
    <row r="790" spans="3:18">
      <c r="C790" s="5"/>
      <c r="R790" s="15"/>
    </row>
    <row r="791" spans="3:18">
      <c r="C791" s="5"/>
      <c r="R791" s="15"/>
    </row>
    <row r="792" spans="3:18">
      <c r="C792" s="5"/>
      <c r="R792" s="15"/>
    </row>
    <row r="793" spans="3:18">
      <c r="C793" s="5"/>
      <c r="R793" s="15"/>
    </row>
    <row r="794" spans="3:18">
      <c r="C794" s="5"/>
      <c r="R794" s="15"/>
    </row>
    <row r="795" spans="3:18">
      <c r="C795" s="5"/>
      <c r="R795" s="15"/>
    </row>
    <row r="796" spans="3:18">
      <c r="C796" s="5"/>
      <c r="R796" s="15"/>
    </row>
    <row r="797" spans="3:18">
      <c r="C797" s="5"/>
      <c r="R797" s="15"/>
    </row>
    <row r="798" spans="3:18">
      <c r="C798" s="5"/>
      <c r="R798" s="15"/>
    </row>
    <row r="799" spans="3:18">
      <c r="C799" s="5"/>
      <c r="R799" s="15"/>
    </row>
    <row r="800" spans="3:18">
      <c r="C800" s="5"/>
      <c r="R800" s="15"/>
    </row>
    <row r="801" spans="3:18">
      <c r="C801" s="5"/>
      <c r="R801" s="15"/>
    </row>
    <row r="802" spans="3:18">
      <c r="C802" s="5"/>
      <c r="R802" s="15"/>
    </row>
    <row r="803" spans="3:18">
      <c r="C803" s="5"/>
      <c r="R803" s="15"/>
    </row>
    <row r="804" spans="3:18">
      <c r="C804" s="5"/>
      <c r="R804" s="15"/>
    </row>
    <row r="805" spans="3:18">
      <c r="C805" s="5"/>
      <c r="R805" s="15"/>
    </row>
    <row r="806" spans="3:18">
      <c r="C806" s="5"/>
      <c r="R806" s="15"/>
    </row>
    <row r="807" spans="3:18">
      <c r="C807" s="5"/>
      <c r="R807" s="15"/>
    </row>
    <row r="808" spans="3:18">
      <c r="C808" s="5"/>
      <c r="R808" s="15"/>
    </row>
    <row r="809" spans="3:18">
      <c r="C809" s="5"/>
      <c r="R809" s="15"/>
    </row>
    <row r="810" spans="3:18">
      <c r="C810" s="5"/>
      <c r="R810" s="15"/>
    </row>
    <row r="811" spans="3:18">
      <c r="C811" s="5"/>
      <c r="R811" s="15"/>
    </row>
    <row r="812" spans="3:18">
      <c r="C812" s="5"/>
      <c r="R812" s="15"/>
    </row>
    <row r="813" spans="3:18">
      <c r="C813" s="5"/>
      <c r="R813" s="15"/>
    </row>
    <row r="814" spans="3:18">
      <c r="C814" s="5"/>
      <c r="R814" s="15"/>
    </row>
    <row r="815" spans="3:18">
      <c r="C815" s="5"/>
      <c r="R815" s="15"/>
    </row>
    <row r="816" spans="3:18">
      <c r="C816" s="5"/>
      <c r="R816" s="15"/>
    </row>
    <row r="817" spans="3:18">
      <c r="C817" s="5"/>
      <c r="R817" s="15"/>
    </row>
    <row r="818" spans="3:18">
      <c r="C818" s="5"/>
      <c r="R818" s="15"/>
    </row>
    <row r="819" spans="3:18">
      <c r="C819" s="5"/>
      <c r="R819" s="15"/>
    </row>
    <row r="820" spans="3:18">
      <c r="C820" s="5"/>
      <c r="R820" s="15"/>
    </row>
    <row r="821" spans="3:18">
      <c r="C821" s="5"/>
      <c r="R821" s="15"/>
    </row>
    <row r="822" spans="3:18">
      <c r="C822" s="5"/>
      <c r="R822" s="15"/>
    </row>
    <row r="823" spans="3:18">
      <c r="C823" s="5"/>
      <c r="R823" s="15"/>
    </row>
    <row r="824" spans="3:18">
      <c r="C824" s="5"/>
      <c r="R824" s="15"/>
    </row>
    <row r="825" spans="3:18">
      <c r="C825" s="5"/>
      <c r="R825" s="15"/>
    </row>
    <row r="826" spans="3:18">
      <c r="C826" s="5"/>
      <c r="R826" s="15"/>
    </row>
    <row r="827" spans="3:18">
      <c r="C827" s="5"/>
      <c r="R827" s="15"/>
    </row>
    <row r="828" spans="3:18">
      <c r="C828" s="5"/>
      <c r="R828" s="15"/>
    </row>
    <row r="829" spans="3:18">
      <c r="C829" s="5"/>
      <c r="R829" s="15"/>
    </row>
    <row r="830" spans="3:18">
      <c r="C830" s="5"/>
      <c r="R830" s="15"/>
    </row>
    <row r="831" spans="3:18">
      <c r="C831" s="5"/>
      <c r="R831" s="15"/>
    </row>
    <row r="832" spans="3:18">
      <c r="C832" s="5"/>
      <c r="R832" s="15"/>
    </row>
    <row r="833" spans="3:18">
      <c r="C833" s="5"/>
      <c r="R833" s="15"/>
    </row>
    <row r="834" spans="3:18">
      <c r="C834" s="5"/>
      <c r="R834" s="15"/>
    </row>
    <row r="835" spans="3:18">
      <c r="C835" s="5"/>
      <c r="R835" s="15"/>
    </row>
    <row r="836" spans="3:18">
      <c r="C836" s="5"/>
      <c r="R836" s="15"/>
    </row>
    <row r="837" spans="3:18">
      <c r="C837" s="5"/>
      <c r="R837" s="15"/>
    </row>
    <row r="838" spans="3:18">
      <c r="C838" s="5"/>
      <c r="R838" s="15"/>
    </row>
    <row r="839" spans="3:18">
      <c r="C839" s="5"/>
      <c r="R839" s="15"/>
    </row>
    <row r="840" spans="3:18">
      <c r="C840" s="5"/>
      <c r="R840" s="15"/>
    </row>
    <row r="841" spans="3:18">
      <c r="C841" s="5"/>
      <c r="R841" s="15"/>
    </row>
    <row r="842" spans="3:18">
      <c r="C842" s="5"/>
      <c r="R842" s="15"/>
    </row>
    <row r="843" spans="3:18">
      <c r="C843" s="5"/>
      <c r="R843" s="15"/>
    </row>
    <row r="844" spans="3:18">
      <c r="C844" s="5"/>
      <c r="R844" s="15"/>
    </row>
    <row r="845" spans="3:18">
      <c r="C845" s="5"/>
      <c r="R845" s="15"/>
    </row>
    <row r="846" spans="3:18">
      <c r="C846" s="5"/>
      <c r="R846" s="15"/>
    </row>
    <row r="847" spans="3:18">
      <c r="C847" s="5"/>
      <c r="R847" s="15"/>
    </row>
    <row r="848" spans="3:18">
      <c r="C848" s="5"/>
      <c r="R848" s="15"/>
    </row>
    <row r="849" spans="3:18">
      <c r="C849" s="5"/>
      <c r="R849" s="15"/>
    </row>
    <row r="850" spans="3:18">
      <c r="C850" s="5"/>
      <c r="R850" s="15"/>
    </row>
    <row r="851" spans="3:18">
      <c r="C851" s="5"/>
      <c r="R851" s="15"/>
    </row>
    <row r="852" spans="3:18">
      <c r="C852" s="5"/>
      <c r="R852" s="15"/>
    </row>
    <row r="853" spans="3:18">
      <c r="C853" s="5"/>
      <c r="R853" s="15"/>
    </row>
    <row r="854" spans="3:18">
      <c r="C854" s="5"/>
      <c r="R854" s="15"/>
    </row>
    <row r="855" spans="3:18">
      <c r="C855" s="5"/>
      <c r="R855" s="15"/>
    </row>
    <row r="856" spans="3:18">
      <c r="C856" s="5"/>
      <c r="R856" s="15"/>
    </row>
    <row r="857" spans="3:18">
      <c r="C857" s="5"/>
      <c r="R857" s="15"/>
    </row>
    <row r="858" spans="3:18">
      <c r="C858" s="5"/>
      <c r="R858" s="15"/>
    </row>
    <row r="859" spans="3:18">
      <c r="C859" s="5"/>
      <c r="R859" s="15"/>
    </row>
    <row r="860" spans="3:18">
      <c r="C860" s="5"/>
      <c r="R860" s="15"/>
    </row>
    <row r="861" spans="3:18">
      <c r="C861" s="5"/>
      <c r="R861" s="15"/>
    </row>
    <row r="862" spans="3:18">
      <c r="C862" s="5"/>
      <c r="R862" s="15"/>
    </row>
    <row r="863" spans="3:18">
      <c r="C863" s="5"/>
      <c r="R863" s="15"/>
    </row>
    <row r="864" spans="3:18">
      <c r="C864" s="5"/>
      <c r="R864" s="15"/>
    </row>
    <row r="865" spans="3:18">
      <c r="C865" s="5"/>
      <c r="R865" s="15"/>
    </row>
    <row r="866" spans="3:18">
      <c r="C866" s="5"/>
      <c r="R866" s="15"/>
    </row>
    <row r="867" spans="3:18">
      <c r="C867" s="5"/>
      <c r="R867" s="15"/>
    </row>
    <row r="868" spans="3:18">
      <c r="C868" s="5"/>
      <c r="R868" s="15"/>
    </row>
    <row r="869" spans="3:18">
      <c r="C869" s="5"/>
      <c r="R869" s="15"/>
    </row>
    <row r="870" spans="3:18">
      <c r="C870" s="5"/>
      <c r="R870" s="15"/>
    </row>
    <row r="871" spans="3:18">
      <c r="C871" s="5"/>
      <c r="R871" s="15"/>
    </row>
    <row r="872" spans="3:18">
      <c r="C872" s="5"/>
      <c r="R872" s="15"/>
    </row>
    <row r="873" spans="3:18">
      <c r="C873" s="5"/>
      <c r="R873" s="15"/>
    </row>
    <row r="874" spans="3:18">
      <c r="C874" s="5"/>
      <c r="R874" s="15"/>
    </row>
    <row r="875" spans="3:18">
      <c r="C875" s="5"/>
      <c r="R875" s="15"/>
    </row>
    <row r="876" spans="3:18">
      <c r="C876" s="5"/>
      <c r="R876" s="15"/>
    </row>
    <row r="877" spans="3:18">
      <c r="C877" s="5"/>
      <c r="R877" s="15"/>
    </row>
    <row r="878" spans="3:18">
      <c r="C878" s="5"/>
      <c r="R878" s="15"/>
    </row>
    <row r="879" spans="3:18">
      <c r="C879" s="5"/>
      <c r="R879" s="15"/>
    </row>
    <row r="880" spans="3:18">
      <c r="C880" s="5"/>
      <c r="R880" s="15"/>
    </row>
    <row r="881" spans="3:18">
      <c r="C881" s="5"/>
      <c r="R881" s="15"/>
    </row>
    <row r="882" spans="3:18">
      <c r="C882" s="5"/>
      <c r="R882" s="15"/>
    </row>
    <row r="883" spans="3:18">
      <c r="C883" s="5"/>
      <c r="R883" s="15"/>
    </row>
    <row r="884" spans="3:18">
      <c r="C884" s="5"/>
      <c r="R884" s="15"/>
    </row>
    <row r="885" spans="3:18">
      <c r="C885" s="5"/>
      <c r="R885" s="15"/>
    </row>
    <row r="886" spans="3:18">
      <c r="C886" s="5"/>
      <c r="R886" s="15"/>
    </row>
    <row r="887" spans="3:18">
      <c r="C887" s="5"/>
      <c r="R887" s="15"/>
    </row>
    <row r="888" spans="3:18">
      <c r="C888" s="5"/>
      <c r="R888" s="15"/>
    </row>
    <row r="889" spans="3:18">
      <c r="C889" s="5"/>
      <c r="R889" s="15"/>
    </row>
    <row r="890" spans="3:18">
      <c r="C890" s="5"/>
      <c r="R890" s="15"/>
    </row>
    <row r="891" spans="3:18">
      <c r="C891" s="5"/>
      <c r="R891" s="15"/>
    </row>
    <row r="892" spans="3:18">
      <c r="C892" s="5"/>
      <c r="R892" s="15"/>
    </row>
    <row r="893" spans="3:18">
      <c r="C893" s="5"/>
      <c r="R893" s="15"/>
    </row>
    <row r="894" spans="3:18">
      <c r="C894" s="5"/>
      <c r="R894" s="15"/>
    </row>
    <row r="895" spans="3:18">
      <c r="C895" s="5"/>
      <c r="R895" s="15"/>
    </row>
    <row r="896" spans="3:18">
      <c r="C896" s="5"/>
      <c r="R896" s="15"/>
    </row>
    <row r="897" spans="3:18">
      <c r="C897" s="5"/>
      <c r="R897" s="15"/>
    </row>
    <row r="898" spans="3:18">
      <c r="C898" s="5"/>
      <c r="R898" s="15"/>
    </row>
    <row r="899" spans="3:18">
      <c r="C899" s="5"/>
      <c r="R899" s="15"/>
    </row>
    <row r="900" spans="3:18">
      <c r="C900" s="5"/>
      <c r="R900" s="15"/>
    </row>
    <row r="901" spans="3:18">
      <c r="C901" s="5"/>
      <c r="R901" s="15"/>
    </row>
    <row r="902" spans="3:18">
      <c r="C902" s="5"/>
      <c r="R902" s="15"/>
    </row>
    <row r="903" spans="3:18">
      <c r="C903" s="5"/>
      <c r="R903" s="15"/>
    </row>
    <row r="904" spans="3:18">
      <c r="C904" s="5"/>
      <c r="R904" s="15"/>
    </row>
    <row r="905" spans="3:18">
      <c r="C905" s="5"/>
      <c r="R905" s="15"/>
    </row>
    <row r="906" spans="3:18">
      <c r="C906" s="5"/>
      <c r="R906" s="15"/>
    </row>
    <row r="907" spans="3:18">
      <c r="C907" s="5"/>
      <c r="R907" s="15"/>
    </row>
    <row r="908" spans="3:18">
      <c r="C908" s="5"/>
      <c r="R908" s="15"/>
    </row>
    <row r="909" spans="3:18">
      <c r="C909" s="5"/>
      <c r="R909" s="15"/>
    </row>
    <row r="910" spans="3:18">
      <c r="C910" s="5"/>
      <c r="R910" s="15"/>
    </row>
    <row r="911" spans="3:18">
      <c r="C911" s="5"/>
      <c r="R911" s="15"/>
    </row>
    <row r="912" spans="3:18">
      <c r="C912" s="5"/>
      <c r="R912" s="15"/>
    </row>
    <row r="913" spans="3:18">
      <c r="C913" s="5"/>
      <c r="R913" s="15"/>
    </row>
    <row r="914" spans="3:18">
      <c r="C914" s="5"/>
      <c r="R914" s="15"/>
    </row>
    <row r="915" spans="3:18">
      <c r="C915" s="5"/>
      <c r="R915" s="15"/>
    </row>
    <row r="916" spans="3:18">
      <c r="C916" s="5"/>
      <c r="R916" s="15"/>
    </row>
    <row r="917" spans="3:18">
      <c r="C917" s="5"/>
      <c r="R917" s="15"/>
    </row>
    <row r="918" spans="3:18">
      <c r="C918" s="5"/>
      <c r="R918" s="15"/>
    </row>
    <row r="919" spans="3:18">
      <c r="C919" s="5"/>
      <c r="R919" s="15"/>
    </row>
    <row r="920" spans="3:18">
      <c r="C920" s="5"/>
      <c r="R920" s="15"/>
    </row>
    <row r="921" spans="3:18">
      <c r="C921" s="5"/>
      <c r="R921" s="15"/>
    </row>
    <row r="922" spans="3:18">
      <c r="C922" s="5"/>
      <c r="R922" s="15"/>
    </row>
    <row r="923" spans="3:18">
      <c r="C923" s="5"/>
      <c r="R923" s="15"/>
    </row>
    <row r="924" spans="3:18">
      <c r="C924" s="5"/>
      <c r="R924" s="15"/>
    </row>
    <row r="925" spans="3:18">
      <c r="C925" s="5"/>
      <c r="R925" s="15"/>
    </row>
    <row r="926" spans="3:18">
      <c r="C926" s="5"/>
      <c r="R926" s="15"/>
    </row>
    <row r="927" spans="3:18">
      <c r="C927" s="5"/>
      <c r="R927" s="15"/>
    </row>
    <row r="928" spans="3:18">
      <c r="C928" s="5"/>
      <c r="R928" s="15"/>
    </row>
    <row r="929" spans="3:18">
      <c r="C929" s="5"/>
      <c r="R929" s="15"/>
    </row>
    <row r="930" spans="3:18">
      <c r="C930" s="5"/>
      <c r="R930" s="15"/>
    </row>
    <row r="931" spans="3:18">
      <c r="C931" s="5"/>
      <c r="R931" s="15"/>
    </row>
    <row r="932" spans="3:18">
      <c r="C932" s="5"/>
      <c r="R932" s="15"/>
    </row>
    <row r="933" spans="3:18">
      <c r="C933" s="5"/>
      <c r="R933" s="15"/>
    </row>
    <row r="934" spans="3:18">
      <c r="C934" s="5"/>
      <c r="R934" s="15"/>
    </row>
    <row r="935" spans="3:18">
      <c r="C935" s="5"/>
      <c r="R935" s="15"/>
    </row>
    <row r="936" spans="3:18">
      <c r="C936" s="5"/>
      <c r="R936" s="15"/>
    </row>
    <row r="937" spans="3:18">
      <c r="C937" s="5"/>
      <c r="R937" s="15"/>
    </row>
    <row r="938" spans="3:18">
      <c r="C938" s="5"/>
      <c r="R938" s="15"/>
    </row>
    <row r="939" spans="3:18">
      <c r="C939" s="5"/>
      <c r="R939" s="15"/>
    </row>
    <row r="940" spans="3:18">
      <c r="C940" s="5"/>
      <c r="R940" s="15"/>
    </row>
    <row r="941" spans="3:18">
      <c r="C941" s="5"/>
      <c r="R941" s="15"/>
    </row>
    <row r="942" spans="3:18">
      <c r="C942" s="5"/>
      <c r="R942" s="15"/>
    </row>
    <row r="943" spans="3:18">
      <c r="C943" s="5"/>
      <c r="R943" s="15"/>
    </row>
    <row r="944" spans="3:18">
      <c r="C944" s="5"/>
      <c r="R944" s="15"/>
    </row>
    <row r="945" spans="3:18">
      <c r="C945" s="5"/>
      <c r="R945" s="15"/>
    </row>
    <row r="946" spans="3:18">
      <c r="C946" s="5"/>
      <c r="R946" s="15"/>
    </row>
    <row r="947" spans="3:18">
      <c r="C947" s="5"/>
      <c r="R947" s="15"/>
    </row>
    <row r="948" spans="3:18">
      <c r="C948" s="5"/>
      <c r="R948" s="15"/>
    </row>
    <row r="949" spans="3:18">
      <c r="C949" s="5"/>
      <c r="R949" s="15"/>
    </row>
    <row r="950" spans="3:18">
      <c r="C950" s="5"/>
      <c r="R950" s="15"/>
    </row>
    <row r="951" spans="3:18">
      <c r="C951" s="5"/>
      <c r="R951" s="15"/>
    </row>
    <row r="952" spans="3:18">
      <c r="C952" s="5"/>
      <c r="R952" s="15"/>
    </row>
    <row r="953" spans="3:18">
      <c r="C953" s="5"/>
      <c r="R953" s="15"/>
    </row>
    <row r="954" spans="3:18">
      <c r="C954" s="5"/>
      <c r="R954" s="15"/>
    </row>
    <row r="955" spans="3:18">
      <c r="C955" s="5"/>
      <c r="R955" s="15"/>
    </row>
    <row r="956" spans="3:18">
      <c r="C956" s="5"/>
      <c r="R956" s="15"/>
    </row>
    <row r="957" spans="3:18">
      <c r="C957" s="5"/>
      <c r="R957" s="15"/>
    </row>
    <row r="958" spans="3:18">
      <c r="C958" s="5"/>
      <c r="R958" s="15"/>
    </row>
    <row r="959" spans="3:18">
      <c r="C959" s="5"/>
      <c r="R959" s="15"/>
    </row>
    <row r="960" spans="3:18">
      <c r="C960" s="5"/>
      <c r="R960" s="15"/>
    </row>
    <row r="961" spans="3:18">
      <c r="C961" s="5"/>
      <c r="R961" s="15"/>
    </row>
    <row r="962" spans="3:18">
      <c r="C962" s="5"/>
      <c r="R962" s="15"/>
    </row>
    <row r="963" spans="3:18">
      <c r="C963" s="5"/>
      <c r="R963" s="15"/>
    </row>
    <row r="964" spans="3:18">
      <c r="C964" s="5"/>
      <c r="R964" s="15"/>
    </row>
    <row r="965" spans="3:18">
      <c r="C965" s="5"/>
      <c r="R965" s="15"/>
    </row>
    <row r="966" spans="3:18">
      <c r="C966" s="5"/>
      <c r="R966" s="15"/>
    </row>
    <row r="967" spans="3:18">
      <c r="C967" s="5"/>
      <c r="R967" s="15"/>
    </row>
    <row r="968" spans="3:18">
      <c r="C968" s="5"/>
      <c r="R968" s="15"/>
    </row>
    <row r="969" spans="3:18">
      <c r="C969" s="5"/>
      <c r="R969" s="15"/>
    </row>
    <row r="970" spans="3:18">
      <c r="C970" s="5"/>
      <c r="R970" s="15"/>
    </row>
    <row r="971" spans="3:18">
      <c r="C971" s="5"/>
      <c r="R971" s="15"/>
    </row>
    <row r="972" spans="3:18">
      <c r="C972" s="5"/>
      <c r="R972" s="15"/>
    </row>
    <row r="973" spans="3:18">
      <c r="C973" s="5"/>
      <c r="R973" s="15"/>
    </row>
    <row r="974" spans="3:18">
      <c r="C974" s="5"/>
      <c r="R974" s="15"/>
    </row>
    <row r="975" spans="3:18">
      <c r="C975" s="5"/>
      <c r="R975" s="15"/>
    </row>
    <row r="976" spans="3:18">
      <c r="C976" s="5"/>
      <c r="R976" s="15"/>
    </row>
    <row r="977" spans="3:18">
      <c r="C977" s="5"/>
      <c r="R977" s="15"/>
    </row>
    <row r="978" spans="3:18">
      <c r="C978" s="5"/>
      <c r="R978" s="15"/>
    </row>
    <row r="979" spans="3:18">
      <c r="C979" s="5"/>
      <c r="R979" s="15"/>
    </row>
    <row r="980" spans="3:18">
      <c r="C980" s="5"/>
      <c r="R980" s="15"/>
    </row>
    <row r="981" spans="3:18">
      <c r="C981" s="5"/>
      <c r="R981" s="15"/>
    </row>
    <row r="982" spans="3:18">
      <c r="C982" s="5"/>
      <c r="R982" s="15"/>
    </row>
    <row r="983" spans="3:18">
      <c r="C983" s="5"/>
      <c r="R983" s="15"/>
    </row>
    <row r="984" spans="3:18">
      <c r="C984" s="5"/>
      <c r="R984" s="15"/>
    </row>
    <row r="985" spans="3:18">
      <c r="C985" s="5"/>
      <c r="R985" s="15"/>
    </row>
    <row r="986" spans="3:18">
      <c r="C986" s="5"/>
      <c r="R986" s="15"/>
    </row>
    <row r="987" spans="3:18">
      <c r="C987" s="5"/>
      <c r="R987" s="15"/>
    </row>
    <row r="988" spans="3:18">
      <c r="C988" s="5"/>
      <c r="R988" s="15"/>
    </row>
    <row r="989" spans="3:18">
      <c r="C989" s="5"/>
      <c r="R989" s="15"/>
    </row>
    <row r="990" spans="3:18">
      <c r="C990" s="5"/>
      <c r="R990" s="15"/>
    </row>
    <row r="991" spans="3:18">
      <c r="C991" s="5"/>
      <c r="R991" s="15"/>
    </row>
    <row r="992" spans="3:18">
      <c r="C992" s="5"/>
      <c r="R992" s="15"/>
    </row>
    <row r="993" spans="3:18">
      <c r="C993" s="5"/>
      <c r="R993" s="15"/>
    </row>
    <row r="994" spans="3:18">
      <c r="C994" s="5"/>
      <c r="R994" s="15"/>
    </row>
    <row r="995" spans="3:18">
      <c r="C995" s="5"/>
      <c r="R995" s="15"/>
    </row>
    <row r="996" spans="3:18">
      <c r="C996" s="5"/>
      <c r="R996" s="15"/>
    </row>
    <row r="997" spans="3:18">
      <c r="C997" s="5"/>
      <c r="R997" s="15"/>
    </row>
    <row r="998" spans="3:18">
      <c r="C998" s="5"/>
      <c r="R998" s="15"/>
    </row>
    <row r="999" spans="3:18">
      <c r="C999" s="5"/>
      <c r="R999" s="15"/>
    </row>
    <row r="1000" spans="3:18">
      <c r="C1000" s="5"/>
      <c r="R1000" s="15"/>
    </row>
    <row r="1001" spans="3:18">
      <c r="C1001" s="5"/>
      <c r="R1001" s="15"/>
    </row>
    <row r="1002" spans="3:18">
      <c r="C1002" s="5"/>
      <c r="R1002" s="15"/>
    </row>
    <row r="1003" spans="3:18">
      <c r="C1003" s="5"/>
      <c r="R1003" s="15"/>
    </row>
    <row r="1004" spans="3:18">
      <c r="C1004" s="5"/>
      <c r="R1004" s="15"/>
    </row>
    <row r="1005" spans="3:18">
      <c r="C1005" s="5"/>
      <c r="R1005" s="15"/>
    </row>
    <row r="1006" spans="3:18">
      <c r="C1006" s="5"/>
      <c r="R1006" s="15"/>
    </row>
    <row r="1007" spans="3:18">
      <c r="C1007" s="5"/>
      <c r="R1007" s="15"/>
    </row>
    <row r="1008" spans="3:18">
      <c r="C1008" s="5"/>
      <c r="R1008" s="15"/>
    </row>
    <row r="1009" spans="3:18">
      <c r="C1009" s="5"/>
      <c r="R1009" s="15"/>
    </row>
    <row r="1010" spans="3:18">
      <c r="C1010" s="5"/>
      <c r="R1010" s="15"/>
    </row>
    <row r="1011" spans="3:18">
      <c r="C1011" s="5"/>
      <c r="R1011" s="15"/>
    </row>
    <row r="1012" spans="3:18">
      <c r="C1012" s="5"/>
      <c r="R1012" s="15"/>
    </row>
    <row r="1013" spans="3:18">
      <c r="C1013" s="5"/>
      <c r="R1013" s="15"/>
    </row>
    <row r="1014" spans="3:18">
      <c r="C1014" s="5"/>
      <c r="R1014" s="15"/>
    </row>
    <row r="1015" spans="3:18">
      <c r="C1015" s="5"/>
      <c r="R1015" s="15"/>
    </row>
    <row r="1016" spans="3:18">
      <c r="C1016" s="5"/>
      <c r="R1016" s="15"/>
    </row>
    <row r="1017" spans="3:18">
      <c r="C1017" s="5"/>
      <c r="R1017" s="15"/>
    </row>
    <row r="1018" spans="3:18">
      <c r="C1018" s="5"/>
      <c r="R1018" s="15"/>
    </row>
    <row r="1019" spans="3:18">
      <c r="C1019" s="5"/>
      <c r="R1019" s="15"/>
    </row>
    <row r="1020" spans="3:18">
      <c r="C1020" s="5"/>
      <c r="R1020" s="15"/>
    </row>
    <row r="1021" spans="3:18">
      <c r="C1021" s="5"/>
      <c r="R1021" s="15"/>
    </row>
    <row r="1022" spans="3:18">
      <c r="C1022" s="5"/>
      <c r="R1022" s="15"/>
    </row>
    <row r="1023" spans="3:18">
      <c r="C1023" s="5"/>
      <c r="R1023" s="15"/>
    </row>
    <row r="1024" spans="3:18">
      <c r="C1024" s="5"/>
      <c r="R1024" s="15"/>
    </row>
    <row r="1025" spans="3:18">
      <c r="C1025" s="5"/>
      <c r="R1025" s="15"/>
    </row>
    <row r="1026" spans="3:18">
      <c r="C1026" s="5"/>
      <c r="R1026" s="15"/>
    </row>
    <row r="1027" spans="3:18">
      <c r="C1027" s="5"/>
      <c r="R1027" s="15"/>
    </row>
    <row r="1028" spans="3:18">
      <c r="C1028" s="5"/>
      <c r="R1028" s="15"/>
    </row>
    <row r="1029" spans="3:18">
      <c r="C1029" s="5"/>
      <c r="R1029" s="15"/>
    </row>
    <row r="1030" spans="3:18">
      <c r="C1030" s="5"/>
      <c r="R1030" s="15"/>
    </row>
    <row r="1031" spans="3:18">
      <c r="C1031" s="5"/>
      <c r="R1031" s="15"/>
    </row>
    <row r="1032" spans="3:18">
      <c r="C1032" s="5"/>
      <c r="R1032" s="15"/>
    </row>
    <row r="1033" spans="3:18">
      <c r="C1033" s="5"/>
      <c r="R1033" s="15"/>
    </row>
    <row r="1034" spans="3:18">
      <c r="C1034" s="5"/>
      <c r="R1034" s="15"/>
    </row>
    <row r="1035" spans="3:18">
      <c r="C1035" s="5"/>
      <c r="R1035" s="15"/>
    </row>
    <row r="1036" spans="3:18">
      <c r="C1036" s="5"/>
      <c r="R1036" s="15"/>
    </row>
    <row r="1037" spans="3:18">
      <c r="C1037" s="5"/>
      <c r="R1037" s="15"/>
    </row>
    <row r="1038" spans="3:18">
      <c r="C1038" s="5"/>
      <c r="R1038" s="15"/>
    </row>
    <row r="1039" spans="3:18">
      <c r="C1039" s="5"/>
      <c r="R1039" s="15"/>
    </row>
    <row r="1040" spans="3:18">
      <c r="C1040" s="5"/>
      <c r="R1040" s="15"/>
    </row>
    <row r="1041" spans="3:18">
      <c r="C1041" s="5"/>
      <c r="R1041" s="15"/>
    </row>
    <row r="1042" spans="3:18">
      <c r="C1042" s="5"/>
      <c r="R1042" s="15"/>
    </row>
    <row r="1043" spans="3:18">
      <c r="C1043" s="5"/>
      <c r="R1043" s="15"/>
    </row>
    <row r="1044" spans="3:18">
      <c r="C1044" s="5"/>
      <c r="R1044" s="15"/>
    </row>
    <row r="1045" spans="3:18">
      <c r="C1045" s="5"/>
      <c r="R1045" s="15"/>
    </row>
    <row r="1046" spans="3:18">
      <c r="C1046" s="5"/>
      <c r="R1046" s="15"/>
    </row>
    <row r="1047" spans="3:18">
      <c r="C1047" s="5"/>
      <c r="R1047" s="15"/>
    </row>
    <row r="1048" spans="3:18">
      <c r="C1048" s="5"/>
      <c r="R1048" s="15"/>
    </row>
    <row r="1049" spans="3:18">
      <c r="C1049" s="5"/>
      <c r="R1049" s="15"/>
    </row>
    <row r="1050" spans="3:18">
      <c r="C1050" s="5"/>
      <c r="R1050" s="15"/>
    </row>
    <row r="1051" spans="3:18">
      <c r="C1051" s="5"/>
      <c r="R1051" s="15"/>
    </row>
    <row r="1052" spans="3:18">
      <c r="C1052" s="5"/>
      <c r="R1052" s="15"/>
    </row>
    <row r="1053" spans="3:18">
      <c r="C1053" s="5"/>
      <c r="R1053" s="15"/>
    </row>
    <row r="1054" spans="3:18">
      <c r="C1054" s="5"/>
      <c r="R1054" s="15"/>
    </row>
    <row r="1055" spans="3:18">
      <c r="C1055" s="5"/>
      <c r="R1055" s="15"/>
    </row>
    <row r="1056" spans="3:18">
      <c r="C1056" s="5"/>
      <c r="R1056" s="15"/>
    </row>
    <row r="1057" spans="3:18">
      <c r="C1057" s="5"/>
      <c r="R1057" s="15"/>
    </row>
    <row r="1058" spans="3:18">
      <c r="C1058" s="5"/>
      <c r="R1058" s="15"/>
    </row>
    <row r="1059" spans="3:18">
      <c r="C1059" s="5"/>
      <c r="R1059" s="15"/>
    </row>
    <row r="1060" spans="3:18">
      <c r="C1060" s="5"/>
      <c r="R1060" s="15"/>
    </row>
    <row r="1061" spans="3:18">
      <c r="C1061" s="5"/>
      <c r="R1061" s="15"/>
    </row>
    <row r="1062" spans="3:18">
      <c r="C1062" s="5"/>
      <c r="R1062" s="15"/>
    </row>
    <row r="1063" spans="3:18">
      <c r="C1063" s="5"/>
      <c r="R1063" s="15"/>
    </row>
    <row r="1064" spans="3:18">
      <c r="C1064" s="5"/>
      <c r="R1064" s="15"/>
    </row>
    <row r="1065" spans="3:18">
      <c r="C1065" s="5"/>
      <c r="R1065" s="15"/>
    </row>
    <row r="1066" spans="3:18">
      <c r="C1066" s="5"/>
      <c r="R1066" s="15"/>
    </row>
    <row r="1067" spans="3:18">
      <c r="C1067" s="5"/>
      <c r="R1067" s="15"/>
    </row>
    <row r="1068" spans="3:18">
      <c r="C1068" s="5"/>
      <c r="R1068" s="15"/>
    </row>
    <row r="1069" spans="3:18">
      <c r="C1069" s="5"/>
      <c r="R1069" s="15"/>
    </row>
    <row r="1070" spans="3:18">
      <c r="C1070" s="5"/>
      <c r="R1070" s="15"/>
    </row>
    <row r="1071" spans="3:18">
      <c r="C1071" s="5"/>
      <c r="R1071" s="15"/>
    </row>
    <row r="1072" spans="3:18">
      <c r="C1072" s="5"/>
      <c r="R1072" s="15"/>
    </row>
    <row r="1073" spans="3:18">
      <c r="C1073" s="5"/>
      <c r="R1073" s="15"/>
    </row>
    <row r="1074" spans="3:18">
      <c r="C1074" s="5"/>
      <c r="R1074" s="15"/>
    </row>
    <row r="1075" spans="3:18">
      <c r="C1075" s="5"/>
      <c r="R1075" s="15"/>
    </row>
    <row r="1076" spans="3:18">
      <c r="C1076" s="5"/>
      <c r="R1076" s="15"/>
    </row>
    <row r="1077" spans="3:18">
      <c r="C1077" s="5"/>
      <c r="R1077" s="15"/>
    </row>
    <row r="1078" spans="3:18">
      <c r="C1078" s="5"/>
      <c r="R1078" s="15"/>
    </row>
    <row r="1079" spans="3:18">
      <c r="C1079" s="5"/>
      <c r="R1079" s="15"/>
    </row>
    <row r="1080" spans="3:18">
      <c r="C1080" s="5"/>
      <c r="R1080" s="15"/>
    </row>
    <row r="1081" spans="3:18">
      <c r="C1081" s="5"/>
      <c r="R1081" s="15"/>
    </row>
    <row r="1082" spans="3:18">
      <c r="C1082" s="5"/>
      <c r="R1082" s="15"/>
    </row>
    <row r="1083" spans="3:18">
      <c r="C1083" s="5"/>
      <c r="R1083" s="15"/>
    </row>
    <row r="1084" spans="3:18">
      <c r="C1084" s="5"/>
      <c r="R1084" s="15"/>
    </row>
    <row r="1085" spans="3:18">
      <c r="C1085" s="5"/>
      <c r="R1085" s="15"/>
    </row>
    <row r="1086" spans="3:18">
      <c r="C1086" s="5"/>
      <c r="R1086" s="15"/>
    </row>
    <row r="1087" spans="3:18">
      <c r="C1087" s="5"/>
      <c r="R1087" s="15"/>
    </row>
    <row r="1088" spans="3:18">
      <c r="C1088" s="5"/>
      <c r="R1088" s="15"/>
    </row>
    <row r="1089" spans="3:18">
      <c r="C1089" s="5"/>
      <c r="R1089" s="15"/>
    </row>
    <row r="1090" spans="3:18">
      <c r="C1090" s="5"/>
      <c r="R1090" s="15"/>
    </row>
    <row r="1091" spans="3:18">
      <c r="C1091" s="5"/>
      <c r="R1091" s="15"/>
    </row>
    <row r="1092" spans="3:18">
      <c r="C1092" s="5"/>
      <c r="R1092" s="15"/>
    </row>
    <row r="1093" spans="3:18">
      <c r="C1093" s="5"/>
      <c r="R1093" s="15"/>
    </row>
    <row r="1094" spans="3:18">
      <c r="C1094" s="5"/>
      <c r="R1094" s="15"/>
    </row>
    <row r="1095" spans="3:18">
      <c r="C1095" s="5"/>
      <c r="R1095" s="15"/>
    </row>
    <row r="1096" spans="3:18">
      <c r="C1096" s="5"/>
      <c r="R1096" s="15"/>
    </row>
    <row r="1097" spans="3:18">
      <c r="C1097" s="5"/>
      <c r="R1097" s="15"/>
    </row>
    <row r="1098" spans="3:18">
      <c r="C1098" s="5"/>
      <c r="R1098" s="15"/>
    </row>
    <row r="1099" spans="3:18">
      <c r="C1099" s="5"/>
      <c r="R1099" s="15"/>
    </row>
    <row r="1100" spans="3:18">
      <c r="C1100" s="5"/>
      <c r="R1100" s="15"/>
    </row>
    <row r="1101" spans="3:18">
      <c r="C1101" s="5"/>
      <c r="R1101" s="15"/>
    </row>
    <row r="1102" spans="3:18">
      <c r="C1102" s="5"/>
      <c r="R1102" s="15"/>
    </row>
    <row r="1103" spans="3:18">
      <c r="C1103" s="5"/>
      <c r="R1103" s="15"/>
    </row>
    <row r="1104" spans="3:18">
      <c r="C1104" s="5"/>
      <c r="R1104" s="15"/>
    </row>
    <row r="1105" spans="3:18">
      <c r="C1105" s="5"/>
      <c r="R1105" s="15"/>
    </row>
    <row r="1106" spans="3:18">
      <c r="C1106" s="5"/>
      <c r="R1106" s="15"/>
    </row>
    <row r="1107" spans="3:18">
      <c r="C1107" s="5"/>
      <c r="R1107" s="15"/>
    </row>
    <row r="1108" spans="3:18">
      <c r="C1108" s="5"/>
      <c r="R1108" s="15"/>
    </row>
    <row r="1109" spans="3:18">
      <c r="C1109" s="5"/>
      <c r="R1109" s="15"/>
    </row>
    <row r="1110" spans="3:18">
      <c r="C1110" s="5"/>
      <c r="R1110" s="15"/>
    </row>
    <row r="1111" spans="3:18">
      <c r="C1111" s="5"/>
      <c r="R1111" s="15"/>
    </row>
    <row r="1112" spans="3:18">
      <c r="C1112" s="5"/>
      <c r="R1112" s="15"/>
    </row>
    <row r="1113" spans="3:18">
      <c r="C1113" s="5"/>
      <c r="R1113" s="15"/>
    </row>
    <row r="1114" spans="3:18">
      <c r="C1114" s="5"/>
      <c r="R1114" s="15"/>
    </row>
    <row r="1115" spans="3:18">
      <c r="C1115" s="5"/>
      <c r="R1115" s="15"/>
    </row>
    <row r="1116" spans="3:18">
      <c r="C1116" s="5"/>
      <c r="R1116" s="15"/>
    </row>
    <row r="1117" spans="3:18">
      <c r="C1117" s="5"/>
      <c r="R1117" s="15"/>
    </row>
    <row r="1118" spans="3:18">
      <c r="C1118" s="5"/>
      <c r="R1118" s="15"/>
    </row>
    <row r="1119" spans="3:18">
      <c r="C1119" s="5"/>
      <c r="R1119" s="15"/>
    </row>
    <row r="1120" spans="3:18">
      <c r="C1120" s="5"/>
      <c r="R1120" s="15"/>
    </row>
    <row r="1121" spans="3:18">
      <c r="C1121" s="5"/>
      <c r="R1121" s="15"/>
    </row>
    <row r="1122" spans="3:18">
      <c r="C1122" s="5"/>
      <c r="R1122" s="15"/>
    </row>
    <row r="1123" spans="3:18">
      <c r="C1123" s="5"/>
      <c r="R1123" s="15"/>
    </row>
    <row r="1124" spans="3:18">
      <c r="C1124" s="5"/>
      <c r="R1124" s="15"/>
    </row>
    <row r="1125" spans="3:18">
      <c r="C1125" s="5"/>
      <c r="R1125" s="15"/>
    </row>
    <row r="1126" spans="3:18">
      <c r="C1126" s="5"/>
      <c r="R1126" s="15"/>
    </row>
    <row r="1127" spans="3:18">
      <c r="C1127" s="5"/>
      <c r="R1127" s="15"/>
    </row>
    <row r="1128" spans="3:18">
      <c r="C1128" s="5"/>
      <c r="R1128" s="15"/>
    </row>
    <row r="1129" spans="3:18">
      <c r="C1129" s="5"/>
      <c r="R1129" s="15"/>
    </row>
    <row r="1130" spans="3:18">
      <c r="C1130" s="5"/>
      <c r="R1130" s="15"/>
    </row>
    <row r="1131" spans="3:18">
      <c r="C1131" s="5"/>
      <c r="R1131" s="15"/>
    </row>
    <row r="1132" spans="3:18">
      <c r="C1132" s="5"/>
      <c r="R1132" s="15"/>
    </row>
    <row r="1133" spans="3:18">
      <c r="C1133" s="5"/>
      <c r="R1133" s="15"/>
    </row>
    <row r="1134" spans="3:18">
      <c r="C1134" s="5"/>
      <c r="R1134" s="15"/>
    </row>
    <row r="1135" spans="3:18">
      <c r="C1135" s="5"/>
      <c r="R1135" s="15"/>
    </row>
    <row r="1136" spans="3:18">
      <c r="C1136" s="5"/>
      <c r="R1136" s="15"/>
    </row>
    <row r="1137" spans="3:18">
      <c r="C1137" s="5"/>
      <c r="R1137" s="15"/>
    </row>
    <row r="1138" spans="3:18">
      <c r="C1138" s="5"/>
      <c r="R1138" s="15"/>
    </row>
    <row r="1139" spans="3:18">
      <c r="C1139" s="5"/>
      <c r="R1139" s="15"/>
    </row>
    <row r="1140" spans="3:18">
      <c r="C1140" s="5"/>
      <c r="R1140" s="15"/>
    </row>
    <row r="1141" spans="3:18">
      <c r="C1141" s="5"/>
      <c r="R1141" s="15"/>
    </row>
    <row r="1142" spans="3:18">
      <c r="C1142" s="5"/>
      <c r="R1142" s="15"/>
    </row>
    <row r="1143" spans="3:18">
      <c r="C1143" s="5"/>
      <c r="R1143" s="15"/>
    </row>
    <row r="1144" spans="3:18">
      <c r="C1144" s="5"/>
      <c r="R1144" s="15"/>
    </row>
    <row r="1145" spans="3:18">
      <c r="C1145" s="5"/>
      <c r="R1145" s="15"/>
    </row>
    <row r="1146" spans="3:18">
      <c r="C1146" s="5"/>
      <c r="R1146" s="15"/>
    </row>
    <row r="1147" spans="3:18">
      <c r="C1147" s="5"/>
      <c r="R1147" s="15"/>
    </row>
    <row r="1148" spans="3:18">
      <c r="C1148" s="5"/>
      <c r="R1148" s="15"/>
    </row>
    <row r="1149" spans="3:18">
      <c r="C1149" s="5"/>
      <c r="R1149" s="15"/>
    </row>
    <row r="1150" spans="3:18">
      <c r="C1150" s="5"/>
      <c r="R1150" s="15"/>
    </row>
    <row r="1151" spans="3:18">
      <c r="C1151" s="5"/>
      <c r="R1151" s="15"/>
    </row>
    <row r="1152" spans="3:18">
      <c r="C1152" s="5"/>
      <c r="R1152" s="15"/>
    </row>
    <row r="1153" spans="3:18">
      <c r="C1153" s="5"/>
      <c r="R1153" s="15"/>
    </row>
    <row r="1154" spans="3:18">
      <c r="C1154" s="5"/>
      <c r="R1154" s="15"/>
    </row>
    <row r="1155" spans="3:18">
      <c r="C1155" s="5"/>
      <c r="R1155" s="15"/>
    </row>
    <row r="1156" spans="3:18">
      <c r="C1156" s="5"/>
      <c r="R1156" s="15"/>
    </row>
    <row r="1157" spans="3:18">
      <c r="C1157" s="5"/>
      <c r="R1157" s="15"/>
    </row>
    <row r="1158" spans="3:18">
      <c r="C1158" s="5"/>
      <c r="R1158" s="15"/>
    </row>
    <row r="1159" spans="3:18">
      <c r="C1159" s="5"/>
      <c r="R1159" s="15"/>
    </row>
    <row r="1160" spans="3:18">
      <c r="C1160" s="5"/>
      <c r="R1160" s="15"/>
    </row>
    <row r="1161" spans="3:18">
      <c r="C1161" s="5"/>
      <c r="R1161" s="15"/>
    </row>
    <row r="1162" spans="3:18">
      <c r="C1162" s="5"/>
      <c r="R1162" s="15"/>
    </row>
    <row r="1163" spans="3:18">
      <c r="C1163" s="5"/>
      <c r="R1163" s="15"/>
    </row>
    <row r="1164" spans="3:18">
      <c r="C1164" s="5"/>
      <c r="R1164" s="15"/>
    </row>
    <row r="1165" spans="3:18">
      <c r="C1165" s="5"/>
      <c r="R1165" s="15"/>
    </row>
    <row r="1166" spans="3:18">
      <c r="C1166" s="5"/>
      <c r="R1166" s="15"/>
    </row>
    <row r="1167" spans="3:18">
      <c r="C1167" s="5"/>
      <c r="R1167" s="15"/>
    </row>
    <row r="1168" spans="3:18">
      <c r="C1168" s="5"/>
      <c r="R1168" s="15"/>
    </row>
    <row r="1169" spans="3:18">
      <c r="C1169" s="5"/>
      <c r="R1169" s="15"/>
    </row>
    <row r="1170" spans="3:18">
      <c r="C1170" s="5"/>
      <c r="R1170" s="15"/>
    </row>
    <row r="1171" spans="3:18">
      <c r="C1171" s="5"/>
      <c r="R1171" s="15"/>
    </row>
    <row r="1172" spans="3:18">
      <c r="C1172" s="5"/>
      <c r="R1172" s="15"/>
    </row>
    <row r="1173" spans="3:18">
      <c r="C1173" s="5"/>
      <c r="R1173" s="15"/>
    </row>
    <row r="1174" spans="3:18">
      <c r="C1174" s="5"/>
      <c r="R1174" s="15"/>
    </row>
    <row r="1175" spans="3:18">
      <c r="C1175" s="5"/>
      <c r="R1175" s="15"/>
    </row>
    <row r="1176" spans="3:18">
      <c r="C1176" s="5"/>
      <c r="R1176" s="15"/>
    </row>
    <row r="1177" spans="3:18">
      <c r="C1177" s="5"/>
      <c r="R1177" s="15"/>
    </row>
    <row r="1178" spans="3:18">
      <c r="C1178" s="5"/>
      <c r="R1178" s="15"/>
    </row>
    <row r="1179" spans="3:18">
      <c r="C1179" s="5"/>
      <c r="R1179" s="15"/>
    </row>
    <row r="1180" spans="3:18">
      <c r="C1180" s="5"/>
      <c r="R1180" s="15"/>
    </row>
    <row r="1181" spans="3:18">
      <c r="C1181" s="5"/>
      <c r="R1181" s="15"/>
    </row>
    <row r="1182" spans="3:18">
      <c r="C1182" s="5"/>
      <c r="R1182" s="15"/>
    </row>
    <row r="1183" spans="3:18">
      <c r="C1183" s="5"/>
      <c r="R1183" s="15"/>
    </row>
    <row r="1184" spans="3:18">
      <c r="C1184" s="5"/>
      <c r="R1184" s="15"/>
    </row>
    <row r="1185" spans="3:18">
      <c r="C1185" s="5"/>
      <c r="R1185" s="15"/>
    </row>
    <row r="1186" spans="3:18">
      <c r="C1186" s="5"/>
      <c r="R1186" s="15"/>
    </row>
    <row r="1187" spans="3:18">
      <c r="C1187" s="5"/>
      <c r="R1187" s="15"/>
    </row>
    <row r="1188" spans="3:18">
      <c r="C1188" s="5"/>
      <c r="R1188" s="15"/>
    </row>
    <row r="1189" spans="3:18">
      <c r="C1189" s="5"/>
      <c r="R1189" s="15"/>
    </row>
    <row r="1190" spans="3:18">
      <c r="C1190" s="5"/>
      <c r="R1190" s="15"/>
    </row>
    <row r="1191" spans="3:18">
      <c r="C1191" s="5"/>
      <c r="R1191" s="15"/>
    </row>
    <row r="1192" spans="3:18">
      <c r="C1192" s="5"/>
      <c r="R1192" s="15"/>
    </row>
    <row r="1193" spans="3:18">
      <c r="C1193" s="5"/>
      <c r="R1193" s="15"/>
    </row>
    <row r="1194" spans="3:18">
      <c r="C1194" s="5"/>
      <c r="R1194" s="15"/>
    </row>
    <row r="1195" spans="3:18">
      <c r="C1195" s="5"/>
      <c r="R1195" s="15"/>
    </row>
    <row r="1196" spans="3:18">
      <c r="C1196" s="5"/>
      <c r="R1196" s="15"/>
    </row>
    <row r="1197" spans="3:18">
      <c r="C1197" s="5"/>
      <c r="R1197" s="15"/>
    </row>
    <row r="1198" spans="3:18">
      <c r="C1198" s="5"/>
      <c r="R1198" s="15"/>
    </row>
    <row r="1199" spans="3:18">
      <c r="C1199" s="5"/>
      <c r="R1199" s="15"/>
    </row>
    <row r="1200" spans="3:18">
      <c r="C1200" s="5"/>
      <c r="R1200" s="15"/>
    </row>
    <row r="1201" spans="3:18">
      <c r="C1201" s="5"/>
      <c r="R1201" s="15"/>
    </row>
    <row r="1202" spans="3:18">
      <c r="C1202" s="5"/>
      <c r="R1202" s="15"/>
    </row>
    <row r="1203" spans="3:18">
      <c r="C1203" s="5"/>
      <c r="R1203" s="15"/>
    </row>
    <row r="1204" spans="3:18">
      <c r="C1204" s="5"/>
      <c r="R1204" s="15"/>
    </row>
    <row r="1205" spans="3:18">
      <c r="C1205" s="5"/>
      <c r="R1205" s="15"/>
    </row>
    <row r="1206" spans="3:18">
      <c r="C1206" s="5"/>
      <c r="R1206" s="15"/>
    </row>
    <row r="1207" spans="3:18">
      <c r="C1207" s="5"/>
      <c r="R1207" s="15"/>
    </row>
    <row r="1208" spans="3:18">
      <c r="C1208" s="5"/>
      <c r="R1208" s="15"/>
    </row>
    <row r="1209" spans="3:18">
      <c r="C1209" s="5"/>
      <c r="R1209" s="15"/>
    </row>
    <row r="1210" spans="3:18">
      <c r="C1210" s="5"/>
      <c r="R1210" s="15"/>
    </row>
    <row r="1211" spans="3:18">
      <c r="C1211" s="5"/>
      <c r="R1211" s="15"/>
    </row>
    <row r="1212" spans="3:18">
      <c r="C1212" s="5"/>
      <c r="R1212" s="15"/>
    </row>
    <row r="1213" spans="3:18">
      <c r="C1213" s="5"/>
      <c r="R1213" s="15"/>
    </row>
    <row r="1214" spans="3:18">
      <c r="C1214" s="5"/>
      <c r="R1214" s="15"/>
    </row>
    <row r="1215" spans="3:18">
      <c r="C1215" s="5"/>
      <c r="R1215" s="15"/>
    </row>
    <row r="1216" spans="3:18">
      <c r="C1216" s="5"/>
      <c r="R1216" s="15"/>
    </row>
    <row r="1217" spans="3:18">
      <c r="C1217" s="5"/>
      <c r="R1217" s="15"/>
    </row>
    <row r="1218" spans="3:18">
      <c r="C1218" s="5"/>
      <c r="R1218" s="15"/>
    </row>
    <row r="1219" spans="3:18">
      <c r="C1219" s="5"/>
      <c r="R1219" s="15"/>
    </row>
    <row r="1220" spans="3:18">
      <c r="C1220" s="5"/>
      <c r="R1220" s="15"/>
    </row>
    <row r="1221" spans="3:18">
      <c r="C1221" s="5"/>
      <c r="R1221" s="15"/>
    </row>
    <row r="1222" spans="3:18">
      <c r="C1222" s="5"/>
      <c r="R1222" s="15"/>
    </row>
    <row r="1223" spans="3:18">
      <c r="C1223" s="5"/>
      <c r="R1223" s="15"/>
    </row>
    <row r="1224" spans="3:18">
      <c r="C1224" s="5"/>
      <c r="R1224" s="15"/>
    </row>
    <row r="1225" spans="3:18">
      <c r="C1225" s="5"/>
      <c r="R1225" s="15"/>
    </row>
    <row r="1226" spans="3:18">
      <c r="C1226" s="5"/>
      <c r="R1226" s="15"/>
    </row>
    <row r="1227" spans="3:18">
      <c r="C1227" s="5"/>
      <c r="R1227" s="15"/>
    </row>
    <row r="1228" spans="3:18">
      <c r="C1228" s="5"/>
      <c r="R1228" s="15"/>
    </row>
    <row r="1229" spans="3:18">
      <c r="C1229" s="5"/>
      <c r="R1229" s="15"/>
    </row>
    <row r="1230" spans="3:18">
      <c r="C1230" s="5"/>
      <c r="R1230" s="15"/>
    </row>
    <row r="1231" spans="3:18">
      <c r="C1231" s="5"/>
      <c r="R1231" s="15"/>
    </row>
    <row r="1232" spans="3:18">
      <c r="C1232" s="5"/>
      <c r="R1232" s="15"/>
    </row>
    <row r="1233" spans="3:18">
      <c r="C1233" s="5"/>
      <c r="R1233" s="15"/>
    </row>
    <row r="1234" spans="3:18">
      <c r="C1234" s="5"/>
      <c r="R1234" s="15"/>
    </row>
    <row r="1235" spans="3:18">
      <c r="C1235" s="5"/>
      <c r="R1235" s="15"/>
    </row>
    <row r="1236" spans="3:18">
      <c r="C1236" s="5"/>
      <c r="R1236" s="15"/>
    </row>
    <row r="1237" spans="3:18">
      <c r="C1237" s="5"/>
      <c r="R1237" s="15"/>
    </row>
    <row r="1238" spans="3:18">
      <c r="C1238" s="5"/>
      <c r="R1238" s="15"/>
    </row>
    <row r="1239" spans="3:18">
      <c r="C1239" s="5"/>
      <c r="R1239" s="15"/>
    </row>
    <row r="1240" spans="3:18">
      <c r="C1240" s="5"/>
      <c r="R1240" s="15"/>
    </row>
    <row r="1241" spans="3:18">
      <c r="C1241" s="5"/>
      <c r="R1241" s="15"/>
    </row>
    <row r="1242" spans="3:18">
      <c r="C1242" s="5"/>
      <c r="R1242" s="15"/>
    </row>
    <row r="1243" spans="3:18">
      <c r="C1243" s="5"/>
      <c r="R1243" s="15"/>
    </row>
    <row r="1244" spans="3:18">
      <c r="C1244" s="5"/>
      <c r="R1244" s="15"/>
    </row>
    <row r="1245" spans="3:18">
      <c r="C1245" s="5"/>
      <c r="R1245" s="15"/>
    </row>
    <row r="1246" spans="3:18">
      <c r="C1246" s="5"/>
      <c r="R1246" s="15"/>
    </row>
    <row r="1247" spans="3:18">
      <c r="C1247" s="5"/>
      <c r="R1247" s="15"/>
    </row>
    <row r="1248" spans="3:18">
      <c r="C1248" s="5"/>
      <c r="R1248" s="15"/>
    </row>
    <row r="1249" spans="3:18">
      <c r="C1249" s="5"/>
      <c r="R1249" s="15"/>
    </row>
    <row r="1250" spans="3:18">
      <c r="C1250" s="5"/>
      <c r="R1250" s="15"/>
    </row>
    <row r="1251" spans="3:18">
      <c r="C1251" s="5"/>
      <c r="R1251" s="15"/>
    </row>
    <row r="1252" spans="3:18">
      <c r="C1252" s="5"/>
      <c r="R1252" s="15"/>
    </row>
    <row r="1253" spans="3:18">
      <c r="C1253" s="5"/>
      <c r="R1253" s="15"/>
    </row>
    <row r="1254" spans="3:18">
      <c r="C1254" s="5"/>
      <c r="R1254" s="15"/>
    </row>
    <row r="1255" spans="3:18">
      <c r="C1255" s="5"/>
      <c r="R1255" s="15"/>
    </row>
    <row r="1256" spans="3:18">
      <c r="C1256" s="5"/>
      <c r="R1256" s="15"/>
    </row>
    <row r="1257" spans="3:18">
      <c r="C1257" s="5"/>
      <c r="R1257" s="15"/>
    </row>
    <row r="1258" spans="3:18">
      <c r="C1258" s="5"/>
      <c r="R1258" s="15"/>
    </row>
    <row r="1259" spans="3:18">
      <c r="C1259" s="5"/>
      <c r="R1259" s="15"/>
    </row>
    <row r="1260" spans="3:18">
      <c r="C1260" s="5"/>
      <c r="R1260" s="15"/>
    </row>
    <row r="1261" spans="3:18">
      <c r="C1261" s="5"/>
      <c r="R1261" s="15"/>
    </row>
    <row r="1262" spans="3:18">
      <c r="C1262" s="5"/>
      <c r="R1262" s="15"/>
    </row>
    <row r="1263" spans="3:18">
      <c r="C1263" s="5"/>
      <c r="R1263" s="15"/>
    </row>
    <row r="1264" spans="3:18">
      <c r="C1264" s="5"/>
      <c r="R1264" s="15"/>
    </row>
    <row r="1265" spans="3:18">
      <c r="C1265" s="5"/>
      <c r="R1265" s="15"/>
    </row>
    <row r="1266" spans="3:18">
      <c r="C1266" s="5"/>
      <c r="R1266" s="15"/>
    </row>
    <row r="1267" spans="3:18">
      <c r="C1267" s="5"/>
      <c r="R1267" s="15"/>
    </row>
    <row r="1268" spans="3:18">
      <c r="C1268" s="5"/>
      <c r="R1268" s="15"/>
    </row>
    <row r="1269" spans="3:18">
      <c r="C1269" s="5"/>
      <c r="R1269" s="15"/>
    </row>
    <row r="1270" spans="3:18">
      <c r="C1270" s="5"/>
      <c r="R1270" s="15"/>
    </row>
    <row r="1271" spans="3:18">
      <c r="C1271" s="5"/>
      <c r="R1271" s="15"/>
    </row>
    <row r="1272" spans="3:18">
      <c r="C1272" s="5"/>
      <c r="R1272" s="15"/>
    </row>
    <row r="1273" spans="3:18">
      <c r="C1273" s="5"/>
      <c r="R1273" s="15"/>
    </row>
    <row r="1274" spans="3:18">
      <c r="C1274" s="5"/>
      <c r="R1274" s="15"/>
    </row>
    <row r="1275" spans="3:18">
      <c r="C1275" s="5"/>
      <c r="R1275" s="15"/>
    </row>
    <row r="1276" spans="3:18">
      <c r="C1276" s="5"/>
      <c r="R1276" s="15"/>
    </row>
    <row r="1277" spans="3:18">
      <c r="C1277" s="5"/>
      <c r="R1277" s="15"/>
    </row>
    <row r="1278" spans="3:18">
      <c r="C1278" s="5"/>
      <c r="R1278" s="15"/>
    </row>
    <row r="1279" spans="3:18">
      <c r="C1279" s="5"/>
      <c r="R1279" s="15"/>
    </row>
    <row r="1280" spans="3:18">
      <c r="C1280" s="5"/>
      <c r="R1280" s="15"/>
    </row>
    <row r="1281" spans="3:18">
      <c r="C1281" s="5"/>
      <c r="R1281" s="15"/>
    </row>
    <row r="1282" spans="3:18">
      <c r="C1282" s="5"/>
      <c r="R1282" s="15"/>
    </row>
    <row r="1283" spans="3:18">
      <c r="C1283" s="5"/>
      <c r="R1283" s="15"/>
    </row>
    <row r="1284" spans="3:18">
      <c r="C1284" s="5"/>
      <c r="R1284" s="15"/>
    </row>
    <row r="1285" spans="3:18">
      <c r="C1285" s="5"/>
      <c r="R1285" s="15"/>
    </row>
    <row r="1286" spans="3:18">
      <c r="C1286" s="5"/>
      <c r="R1286" s="15"/>
    </row>
    <row r="1287" spans="3:18">
      <c r="C1287" s="5"/>
      <c r="R1287" s="15"/>
    </row>
    <row r="1288" spans="3:18">
      <c r="C1288" s="5"/>
      <c r="R1288" s="15"/>
    </row>
    <row r="1289" spans="3:18">
      <c r="C1289" s="5"/>
      <c r="R1289" s="15"/>
    </row>
    <row r="1290" spans="3:18">
      <c r="C1290" s="5"/>
      <c r="R1290" s="15"/>
    </row>
    <row r="1291" spans="3:18">
      <c r="C1291" s="5"/>
      <c r="R1291" s="15"/>
    </row>
    <row r="1292" spans="3:18">
      <c r="C1292" s="5"/>
      <c r="R1292" s="15"/>
    </row>
    <row r="1293" spans="3:18">
      <c r="C1293" s="5"/>
      <c r="R1293" s="15"/>
    </row>
    <row r="1294" spans="3:18">
      <c r="C1294" s="5"/>
      <c r="R1294" s="15"/>
    </row>
    <row r="1295" spans="3:18">
      <c r="C1295" s="5"/>
      <c r="R1295" s="15"/>
    </row>
    <row r="1296" spans="3:18">
      <c r="C1296" s="5"/>
      <c r="R1296" s="15"/>
    </row>
    <row r="1297" spans="3:18">
      <c r="C1297" s="5"/>
      <c r="R1297" s="15"/>
    </row>
    <row r="1298" spans="3:18">
      <c r="C1298" s="5"/>
      <c r="R1298" s="15"/>
    </row>
    <row r="1299" spans="3:18">
      <c r="C1299" s="5"/>
      <c r="R1299" s="15"/>
    </row>
    <row r="1300" spans="3:18">
      <c r="C1300" s="5"/>
      <c r="R1300" s="15"/>
    </row>
    <row r="1301" spans="3:18">
      <c r="C1301" s="5"/>
      <c r="R1301" s="15"/>
    </row>
    <row r="1302" spans="3:18">
      <c r="C1302" s="5"/>
      <c r="R1302" s="15"/>
    </row>
    <row r="1303" spans="3:18">
      <c r="C1303" s="5"/>
      <c r="R1303" s="15"/>
    </row>
    <row r="1304" spans="3:18">
      <c r="C1304" s="5"/>
      <c r="R1304" s="15"/>
    </row>
    <row r="1305" spans="3:18">
      <c r="C1305" s="5"/>
      <c r="R1305" s="15"/>
    </row>
    <row r="1306" spans="3:18">
      <c r="C1306" s="5"/>
      <c r="R1306" s="15"/>
    </row>
    <row r="1307" spans="3:18">
      <c r="C1307" s="5"/>
      <c r="R1307" s="15"/>
    </row>
    <row r="1308" spans="3:18">
      <c r="C1308" s="5"/>
      <c r="R1308" s="15"/>
    </row>
    <row r="1309" spans="3:18">
      <c r="C1309" s="5"/>
      <c r="R1309" s="15"/>
    </row>
    <row r="1310" spans="3:18">
      <c r="C1310" s="5"/>
      <c r="R1310" s="15"/>
    </row>
    <row r="1311" spans="3:18">
      <c r="C1311" s="5"/>
      <c r="R1311" s="15"/>
    </row>
    <row r="1312" spans="3:18">
      <c r="C1312" s="5"/>
      <c r="R1312" s="15"/>
    </row>
    <row r="1313" spans="3:18">
      <c r="C1313" s="5"/>
      <c r="R1313" s="15"/>
    </row>
    <row r="1314" spans="3:18">
      <c r="C1314" s="5"/>
      <c r="R1314" s="15"/>
    </row>
    <row r="1315" spans="3:18">
      <c r="C1315" s="5"/>
      <c r="R1315" s="15"/>
    </row>
    <row r="1316" spans="3:18">
      <c r="C1316" s="5"/>
      <c r="R1316" s="15"/>
    </row>
    <row r="1317" spans="3:18">
      <c r="C1317" s="5"/>
      <c r="R1317" s="15"/>
    </row>
    <row r="1318" spans="3:18">
      <c r="C1318" s="5"/>
      <c r="R1318" s="15"/>
    </row>
    <row r="1319" spans="3:18">
      <c r="C1319" s="5"/>
      <c r="R1319" s="15"/>
    </row>
    <row r="1320" spans="3:18">
      <c r="C1320" s="5"/>
      <c r="R1320" s="15"/>
    </row>
    <row r="1321" spans="3:18">
      <c r="C1321" s="5"/>
      <c r="R1321" s="15"/>
    </row>
    <row r="1322" spans="3:18">
      <c r="C1322" s="5"/>
      <c r="R1322" s="15"/>
    </row>
    <row r="1323" spans="3:18">
      <c r="C1323" s="5"/>
      <c r="R1323" s="15"/>
    </row>
    <row r="1324" spans="3:18">
      <c r="C1324" s="5"/>
      <c r="R1324" s="15"/>
    </row>
    <row r="1325" spans="3:18">
      <c r="C1325" s="5"/>
      <c r="R1325" s="15"/>
    </row>
    <row r="1326" spans="3:18">
      <c r="C1326" s="5"/>
      <c r="R1326" s="15"/>
    </row>
    <row r="1327" spans="3:18">
      <c r="C1327" s="5"/>
      <c r="R1327" s="15"/>
    </row>
    <row r="1328" spans="3:18">
      <c r="C1328" s="5"/>
      <c r="R1328" s="15"/>
    </row>
    <row r="1329" spans="3:18">
      <c r="C1329" s="5"/>
      <c r="R1329" s="15"/>
    </row>
    <row r="1330" spans="3:18">
      <c r="C1330" s="5"/>
      <c r="R1330" s="15"/>
    </row>
    <row r="1331" spans="3:18">
      <c r="C1331" s="5"/>
      <c r="R1331" s="15"/>
    </row>
    <row r="1332" spans="3:18">
      <c r="C1332" s="5"/>
      <c r="R1332" s="15"/>
    </row>
    <row r="1333" spans="3:18">
      <c r="C1333" s="5"/>
      <c r="R1333" s="15"/>
    </row>
    <row r="1334" spans="3:18">
      <c r="C1334" s="5"/>
      <c r="R1334" s="15"/>
    </row>
    <row r="1335" spans="3:18">
      <c r="C1335" s="5"/>
      <c r="R1335" s="15"/>
    </row>
    <row r="1336" spans="3:18">
      <c r="C1336" s="5"/>
      <c r="R1336" s="15"/>
    </row>
    <row r="1337" spans="3:18">
      <c r="C1337" s="5"/>
      <c r="R1337" s="15"/>
    </row>
    <row r="1338" spans="3:18">
      <c r="C1338" s="5"/>
      <c r="R1338" s="15"/>
    </row>
    <row r="1339" spans="3:18">
      <c r="C1339" s="5"/>
      <c r="R1339" s="15"/>
    </row>
    <row r="1340" spans="3:18">
      <c r="C1340" s="5"/>
      <c r="R1340" s="15"/>
    </row>
    <row r="1341" spans="3:18">
      <c r="C1341" s="5"/>
      <c r="R1341" s="15"/>
    </row>
    <row r="1342" spans="3:18">
      <c r="C1342" s="5"/>
      <c r="R1342" s="15"/>
    </row>
    <row r="1343" spans="3:18">
      <c r="C1343" s="5"/>
      <c r="R1343" s="15"/>
    </row>
    <row r="1344" spans="3:18">
      <c r="C1344" s="5"/>
      <c r="R1344" s="15"/>
    </row>
    <row r="1345" spans="3:18">
      <c r="C1345" s="5"/>
      <c r="R1345" s="15"/>
    </row>
    <row r="1346" spans="3:18">
      <c r="C1346" s="5"/>
      <c r="R1346" s="15"/>
    </row>
    <row r="1347" spans="3:18">
      <c r="C1347" s="5"/>
      <c r="R1347" s="15"/>
    </row>
    <row r="1348" spans="3:18">
      <c r="C1348" s="5"/>
      <c r="R1348" s="15"/>
    </row>
    <row r="1349" spans="3:18">
      <c r="C1349" s="5"/>
      <c r="R1349" s="15"/>
    </row>
    <row r="1350" spans="3:18">
      <c r="C1350" s="5"/>
      <c r="R1350" s="15"/>
    </row>
    <row r="1351" spans="3:18">
      <c r="C1351" s="5"/>
      <c r="R1351" s="15"/>
    </row>
    <row r="1352" spans="3:18">
      <c r="C1352" s="5"/>
      <c r="R1352" s="15"/>
    </row>
    <row r="1353" spans="3:18">
      <c r="C1353" s="5"/>
      <c r="R1353" s="15"/>
    </row>
    <row r="1354" spans="3:18">
      <c r="C1354" s="5"/>
      <c r="R1354" s="15"/>
    </row>
    <row r="1355" spans="3:18">
      <c r="C1355" s="5"/>
      <c r="R1355" s="15"/>
    </row>
    <row r="1356" spans="3:18">
      <c r="C1356" s="5"/>
      <c r="R1356" s="15"/>
    </row>
    <row r="1357" spans="3:18">
      <c r="C1357" s="5"/>
      <c r="R1357" s="15"/>
    </row>
    <row r="1358" spans="3:18">
      <c r="C1358" s="5"/>
      <c r="R1358" s="15"/>
    </row>
    <row r="1359" spans="3:18">
      <c r="C1359" s="5"/>
      <c r="R1359" s="15"/>
    </row>
    <row r="1360" spans="3:18">
      <c r="C1360" s="5"/>
      <c r="R1360" s="15"/>
    </row>
    <row r="1361" spans="3:18">
      <c r="C1361" s="5"/>
      <c r="R1361" s="15"/>
    </row>
    <row r="1362" spans="3:18">
      <c r="C1362" s="5"/>
      <c r="R1362" s="15"/>
    </row>
    <row r="1363" spans="3:18">
      <c r="C1363" s="5"/>
      <c r="R1363" s="15"/>
    </row>
    <row r="1364" spans="3:18">
      <c r="C1364" s="5"/>
      <c r="R1364" s="15"/>
    </row>
    <row r="1365" spans="3:18">
      <c r="C1365" s="5"/>
      <c r="R1365" s="15"/>
    </row>
    <row r="1366" spans="3:18">
      <c r="C1366" s="5"/>
      <c r="R1366" s="15"/>
    </row>
    <row r="1367" spans="3:18">
      <c r="C1367" s="5"/>
      <c r="R1367" s="15"/>
    </row>
    <row r="1368" spans="3:18">
      <c r="C1368" s="5"/>
      <c r="R1368" s="15"/>
    </row>
    <row r="1369" spans="3:18">
      <c r="C1369" s="5"/>
      <c r="R1369" s="15"/>
    </row>
    <row r="1370" spans="3:18">
      <c r="C1370" s="5"/>
      <c r="R1370" s="15"/>
    </row>
    <row r="1371" spans="3:18">
      <c r="C1371" s="5"/>
      <c r="R1371" s="15"/>
    </row>
    <row r="1372" spans="3:18">
      <c r="C1372" s="5"/>
      <c r="R1372" s="15"/>
    </row>
    <row r="1373" spans="3:18">
      <c r="C1373" s="5"/>
      <c r="R1373" s="15"/>
    </row>
    <row r="1374" spans="3:18">
      <c r="C1374" s="5"/>
      <c r="R1374" s="15"/>
    </row>
    <row r="1375" spans="3:18">
      <c r="C1375" s="5"/>
      <c r="R1375" s="15"/>
    </row>
    <row r="1376" spans="3:18">
      <c r="C1376" s="5"/>
      <c r="R1376" s="15"/>
    </row>
    <row r="1377" spans="3:18">
      <c r="C1377" s="5"/>
      <c r="R1377" s="15"/>
    </row>
    <row r="1378" spans="3:18">
      <c r="C1378" s="5"/>
      <c r="R1378" s="15"/>
    </row>
    <row r="1379" spans="3:18">
      <c r="C1379" s="5"/>
      <c r="R1379" s="15"/>
    </row>
    <row r="1380" spans="3:18">
      <c r="C1380" s="5"/>
      <c r="R1380" s="15"/>
    </row>
    <row r="1381" spans="3:18">
      <c r="C1381" s="5"/>
      <c r="R1381" s="15"/>
    </row>
    <row r="1382" spans="3:18">
      <c r="C1382" s="5"/>
      <c r="R1382" s="15"/>
    </row>
    <row r="1383" spans="3:18">
      <c r="C1383" s="5"/>
      <c r="R1383" s="15"/>
    </row>
    <row r="1384" spans="3:18">
      <c r="C1384" s="5"/>
      <c r="R1384" s="15"/>
    </row>
    <row r="1385" spans="3:18">
      <c r="C1385" s="5"/>
      <c r="R1385" s="15"/>
    </row>
    <row r="1386" spans="3:18">
      <c r="C1386" s="5"/>
      <c r="R1386" s="15"/>
    </row>
    <row r="1387" spans="3:18">
      <c r="C1387" s="5"/>
      <c r="R1387" s="15"/>
    </row>
    <row r="1388" spans="3:18">
      <c r="C1388" s="5"/>
      <c r="R1388" s="15"/>
    </row>
    <row r="1389" spans="3:18">
      <c r="C1389" s="5"/>
      <c r="R1389" s="15"/>
    </row>
    <row r="1390" spans="3:18">
      <c r="C1390" s="5"/>
      <c r="R1390" s="15"/>
    </row>
    <row r="1391" spans="3:18">
      <c r="C1391" s="5"/>
      <c r="R1391" s="15"/>
    </row>
    <row r="1392" spans="3:18">
      <c r="C1392" s="5"/>
      <c r="R1392" s="15"/>
    </row>
    <row r="1393" spans="3:18">
      <c r="C1393" s="5"/>
      <c r="R1393" s="15"/>
    </row>
    <row r="1394" spans="3:18">
      <c r="C1394" s="5"/>
      <c r="R1394" s="15"/>
    </row>
    <row r="1395" spans="3:18">
      <c r="C1395" s="5"/>
      <c r="R1395" s="15"/>
    </row>
    <row r="1396" spans="3:18">
      <c r="C1396" s="5"/>
      <c r="R1396" s="15"/>
    </row>
    <row r="1397" spans="3:18">
      <c r="C1397" s="5"/>
      <c r="R1397" s="15"/>
    </row>
    <row r="1398" spans="3:18">
      <c r="C1398" s="5"/>
      <c r="R1398" s="15"/>
    </row>
    <row r="1399" spans="3:18">
      <c r="C1399" s="5"/>
      <c r="R1399" s="15"/>
    </row>
    <row r="1400" spans="3:18">
      <c r="C1400" s="5"/>
      <c r="R1400" s="15"/>
    </row>
    <row r="1401" spans="3:18">
      <c r="C1401" s="5"/>
      <c r="R1401" s="15"/>
    </row>
    <row r="1402" spans="3:18">
      <c r="C1402" s="5"/>
      <c r="R1402" s="15"/>
    </row>
    <row r="1403" spans="3:18">
      <c r="C1403" s="5"/>
      <c r="R1403" s="15"/>
    </row>
    <row r="1404" spans="3:18">
      <c r="C1404" s="5"/>
      <c r="R1404" s="15"/>
    </row>
    <row r="1405" spans="3:18">
      <c r="C1405" s="5"/>
      <c r="R1405" s="15"/>
    </row>
    <row r="1406" spans="3:18">
      <c r="C1406" s="5"/>
      <c r="R1406" s="15"/>
    </row>
    <row r="1407" spans="3:18">
      <c r="C1407" s="5"/>
      <c r="R1407" s="15"/>
    </row>
    <row r="1408" spans="3:18">
      <c r="C1408" s="5"/>
      <c r="R1408" s="15"/>
    </row>
    <row r="1409" spans="3:18">
      <c r="C1409" s="5"/>
      <c r="R1409" s="15"/>
    </row>
    <row r="1410" spans="3:18">
      <c r="C1410" s="5"/>
      <c r="R1410" s="15"/>
    </row>
    <row r="1411" spans="3:18">
      <c r="C1411" s="5"/>
      <c r="R1411" s="15"/>
    </row>
    <row r="1412" spans="3:18">
      <c r="C1412" s="5"/>
      <c r="R1412" s="15"/>
    </row>
    <row r="1413" spans="3:18">
      <c r="C1413" s="5"/>
      <c r="R1413" s="15"/>
    </row>
    <row r="1414" spans="3:18">
      <c r="C1414" s="5"/>
      <c r="R1414" s="15"/>
    </row>
    <row r="1415" spans="3:18">
      <c r="C1415" s="5"/>
      <c r="R1415" s="15"/>
    </row>
    <row r="1416" spans="3:18">
      <c r="C1416" s="5"/>
      <c r="R1416" s="15"/>
    </row>
    <row r="1417" spans="3:18">
      <c r="C1417" s="5"/>
      <c r="R1417" s="15"/>
    </row>
    <row r="1418" spans="3:18">
      <c r="C1418" s="5"/>
      <c r="R1418" s="15"/>
    </row>
    <row r="1419" spans="3:18">
      <c r="C1419" s="5"/>
      <c r="R1419" s="15"/>
    </row>
    <row r="1420" spans="3:18">
      <c r="C1420" s="5"/>
      <c r="R1420" s="15"/>
    </row>
    <row r="1421" spans="3:18">
      <c r="C1421" s="5"/>
      <c r="R1421" s="15"/>
    </row>
    <row r="1422" spans="3:18">
      <c r="C1422" s="5"/>
      <c r="R1422" s="15"/>
    </row>
    <row r="1423" spans="3:18">
      <c r="C1423" s="5"/>
      <c r="R1423" s="15"/>
    </row>
    <row r="1424" spans="3:18">
      <c r="C1424" s="5"/>
      <c r="R1424" s="15"/>
    </row>
    <row r="1425" spans="3:18">
      <c r="C1425" s="5"/>
      <c r="R1425" s="15"/>
    </row>
    <row r="1426" spans="3:18">
      <c r="C1426" s="5"/>
      <c r="R1426" s="15"/>
    </row>
    <row r="1427" spans="3:18">
      <c r="C1427" s="5"/>
      <c r="R1427" s="15"/>
    </row>
    <row r="1428" spans="3:18">
      <c r="C1428" s="5"/>
      <c r="R1428" s="15"/>
    </row>
    <row r="1429" spans="3:18">
      <c r="C1429" s="5"/>
      <c r="R1429" s="15"/>
    </row>
    <row r="1430" spans="3:18">
      <c r="C1430" s="5"/>
      <c r="R1430" s="15"/>
    </row>
    <row r="1431" spans="3:18">
      <c r="C1431" s="5"/>
      <c r="R1431" s="15"/>
    </row>
    <row r="1432" spans="3:18">
      <c r="C1432" s="5"/>
      <c r="R1432" s="15"/>
    </row>
    <row r="1433" spans="3:18">
      <c r="C1433" s="5"/>
      <c r="R1433" s="15"/>
    </row>
    <row r="1434" spans="3:18">
      <c r="C1434" s="5"/>
      <c r="R1434" s="15"/>
    </row>
    <row r="1435" spans="3:18">
      <c r="C1435" s="5"/>
      <c r="R1435" s="15"/>
    </row>
    <row r="1436" spans="3:18">
      <c r="C1436" s="5"/>
      <c r="R1436" s="15"/>
    </row>
    <row r="1437" spans="3:18">
      <c r="C1437" s="5"/>
      <c r="R1437" s="15"/>
    </row>
    <row r="1438" spans="3:18">
      <c r="C1438" s="5"/>
      <c r="R1438" s="15"/>
    </row>
    <row r="1439" spans="3:18">
      <c r="C1439" s="5"/>
      <c r="R1439" s="15"/>
    </row>
    <row r="1440" spans="3:18">
      <c r="C1440" s="5"/>
      <c r="R1440" s="15"/>
    </row>
    <row r="1441" spans="3:18">
      <c r="C1441" s="5"/>
      <c r="R1441" s="15"/>
    </row>
    <row r="1442" spans="3:18">
      <c r="C1442" s="5"/>
      <c r="R1442" s="15"/>
    </row>
    <row r="1443" spans="3:18">
      <c r="C1443" s="5"/>
      <c r="R1443" s="15"/>
    </row>
    <row r="1444" spans="3:18">
      <c r="C1444" s="5"/>
      <c r="R1444" s="15"/>
    </row>
    <row r="1445" spans="3:18">
      <c r="C1445" s="5"/>
      <c r="R1445" s="15"/>
    </row>
    <row r="1446" spans="3:18">
      <c r="C1446" s="5"/>
      <c r="R1446" s="15"/>
    </row>
    <row r="1447" spans="3:18">
      <c r="C1447" s="5"/>
      <c r="R1447" s="15"/>
    </row>
    <row r="1448" spans="3:18">
      <c r="C1448" s="5"/>
      <c r="R1448" s="15"/>
    </row>
    <row r="1449" spans="3:18">
      <c r="C1449" s="5"/>
      <c r="R1449" s="15"/>
    </row>
    <row r="1450" spans="3:18">
      <c r="C1450" s="5"/>
      <c r="R1450" s="15"/>
    </row>
    <row r="1451" spans="3:18">
      <c r="C1451" s="5"/>
      <c r="R1451" s="15"/>
    </row>
    <row r="1452" spans="3:18">
      <c r="C1452" s="5"/>
      <c r="R1452" s="15"/>
    </row>
    <row r="1453" spans="3:18">
      <c r="C1453" s="5"/>
      <c r="R1453" s="15"/>
    </row>
    <row r="1454" spans="3:18">
      <c r="C1454" s="5"/>
      <c r="R1454" s="15"/>
    </row>
    <row r="1455" spans="3:18">
      <c r="C1455" s="5"/>
      <c r="R1455" s="15"/>
    </row>
    <row r="1456" spans="3:18">
      <c r="C1456" s="5"/>
      <c r="R1456" s="15"/>
    </row>
    <row r="1457" spans="3:18">
      <c r="C1457" s="5"/>
      <c r="R1457" s="15"/>
    </row>
    <row r="1458" spans="3:18">
      <c r="C1458" s="5"/>
      <c r="R1458" s="15"/>
    </row>
    <row r="1459" spans="3:18">
      <c r="C1459" s="5"/>
      <c r="R1459" s="15"/>
    </row>
    <row r="1460" spans="3:18">
      <c r="C1460" s="5"/>
      <c r="R1460" s="15"/>
    </row>
    <row r="1461" spans="3:18">
      <c r="C1461" s="5"/>
      <c r="R1461" s="15"/>
    </row>
    <row r="1462" spans="3:18">
      <c r="C1462" s="5"/>
      <c r="R1462" s="15"/>
    </row>
    <row r="1463" spans="3:18">
      <c r="C1463" s="5"/>
      <c r="R1463" s="15"/>
    </row>
    <row r="1464" spans="3:18">
      <c r="C1464" s="5"/>
      <c r="R1464" s="15"/>
    </row>
    <row r="1465" spans="3:18">
      <c r="C1465" s="5"/>
      <c r="R1465" s="15"/>
    </row>
    <row r="1466" spans="3:18">
      <c r="C1466" s="5"/>
      <c r="R1466" s="15"/>
    </row>
    <row r="1467" spans="3:18">
      <c r="C1467" s="5"/>
      <c r="R1467" s="15"/>
    </row>
    <row r="1468" spans="3:18">
      <c r="C1468" s="5"/>
      <c r="R1468" s="15"/>
    </row>
    <row r="1469" spans="3:18">
      <c r="C1469" s="5"/>
      <c r="R1469" s="15"/>
    </row>
    <row r="1470" spans="3:18">
      <c r="C1470" s="5"/>
      <c r="R1470" s="15"/>
    </row>
    <row r="1471" spans="3:18">
      <c r="C1471" s="5"/>
      <c r="R1471" s="15"/>
    </row>
    <row r="1472" spans="3:18">
      <c r="C1472" s="5"/>
      <c r="R1472" s="15"/>
    </row>
    <row r="1473" spans="3:18">
      <c r="C1473" s="5"/>
      <c r="R1473" s="15"/>
    </row>
    <row r="1474" spans="3:18">
      <c r="C1474" s="5"/>
      <c r="R1474" s="15"/>
    </row>
    <row r="1475" spans="3:18">
      <c r="C1475" s="5"/>
      <c r="R1475" s="15"/>
    </row>
    <row r="1476" spans="3:18">
      <c r="C1476" s="5"/>
      <c r="R1476" s="15"/>
    </row>
    <row r="1477" spans="3:18">
      <c r="C1477" s="5"/>
      <c r="R1477" s="15"/>
    </row>
    <row r="1478" spans="3:18">
      <c r="C1478" s="5"/>
      <c r="R1478" s="15"/>
    </row>
    <row r="1479" spans="3:18">
      <c r="C1479" s="5"/>
      <c r="R1479" s="15"/>
    </row>
    <row r="1480" spans="3:18">
      <c r="C1480" s="5"/>
      <c r="R1480" s="15"/>
    </row>
    <row r="1481" spans="3:18">
      <c r="C1481" s="5"/>
      <c r="R1481" s="15"/>
    </row>
    <row r="1482" spans="3:18">
      <c r="C1482" s="5"/>
      <c r="R1482" s="15"/>
    </row>
    <row r="1483" spans="3:18">
      <c r="C1483" s="5"/>
      <c r="R1483" s="15"/>
    </row>
    <row r="1484" spans="3:18">
      <c r="C1484" s="5"/>
      <c r="R1484" s="15"/>
    </row>
    <row r="1485" spans="3:18">
      <c r="C1485" s="5"/>
      <c r="R1485" s="15"/>
    </row>
    <row r="1486" spans="3:18">
      <c r="C1486" s="5"/>
      <c r="R1486" s="15"/>
    </row>
    <row r="1487" spans="3:18">
      <c r="C1487" s="5"/>
      <c r="R1487" s="15"/>
    </row>
    <row r="1488" spans="3:18">
      <c r="C1488" s="5"/>
      <c r="R1488" s="15"/>
    </row>
    <row r="1489" spans="3:18">
      <c r="C1489" s="5"/>
      <c r="R1489" s="15"/>
    </row>
    <row r="1490" spans="3:18">
      <c r="C1490" s="5"/>
      <c r="R1490" s="15"/>
    </row>
    <row r="1491" spans="3:18">
      <c r="C1491" s="5"/>
      <c r="R1491" s="15"/>
    </row>
    <row r="1492" spans="3:18">
      <c r="C1492" s="5"/>
      <c r="R1492" s="15"/>
    </row>
    <row r="1493" spans="3:18">
      <c r="C1493" s="5"/>
      <c r="R1493" s="15"/>
    </row>
    <row r="1494" spans="3:18">
      <c r="C1494" s="5"/>
      <c r="R1494" s="15"/>
    </row>
    <row r="1495" spans="3:18">
      <c r="C1495" s="5"/>
      <c r="R1495" s="15"/>
    </row>
    <row r="1496" spans="3:18">
      <c r="C1496" s="5"/>
      <c r="R1496" s="15"/>
    </row>
    <row r="1497" spans="3:18">
      <c r="C1497" s="5"/>
      <c r="R1497" s="15"/>
    </row>
    <row r="1498" spans="3:18">
      <c r="C1498" s="5"/>
      <c r="R1498" s="15"/>
    </row>
    <row r="1499" spans="3:18">
      <c r="C1499" s="5"/>
      <c r="R1499" s="15"/>
    </row>
    <row r="1500" spans="3:18">
      <c r="C1500" s="5"/>
      <c r="R1500" s="15"/>
    </row>
    <row r="1501" spans="3:18">
      <c r="C1501" s="5"/>
      <c r="R1501" s="15"/>
    </row>
    <row r="1502" spans="3:18">
      <c r="C1502" s="5"/>
      <c r="R1502" s="15"/>
    </row>
    <row r="1503" spans="3:18">
      <c r="C1503" s="5"/>
      <c r="R1503" s="15"/>
    </row>
    <row r="1504" spans="3:18">
      <c r="C1504" s="5"/>
      <c r="R1504" s="15"/>
    </row>
    <row r="1505" spans="3:18">
      <c r="C1505" s="5"/>
      <c r="R1505" s="15"/>
    </row>
    <row r="1506" spans="3:18">
      <c r="C1506" s="5"/>
      <c r="R1506" s="15"/>
    </row>
    <row r="1507" spans="3:18">
      <c r="C1507" s="5"/>
      <c r="R1507" s="15"/>
    </row>
    <row r="1508" spans="3:18">
      <c r="C1508" s="5"/>
      <c r="R1508" s="15"/>
    </row>
    <row r="1509" spans="3:18">
      <c r="C1509" s="5"/>
      <c r="R1509" s="15"/>
    </row>
    <row r="1510" spans="3:18">
      <c r="C1510" s="5"/>
      <c r="R1510" s="15"/>
    </row>
    <row r="1511" spans="3:18">
      <c r="C1511" s="5"/>
      <c r="R1511" s="15"/>
    </row>
    <row r="1512" spans="3:18">
      <c r="C1512" s="5"/>
      <c r="R1512" s="15"/>
    </row>
    <row r="1513" spans="3:18">
      <c r="C1513" s="5"/>
      <c r="R1513" s="15"/>
    </row>
    <row r="1514" spans="3:18">
      <c r="C1514" s="5"/>
      <c r="R1514" s="15"/>
    </row>
    <row r="1515" spans="3:18">
      <c r="C1515" s="5"/>
      <c r="R1515" s="15"/>
    </row>
    <row r="1516" spans="3:18">
      <c r="C1516" s="5"/>
      <c r="R1516" s="15"/>
    </row>
    <row r="1517" spans="3:18">
      <c r="C1517" s="5"/>
      <c r="R1517" s="15"/>
    </row>
    <row r="1518" spans="3:18">
      <c r="C1518" s="5"/>
      <c r="R1518" s="15"/>
    </row>
    <row r="1519" spans="3:18">
      <c r="C1519" s="5"/>
      <c r="R1519" s="15"/>
    </row>
    <row r="1520" spans="3:18">
      <c r="C1520" s="5"/>
      <c r="R1520" s="15"/>
    </row>
    <row r="1521" spans="3:18">
      <c r="C1521" s="5"/>
      <c r="R1521" s="15"/>
    </row>
    <row r="1522" spans="3:18">
      <c r="C1522" s="5"/>
      <c r="R1522" s="15"/>
    </row>
    <row r="1523" spans="3:18">
      <c r="C1523" s="5"/>
      <c r="R1523" s="15"/>
    </row>
    <row r="1524" spans="3:18">
      <c r="C1524" s="5"/>
      <c r="R1524" s="15"/>
    </row>
    <row r="1525" spans="3:18">
      <c r="C1525" s="5"/>
      <c r="R1525" s="15"/>
    </row>
    <row r="1526" spans="3:18">
      <c r="C1526" s="5"/>
      <c r="R1526" s="15"/>
    </row>
    <row r="1527" spans="3:18">
      <c r="C1527" s="5"/>
      <c r="R1527" s="15"/>
    </row>
    <row r="1528" spans="3:18">
      <c r="C1528" s="5"/>
      <c r="R1528" s="15"/>
    </row>
    <row r="1529" spans="3:18">
      <c r="C1529" s="5"/>
      <c r="R1529" s="15"/>
    </row>
    <row r="1530" spans="3:18">
      <c r="C1530" s="5"/>
      <c r="R1530" s="15"/>
    </row>
    <row r="1531" spans="3:18">
      <c r="C1531" s="5"/>
      <c r="R1531" s="15"/>
    </row>
    <row r="1532" spans="3:18">
      <c r="C1532" s="5"/>
      <c r="R1532" s="15"/>
    </row>
    <row r="1533" spans="3:18">
      <c r="C1533" s="5"/>
      <c r="R1533" s="15"/>
    </row>
    <row r="1534" spans="3:18">
      <c r="C1534" s="5"/>
      <c r="R1534" s="15"/>
    </row>
    <row r="1535" spans="3:18">
      <c r="C1535" s="5"/>
      <c r="R1535" s="15"/>
    </row>
    <row r="1536" spans="3:18">
      <c r="C1536" s="5"/>
      <c r="R1536" s="15"/>
    </row>
    <row r="1537" spans="3:18">
      <c r="C1537" s="5"/>
      <c r="R1537" s="15"/>
    </row>
    <row r="1538" spans="3:18">
      <c r="C1538" s="5"/>
      <c r="R1538" s="15"/>
    </row>
    <row r="1539" spans="3:18">
      <c r="C1539" s="5"/>
      <c r="R1539" s="15"/>
    </row>
    <row r="1540" spans="3:18">
      <c r="C1540" s="5"/>
      <c r="R1540" s="15"/>
    </row>
    <row r="1541" spans="3:18">
      <c r="C1541" s="5"/>
      <c r="R1541" s="15"/>
    </row>
    <row r="1542" spans="3:18">
      <c r="C1542" s="5"/>
      <c r="R1542" s="15"/>
    </row>
    <row r="1543" spans="3:18">
      <c r="C1543" s="5"/>
      <c r="R1543" s="15"/>
    </row>
    <row r="1544" spans="3:18">
      <c r="C1544" s="5"/>
      <c r="R1544" s="15"/>
    </row>
    <row r="1545" spans="3:18">
      <c r="C1545" s="5"/>
      <c r="R1545" s="15"/>
    </row>
    <row r="1546" spans="3:18">
      <c r="C1546" s="5"/>
      <c r="R1546" s="15"/>
    </row>
    <row r="1547" spans="3:18">
      <c r="C1547" s="5"/>
      <c r="R1547" s="15"/>
    </row>
    <row r="1548" spans="3:18">
      <c r="C1548" s="5"/>
      <c r="R1548" s="15"/>
    </row>
    <row r="1549" spans="3:18">
      <c r="C1549" s="5"/>
      <c r="R1549" s="15"/>
    </row>
    <row r="1550" spans="3:18">
      <c r="C1550" s="5"/>
      <c r="R1550" s="15"/>
    </row>
    <row r="1551" spans="3:18">
      <c r="C1551" s="5"/>
      <c r="R1551" s="15"/>
    </row>
    <row r="1552" spans="3:18">
      <c r="C1552" s="5"/>
      <c r="R1552" s="15"/>
    </row>
    <row r="1553" spans="3:18">
      <c r="C1553" s="5"/>
      <c r="R1553" s="15"/>
    </row>
    <row r="1554" spans="3:18">
      <c r="C1554" s="5"/>
      <c r="R1554" s="15"/>
    </row>
    <row r="1555" spans="3:18">
      <c r="C1555" s="5"/>
      <c r="R1555" s="15"/>
    </row>
    <row r="1556" spans="3:18">
      <c r="C1556" s="5"/>
      <c r="R1556" s="15"/>
    </row>
    <row r="1557" spans="3:18">
      <c r="C1557" s="5"/>
      <c r="R1557" s="15"/>
    </row>
    <row r="1558" spans="3:18">
      <c r="C1558" s="5"/>
      <c r="R1558" s="15"/>
    </row>
    <row r="1559" spans="3:18">
      <c r="C1559" s="5"/>
      <c r="R1559" s="15"/>
    </row>
    <row r="1560" spans="3:18">
      <c r="C1560" s="5"/>
      <c r="R1560" s="15"/>
    </row>
    <row r="1561" spans="3:18">
      <c r="C1561" s="5"/>
      <c r="R1561" s="15"/>
    </row>
    <row r="1562" spans="3:18">
      <c r="C1562" s="5"/>
      <c r="R1562" s="15"/>
    </row>
    <row r="1563" spans="3:18">
      <c r="C1563" s="5"/>
      <c r="R1563" s="15"/>
    </row>
    <row r="1564" spans="3:18">
      <c r="C1564" s="5"/>
      <c r="R1564" s="15"/>
    </row>
    <row r="1565" spans="3:18">
      <c r="C1565" s="5"/>
      <c r="R1565" s="15"/>
    </row>
    <row r="1566" spans="3:18">
      <c r="C1566" s="5"/>
      <c r="R1566" s="15"/>
    </row>
    <row r="1567" spans="3:18">
      <c r="C1567" s="5"/>
      <c r="R1567" s="15"/>
    </row>
    <row r="1568" spans="3:18">
      <c r="C1568" s="5"/>
      <c r="R1568" s="15"/>
    </row>
    <row r="1569" spans="3:18">
      <c r="C1569" s="5"/>
      <c r="R1569" s="15"/>
    </row>
    <row r="1570" spans="3:18">
      <c r="C1570" s="5"/>
      <c r="R1570" s="15"/>
    </row>
    <row r="1571" spans="3:18">
      <c r="C1571" s="5"/>
      <c r="R1571" s="15"/>
    </row>
    <row r="1572" spans="3:18">
      <c r="C1572" s="5"/>
      <c r="R1572" s="15"/>
    </row>
    <row r="1573" spans="3:18">
      <c r="C1573" s="5"/>
      <c r="R1573" s="15"/>
    </row>
    <row r="1574" spans="3:18">
      <c r="C1574" s="5"/>
      <c r="R1574" s="15"/>
    </row>
    <row r="1575" spans="3:18">
      <c r="C1575" s="5"/>
      <c r="R1575" s="15"/>
    </row>
    <row r="1576" spans="3:18">
      <c r="C1576" s="5"/>
      <c r="R1576" s="15"/>
    </row>
    <row r="1577" spans="3:18">
      <c r="C1577" s="5"/>
      <c r="R1577" s="15"/>
    </row>
    <row r="1578" spans="3:18">
      <c r="C1578" s="5"/>
      <c r="R1578" s="15"/>
    </row>
    <row r="1579" spans="3:18">
      <c r="C1579" s="5"/>
      <c r="R1579" s="15"/>
    </row>
    <row r="1580" spans="3:18">
      <c r="C1580" s="5"/>
      <c r="R1580" s="15"/>
    </row>
    <row r="1581" spans="3:18">
      <c r="C1581" s="5"/>
      <c r="R1581" s="15"/>
    </row>
    <row r="1582" spans="3:18">
      <c r="C1582" s="5"/>
      <c r="R1582" s="15"/>
    </row>
    <row r="1583" spans="3:18">
      <c r="C1583" s="5"/>
      <c r="R1583" s="15"/>
    </row>
    <row r="1584" spans="3:18">
      <c r="C1584" s="5"/>
      <c r="R1584" s="15"/>
    </row>
    <row r="1585" spans="3:18">
      <c r="C1585" s="5"/>
      <c r="R1585" s="15"/>
    </row>
    <row r="1586" spans="3:18">
      <c r="C1586" s="5"/>
      <c r="R1586" s="15"/>
    </row>
    <row r="1587" spans="3:18">
      <c r="C1587" s="5"/>
      <c r="R1587" s="15"/>
    </row>
    <row r="1588" spans="3:18">
      <c r="C1588" s="5"/>
      <c r="R1588" s="15"/>
    </row>
    <row r="1589" spans="3:18">
      <c r="C1589" s="5"/>
      <c r="R1589" s="15"/>
    </row>
    <row r="1590" spans="3:18">
      <c r="C1590" s="5"/>
      <c r="R1590" s="15"/>
    </row>
    <row r="1591" spans="3:18">
      <c r="C1591" s="5"/>
      <c r="R1591" s="15"/>
    </row>
    <row r="1592" spans="3:18">
      <c r="C1592" s="5"/>
      <c r="R1592" s="15"/>
    </row>
    <row r="1593" spans="3:18">
      <c r="C1593" s="5"/>
      <c r="R1593" s="15"/>
    </row>
    <row r="1594" spans="3:18">
      <c r="C1594" s="5"/>
      <c r="R1594" s="15"/>
    </row>
    <row r="1595" spans="3:18">
      <c r="C1595" s="5"/>
      <c r="R1595" s="15"/>
    </row>
    <row r="1596" spans="3:18">
      <c r="C1596" s="5"/>
      <c r="R1596" s="15"/>
    </row>
    <row r="1597" spans="3:18">
      <c r="C1597" s="5"/>
      <c r="R1597" s="15"/>
    </row>
    <row r="1598" spans="3:18">
      <c r="C1598" s="5"/>
      <c r="R1598" s="15"/>
    </row>
    <row r="1599" spans="3:18">
      <c r="C1599" s="5"/>
      <c r="R1599" s="15"/>
    </row>
    <row r="1600" spans="3:18">
      <c r="C1600" s="5"/>
      <c r="R1600" s="15"/>
    </row>
    <row r="1601" spans="3:18">
      <c r="C1601" s="5"/>
      <c r="R1601" s="15"/>
    </row>
    <row r="1602" spans="3:18">
      <c r="C1602" s="5"/>
      <c r="R1602" s="15"/>
    </row>
    <row r="1603" spans="3:18">
      <c r="C1603" s="5"/>
      <c r="R1603" s="15"/>
    </row>
    <row r="1604" spans="3:18">
      <c r="C1604" s="5"/>
      <c r="R1604" s="15"/>
    </row>
    <row r="1605" spans="3:18">
      <c r="C1605" s="5"/>
      <c r="R1605" s="15"/>
    </row>
    <row r="1606" spans="3:18">
      <c r="C1606" s="5"/>
      <c r="R1606" s="15"/>
    </row>
    <row r="1607" spans="3:18">
      <c r="C1607" s="5"/>
      <c r="R1607" s="15"/>
    </row>
    <row r="1608" spans="3:18">
      <c r="C1608" s="5"/>
      <c r="R1608" s="15"/>
    </row>
    <row r="1609" spans="3:18">
      <c r="C1609" s="5"/>
      <c r="R1609" s="15"/>
    </row>
    <row r="1610" spans="3:18">
      <c r="C1610" s="5"/>
      <c r="R1610" s="15"/>
    </row>
    <row r="1611" spans="3:18">
      <c r="C1611" s="5"/>
      <c r="R1611" s="15"/>
    </row>
    <row r="1612" spans="3:18">
      <c r="C1612" s="5"/>
      <c r="R1612" s="15"/>
    </row>
    <row r="1613" spans="3:18">
      <c r="C1613" s="5"/>
      <c r="R1613" s="15"/>
    </row>
    <row r="1614" spans="3:18">
      <c r="C1614" s="5"/>
      <c r="R1614" s="15"/>
    </row>
    <row r="1615" spans="3:18">
      <c r="C1615" s="5"/>
      <c r="R1615" s="15"/>
    </row>
    <row r="1616" spans="3:18">
      <c r="C1616" s="5"/>
      <c r="R1616" s="15"/>
    </row>
    <row r="1617" spans="3:18">
      <c r="C1617" s="5"/>
      <c r="R1617" s="15"/>
    </row>
    <row r="1618" spans="3:18">
      <c r="C1618" s="5"/>
      <c r="R1618" s="15"/>
    </row>
    <row r="1619" spans="3:18">
      <c r="C1619" s="5"/>
      <c r="R1619" s="15"/>
    </row>
    <row r="1620" spans="3:18">
      <c r="C1620" s="5"/>
      <c r="R1620" s="15"/>
    </row>
    <row r="1621" spans="3:18">
      <c r="C1621" s="5"/>
      <c r="R1621" s="15"/>
    </row>
    <row r="1622" spans="3:18">
      <c r="C1622" s="5"/>
      <c r="R1622" s="15"/>
    </row>
    <row r="1623" spans="3:18">
      <c r="C1623" s="5"/>
      <c r="R1623" s="15"/>
    </row>
    <row r="1624" spans="3:18">
      <c r="C1624" s="5"/>
      <c r="R1624" s="15"/>
    </row>
    <row r="1625" spans="3:18">
      <c r="C1625" s="5"/>
      <c r="R1625" s="15"/>
    </row>
    <row r="1626" spans="3:18">
      <c r="C1626" s="5"/>
      <c r="R1626" s="15"/>
    </row>
    <row r="1627" spans="3:18">
      <c r="C1627" s="5"/>
      <c r="R1627" s="15"/>
    </row>
    <row r="1628" spans="3:18">
      <c r="C1628" s="5"/>
      <c r="R1628" s="15"/>
    </row>
    <row r="1629" spans="3:18">
      <c r="C1629" s="5"/>
      <c r="R1629" s="15"/>
    </row>
    <row r="1630" spans="3:18">
      <c r="C1630" s="5"/>
      <c r="R1630" s="15"/>
    </row>
    <row r="1631" spans="3:18">
      <c r="C1631" s="5"/>
      <c r="R1631" s="15"/>
    </row>
    <row r="1632" spans="3:18">
      <c r="C1632" s="5"/>
      <c r="R1632" s="15"/>
    </row>
    <row r="1633" spans="3:18">
      <c r="C1633" s="5"/>
      <c r="R1633" s="15"/>
    </row>
    <row r="1634" spans="3:18">
      <c r="C1634" s="5"/>
      <c r="R1634" s="15"/>
    </row>
    <row r="1635" spans="3:18">
      <c r="C1635" s="5"/>
      <c r="R1635" s="15"/>
    </row>
    <row r="1636" spans="3:18">
      <c r="C1636" s="5"/>
      <c r="R1636" s="15"/>
    </row>
    <row r="1637" spans="3:18">
      <c r="C1637" s="5"/>
      <c r="R1637" s="15"/>
    </row>
    <row r="1638" spans="3:18">
      <c r="C1638" s="5"/>
      <c r="R1638" s="15"/>
    </row>
    <row r="1639" spans="3:18">
      <c r="C1639" s="5"/>
      <c r="R1639" s="15"/>
    </row>
    <row r="1640" spans="3:18">
      <c r="C1640" s="5"/>
      <c r="R1640" s="15"/>
    </row>
    <row r="1641" spans="3:18">
      <c r="C1641" s="5"/>
      <c r="R1641" s="15"/>
    </row>
    <row r="1642" spans="3:18">
      <c r="C1642" s="5"/>
      <c r="R1642" s="15"/>
    </row>
    <row r="1643" spans="3:18">
      <c r="C1643" s="5"/>
      <c r="R1643" s="15"/>
    </row>
    <row r="1644" spans="3:18">
      <c r="C1644" s="5"/>
      <c r="R1644" s="15"/>
    </row>
    <row r="1645" spans="3:18">
      <c r="C1645" s="5"/>
      <c r="R1645" s="15"/>
    </row>
    <row r="1646" spans="3:18">
      <c r="C1646" s="5"/>
      <c r="R1646" s="15"/>
    </row>
    <row r="1647" spans="3:18">
      <c r="C1647" s="5"/>
      <c r="R1647" s="15"/>
    </row>
    <row r="1648" spans="3:18">
      <c r="C1648" s="5"/>
      <c r="R1648" s="15"/>
    </row>
    <row r="1649" spans="3:18">
      <c r="C1649" s="5"/>
      <c r="R1649" s="15"/>
    </row>
    <row r="1650" spans="3:18">
      <c r="C1650" s="5"/>
      <c r="R1650" s="15"/>
    </row>
    <row r="1651" spans="3:18">
      <c r="C1651" s="5"/>
      <c r="R1651" s="15"/>
    </row>
    <row r="1652" spans="3:18">
      <c r="C1652" s="5"/>
      <c r="R1652" s="15"/>
    </row>
    <row r="1653" spans="3:18">
      <c r="C1653" s="5"/>
      <c r="R1653" s="15"/>
    </row>
    <row r="1654" spans="3:18">
      <c r="C1654" s="5"/>
      <c r="R1654" s="15"/>
    </row>
    <row r="1655" spans="3:18">
      <c r="C1655" s="5"/>
      <c r="R1655" s="15"/>
    </row>
    <row r="1656" spans="3:18">
      <c r="C1656" s="5"/>
      <c r="R1656" s="15"/>
    </row>
    <row r="1657" spans="3:18">
      <c r="C1657" s="5"/>
      <c r="R1657" s="15"/>
    </row>
    <row r="1658" spans="3:18">
      <c r="C1658" s="5"/>
      <c r="R1658" s="15"/>
    </row>
    <row r="1659" spans="3:18">
      <c r="C1659" s="5"/>
      <c r="R1659" s="15"/>
    </row>
    <row r="1660" spans="3:18">
      <c r="C1660" s="5"/>
      <c r="R1660" s="15"/>
    </row>
    <row r="1661" spans="3:18">
      <c r="C1661" s="5"/>
      <c r="R1661" s="15"/>
    </row>
    <row r="1662" spans="3:18">
      <c r="C1662" s="5"/>
      <c r="R1662" s="15"/>
    </row>
    <row r="1663" spans="3:18">
      <c r="C1663" s="5"/>
      <c r="R1663" s="15"/>
    </row>
    <row r="1664" spans="3:18">
      <c r="C1664" s="5"/>
      <c r="R1664" s="15"/>
    </row>
    <row r="1665" spans="3:18">
      <c r="C1665" s="5"/>
      <c r="R1665" s="15"/>
    </row>
    <row r="1666" spans="3:18">
      <c r="C1666" s="5"/>
      <c r="R1666" s="15"/>
    </row>
    <row r="1667" spans="3:18">
      <c r="C1667" s="5"/>
      <c r="R1667" s="15"/>
    </row>
    <row r="1668" spans="3:18">
      <c r="C1668" s="5"/>
      <c r="R1668" s="15"/>
    </row>
    <row r="1669" spans="3:18">
      <c r="C1669" s="5"/>
      <c r="R1669" s="15"/>
    </row>
    <row r="1670" spans="3:18">
      <c r="C1670" s="5"/>
      <c r="R1670" s="15"/>
    </row>
    <row r="1671" spans="3:18">
      <c r="C1671" s="5"/>
      <c r="R1671" s="15"/>
    </row>
    <row r="1672" spans="3:18">
      <c r="C1672" s="5"/>
      <c r="R1672" s="15"/>
    </row>
    <row r="1673" spans="3:18">
      <c r="C1673" s="5"/>
      <c r="R1673" s="15"/>
    </row>
    <row r="1674" spans="3:18">
      <c r="C1674" s="5"/>
      <c r="R1674" s="15"/>
    </row>
    <row r="1675" spans="3:18">
      <c r="C1675" s="5"/>
      <c r="R1675" s="15"/>
    </row>
    <row r="1676" spans="3:18">
      <c r="C1676" s="5"/>
      <c r="R1676" s="15"/>
    </row>
    <row r="1677" spans="3:18">
      <c r="C1677" s="5"/>
      <c r="R1677" s="15"/>
    </row>
    <row r="1678" spans="3:18">
      <c r="C1678" s="5"/>
      <c r="R1678" s="15"/>
    </row>
    <row r="1679" spans="3:18">
      <c r="C1679" s="5"/>
      <c r="R1679" s="15"/>
    </row>
    <row r="1680" spans="3:18">
      <c r="C1680" s="5"/>
      <c r="R1680" s="15"/>
    </row>
    <row r="1681" spans="3:18">
      <c r="C1681" s="5"/>
      <c r="R1681" s="15"/>
    </row>
    <row r="1682" spans="3:18">
      <c r="C1682" s="5"/>
      <c r="R1682" s="15"/>
    </row>
    <row r="1683" spans="3:18">
      <c r="C1683" s="5"/>
      <c r="R1683" s="15"/>
    </row>
    <row r="1684" spans="3:18">
      <c r="C1684" s="5"/>
      <c r="R1684" s="15"/>
    </row>
    <row r="1685" spans="3:18">
      <c r="C1685" s="5"/>
      <c r="R1685" s="15"/>
    </row>
    <row r="1686" spans="3:18">
      <c r="C1686" s="5"/>
      <c r="R1686" s="15"/>
    </row>
    <row r="1687" spans="3:18">
      <c r="C1687" s="5"/>
      <c r="R1687" s="15"/>
    </row>
    <row r="1688" spans="3:18">
      <c r="C1688" s="5"/>
      <c r="R1688" s="15"/>
    </row>
    <row r="1689" spans="3:18">
      <c r="C1689" s="5"/>
      <c r="R1689" s="15"/>
    </row>
    <row r="1690" spans="3:18">
      <c r="C1690" s="5"/>
      <c r="R1690" s="15"/>
    </row>
    <row r="1691" spans="3:18">
      <c r="C1691" s="5"/>
      <c r="R1691" s="15"/>
    </row>
    <row r="1692" spans="3:18">
      <c r="C1692" s="5"/>
      <c r="R1692" s="15"/>
    </row>
    <row r="1693" spans="3:18">
      <c r="C1693" s="5"/>
      <c r="R1693" s="15"/>
    </row>
    <row r="1694" spans="3:18">
      <c r="C1694" s="5"/>
      <c r="R1694" s="15"/>
    </row>
    <row r="1695" spans="3:18">
      <c r="C1695" s="5"/>
      <c r="R1695" s="15"/>
    </row>
    <row r="1696" spans="3:18">
      <c r="C1696" s="5"/>
      <c r="R1696" s="15"/>
    </row>
    <row r="1697" spans="3:18">
      <c r="C1697" s="5"/>
      <c r="R1697" s="15"/>
    </row>
    <row r="1698" spans="3:18">
      <c r="C1698" s="5"/>
      <c r="R1698" s="15"/>
    </row>
    <row r="1699" spans="3:18">
      <c r="C1699" s="5"/>
      <c r="R1699" s="15"/>
    </row>
    <row r="1700" spans="3:18">
      <c r="C1700" s="5"/>
      <c r="R1700" s="15"/>
    </row>
    <row r="1701" spans="3:18">
      <c r="C1701" s="5"/>
      <c r="R1701" s="15"/>
    </row>
    <row r="1702" spans="3:18">
      <c r="C1702" s="5"/>
      <c r="R1702" s="15"/>
    </row>
    <row r="1703" spans="3:18">
      <c r="C1703" s="5"/>
      <c r="R1703" s="15"/>
    </row>
    <row r="1704" spans="3:18">
      <c r="C1704" s="5"/>
      <c r="R1704" s="15"/>
    </row>
    <row r="1705" spans="3:18">
      <c r="C1705" s="5"/>
      <c r="R1705" s="15"/>
    </row>
    <row r="1706" spans="3:18">
      <c r="C1706" s="5"/>
      <c r="R1706" s="15"/>
    </row>
    <row r="1707" spans="3:18">
      <c r="C1707" s="5"/>
      <c r="R1707" s="15"/>
    </row>
    <row r="1708" spans="3:18">
      <c r="C1708" s="5"/>
      <c r="R1708" s="15"/>
    </row>
    <row r="1709" spans="3:18">
      <c r="C1709" s="5"/>
      <c r="R1709" s="15"/>
    </row>
    <row r="1710" spans="3:18">
      <c r="C1710" s="5"/>
      <c r="R1710" s="15"/>
    </row>
    <row r="1711" spans="3:18">
      <c r="C1711" s="5"/>
      <c r="R1711" s="15"/>
    </row>
    <row r="1712" spans="3:18">
      <c r="C1712" s="5"/>
      <c r="R1712" s="15"/>
    </row>
    <row r="1713" spans="3:18">
      <c r="C1713" s="5"/>
      <c r="R1713" s="15"/>
    </row>
    <row r="1714" spans="3:18">
      <c r="C1714" s="5"/>
      <c r="R1714" s="15"/>
    </row>
    <row r="1715" spans="3:18">
      <c r="C1715" s="5"/>
      <c r="R1715" s="15"/>
    </row>
    <row r="1716" spans="3:18">
      <c r="C1716" s="5"/>
      <c r="R1716" s="15"/>
    </row>
    <row r="1717" spans="3:18">
      <c r="C1717" s="5"/>
      <c r="R1717" s="15"/>
    </row>
    <row r="1718" spans="3:18">
      <c r="C1718" s="5"/>
      <c r="R1718" s="15"/>
    </row>
    <row r="1719" spans="3:18">
      <c r="C1719" s="5"/>
      <c r="R1719" s="15"/>
    </row>
    <row r="1720" spans="3:18">
      <c r="C1720" s="5"/>
      <c r="R1720" s="15"/>
    </row>
    <row r="1721" spans="3:18">
      <c r="C1721" s="5"/>
      <c r="R1721" s="15"/>
    </row>
    <row r="1722" spans="3:18">
      <c r="C1722" s="5"/>
      <c r="R1722" s="15"/>
    </row>
    <row r="1723" spans="3:18">
      <c r="C1723" s="5"/>
      <c r="R1723" s="15"/>
    </row>
    <row r="1724" spans="3:18">
      <c r="C1724" s="5"/>
      <c r="R1724" s="15"/>
    </row>
    <row r="1725" spans="3:18">
      <c r="C1725" s="5"/>
      <c r="R1725" s="15"/>
    </row>
    <row r="1726" spans="3:18">
      <c r="C1726" s="5"/>
      <c r="R1726" s="15"/>
    </row>
    <row r="1727" spans="3:18">
      <c r="C1727" s="5"/>
      <c r="R1727" s="15"/>
    </row>
    <row r="1728" spans="3:18">
      <c r="C1728" s="5"/>
      <c r="R1728" s="15"/>
    </row>
    <row r="1729" spans="3:18">
      <c r="C1729" s="5"/>
      <c r="R1729" s="15"/>
    </row>
    <row r="1730" spans="3:18">
      <c r="C1730" s="5"/>
      <c r="R1730" s="15"/>
    </row>
    <row r="1731" spans="3:18">
      <c r="C1731" s="5"/>
      <c r="R1731" s="15"/>
    </row>
    <row r="1732" spans="3:18">
      <c r="C1732" s="5"/>
      <c r="R1732" s="15"/>
    </row>
    <row r="1733" spans="3:18">
      <c r="C1733" s="5"/>
      <c r="R1733" s="15"/>
    </row>
    <row r="1734" spans="3:18">
      <c r="C1734" s="5"/>
      <c r="R1734" s="15"/>
    </row>
    <row r="1735" spans="3:18">
      <c r="C1735" s="5"/>
      <c r="R1735" s="15"/>
    </row>
    <row r="1736" spans="3:18">
      <c r="C1736" s="5"/>
      <c r="R1736" s="15"/>
    </row>
    <row r="1737" spans="3:18">
      <c r="C1737" s="5"/>
      <c r="R1737" s="15"/>
    </row>
    <row r="1738" spans="3:18">
      <c r="C1738" s="5"/>
      <c r="R1738" s="15"/>
    </row>
    <row r="1739" spans="3:18">
      <c r="C1739" s="5"/>
      <c r="R1739" s="15"/>
    </row>
    <row r="1740" spans="3:18">
      <c r="C1740" s="5"/>
      <c r="R1740" s="15"/>
    </row>
    <row r="1741" spans="3:18">
      <c r="C1741" s="5"/>
      <c r="R1741" s="15"/>
    </row>
    <row r="1742" spans="3:18">
      <c r="C1742" s="5"/>
      <c r="R1742" s="15"/>
    </row>
    <row r="1743" spans="3:18">
      <c r="C1743" s="5"/>
      <c r="R1743" s="15"/>
    </row>
    <row r="1744" spans="3:18">
      <c r="C1744" s="5"/>
      <c r="R1744" s="15"/>
    </row>
    <row r="1745" spans="3:18">
      <c r="C1745" s="5"/>
      <c r="R1745" s="15"/>
    </row>
    <row r="1746" spans="3:18">
      <c r="C1746" s="5"/>
      <c r="R1746" s="15"/>
    </row>
    <row r="1747" spans="3:18">
      <c r="C1747" s="5"/>
      <c r="R1747" s="15"/>
    </row>
    <row r="1748" spans="3:18">
      <c r="C1748" s="5"/>
      <c r="R1748" s="15"/>
    </row>
    <row r="1749" spans="3:18">
      <c r="C1749" s="5"/>
      <c r="R1749" s="15"/>
    </row>
    <row r="1750" spans="3:18">
      <c r="C1750" s="5"/>
      <c r="R1750" s="15"/>
    </row>
    <row r="1751" spans="3:18">
      <c r="C1751" s="5"/>
      <c r="R1751" s="15"/>
    </row>
    <row r="1752" spans="3:18">
      <c r="C1752" s="5"/>
      <c r="R1752" s="15"/>
    </row>
    <row r="1753" spans="3:18">
      <c r="C1753" s="5"/>
      <c r="R1753" s="15"/>
    </row>
    <row r="1754" spans="3:18">
      <c r="C1754" s="5"/>
      <c r="R1754" s="15"/>
    </row>
    <row r="1755" spans="3:18">
      <c r="C1755" s="5"/>
      <c r="R1755" s="15"/>
    </row>
    <row r="1756" spans="3:18">
      <c r="C1756" s="5"/>
      <c r="R1756" s="15"/>
    </row>
    <row r="1757" spans="3:18">
      <c r="C1757" s="5"/>
      <c r="R1757" s="15"/>
    </row>
    <row r="1758" spans="3:18">
      <c r="C1758" s="5"/>
      <c r="R1758" s="15"/>
    </row>
    <row r="1759" spans="3:18">
      <c r="C1759" s="5"/>
      <c r="R1759" s="15"/>
    </row>
    <row r="1760" spans="3:18">
      <c r="C1760" s="5"/>
      <c r="R1760" s="15"/>
    </row>
    <row r="1761" spans="3:18">
      <c r="C1761" s="5"/>
      <c r="R1761" s="15"/>
    </row>
    <row r="1762" spans="3:18">
      <c r="C1762" s="5"/>
      <c r="R1762" s="15"/>
    </row>
    <row r="1763" spans="3:18">
      <c r="C1763" s="5"/>
      <c r="R1763" s="15"/>
    </row>
    <row r="1764" spans="3:18">
      <c r="C1764" s="5"/>
      <c r="R1764" s="15"/>
    </row>
    <row r="1765" spans="3:18">
      <c r="C1765" s="5"/>
      <c r="R1765" s="15"/>
    </row>
    <row r="1766" spans="3:18">
      <c r="C1766" s="5"/>
      <c r="R1766" s="15"/>
    </row>
    <row r="1767" spans="3:18">
      <c r="C1767" s="5"/>
      <c r="R1767" s="15"/>
    </row>
    <row r="1768" spans="3:18">
      <c r="C1768" s="5"/>
      <c r="R1768" s="15"/>
    </row>
    <row r="1769" spans="3:18">
      <c r="C1769" s="5"/>
      <c r="R1769" s="15"/>
    </row>
    <row r="1770" spans="3:18">
      <c r="C1770" s="5"/>
      <c r="R1770" s="15"/>
    </row>
    <row r="1771" spans="3:18">
      <c r="C1771" s="5"/>
      <c r="R1771" s="15"/>
    </row>
    <row r="1772" spans="3:18">
      <c r="C1772" s="5"/>
      <c r="R1772" s="15"/>
    </row>
    <row r="1773" spans="3:18">
      <c r="C1773" s="5"/>
      <c r="R1773" s="15"/>
    </row>
    <row r="1774" spans="3:18">
      <c r="C1774" s="5"/>
      <c r="R1774" s="15"/>
    </row>
    <row r="1775" spans="3:18">
      <c r="C1775" s="5"/>
      <c r="R1775" s="15"/>
    </row>
    <row r="1776" spans="3:18">
      <c r="C1776" s="5"/>
      <c r="R1776" s="15"/>
    </row>
    <row r="1777" spans="3:18">
      <c r="C1777" s="5"/>
      <c r="R1777" s="15"/>
    </row>
    <row r="1778" spans="3:18">
      <c r="C1778" s="5"/>
      <c r="R1778" s="15"/>
    </row>
    <row r="1779" spans="3:18">
      <c r="C1779" s="5"/>
      <c r="R1779" s="15"/>
    </row>
    <row r="1780" spans="3:18">
      <c r="C1780" s="5"/>
      <c r="R1780" s="15"/>
    </row>
    <row r="1781" spans="3:18">
      <c r="C1781" s="5"/>
      <c r="R1781" s="15"/>
    </row>
    <row r="1782" spans="3:18">
      <c r="C1782" s="5"/>
      <c r="R1782" s="15"/>
    </row>
    <row r="1783" spans="3:18">
      <c r="C1783" s="5"/>
      <c r="R1783" s="15"/>
    </row>
    <row r="1784" spans="3:18">
      <c r="C1784" s="5"/>
      <c r="R1784" s="15"/>
    </row>
    <row r="1785" spans="3:18">
      <c r="C1785" s="5"/>
      <c r="R1785" s="15"/>
    </row>
    <row r="1786" spans="3:18">
      <c r="C1786" s="5"/>
      <c r="R1786" s="15"/>
    </row>
    <row r="1787" spans="3:18">
      <c r="C1787" s="5"/>
      <c r="R1787" s="15"/>
    </row>
    <row r="1788" spans="3:18">
      <c r="C1788" s="5"/>
      <c r="R1788" s="15"/>
    </row>
    <row r="1789" spans="3:18">
      <c r="C1789" s="5"/>
      <c r="R1789" s="15"/>
    </row>
    <row r="1790" spans="3:18">
      <c r="C1790" s="5"/>
      <c r="R1790" s="15"/>
    </row>
    <row r="1791" spans="3:18">
      <c r="C1791" s="5"/>
      <c r="R1791" s="15"/>
    </row>
    <row r="1792" spans="3:18">
      <c r="C1792" s="5"/>
      <c r="R1792" s="15"/>
    </row>
    <row r="1793" spans="3:18">
      <c r="C1793" s="5"/>
      <c r="R1793" s="15"/>
    </row>
    <row r="1794" spans="3:18">
      <c r="C1794" s="5"/>
      <c r="R1794" s="15"/>
    </row>
    <row r="1795" spans="3:18">
      <c r="C1795" s="5"/>
      <c r="R1795" s="15"/>
    </row>
    <row r="1796" spans="3:18">
      <c r="C1796" s="5"/>
      <c r="R1796" s="15"/>
    </row>
    <row r="1797" spans="3:18">
      <c r="C1797" s="5"/>
      <c r="R1797" s="15"/>
    </row>
    <row r="1798" spans="3:18">
      <c r="C1798" s="5"/>
      <c r="R1798" s="15"/>
    </row>
    <row r="1799" spans="3:18">
      <c r="C1799" s="5"/>
      <c r="R1799" s="15"/>
    </row>
    <row r="1800" spans="3:18">
      <c r="C1800" s="5"/>
      <c r="R1800" s="15"/>
    </row>
    <row r="1801" spans="3:18">
      <c r="C1801" s="5"/>
      <c r="R1801" s="15"/>
    </row>
    <row r="1802" spans="3:18">
      <c r="C1802" s="5"/>
      <c r="R1802" s="15"/>
    </row>
    <row r="1803" spans="3:18">
      <c r="C1803" s="5"/>
      <c r="R1803" s="15"/>
    </row>
    <row r="1804" spans="3:18">
      <c r="C1804" s="5"/>
      <c r="R1804" s="15"/>
    </row>
    <row r="1805" spans="3:18">
      <c r="C1805" s="5"/>
      <c r="R1805" s="15"/>
    </row>
    <row r="1806" spans="3:18">
      <c r="C1806" s="5"/>
      <c r="R1806" s="15"/>
    </row>
    <row r="1807" spans="3:18">
      <c r="C1807" s="5"/>
      <c r="R1807" s="15"/>
    </row>
    <row r="1808" spans="3:18">
      <c r="C1808" s="5"/>
      <c r="R1808" s="15"/>
    </row>
    <row r="1809" spans="3:18">
      <c r="C1809" s="5"/>
      <c r="R1809" s="15"/>
    </row>
    <row r="1810" spans="3:18">
      <c r="C1810" s="5"/>
      <c r="R1810" s="15"/>
    </row>
    <row r="1811" spans="3:18">
      <c r="C1811" s="5"/>
      <c r="R1811" s="15"/>
    </row>
    <row r="1812" spans="3:18">
      <c r="C1812" s="5"/>
      <c r="R1812" s="15"/>
    </row>
    <row r="1813" spans="3:18">
      <c r="C1813" s="5"/>
      <c r="R1813" s="15"/>
    </row>
    <row r="1814" spans="3:18">
      <c r="C1814" s="5"/>
      <c r="R1814" s="15"/>
    </row>
    <row r="1815" spans="3:18">
      <c r="C1815" s="5"/>
      <c r="R1815" s="15"/>
    </row>
    <row r="1816" spans="3:18">
      <c r="C1816" s="5"/>
      <c r="R1816" s="15"/>
    </row>
    <row r="1817" spans="3:18">
      <c r="C1817" s="5"/>
      <c r="R1817" s="15"/>
    </row>
    <row r="1818" spans="3:18">
      <c r="C1818" s="5"/>
      <c r="R1818" s="15"/>
    </row>
    <row r="1819" spans="3:18">
      <c r="C1819" s="5"/>
      <c r="R1819" s="15"/>
    </row>
    <row r="1820" spans="3:18">
      <c r="C1820" s="5"/>
      <c r="R1820" s="15"/>
    </row>
    <row r="1821" spans="3:18">
      <c r="C1821" s="5"/>
      <c r="R1821" s="15"/>
    </row>
    <row r="1822" spans="3:18">
      <c r="C1822" s="5"/>
      <c r="R1822" s="15"/>
    </row>
    <row r="1823" spans="3:18">
      <c r="C1823" s="5"/>
      <c r="R1823" s="15"/>
    </row>
    <row r="1824" spans="3:18">
      <c r="C1824" s="5"/>
      <c r="R1824" s="15"/>
    </row>
    <row r="1825" spans="3:18">
      <c r="C1825" s="5"/>
      <c r="R1825" s="15"/>
    </row>
    <row r="1826" spans="3:18">
      <c r="C1826" s="5"/>
      <c r="R1826" s="15"/>
    </row>
    <row r="1827" spans="3:18">
      <c r="C1827" s="5"/>
      <c r="R1827" s="15"/>
    </row>
    <row r="1828" spans="3:18">
      <c r="C1828" s="5"/>
      <c r="R1828" s="15"/>
    </row>
    <row r="1829" spans="3:18">
      <c r="C1829" s="5"/>
      <c r="R1829" s="15"/>
    </row>
    <row r="1830" spans="3:18">
      <c r="C1830" s="5"/>
      <c r="R1830" s="15"/>
    </row>
    <row r="1831" spans="3:18">
      <c r="C1831" s="5"/>
      <c r="R1831" s="15"/>
    </row>
    <row r="1832" spans="3:18">
      <c r="C1832" s="5"/>
      <c r="R1832" s="15"/>
    </row>
    <row r="1833" spans="3:18">
      <c r="C1833" s="5"/>
      <c r="R1833" s="15"/>
    </row>
    <row r="1834" spans="3:18">
      <c r="C1834" s="5"/>
      <c r="R1834" s="15"/>
    </row>
    <row r="1835" spans="3:18">
      <c r="C1835" s="5"/>
      <c r="R1835" s="15"/>
    </row>
    <row r="1836" spans="3:18">
      <c r="C1836" s="5"/>
      <c r="R1836" s="15"/>
    </row>
    <row r="1837" spans="3:18">
      <c r="C1837" s="5"/>
      <c r="R1837" s="15"/>
    </row>
    <row r="1838" spans="3:18">
      <c r="C1838" s="5"/>
      <c r="R1838" s="15"/>
    </row>
    <row r="1839" spans="3:18">
      <c r="C1839" s="5"/>
      <c r="R1839" s="15"/>
    </row>
    <row r="1840" spans="3:18">
      <c r="C1840" s="5"/>
      <c r="R1840" s="15"/>
    </row>
    <row r="1841" spans="3:18">
      <c r="C1841" s="5"/>
      <c r="R1841" s="15"/>
    </row>
    <row r="1842" spans="3:18">
      <c r="C1842" s="5"/>
      <c r="R1842" s="15"/>
    </row>
    <row r="1843" spans="3:18">
      <c r="C1843" s="5"/>
      <c r="R1843" s="15"/>
    </row>
    <row r="1844" spans="3:18">
      <c r="C1844" s="5"/>
      <c r="R1844" s="15"/>
    </row>
    <row r="1845" spans="3:18">
      <c r="C1845" s="5"/>
      <c r="R1845" s="15"/>
    </row>
    <row r="1846" spans="3:18">
      <c r="C1846" s="5"/>
      <c r="R1846" s="15"/>
    </row>
    <row r="1847" spans="3:18">
      <c r="C1847" s="5"/>
      <c r="R1847" s="15"/>
    </row>
    <row r="1848" spans="3:18">
      <c r="C1848" s="5"/>
      <c r="R1848" s="15"/>
    </row>
    <row r="1849" spans="3:18">
      <c r="C1849" s="5"/>
      <c r="R1849" s="15"/>
    </row>
    <row r="1850" spans="3:18">
      <c r="C1850" s="5"/>
      <c r="R1850" s="15"/>
    </row>
    <row r="1851" spans="3:18">
      <c r="C1851" s="5"/>
      <c r="R1851" s="15"/>
    </row>
    <row r="1852" spans="3:18">
      <c r="C1852" s="5"/>
      <c r="R1852" s="15"/>
    </row>
    <row r="1853" spans="3:18">
      <c r="C1853" s="5"/>
      <c r="R1853" s="15"/>
    </row>
    <row r="1854" spans="3:18">
      <c r="C1854" s="5"/>
      <c r="R1854" s="15"/>
    </row>
    <row r="1855" spans="3:18">
      <c r="C1855" s="5"/>
      <c r="R1855" s="15"/>
    </row>
    <row r="1856" spans="3:18">
      <c r="C1856" s="5"/>
      <c r="R1856" s="15"/>
    </row>
    <row r="1857" spans="3:18">
      <c r="C1857" s="5"/>
      <c r="R1857" s="15"/>
    </row>
    <row r="1858" spans="3:18">
      <c r="C1858" s="5"/>
      <c r="R1858" s="15"/>
    </row>
    <row r="1859" spans="3:18">
      <c r="C1859" s="5"/>
      <c r="R1859" s="15"/>
    </row>
    <row r="1860" spans="3:18">
      <c r="C1860" s="5"/>
      <c r="R1860" s="15"/>
    </row>
    <row r="1861" spans="3:18">
      <c r="C1861" s="5"/>
      <c r="R1861" s="15"/>
    </row>
    <row r="1862" spans="3:18">
      <c r="C1862" s="5"/>
      <c r="R1862" s="15"/>
    </row>
    <row r="1863" spans="3:18">
      <c r="C1863" s="5"/>
      <c r="R1863" s="15"/>
    </row>
    <row r="1864" spans="3:18">
      <c r="C1864" s="5"/>
      <c r="R1864" s="15"/>
    </row>
    <row r="1865" spans="3:18">
      <c r="C1865" s="5"/>
      <c r="R1865" s="15"/>
    </row>
    <row r="1866" spans="3:18">
      <c r="C1866" s="5"/>
      <c r="R1866" s="15"/>
    </row>
    <row r="1867" spans="3:18">
      <c r="C1867" s="5"/>
      <c r="R1867" s="15"/>
    </row>
    <row r="1868" spans="3:18">
      <c r="C1868" s="5"/>
      <c r="R1868" s="15"/>
    </row>
    <row r="1869" spans="3:18">
      <c r="C1869" s="5"/>
      <c r="R1869" s="15"/>
    </row>
    <row r="1870" spans="3:18">
      <c r="C1870" s="5"/>
      <c r="R1870" s="15"/>
    </row>
    <row r="1871" spans="3:18">
      <c r="C1871" s="5"/>
      <c r="R1871" s="15"/>
    </row>
    <row r="1872" spans="3:18">
      <c r="C1872" s="5"/>
      <c r="R1872" s="15"/>
    </row>
    <row r="1873" spans="3:18">
      <c r="C1873" s="5"/>
      <c r="R1873" s="15"/>
    </row>
    <row r="1874" spans="3:18">
      <c r="C1874" s="5"/>
      <c r="R1874" s="15"/>
    </row>
    <row r="1875" spans="3:18">
      <c r="C1875" s="5"/>
      <c r="R1875" s="15"/>
    </row>
    <row r="1876" spans="3:18">
      <c r="C1876" s="5"/>
      <c r="R1876" s="15"/>
    </row>
    <row r="1877" spans="3:18">
      <c r="C1877" s="5"/>
      <c r="R1877" s="15"/>
    </row>
    <row r="1878" spans="3:18">
      <c r="C1878" s="5"/>
      <c r="R1878" s="15"/>
    </row>
    <row r="1879" spans="3:18">
      <c r="C1879" s="5"/>
      <c r="R1879" s="15"/>
    </row>
    <row r="1880" spans="3:18">
      <c r="C1880" s="5"/>
      <c r="R1880" s="15"/>
    </row>
    <row r="1881" spans="3:18">
      <c r="C1881" s="5"/>
      <c r="R1881" s="15"/>
    </row>
    <row r="1882" spans="3:18">
      <c r="C1882" s="5"/>
      <c r="R1882" s="15"/>
    </row>
    <row r="1883" spans="3:18">
      <c r="C1883" s="5"/>
      <c r="R1883" s="15"/>
    </row>
    <row r="1884" spans="3:18">
      <c r="C1884" s="5"/>
      <c r="R1884" s="15"/>
    </row>
    <row r="1885" spans="3:18">
      <c r="C1885" s="5"/>
      <c r="R1885" s="15"/>
    </row>
    <row r="1886" spans="3:18">
      <c r="C1886" s="5"/>
      <c r="R1886" s="15"/>
    </row>
    <row r="1887" spans="3:18">
      <c r="C1887" s="5"/>
      <c r="R1887" s="15"/>
    </row>
    <row r="1888" spans="3:18">
      <c r="C1888" s="5"/>
      <c r="R1888" s="15"/>
    </row>
    <row r="1889" spans="3:18">
      <c r="C1889" s="5"/>
      <c r="R1889" s="15"/>
    </row>
    <row r="1890" spans="3:18">
      <c r="C1890" s="5"/>
      <c r="R1890" s="15"/>
    </row>
    <row r="1891" spans="3:18">
      <c r="C1891" s="5"/>
      <c r="R1891" s="15"/>
    </row>
    <row r="1892" spans="3:18">
      <c r="C1892" s="5"/>
      <c r="R1892" s="15"/>
    </row>
    <row r="1893" spans="3:18">
      <c r="C1893" s="5"/>
      <c r="R1893" s="15"/>
    </row>
    <row r="1894" spans="3:18">
      <c r="C1894" s="5"/>
      <c r="R1894" s="15"/>
    </row>
    <row r="1895" spans="3:18">
      <c r="C1895" s="5"/>
      <c r="R1895" s="15"/>
    </row>
    <row r="1896" spans="3:18">
      <c r="C1896" s="5"/>
      <c r="R1896" s="15"/>
    </row>
    <row r="1897" spans="3:18">
      <c r="C1897" s="5"/>
      <c r="R1897" s="15"/>
    </row>
    <row r="1898" spans="3:18">
      <c r="C1898" s="5"/>
      <c r="R1898" s="15"/>
    </row>
    <row r="1899" spans="3:18">
      <c r="C1899" s="5"/>
      <c r="R1899" s="15"/>
    </row>
    <row r="1900" spans="3:18">
      <c r="C1900" s="5"/>
      <c r="R1900" s="15"/>
    </row>
    <row r="1901" spans="3:18">
      <c r="C1901" s="5"/>
      <c r="R1901" s="15"/>
    </row>
    <row r="1902" spans="3:18">
      <c r="C1902" s="5"/>
      <c r="R1902" s="15"/>
    </row>
    <row r="1903" spans="3:18">
      <c r="C1903" s="5"/>
      <c r="R1903" s="15"/>
    </row>
    <row r="1904" spans="3:18">
      <c r="C1904" s="5"/>
      <c r="R1904" s="15"/>
    </row>
    <row r="1905" spans="3:18">
      <c r="C1905" s="5"/>
      <c r="R1905" s="15"/>
    </row>
    <row r="1906" spans="3:18">
      <c r="C1906" s="5"/>
      <c r="R1906" s="15"/>
    </row>
    <row r="1907" spans="3:18">
      <c r="C1907" s="5"/>
      <c r="R1907" s="15"/>
    </row>
    <row r="1908" spans="3:18">
      <c r="C1908" s="5"/>
      <c r="R1908" s="15"/>
    </row>
    <row r="1909" spans="3:18">
      <c r="C1909" s="5"/>
      <c r="R1909" s="15"/>
    </row>
    <row r="1910" spans="3:18">
      <c r="C1910" s="5"/>
      <c r="R1910" s="15"/>
    </row>
    <row r="1911" spans="3:18">
      <c r="C1911" s="5"/>
      <c r="R1911" s="15"/>
    </row>
    <row r="1912" spans="3:18">
      <c r="C1912" s="5"/>
      <c r="R1912" s="15"/>
    </row>
    <row r="1913" spans="3:18">
      <c r="C1913" s="5"/>
      <c r="R1913" s="15"/>
    </row>
    <row r="1914" spans="3:18">
      <c r="C1914" s="5"/>
      <c r="R1914" s="15"/>
    </row>
    <row r="1915" spans="3:18">
      <c r="C1915" s="5"/>
      <c r="R1915" s="15"/>
    </row>
    <row r="1916" spans="3:18">
      <c r="C1916" s="5"/>
      <c r="R1916" s="15"/>
    </row>
    <row r="1917" spans="3:18">
      <c r="C1917" s="5"/>
      <c r="R1917" s="15"/>
    </row>
    <row r="1918" spans="3:18">
      <c r="C1918" s="5"/>
      <c r="R1918" s="15"/>
    </row>
    <row r="1919" spans="3:18">
      <c r="C1919" s="5"/>
      <c r="R1919" s="15"/>
    </row>
    <row r="1920" spans="3:18">
      <c r="C1920" s="5"/>
      <c r="R1920" s="15"/>
    </row>
    <row r="1921" spans="3:18">
      <c r="C1921" s="5"/>
      <c r="R1921" s="15"/>
    </row>
    <row r="1922" spans="3:18">
      <c r="C1922" s="5"/>
      <c r="R1922" s="15"/>
    </row>
    <row r="1923" spans="3:18">
      <c r="C1923" s="5"/>
      <c r="R1923" s="15"/>
    </row>
    <row r="1924" spans="3:18">
      <c r="C1924" s="5"/>
      <c r="R1924" s="15"/>
    </row>
    <row r="1925" spans="3:18">
      <c r="C1925" s="5"/>
      <c r="R1925" s="15"/>
    </row>
    <row r="1926" spans="3:18">
      <c r="C1926" s="5"/>
      <c r="R1926" s="15"/>
    </row>
    <row r="1927" spans="3:18">
      <c r="C1927" s="5"/>
      <c r="R1927" s="15"/>
    </row>
    <row r="1928" spans="3:18">
      <c r="C1928" s="5"/>
      <c r="R1928" s="15"/>
    </row>
    <row r="1929" spans="3:18">
      <c r="C1929" s="5"/>
      <c r="R1929" s="15"/>
    </row>
    <row r="1930" spans="3:18">
      <c r="C1930" s="5"/>
      <c r="R1930" s="15"/>
    </row>
    <row r="1931" spans="3:18">
      <c r="C1931" s="5"/>
      <c r="R1931" s="15"/>
    </row>
    <row r="1932" spans="3:18">
      <c r="C1932" s="5"/>
      <c r="R1932" s="15"/>
    </row>
    <row r="1933" spans="3:18">
      <c r="C1933" s="5"/>
      <c r="R1933" s="15"/>
    </row>
    <row r="1934" spans="3:18">
      <c r="C1934" s="5"/>
      <c r="R1934" s="15"/>
    </row>
    <row r="1935" spans="3:18">
      <c r="C1935" s="5"/>
      <c r="R1935" s="15"/>
    </row>
    <row r="1936" spans="3:18">
      <c r="C1936" s="5"/>
      <c r="R1936" s="15"/>
    </row>
    <row r="1937" spans="3:18">
      <c r="C1937" s="5"/>
      <c r="R1937" s="15"/>
    </row>
    <row r="1938" spans="3:18">
      <c r="C1938" s="5"/>
      <c r="R1938" s="15"/>
    </row>
    <row r="1939" spans="3:18">
      <c r="C1939" s="5"/>
      <c r="R1939" s="15"/>
    </row>
    <row r="1940" spans="3:18">
      <c r="C1940" s="5"/>
      <c r="R1940" s="15"/>
    </row>
    <row r="1941" spans="3:18">
      <c r="C1941" s="5"/>
      <c r="R1941" s="15"/>
    </row>
    <row r="1942" spans="3:18">
      <c r="C1942" s="5"/>
      <c r="R1942" s="15"/>
    </row>
    <row r="1943" spans="3:18">
      <c r="C1943" s="5"/>
      <c r="R1943" s="15"/>
    </row>
    <row r="1944" spans="3:18">
      <c r="C1944" s="5"/>
      <c r="R1944" s="15"/>
    </row>
    <row r="1945" spans="3:18">
      <c r="C1945" s="5"/>
      <c r="R1945" s="15"/>
    </row>
    <row r="1946" spans="3:18">
      <c r="C1946" s="5"/>
      <c r="R1946" s="15"/>
    </row>
    <row r="1947" spans="3:18">
      <c r="C1947" s="5"/>
      <c r="R1947" s="15"/>
    </row>
    <row r="1948" spans="3:18">
      <c r="C1948" s="5"/>
      <c r="R1948" s="15"/>
    </row>
    <row r="1949" spans="3:18">
      <c r="C1949" s="5"/>
      <c r="R1949" s="15"/>
    </row>
    <row r="1950" spans="3:18">
      <c r="C1950" s="5"/>
      <c r="R1950" s="15"/>
    </row>
    <row r="1951" spans="3:18">
      <c r="C1951" s="5"/>
      <c r="R1951" s="15"/>
    </row>
    <row r="1952" spans="3:18">
      <c r="C1952" s="5"/>
      <c r="R1952" s="15"/>
    </row>
    <row r="1953" spans="3:18">
      <c r="C1953" s="5"/>
      <c r="R1953" s="15"/>
    </row>
    <row r="1954" spans="3:18">
      <c r="C1954" s="5"/>
      <c r="R1954" s="15"/>
    </row>
    <row r="1955" spans="3:18">
      <c r="C1955" s="5"/>
      <c r="R1955" s="15"/>
    </row>
    <row r="1956" spans="3:18">
      <c r="C1956" s="5"/>
      <c r="R1956" s="15"/>
    </row>
    <row r="1957" spans="3:18">
      <c r="C1957" s="5"/>
      <c r="R1957" s="15"/>
    </row>
    <row r="1958" spans="3:18">
      <c r="C1958" s="5"/>
      <c r="R1958" s="15"/>
    </row>
    <row r="1959" spans="3:18">
      <c r="C1959" s="5"/>
      <c r="R1959" s="15"/>
    </row>
    <row r="1960" spans="3:18">
      <c r="C1960" s="5"/>
      <c r="R1960" s="15"/>
    </row>
    <row r="1961" spans="3:18">
      <c r="C1961" s="5"/>
      <c r="R1961" s="15"/>
    </row>
    <row r="1962" spans="3:18">
      <c r="C1962" s="5"/>
      <c r="R1962" s="15"/>
    </row>
    <row r="1963" spans="3:18">
      <c r="C1963" s="5"/>
      <c r="R1963" s="15"/>
    </row>
    <row r="1964" spans="3:18">
      <c r="C1964" s="5"/>
      <c r="R1964" s="15"/>
    </row>
    <row r="1965" spans="3:18">
      <c r="C1965" s="5"/>
      <c r="R1965" s="15"/>
    </row>
    <row r="1966" spans="3:18">
      <c r="C1966" s="5"/>
      <c r="R1966" s="15"/>
    </row>
    <row r="1967" spans="3:18">
      <c r="C1967" s="5"/>
      <c r="R1967" s="15"/>
    </row>
    <row r="1968" spans="3:18">
      <c r="C1968" s="5"/>
      <c r="R1968" s="15"/>
    </row>
    <row r="1969" spans="3:18">
      <c r="C1969" s="5"/>
      <c r="R1969" s="15"/>
    </row>
    <row r="1970" spans="3:18">
      <c r="C1970" s="5"/>
      <c r="R1970" s="15"/>
    </row>
    <row r="1971" spans="3:18">
      <c r="C1971" s="5"/>
      <c r="R1971" s="15"/>
    </row>
    <row r="1972" spans="3:18">
      <c r="C1972" s="5"/>
      <c r="R1972" s="15"/>
    </row>
    <row r="1973" spans="3:18">
      <c r="C1973" s="5"/>
      <c r="R1973" s="15"/>
    </row>
    <row r="1974" spans="3:18">
      <c r="C1974" s="5"/>
      <c r="R1974" s="15"/>
    </row>
    <row r="1975" spans="3:18">
      <c r="C1975" s="5"/>
      <c r="R1975" s="15"/>
    </row>
    <row r="1976" spans="3:18">
      <c r="C1976" s="5"/>
      <c r="R1976" s="15"/>
    </row>
    <row r="1977" spans="3:18">
      <c r="C1977" s="5"/>
      <c r="R1977" s="15"/>
    </row>
    <row r="1978" spans="3:18">
      <c r="C1978" s="5"/>
      <c r="R1978" s="15"/>
    </row>
    <row r="1979" spans="3:18">
      <c r="C1979" s="5"/>
      <c r="R1979" s="15"/>
    </row>
    <row r="1980" spans="3:18">
      <c r="C1980" s="5"/>
      <c r="R1980" s="15"/>
    </row>
    <row r="1981" spans="3:18">
      <c r="C1981" s="5"/>
      <c r="R1981" s="15"/>
    </row>
    <row r="1982" spans="3:18">
      <c r="C1982" s="5"/>
      <c r="R1982" s="15"/>
    </row>
    <row r="1983" spans="3:18">
      <c r="C1983" s="5"/>
      <c r="R1983" s="15"/>
    </row>
    <row r="1984" spans="3:18">
      <c r="C1984" s="5"/>
      <c r="R1984" s="15"/>
    </row>
    <row r="1985" spans="3:18">
      <c r="C1985" s="5"/>
      <c r="R1985" s="15"/>
    </row>
    <row r="1986" spans="3:18">
      <c r="C1986" s="5"/>
      <c r="R1986" s="15"/>
    </row>
    <row r="1987" spans="3:18">
      <c r="C1987" s="5"/>
      <c r="R1987" s="15"/>
    </row>
    <row r="1988" spans="3:18">
      <c r="C1988" s="5"/>
      <c r="R1988" s="15"/>
    </row>
    <row r="1989" spans="3:18">
      <c r="C1989" s="5"/>
      <c r="R1989" s="15"/>
    </row>
    <row r="1990" spans="3:18">
      <c r="C1990" s="5"/>
      <c r="R1990" s="15"/>
    </row>
    <row r="1991" spans="3:18">
      <c r="C1991" s="5"/>
      <c r="R1991" s="15"/>
    </row>
    <row r="1992" spans="3:18">
      <c r="C1992" s="5"/>
      <c r="R1992" s="15"/>
    </row>
    <row r="1993" spans="3:18">
      <c r="C1993" s="5"/>
      <c r="R1993" s="15"/>
    </row>
    <row r="1994" spans="3:18">
      <c r="C1994" s="5"/>
      <c r="R1994" s="15"/>
    </row>
    <row r="1995" spans="3:18">
      <c r="C1995" s="5"/>
      <c r="R1995" s="15"/>
    </row>
    <row r="1996" spans="3:18">
      <c r="C1996" s="5"/>
      <c r="R1996" s="15"/>
    </row>
    <row r="1997" spans="3:18">
      <c r="C1997" s="5"/>
      <c r="R1997" s="15"/>
    </row>
    <row r="1998" spans="3:18">
      <c r="C1998" s="5"/>
      <c r="R1998" s="15"/>
    </row>
    <row r="1999" spans="3:18">
      <c r="C1999" s="5"/>
      <c r="R1999" s="15"/>
    </row>
    <row r="2000" spans="3:18">
      <c r="C2000" s="5"/>
      <c r="R2000" s="15"/>
    </row>
    <row r="2001" spans="3:18">
      <c r="C2001" s="5"/>
      <c r="R2001" s="15"/>
    </row>
    <row r="2002" spans="3:18">
      <c r="C2002" s="5"/>
      <c r="R2002" s="15"/>
    </row>
    <row r="2003" spans="3:18">
      <c r="C2003" s="5"/>
      <c r="R2003" s="15"/>
    </row>
    <row r="2004" spans="3:18">
      <c r="C2004" s="5"/>
      <c r="R2004" s="15"/>
    </row>
    <row r="2005" spans="3:18">
      <c r="C2005" s="5"/>
      <c r="R2005" s="15"/>
    </row>
    <row r="2006" spans="3:18">
      <c r="C2006" s="5"/>
      <c r="R2006" s="15"/>
    </row>
    <row r="2007" spans="3:18">
      <c r="C2007" s="5"/>
      <c r="R2007" s="15"/>
    </row>
    <row r="2008" spans="3:18">
      <c r="C2008" s="5"/>
      <c r="R2008" s="15"/>
    </row>
    <row r="2009" spans="3:18">
      <c r="C2009" s="5"/>
      <c r="R2009" s="15"/>
    </row>
    <row r="2010" spans="3:18">
      <c r="C2010" s="5"/>
      <c r="R2010" s="15"/>
    </row>
    <row r="2011" spans="3:18">
      <c r="C2011" s="5"/>
      <c r="R2011" s="15"/>
    </row>
    <row r="2012" spans="3:18">
      <c r="C2012" s="5"/>
      <c r="R2012" s="15"/>
    </row>
    <row r="2013" spans="3:18">
      <c r="C2013" s="5"/>
      <c r="R2013" s="15"/>
    </row>
    <row r="2014" spans="3:18">
      <c r="C2014" s="5"/>
      <c r="R2014" s="15"/>
    </row>
    <row r="2015" spans="3:18">
      <c r="C2015" s="5"/>
      <c r="R2015" s="15"/>
    </row>
    <row r="2016" spans="3:18">
      <c r="C2016" s="5"/>
      <c r="R2016" s="15"/>
    </row>
    <row r="2017" spans="3:18">
      <c r="C2017" s="5"/>
      <c r="R2017" s="15"/>
    </row>
    <row r="2018" spans="3:18">
      <c r="C2018" s="5"/>
      <c r="R2018" s="15"/>
    </row>
    <row r="2019" spans="3:18">
      <c r="C2019" s="5"/>
      <c r="R2019" s="15"/>
    </row>
    <row r="2020" spans="3:18">
      <c r="C2020" s="5"/>
      <c r="R2020" s="15"/>
    </row>
    <row r="2021" spans="3:18">
      <c r="C2021" s="5"/>
      <c r="R2021" s="15"/>
    </row>
    <row r="2022" spans="3:18">
      <c r="C2022" s="5"/>
      <c r="R2022" s="15"/>
    </row>
    <row r="2023" spans="3:18">
      <c r="C2023" s="5"/>
      <c r="R2023" s="15"/>
    </row>
    <row r="2024" spans="3:18">
      <c r="C2024" s="5"/>
      <c r="R2024" s="15"/>
    </row>
    <row r="2025" spans="3:18">
      <c r="C2025" s="5"/>
      <c r="R2025" s="15"/>
    </row>
    <row r="2026" spans="3:18">
      <c r="C2026" s="5"/>
      <c r="R2026" s="15"/>
    </row>
    <row r="2027" spans="3:18">
      <c r="C2027" s="5"/>
      <c r="R2027" s="15"/>
    </row>
    <row r="2028" spans="3:18">
      <c r="C2028" s="5"/>
      <c r="R2028" s="15"/>
    </row>
    <row r="2029" spans="3:18">
      <c r="C2029" s="5"/>
      <c r="R2029" s="15"/>
    </row>
    <row r="2030" spans="3:18">
      <c r="C2030" s="5"/>
      <c r="R2030" s="15"/>
    </row>
    <row r="2031" spans="3:18">
      <c r="C2031" s="5"/>
      <c r="R2031" s="15"/>
    </row>
    <row r="2032" spans="3:18">
      <c r="C2032" s="5"/>
      <c r="R2032" s="15"/>
    </row>
    <row r="2033" spans="3:18">
      <c r="C2033" s="5"/>
      <c r="R2033" s="15"/>
    </row>
    <row r="2034" spans="3:18">
      <c r="C2034" s="5"/>
      <c r="R2034" s="15"/>
    </row>
    <row r="2035" spans="3:18">
      <c r="C2035" s="5"/>
      <c r="R2035" s="15"/>
    </row>
    <row r="2036" spans="3:18">
      <c r="C2036" s="5"/>
      <c r="R2036" s="15"/>
    </row>
    <row r="2037" spans="3:18">
      <c r="C2037" s="5"/>
      <c r="R2037" s="15"/>
    </row>
    <row r="2038" spans="3:18">
      <c r="C2038" s="5"/>
      <c r="R2038" s="15"/>
    </row>
    <row r="2039" spans="3:18">
      <c r="C2039" s="5"/>
      <c r="R2039" s="15"/>
    </row>
    <row r="2040" spans="3:18">
      <c r="C2040" s="5"/>
      <c r="R2040" s="15"/>
    </row>
    <row r="2041" spans="3:18">
      <c r="C2041" s="5"/>
      <c r="R2041" s="15"/>
    </row>
    <row r="2042" spans="3:18">
      <c r="C2042" s="5"/>
      <c r="R2042" s="15"/>
    </row>
    <row r="2043" spans="3:18">
      <c r="C2043" s="5"/>
      <c r="R2043" s="15"/>
    </row>
    <row r="2044" spans="3:18">
      <c r="C2044" s="5"/>
      <c r="R2044" s="15"/>
    </row>
    <row r="2045" spans="3:18">
      <c r="C2045" s="5"/>
      <c r="R2045" s="15"/>
    </row>
    <row r="2046" spans="3:18">
      <c r="C2046" s="5"/>
      <c r="R2046" s="15"/>
    </row>
    <row r="2047" spans="3:18">
      <c r="C2047" s="5"/>
      <c r="R2047" s="15"/>
    </row>
    <row r="2048" spans="3:18">
      <c r="C2048" s="5"/>
      <c r="R2048" s="15"/>
    </row>
    <row r="2049" spans="3:18">
      <c r="C2049" s="5"/>
      <c r="R2049" s="15"/>
    </row>
    <row r="2050" spans="3:18">
      <c r="C2050" s="5"/>
      <c r="R2050" s="15"/>
    </row>
    <row r="2051" spans="3:18">
      <c r="C2051" s="5"/>
      <c r="R2051" s="15"/>
    </row>
    <row r="2052" spans="3:18">
      <c r="C2052" s="5"/>
      <c r="R2052" s="15"/>
    </row>
    <row r="2053" spans="3:18">
      <c r="C2053" s="5"/>
      <c r="R2053" s="15"/>
    </row>
    <row r="2054" spans="3:18">
      <c r="C2054" s="5"/>
      <c r="R2054" s="15"/>
    </row>
    <row r="2055" spans="3:18">
      <c r="C2055" s="5"/>
      <c r="R2055" s="15"/>
    </row>
    <row r="2056" spans="3:18">
      <c r="C2056" s="5"/>
      <c r="R2056" s="15"/>
    </row>
    <row r="2057" spans="3:18">
      <c r="C2057" s="5"/>
      <c r="R2057" s="15"/>
    </row>
    <row r="2058" spans="3:18">
      <c r="C2058" s="5"/>
      <c r="R2058" s="15"/>
    </row>
    <row r="2059" spans="3:18">
      <c r="C2059" s="5"/>
      <c r="R2059" s="15"/>
    </row>
    <row r="2060" spans="3:18">
      <c r="C2060" s="5"/>
      <c r="R2060" s="15"/>
    </row>
    <row r="2061" spans="3:18">
      <c r="C2061" s="5"/>
      <c r="R2061" s="15"/>
    </row>
    <row r="2062" spans="3:18">
      <c r="C2062" s="5"/>
      <c r="R2062" s="15"/>
    </row>
    <row r="2063" spans="3:18">
      <c r="C2063" s="5"/>
      <c r="R2063" s="15"/>
    </row>
    <row r="2064" spans="3:18">
      <c r="C2064" s="5"/>
      <c r="R2064" s="15"/>
    </row>
    <row r="2065" spans="3:18">
      <c r="C2065" s="5"/>
      <c r="R2065" s="15"/>
    </row>
    <row r="2066" spans="3:18">
      <c r="C2066" s="5"/>
      <c r="R2066" s="15"/>
    </row>
    <row r="2067" spans="3:18">
      <c r="C2067" s="5"/>
      <c r="R2067" s="15"/>
    </row>
    <row r="2068" spans="3:18">
      <c r="C2068" s="5"/>
      <c r="R2068" s="15"/>
    </row>
    <row r="2069" spans="3:18">
      <c r="C2069" s="5"/>
      <c r="R2069" s="15"/>
    </row>
    <row r="2070" spans="3:18">
      <c r="C2070" s="5"/>
      <c r="R2070" s="15"/>
    </row>
    <row r="2071" spans="3:18">
      <c r="C2071" s="5"/>
      <c r="R2071" s="15"/>
    </row>
    <row r="2072" spans="3:18">
      <c r="C2072" s="5"/>
      <c r="R2072" s="15"/>
    </row>
    <row r="2073" spans="3:18">
      <c r="C2073" s="5"/>
      <c r="R2073" s="15"/>
    </row>
    <row r="2074" spans="3:18">
      <c r="C2074" s="5"/>
      <c r="R2074" s="15"/>
    </row>
    <row r="2075" spans="3:18">
      <c r="C2075" s="5"/>
      <c r="R2075" s="15"/>
    </row>
    <row r="2076" spans="3:18">
      <c r="C2076" s="5"/>
      <c r="R2076" s="15"/>
    </row>
    <row r="2077" spans="3:18">
      <c r="C2077" s="5"/>
      <c r="R2077" s="15"/>
    </row>
    <row r="2078" spans="3:18">
      <c r="C2078" s="5"/>
      <c r="R2078" s="15"/>
    </row>
    <row r="2079" spans="3:18">
      <c r="C2079" s="5"/>
      <c r="R2079" s="15"/>
    </row>
    <row r="2080" spans="3:18">
      <c r="C2080" s="5"/>
      <c r="R2080" s="15"/>
    </row>
    <row r="2081" spans="3:18">
      <c r="C2081" s="5"/>
      <c r="R2081" s="15"/>
    </row>
    <row r="2082" spans="3:18">
      <c r="C2082" s="5"/>
      <c r="R2082" s="15"/>
    </row>
    <row r="2083" spans="3:18">
      <c r="C2083" s="5"/>
      <c r="R2083" s="15"/>
    </row>
    <row r="2084" spans="3:18">
      <c r="C2084" s="5"/>
      <c r="R2084" s="15"/>
    </row>
    <row r="2085" spans="3:18">
      <c r="C2085" s="5"/>
      <c r="R2085" s="15"/>
    </row>
    <row r="2086" spans="3:18">
      <c r="C2086" s="5"/>
      <c r="R2086" s="15"/>
    </row>
    <row r="2087" spans="3:18">
      <c r="C2087" s="5"/>
      <c r="R2087" s="15"/>
    </row>
    <row r="2088" spans="3:18">
      <c r="C2088" s="5"/>
      <c r="R2088" s="15"/>
    </row>
    <row r="2089" spans="3:18">
      <c r="C2089" s="5"/>
      <c r="R2089" s="15"/>
    </row>
    <row r="2090" spans="3:18">
      <c r="C2090" s="5"/>
      <c r="R2090" s="15"/>
    </row>
    <row r="2091" spans="3:18">
      <c r="C2091" s="5"/>
      <c r="R2091" s="15"/>
    </row>
    <row r="2092" spans="3:18">
      <c r="C2092" s="5"/>
      <c r="R2092" s="15"/>
    </row>
    <row r="2093" spans="3:18">
      <c r="C2093" s="5"/>
      <c r="R2093" s="15"/>
    </row>
    <row r="2094" spans="3:18">
      <c r="C2094" s="5"/>
      <c r="R2094" s="15"/>
    </row>
    <row r="2095" spans="3:18">
      <c r="C2095" s="5"/>
      <c r="R2095" s="15"/>
    </row>
    <row r="2096" spans="3:18">
      <c r="C2096" s="5"/>
      <c r="R2096" s="15"/>
    </row>
    <row r="2097" spans="3:18">
      <c r="C2097" s="5"/>
      <c r="R2097" s="15"/>
    </row>
    <row r="2098" spans="3:18">
      <c r="C2098" s="5"/>
      <c r="R2098" s="15"/>
    </row>
    <row r="2099" spans="3:18">
      <c r="C2099" s="5"/>
      <c r="R2099" s="15"/>
    </row>
    <row r="2100" spans="3:18">
      <c r="C2100" s="5"/>
      <c r="R2100" s="15"/>
    </row>
    <row r="2101" spans="3:18">
      <c r="C2101" s="5"/>
      <c r="R2101" s="15"/>
    </row>
    <row r="2102" spans="3:18">
      <c r="C2102" s="5"/>
      <c r="R2102" s="15"/>
    </row>
    <row r="2103" spans="3:18">
      <c r="C2103" s="5"/>
      <c r="R2103" s="15"/>
    </row>
    <row r="2104" spans="3:18">
      <c r="C2104" s="5"/>
      <c r="R2104" s="15"/>
    </row>
    <row r="2105" spans="3:18">
      <c r="C2105" s="5"/>
      <c r="R2105" s="15"/>
    </row>
    <row r="2106" spans="3:18">
      <c r="C2106" s="5"/>
      <c r="R2106" s="15"/>
    </row>
    <row r="2107" spans="3:18">
      <c r="C2107" s="5"/>
      <c r="R2107" s="15"/>
    </row>
    <row r="2108" spans="3:18">
      <c r="C2108" s="5"/>
      <c r="R2108" s="15"/>
    </row>
    <row r="2109" spans="3:18">
      <c r="C2109" s="5"/>
      <c r="R2109" s="15"/>
    </row>
    <row r="2110" spans="3:18">
      <c r="C2110" s="5"/>
      <c r="R2110" s="15"/>
    </row>
    <row r="2111" spans="3:18">
      <c r="C2111" s="5"/>
      <c r="R2111" s="15"/>
    </row>
    <row r="2112" spans="3:18">
      <c r="C2112" s="5"/>
      <c r="R2112" s="15"/>
    </row>
    <row r="2113" spans="3:18">
      <c r="C2113" s="5"/>
      <c r="R2113" s="15"/>
    </row>
    <row r="2114" spans="3:18">
      <c r="C2114" s="5"/>
      <c r="R2114" s="15"/>
    </row>
    <row r="2115" spans="3:18">
      <c r="C2115" s="5"/>
      <c r="R2115" s="15"/>
    </row>
    <row r="2116" spans="3:18">
      <c r="C2116" s="5"/>
      <c r="R2116" s="15"/>
    </row>
    <row r="2117" spans="3:18">
      <c r="C2117" s="5"/>
      <c r="R2117" s="15"/>
    </row>
    <row r="2118" spans="3:18">
      <c r="C2118" s="5"/>
      <c r="R2118" s="15"/>
    </row>
    <row r="2119" spans="3:18">
      <c r="C2119" s="5"/>
      <c r="R2119" s="15"/>
    </row>
    <row r="2120" spans="3:18">
      <c r="C2120" s="5"/>
      <c r="R2120" s="15"/>
    </row>
    <row r="2121" spans="3:18">
      <c r="C2121" s="5"/>
      <c r="R2121" s="15"/>
    </row>
    <row r="2122" spans="3:18">
      <c r="C2122" s="5"/>
      <c r="R2122" s="15"/>
    </row>
    <row r="2123" spans="3:18">
      <c r="C2123" s="5"/>
      <c r="R2123" s="15"/>
    </row>
    <row r="2124" spans="3:18">
      <c r="C2124" s="5"/>
      <c r="R2124" s="15"/>
    </row>
    <row r="2125" spans="3:18">
      <c r="C2125" s="5"/>
      <c r="R2125" s="15"/>
    </row>
    <row r="2126" spans="3:18">
      <c r="C2126" s="5"/>
      <c r="R2126" s="15"/>
    </row>
    <row r="2127" spans="3:18">
      <c r="C2127" s="5"/>
      <c r="R2127" s="15"/>
    </row>
    <row r="2128" spans="3:18">
      <c r="C2128" s="5"/>
      <c r="R2128" s="15"/>
    </row>
    <row r="2129" spans="3:18">
      <c r="C2129" s="5"/>
      <c r="R2129" s="15"/>
    </row>
    <row r="2130" spans="3:18">
      <c r="C2130" s="5"/>
      <c r="R2130" s="15"/>
    </row>
    <row r="2131" spans="3:18">
      <c r="C2131" s="5"/>
      <c r="R2131" s="15"/>
    </row>
    <row r="2132" spans="3:18">
      <c r="C2132" s="5"/>
      <c r="R2132" s="15"/>
    </row>
    <row r="2133" spans="3:18">
      <c r="C2133" s="5"/>
      <c r="R2133" s="15"/>
    </row>
    <row r="2134" spans="3:18">
      <c r="C2134" s="5"/>
      <c r="R2134" s="15"/>
    </row>
    <row r="2135" spans="3:18">
      <c r="C2135" s="5"/>
      <c r="R2135" s="15"/>
    </row>
    <row r="2136" spans="3:18">
      <c r="C2136" s="5"/>
      <c r="R2136" s="15"/>
    </row>
    <row r="2137" spans="3:18">
      <c r="C2137" s="5"/>
      <c r="R2137" s="15"/>
    </row>
    <row r="2138" spans="3:18">
      <c r="C2138" s="5"/>
      <c r="R2138" s="15"/>
    </row>
    <row r="2139" spans="3:18">
      <c r="C2139" s="5"/>
      <c r="R2139" s="15"/>
    </row>
    <row r="2140" spans="3:18">
      <c r="C2140" s="5"/>
      <c r="R2140" s="15"/>
    </row>
    <row r="2141" spans="3:18">
      <c r="C2141" s="5"/>
      <c r="R2141" s="15"/>
    </row>
    <row r="2142" spans="3:18">
      <c r="C2142" s="5"/>
      <c r="R2142" s="15"/>
    </row>
    <row r="2143" spans="3:18">
      <c r="C2143" s="5"/>
      <c r="R2143" s="15"/>
    </row>
    <row r="2144" spans="3:18">
      <c r="C2144" s="5"/>
      <c r="R2144" s="15"/>
    </row>
    <row r="2145" spans="3:18">
      <c r="C2145" s="5"/>
      <c r="R2145" s="15"/>
    </row>
    <row r="2146" spans="3:18">
      <c r="C2146" s="5"/>
      <c r="R2146" s="15"/>
    </row>
    <row r="2147" spans="3:18">
      <c r="C2147" s="5"/>
      <c r="R2147" s="15"/>
    </row>
    <row r="2148" spans="3:18">
      <c r="C2148" s="5"/>
      <c r="R2148" s="15"/>
    </row>
    <row r="2149" spans="3:18">
      <c r="C2149" s="5"/>
      <c r="R2149" s="15"/>
    </row>
    <row r="2150" spans="3:18">
      <c r="C2150" s="5"/>
      <c r="R2150" s="15"/>
    </row>
    <row r="2151" spans="3:18">
      <c r="C2151" s="5"/>
      <c r="R2151" s="15"/>
    </row>
    <row r="2152" spans="3:18">
      <c r="C2152" s="5"/>
      <c r="R2152" s="15"/>
    </row>
    <row r="2153" spans="3:18">
      <c r="C2153" s="5"/>
      <c r="R2153" s="15"/>
    </row>
    <row r="2154" spans="3:18">
      <c r="C2154" s="5"/>
      <c r="R2154" s="15"/>
    </row>
    <row r="2155" spans="3:18">
      <c r="C2155" s="5"/>
      <c r="R2155" s="15"/>
    </row>
    <row r="2156" spans="3:18">
      <c r="C2156" s="5"/>
      <c r="R2156" s="15"/>
    </row>
    <row r="2157" spans="3:18">
      <c r="C2157" s="5"/>
      <c r="R2157" s="15"/>
    </row>
    <row r="2158" spans="3:18">
      <c r="C2158" s="5"/>
      <c r="R2158" s="15"/>
    </row>
    <row r="2159" spans="3:18">
      <c r="C2159" s="5"/>
      <c r="R2159" s="15"/>
    </row>
    <row r="2160" spans="3:18">
      <c r="C2160" s="5"/>
      <c r="R2160" s="15"/>
    </row>
    <row r="2161" spans="3:18">
      <c r="C2161" s="5"/>
      <c r="R2161" s="15"/>
    </row>
    <row r="2162" spans="3:18">
      <c r="C2162" s="5"/>
      <c r="R2162" s="15"/>
    </row>
    <row r="2163" spans="3:18">
      <c r="C2163" s="5"/>
      <c r="R2163" s="15"/>
    </row>
    <row r="2164" spans="3:18">
      <c r="C2164" s="5"/>
      <c r="R2164" s="15"/>
    </row>
    <row r="2165" spans="3:18">
      <c r="C2165" s="5"/>
      <c r="R2165" s="15"/>
    </row>
    <row r="2166" spans="3:18">
      <c r="C2166" s="5"/>
      <c r="R2166" s="15"/>
    </row>
    <row r="2167" spans="3:18">
      <c r="C2167" s="5"/>
      <c r="R2167" s="15"/>
    </row>
    <row r="2168" spans="3:18">
      <c r="C2168" s="5"/>
      <c r="R2168" s="15"/>
    </row>
    <row r="2169" spans="3:18">
      <c r="C2169" s="5"/>
      <c r="R2169" s="15"/>
    </row>
    <row r="2170" spans="3:18">
      <c r="C2170" s="5"/>
      <c r="R2170" s="15"/>
    </row>
    <row r="2171" spans="3:18">
      <c r="C2171" s="5"/>
      <c r="R2171" s="15"/>
    </row>
    <row r="2172" spans="3:18">
      <c r="C2172" s="5"/>
      <c r="R2172" s="15"/>
    </row>
    <row r="2173" spans="3:18">
      <c r="C2173" s="5"/>
      <c r="R2173" s="15"/>
    </row>
    <row r="2174" spans="3:18">
      <c r="C2174" s="5"/>
      <c r="R2174" s="15"/>
    </row>
    <row r="2175" spans="3:18">
      <c r="C2175" s="5"/>
      <c r="R2175" s="15"/>
    </row>
    <row r="2176" spans="3:18">
      <c r="C2176" s="5"/>
      <c r="R2176" s="15"/>
    </row>
    <row r="2177" spans="3:18">
      <c r="C2177" s="5"/>
      <c r="R2177" s="15"/>
    </row>
    <row r="2178" spans="3:18">
      <c r="C2178" s="5"/>
      <c r="R2178" s="15"/>
    </row>
    <row r="2179" spans="3:18">
      <c r="C2179" s="5"/>
      <c r="R2179" s="15"/>
    </row>
    <row r="2180" spans="3:18">
      <c r="C2180" s="5"/>
      <c r="R2180" s="15"/>
    </row>
    <row r="2181" spans="3:18">
      <c r="C2181" s="5"/>
      <c r="R2181" s="15"/>
    </row>
    <row r="2182" spans="3:18">
      <c r="C2182" s="5"/>
      <c r="R2182" s="15"/>
    </row>
    <row r="2183" spans="3:18">
      <c r="C2183" s="5"/>
      <c r="R2183" s="15"/>
    </row>
    <row r="2184" spans="3:18">
      <c r="C2184" s="5"/>
      <c r="R2184" s="15"/>
    </row>
    <row r="2185" spans="3:18">
      <c r="C2185" s="5"/>
      <c r="R2185" s="15"/>
    </row>
    <row r="2186" spans="3:18">
      <c r="C2186" s="5"/>
      <c r="R2186" s="15"/>
    </row>
    <row r="2187" spans="3:18">
      <c r="C2187" s="5"/>
      <c r="R2187" s="15"/>
    </row>
    <row r="2188" spans="3:18">
      <c r="C2188" s="5"/>
      <c r="R2188" s="15"/>
    </row>
    <row r="2189" spans="3:18">
      <c r="C2189" s="5"/>
      <c r="R2189" s="15"/>
    </row>
    <row r="2190" spans="3:18">
      <c r="C2190" s="5"/>
      <c r="R2190" s="15"/>
    </row>
    <row r="2191" spans="3:18">
      <c r="C2191" s="5"/>
      <c r="R2191" s="15"/>
    </row>
    <row r="2192" spans="3:18">
      <c r="C2192" s="5"/>
      <c r="R2192" s="15"/>
    </row>
    <row r="2193" spans="3:18">
      <c r="C2193" s="5"/>
      <c r="R2193" s="15"/>
    </row>
    <row r="2194" spans="3:18">
      <c r="C2194" s="5"/>
      <c r="R2194" s="15"/>
    </row>
    <row r="2195" spans="3:18">
      <c r="C2195" s="5"/>
      <c r="R2195" s="15"/>
    </row>
    <row r="2196" spans="3:18">
      <c r="C2196" s="5"/>
      <c r="R2196" s="15"/>
    </row>
    <row r="2197" spans="3:18">
      <c r="C2197" s="5"/>
      <c r="R2197" s="15"/>
    </row>
    <row r="2198" spans="3:18">
      <c r="C2198" s="5"/>
      <c r="R2198" s="15"/>
    </row>
    <row r="2199" spans="3:18">
      <c r="C2199" s="5"/>
      <c r="R2199" s="15"/>
    </row>
    <row r="2200" spans="3:18">
      <c r="C2200" s="5"/>
      <c r="R2200" s="15"/>
    </row>
    <row r="2201" spans="3:18">
      <c r="C2201" s="5"/>
      <c r="R2201" s="15"/>
    </row>
    <row r="2202" spans="3:18">
      <c r="C2202" s="5"/>
      <c r="R2202" s="15"/>
    </row>
    <row r="2203" spans="3:18">
      <c r="C2203" s="5"/>
      <c r="R2203" s="15"/>
    </row>
    <row r="2204" spans="3:18">
      <c r="C2204" s="5"/>
      <c r="R2204" s="15"/>
    </row>
    <row r="2205" spans="3:18">
      <c r="C2205" s="5"/>
      <c r="R2205" s="15"/>
    </row>
    <row r="2206" spans="3:18">
      <c r="C2206" s="5"/>
      <c r="R2206" s="15"/>
    </row>
    <row r="2207" spans="3:18">
      <c r="C2207" s="5"/>
      <c r="R2207" s="15"/>
    </row>
    <row r="2208" spans="3:18">
      <c r="C2208" s="5"/>
      <c r="R2208" s="15"/>
    </row>
    <row r="2209" spans="3:18">
      <c r="C2209" s="5"/>
      <c r="R2209" s="15"/>
    </row>
    <row r="2210" spans="3:18">
      <c r="C2210" s="5"/>
      <c r="R2210" s="15"/>
    </row>
    <row r="2211" spans="3:18">
      <c r="C2211" s="5"/>
      <c r="R2211" s="15"/>
    </row>
    <row r="2212" spans="3:18">
      <c r="C2212" s="5"/>
      <c r="R2212" s="15"/>
    </row>
    <row r="2213" spans="3:18">
      <c r="C2213" s="5"/>
      <c r="R2213" s="15"/>
    </row>
    <row r="2214" spans="3:18">
      <c r="C2214" s="5"/>
      <c r="R2214" s="15"/>
    </row>
    <row r="2215" spans="3:18">
      <c r="C2215" s="5"/>
      <c r="R2215" s="15"/>
    </row>
    <row r="2216" spans="3:18">
      <c r="C2216" s="5"/>
      <c r="R2216" s="15"/>
    </row>
    <row r="2217" spans="3:18">
      <c r="C2217" s="5"/>
      <c r="R2217" s="15"/>
    </row>
    <row r="2218" spans="3:18">
      <c r="C2218" s="5"/>
      <c r="R2218" s="15"/>
    </row>
    <row r="2219" spans="3:18">
      <c r="C2219" s="5"/>
      <c r="R2219" s="15"/>
    </row>
    <row r="2220" spans="3:18">
      <c r="C2220" s="5"/>
      <c r="R2220" s="15"/>
    </row>
    <row r="2221" spans="3:18">
      <c r="C2221" s="5"/>
      <c r="R2221" s="15"/>
    </row>
    <row r="2222" spans="3:18">
      <c r="C2222" s="5"/>
      <c r="R2222" s="15"/>
    </row>
    <row r="2223" spans="3:18">
      <c r="C2223" s="5"/>
      <c r="R2223" s="15"/>
    </row>
    <row r="2224" spans="3:18">
      <c r="C2224" s="5"/>
      <c r="R2224" s="15"/>
    </row>
    <row r="2225" spans="3:18">
      <c r="C2225" s="5"/>
      <c r="R2225" s="15"/>
    </row>
    <row r="2226" spans="3:18">
      <c r="C2226" s="5"/>
      <c r="R2226" s="15"/>
    </row>
    <row r="2227" spans="3:18">
      <c r="C2227" s="5"/>
      <c r="R2227" s="15"/>
    </row>
    <row r="2228" spans="3:18">
      <c r="C2228" s="5"/>
      <c r="R2228" s="15"/>
    </row>
    <row r="2229" spans="3:18">
      <c r="C2229" s="5"/>
      <c r="R2229" s="15"/>
    </row>
    <row r="2230" spans="3:18">
      <c r="C2230" s="5"/>
      <c r="R2230" s="15"/>
    </row>
    <row r="2231" spans="3:18">
      <c r="C2231" s="5"/>
      <c r="R2231" s="15"/>
    </row>
    <row r="2232" spans="3:18">
      <c r="C2232" s="5"/>
      <c r="R2232" s="15"/>
    </row>
    <row r="2233" spans="3:18">
      <c r="C2233" s="5"/>
      <c r="R2233" s="15"/>
    </row>
    <row r="2234" spans="3:18">
      <c r="C2234" s="5"/>
      <c r="R2234" s="15"/>
    </row>
    <row r="2235" spans="3:18">
      <c r="C2235" s="5"/>
      <c r="R2235" s="15"/>
    </row>
    <row r="2236" spans="3:18">
      <c r="C2236" s="5"/>
      <c r="R2236" s="15"/>
    </row>
    <row r="2237" spans="3:18">
      <c r="C2237" s="5"/>
      <c r="R2237" s="15"/>
    </row>
    <row r="2238" spans="3:18">
      <c r="C2238" s="5"/>
      <c r="R2238" s="15"/>
    </row>
    <row r="2239" spans="3:18">
      <c r="C2239" s="5"/>
      <c r="R2239" s="15"/>
    </row>
    <row r="2240" spans="3:18">
      <c r="C2240" s="5"/>
      <c r="R2240" s="15"/>
    </row>
    <row r="2241" spans="3:18">
      <c r="C2241" s="5"/>
      <c r="R2241" s="15"/>
    </row>
    <row r="2242" spans="3:18">
      <c r="C2242" s="5"/>
      <c r="R2242" s="15"/>
    </row>
    <row r="2243" spans="3:18">
      <c r="C2243" s="5"/>
      <c r="R2243" s="15"/>
    </row>
    <row r="2244" spans="3:18">
      <c r="C2244" s="5"/>
      <c r="R2244" s="15"/>
    </row>
    <row r="2245" spans="3:18">
      <c r="C2245" s="5"/>
      <c r="R2245" s="15"/>
    </row>
    <row r="2246" spans="3:18">
      <c r="C2246" s="5"/>
      <c r="R2246" s="15"/>
    </row>
    <row r="2247" spans="3:18">
      <c r="C2247" s="5"/>
      <c r="R2247" s="15"/>
    </row>
    <row r="2248" spans="3:18">
      <c r="C2248" s="5"/>
      <c r="R2248" s="15"/>
    </row>
    <row r="2249" spans="3:18">
      <c r="C2249" s="5"/>
      <c r="R2249" s="15"/>
    </row>
    <row r="2250" spans="3:18">
      <c r="C2250" s="5"/>
      <c r="R2250" s="15"/>
    </row>
    <row r="2251" spans="3:18">
      <c r="C2251" s="5"/>
      <c r="R2251" s="15"/>
    </row>
    <row r="2252" spans="3:18">
      <c r="C2252" s="5"/>
      <c r="R2252" s="15"/>
    </row>
    <row r="2253" spans="3:18">
      <c r="C2253" s="5"/>
      <c r="R2253" s="15"/>
    </row>
    <row r="2254" spans="3:18">
      <c r="C2254" s="5"/>
      <c r="R2254" s="15"/>
    </row>
    <row r="2255" spans="3:18">
      <c r="C2255" s="5"/>
      <c r="R2255" s="15"/>
    </row>
    <row r="2256" spans="3:18">
      <c r="C2256" s="5"/>
      <c r="R2256" s="15"/>
    </row>
    <row r="2257" spans="3:18">
      <c r="C2257" s="5"/>
      <c r="R2257" s="15"/>
    </row>
    <row r="2258" spans="3:18">
      <c r="C2258" s="5"/>
      <c r="R2258" s="15"/>
    </row>
    <row r="2259" spans="3:18">
      <c r="C2259" s="5"/>
      <c r="R2259" s="15"/>
    </row>
    <row r="2260" spans="3:18">
      <c r="C2260" s="5"/>
      <c r="R2260" s="15"/>
    </row>
    <row r="2261" spans="3:18">
      <c r="C2261" s="5"/>
      <c r="R2261" s="15"/>
    </row>
    <row r="2262" spans="3:18">
      <c r="C2262" s="5"/>
      <c r="R2262" s="15"/>
    </row>
    <row r="2263" spans="3:18">
      <c r="C2263" s="5"/>
      <c r="R2263" s="15"/>
    </row>
    <row r="2264" spans="3:18">
      <c r="C2264" s="5"/>
      <c r="R2264" s="15"/>
    </row>
    <row r="2265" spans="3:18">
      <c r="C2265" s="5"/>
      <c r="R2265" s="15"/>
    </row>
    <row r="2266" spans="3:18">
      <c r="C2266" s="5"/>
      <c r="R2266" s="15"/>
    </row>
    <row r="2267" spans="3:18">
      <c r="C2267" s="5"/>
      <c r="R2267" s="15"/>
    </row>
    <row r="2268" spans="3:18">
      <c r="C2268" s="5"/>
      <c r="R2268" s="15"/>
    </row>
    <row r="2269" spans="3:18">
      <c r="C2269" s="5"/>
      <c r="R2269" s="15"/>
    </row>
    <row r="2270" spans="3:18">
      <c r="C2270" s="5"/>
      <c r="R2270" s="15"/>
    </row>
    <row r="2271" spans="3:18">
      <c r="C2271" s="5"/>
      <c r="R2271" s="15"/>
    </row>
    <row r="2272" spans="3:18">
      <c r="C2272" s="5"/>
      <c r="R2272" s="15"/>
    </row>
    <row r="2273" spans="3:18">
      <c r="C2273" s="5"/>
      <c r="R2273" s="15"/>
    </row>
    <row r="2274" spans="3:18">
      <c r="C2274" s="5"/>
      <c r="R2274" s="15"/>
    </row>
    <row r="2275" spans="3:18">
      <c r="C2275" s="5"/>
      <c r="R2275" s="15"/>
    </row>
    <row r="2276" spans="3:18">
      <c r="C2276" s="5"/>
      <c r="R2276" s="15"/>
    </row>
    <row r="2277" spans="3:18">
      <c r="C2277" s="5"/>
      <c r="R2277" s="15"/>
    </row>
    <row r="2278" spans="3:18">
      <c r="C2278" s="5"/>
      <c r="R2278" s="15"/>
    </row>
    <row r="2279" spans="3:18">
      <c r="C2279" s="5"/>
      <c r="R2279" s="15"/>
    </row>
    <row r="2280" spans="3:18">
      <c r="C2280" s="5"/>
      <c r="R2280" s="15"/>
    </row>
    <row r="2281" spans="3:18">
      <c r="C2281" s="5"/>
      <c r="R2281" s="15"/>
    </row>
    <row r="2282" spans="3:18">
      <c r="C2282" s="5"/>
      <c r="R2282" s="15"/>
    </row>
    <row r="2283" spans="3:18">
      <c r="C2283" s="5"/>
      <c r="R2283" s="15"/>
    </row>
    <row r="2284" spans="3:18">
      <c r="C2284" s="5"/>
      <c r="R2284" s="15"/>
    </row>
    <row r="2285" spans="3:18">
      <c r="C2285" s="5"/>
      <c r="R2285" s="15"/>
    </row>
    <row r="2286" spans="3:18">
      <c r="C2286" s="5"/>
      <c r="R2286" s="15"/>
    </row>
    <row r="2287" spans="3:18">
      <c r="C2287" s="5"/>
      <c r="R2287" s="15"/>
    </row>
    <row r="2288" spans="3:18">
      <c r="C2288" s="5"/>
      <c r="R2288" s="15"/>
    </row>
    <row r="2289" spans="3:18">
      <c r="C2289" s="5"/>
      <c r="R2289" s="15"/>
    </row>
    <row r="2290" spans="3:18">
      <c r="C2290" s="5"/>
      <c r="R2290" s="15"/>
    </row>
    <row r="2291" spans="3:18">
      <c r="C2291" s="5"/>
      <c r="R2291" s="15"/>
    </row>
    <row r="2292" spans="3:18">
      <c r="C2292" s="5"/>
      <c r="R2292" s="15"/>
    </row>
    <row r="2293" spans="3:18">
      <c r="C2293" s="5"/>
      <c r="R2293" s="15"/>
    </row>
    <row r="2294" spans="3:18">
      <c r="C2294" s="5"/>
      <c r="R2294" s="15"/>
    </row>
    <row r="2295" spans="3:18">
      <c r="C2295" s="5"/>
      <c r="R2295" s="15"/>
    </row>
    <row r="2296" spans="3:18">
      <c r="C2296" s="5"/>
      <c r="R2296" s="15"/>
    </row>
    <row r="2297" spans="3:18">
      <c r="C2297" s="5"/>
      <c r="R2297" s="15"/>
    </row>
    <row r="2298" spans="3:18">
      <c r="C2298" s="5"/>
      <c r="R2298" s="15"/>
    </row>
    <row r="2299" spans="3:18">
      <c r="C2299" s="5"/>
      <c r="R2299" s="15"/>
    </row>
    <row r="2300" spans="3:18">
      <c r="C2300" s="5"/>
      <c r="R2300" s="15"/>
    </row>
    <row r="2301" spans="3:18">
      <c r="C2301" s="5"/>
      <c r="R2301" s="15"/>
    </row>
    <row r="2302" spans="3:18">
      <c r="C2302" s="5"/>
      <c r="R2302" s="15"/>
    </row>
    <row r="2303" spans="3:18">
      <c r="C2303" s="5"/>
      <c r="R2303" s="15"/>
    </row>
    <row r="2304" spans="3:18">
      <c r="C2304" s="5"/>
      <c r="R2304" s="15"/>
    </row>
    <row r="2305" spans="3:18">
      <c r="C2305" s="5"/>
      <c r="R2305" s="15"/>
    </row>
    <row r="2306" spans="3:18">
      <c r="C2306" s="5"/>
      <c r="R2306" s="15"/>
    </row>
    <row r="2307" spans="3:18">
      <c r="C2307" s="5"/>
      <c r="R2307" s="15"/>
    </row>
    <row r="2308" spans="3:18">
      <c r="C2308" s="5"/>
      <c r="R2308" s="15"/>
    </row>
    <row r="2309" spans="3:18">
      <c r="C2309" s="5"/>
      <c r="R2309" s="15"/>
    </row>
    <row r="2310" spans="3:18">
      <c r="C2310" s="5"/>
      <c r="R2310" s="15"/>
    </row>
    <row r="2311" spans="3:18">
      <c r="C2311" s="5"/>
      <c r="R2311" s="15"/>
    </row>
    <row r="2312" spans="3:18">
      <c r="C2312" s="5"/>
      <c r="R2312" s="15"/>
    </row>
    <row r="2313" spans="3:18">
      <c r="C2313" s="5"/>
      <c r="R2313" s="15"/>
    </row>
    <row r="2314" spans="3:18">
      <c r="C2314" s="5"/>
      <c r="R2314" s="15"/>
    </row>
    <row r="2315" spans="3:18">
      <c r="C2315" s="5"/>
      <c r="R2315" s="15"/>
    </row>
    <row r="2316" spans="3:18">
      <c r="C2316" s="5"/>
      <c r="R2316" s="15"/>
    </row>
    <row r="2317" spans="3:18">
      <c r="C2317" s="5"/>
      <c r="R2317" s="15"/>
    </row>
    <row r="2318" spans="3:18">
      <c r="C2318" s="5"/>
      <c r="R2318" s="15"/>
    </row>
    <row r="2319" spans="3:18">
      <c r="C2319" s="5"/>
      <c r="R2319" s="15"/>
    </row>
    <row r="2320" spans="3:18">
      <c r="C2320" s="5"/>
      <c r="R2320" s="15"/>
    </row>
    <row r="2321" spans="3:18">
      <c r="C2321" s="5"/>
      <c r="R2321" s="15"/>
    </row>
    <row r="2322" spans="3:18">
      <c r="C2322" s="5"/>
      <c r="R2322" s="15"/>
    </row>
    <row r="2323" spans="3:18">
      <c r="C2323" s="5"/>
      <c r="R2323" s="15"/>
    </row>
    <row r="2324" spans="3:18">
      <c r="C2324" s="5"/>
      <c r="R2324" s="15"/>
    </row>
    <row r="2325" spans="3:18">
      <c r="C2325" s="5"/>
      <c r="R2325" s="15"/>
    </row>
    <row r="2326" spans="3:18">
      <c r="C2326" s="5"/>
      <c r="R2326" s="15"/>
    </row>
    <row r="2327" spans="3:18">
      <c r="C2327" s="5"/>
      <c r="R2327" s="15"/>
    </row>
    <row r="2328" spans="3:18">
      <c r="C2328" s="5"/>
      <c r="R2328" s="15"/>
    </row>
    <row r="2329" spans="3:18">
      <c r="C2329" s="5"/>
      <c r="R2329" s="15"/>
    </row>
    <row r="2330" spans="3:18">
      <c r="C2330" s="5"/>
      <c r="R2330" s="15"/>
    </row>
    <row r="2331" spans="3:18">
      <c r="C2331" s="5"/>
      <c r="R2331" s="15"/>
    </row>
    <row r="2332" spans="3:18">
      <c r="C2332" s="5"/>
      <c r="R2332" s="15"/>
    </row>
    <row r="2333" spans="3:18">
      <c r="C2333" s="5"/>
      <c r="R2333" s="15"/>
    </row>
    <row r="2334" spans="3:18">
      <c r="C2334" s="5"/>
      <c r="R2334" s="15"/>
    </row>
    <row r="2335" spans="3:18">
      <c r="C2335" s="5"/>
      <c r="R2335" s="15"/>
    </row>
    <row r="2336" spans="3:18">
      <c r="C2336" s="5"/>
      <c r="R2336" s="15"/>
    </row>
    <row r="2337" spans="3:18">
      <c r="C2337" s="5"/>
      <c r="R2337" s="15"/>
    </row>
    <row r="2338" spans="3:18">
      <c r="C2338" s="5"/>
      <c r="R2338" s="15"/>
    </row>
    <row r="2339" spans="3:18">
      <c r="C2339" s="5"/>
      <c r="R2339" s="15"/>
    </row>
    <row r="2340" spans="3:18">
      <c r="C2340" s="5"/>
      <c r="R2340" s="15"/>
    </row>
    <row r="2341" spans="3:18">
      <c r="C2341" s="5"/>
      <c r="R2341" s="15"/>
    </row>
    <row r="2342" spans="3:18">
      <c r="C2342" s="5"/>
      <c r="R2342" s="15"/>
    </row>
    <row r="2343" spans="3:18">
      <c r="C2343" s="5"/>
      <c r="R2343" s="15"/>
    </row>
    <row r="2344" spans="3:18">
      <c r="C2344" s="5"/>
      <c r="R2344" s="15"/>
    </row>
    <row r="2345" spans="3:18">
      <c r="C2345" s="5"/>
      <c r="R2345" s="15"/>
    </row>
    <row r="2346" spans="3:18">
      <c r="C2346" s="5"/>
      <c r="R2346" s="15"/>
    </row>
    <row r="2347" spans="3:18">
      <c r="C2347" s="5"/>
      <c r="R2347" s="15"/>
    </row>
    <row r="2348" spans="3:18">
      <c r="C2348" s="5"/>
      <c r="R2348" s="15"/>
    </row>
    <row r="2349" spans="3:18">
      <c r="C2349" s="5"/>
      <c r="R2349" s="15"/>
    </row>
    <row r="2350" spans="3:18">
      <c r="C2350" s="5"/>
      <c r="R2350" s="15"/>
    </row>
    <row r="2351" spans="3:18">
      <c r="C2351" s="5"/>
      <c r="R2351" s="15"/>
    </row>
    <row r="2352" spans="3:18">
      <c r="C2352" s="5"/>
      <c r="R2352" s="15"/>
    </row>
    <row r="2353" spans="3:18">
      <c r="C2353" s="5"/>
      <c r="R2353" s="15"/>
    </row>
    <row r="2354" spans="3:18">
      <c r="C2354" s="5"/>
      <c r="R2354" s="15"/>
    </row>
    <row r="2355" spans="3:18">
      <c r="C2355" s="5"/>
      <c r="R2355" s="15"/>
    </row>
    <row r="2356" spans="3:18">
      <c r="C2356" s="5"/>
      <c r="R2356" s="15"/>
    </row>
    <row r="2357" spans="3:18">
      <c r="C2357" s="5"/>
      <c r="R2357" s="15"/>
    </row>
    <row r="2358" spans="3:18">
      <c r="C2358" s="5"/>
      <c r="R2358" s="15"/>
    </row>
    <row r="2359" spans="3:18">
      <c r="C2359" s="5"/>
      <c r="R2359" s="15"/>
    </row>
    <row r="2360" spans="3:18">
      <c r="C2360" s="5"/>
      <c r="R2360" s="15"/>
    </row>
    <row r="2361" spans="3:18">
      <c r="C2361" s="5"/>
      <c r="R2361" s="15"/>
    </row>
    <row r="2362" spans="3:18">
      <c r="C2362" s="5"/>
      <c r="R2362" s="15"/>
    </row>
    <row r="2363" spans="3:18">
      <c r="C2363" s="5"/>
      <c r="R2363" s="15"/>
    </row>
    <row r="2364" spans="3:18">
      <c r="C2364" s="5"/>
      <c r="R2364" s="15"/>
    </row>
    <row r="2365" spans="3:18">
      <c r="C2365" s="5"/>
      <c r="R2365" s="15"/>
    </row>
    <row r="2366" spans="3:18">
      <c r="C2366" s="5"/>
      <c r="R2366" s="15"/>
    </row>
    <row r="2367" spans="3:18">
      <c r="C2367" s="5"/>
      <c r="R2367" s="15"/>
    </row>
    <row r="2368" spans="3:18">
      <c r="C2368" s="5"/>
      <c r="R2368" s="15"/>
    </row>
    <row r="2369" spans="3:18">
      <c r="C2369" s="5"/>
      <c r="R2369" s="15"/>
    </row>
    <row r="2370" spans="3:18">
      <c r="C2370" s="5"/>
      <c r="R2370" s="15"/>
    </row>
    <row r="2371" spans="3:18">
      <c r="C2371" s="5"/>
      <c r="R2371" s="15"/>
    </row>
    <row r="2372" spans="3:18">
      <c r="C2372" s="5"/>
      <c r="R2372" s="15"/>
    </row>
    <row r="2373" spans="3:18">
      <c r="C2373" s="5"/>
      <c r="R2373" s="15"/>
    </row>
    <row r="2374" spans="3:18">
      <c r="C2374" s="5"/>
      <c r="R2374" s="15"/>
    </row>
    <row r="2375" spans="3:18">
      <c r="C2375" s="5"/>
      <c r="R2375" s="15"/>
    </row>
    <row r="2376" spans="3:18">
      <c r="C2376" s="5"/>
      <c r="R2376" s="15"/>
    </row>
    <row r="2377" spans="3:18">
      <c r="C2377" s="5"/>
      <c r="R2377" s="15"/>
    </row>
    <row r="2378" spans="3:18">
      <c r="C2378" s="5"/>
      <c r="R2378" s="15"/>
    </row>
    <row r="2379" spans="3:18">
      <c r="C2379" s="5"/>
      <c r="R2379" s="15"/>
    </row>
    <row r="2380" spans="3:18">
      <c r="C2380" s="5"/>
      <c r="R2380" s="15"/>
    </row>
    <row r="2381" spans="3:18">
      <c r="C2381" s="5"/>
      <c r="R2381" s="15"/>
    </row>
    <row r="2382" spans="3:18">
      <c r="C2382" s="5"/>
      <c r="R2382" s="15"/>
    </row>
    <row r="2383" spans="3:18">
      <c r="C2383" s="5"/>
      <c r="R2383" s="15"/>
    </row>
    <row r="2384" spans="3:18">
      <c r="C2384" s="5"/>
      <c r="R2384" s="15"/>
    </row>
    <row r="2385" spans="3:18">
      <c r="C2385" s="5"/>
      <c r="R2385" s="15"/>
    </row>
    <row r="2386" spans="3:18">
      <c r="C2386" s="5"/>
      <c r="R2386" s="15"/>
    </row>
    <row r="2387" spans="3:18">
      <c r="C2387" s="5"/>
      <c r="R2387" s="15"/>
    </row>
    <row r="2388" spans="3:18">
      <c r="C2388" s="5"/>
      <c r="R2388" s="15"/>
    </row>
    <row r="2389" spans="3:18">
      <c r="C2389" s="5"/>
      <c r="R2389" s="15"/>
    </row>
    <row r="2390" spans="3:18">
      <c r="C2390" s="5"/>
      <c r="R2390" s="15"/>
    </row>
    <row r="2391" spans="3:18">
      <c r="C2391" s="5"/>
      <c r="R2391" s="15"/>
    </row>
    <row r="2392" spans="3:18">
      <c r="C2392" s="5"/>
      <c r="R2392" s="15"/>
    </row>
    <row r="2393" spans="3:18">
      <c r="C2393" s="5"/>
      <c r="R2393" s="15"/>
    </row>
    <row r="2394" spans="3:18">
      <c r="C2394" s="5"/>
      <c r="R2394" s="15"/>
    </row>
    <row r="2395" spans="3:18">
      <c r="C2395" s="5"/>
      <c r="R2395" s="15"/>
    </row>
    <row r="2396" spans="3:18">
      <c r="C2396" s="5"/>
      <c r="R2396" s="15"/>
    </row>
    <row r="2397" spans="3:18">
      <c r="C2397" s="5"/>
      <c r="R2397" s="15"/>
    </row>
    <row r="2398" spans="3:18">
      <c r="C2398" s="5"/>
      <c r="R2398" s="15"/>
    </row>
    <row r="2399" spans="3:18">
      <c r="C2399" s="5"/>
      <c r="R2399" s="15"/>
    </row>
    <row r="2400" spans="3:18">
      <c r="C2400" s="5"/>
      <c r="R2400" s="15"/>
    </row>
    <row r="2401" spans="3:18">
      <c r="C2401" s="5"/>
      <c r="R2401" s="15"/>
    </row>
    <row r="2402" spans="3:18">
      <c r="C2402" s="5"/>
      <c r="R2402" s="15"/>
    </row>
    <row r="2403" spans="3:18">
      <c r="C2403" s="5"/>
      <c r="R2403" s="15"/>
    </row>
    <row r="2404" spans="3:18">
      <c r="C2404" s="5"/>
      <c r="R2404" s="15"/>
    </row>
    <row r="2405" spans="3:18">
      <c r="C2405" s="5"/>
      <c r="R2405" s="15"/>
    </row>
    <row r="2406" spans="3:18">
      <c r="C2406" s="5"/>
      <c r="R2406" s="15"/>
    </row>
    <row r="2407" spans="3:18">
      <c r="C2407" s="5"/>
      <c r="R2407" s="15"/>
    </row>
    <row r="2408" spans="3:18">
      <c r="C2408" s="5"/>
      <c r="R2408" s="15"/>
    </row>
    <row r="2409" spans="3:18">
      <c r="C2409" s="5"/>
      <c r="R2409" s="15"/>
    </row>
    <row r="2410" spans="3:18">
      <c r="C2410" s="5"/>
      <c r="R2410" s="15"/>
    </row>
    <row r="2411" spans="3:18">
      <c r="C2411" s="5"/>
      <c r="R2411" s="15"/>
    </row>
    <row r="2412" spans="3:18">
      <c r="C2412" s="5"/>
      <c r="R2412" s="15"/>
    </row>
    <row r="2413" spans="3:18">
      <c r="C2413" s="5"/>
      <c r="R2413" s="15"/>
    </row>
    <row r="2414" spans="3:18">
      <c r="C2414" s="5"/>
      <c r="R2414" s="15"/>
    </row>
    <row r="2415" spans="3:18">
      <c r="C2415" s="5"/>
      <c r="R2415" s="15"/>
    </row>
    <row r="2416" spans="3:18">
      <c r="C2416" s="5"/>
      <c r="R2416" s="15"/>
    </row>
    <row r="2417" spans="3:18">
      <c r="C2417" s="5"/>
      <c r="R2417" s="15"/>
    </row>
    <row r="2418" spans="3:18">
      <c r="C2418" s="5"/>
      <c r="R2418" s="15"/>
    </row>
    <row r="2419" spans="3:18">
      <c r="C2419" s="5"/>
      <c r="R2419" s="15"/>
    </row>
    <row r="2420" spans="3:18">
      <c r="C2420" s="5"/>
      <c r="R2420" s="15"/>
    </row>
    <row r="2421" spans="3:18">
      <c r="C2421" s="5"/>
      <c r="R2421" s="15"/>
    </row>
    <row r="2422" spans="3:18">
      <c r="C2422" s="5"/>
      <c r="R2422" s="15"/>
    </row>
    <row r="2423" spans="3:18">
      <c r="C2423" s="5"/>
      <c r="R2423" s="15"/>
    </row>
    <row r="2424" spans="3:18">
      <c r="C2424" s="5"/>
      <c r="R2424" s="15"/>
    </row>
    <row r="2425" spans="3:18">
      <c r="C2425" s="5"/>
      <c r="R2425" s="15"/>
    </row>
    <row r="2426" spans="3:18">
      <c r="C2426" s="5"/>
      <c r="R2426" s="15"/>
    </row>
    <row r="2427" spans="3:18">
      <c r="C2427" s="5"/>
      <c r="R2427" s="15"/>
    </row>
    <row r="2428" spans="3:18">
      <c r="C2428" s="5"/>
      <c r="R2428" s="15"/>
    </row>
    <row r="2429" spans="3:18">
      <c r="C2429" s="5"/>
      <c r="R2429" s="15"/>
    </row>
    <row r="2430" spans="3:18">
      <c r="C2430" s="5"/>
      <c r="R2430" s="15"/>
    </row>
    <row r="2431" spans="3:18">
      <c r="C2431" s="5"/>
      <c r="R2431" s="15"/>
    </row>
    <row r="2432" spans="3:18">
      <c r="C2432" s="5"/>
      <c r="R2432" s="15"/>
    </row>
    <row r="2433" spans="3:18">
      <c r="C2433" s="5"/>
      <c r="R2433" s="15"/>
    </row>
    <row r="2434" spans="3:18">
      <c r="C2434" s="5"/>
      <c r="R2434" s="15"/>
    </row>
    <row r="2435" spans="3:18">
      <c r="C2435" s="5"/>
      <c r="R2435" s="15"/>
    </row>
    <row r="2436" spans="3:18">
      <c r="C2436" s="5"/>
      <c r="R2436" s="15"/>
    </row>
    <row r="2437" spans="3:18">
      <c r="C2437" s="5"/>
      <c r="R2437" s="15"/>
    </row>
    <row r="2438" spans="3:18">
      <c r="C2438" s="5"/>
      <c r="R2438" s="15"/>
    </row>
    <row r="2439" spans="3:18">
      <c r="C2439" s="5"/>
      <c r="R2439" s="15"/>
    </row>
    <row r="2440" spans="3:18">
      <c r="C2440" s="5"/>
      <c r="R2440" s="15"/>
    </row>
    <row r="2441" spans="3:18">
      <c r="C2441" s="5"/>
      <c r="R2441" s="15"/>
    </row>
    <row r="2442" spans="3:18">
      <c r="C2442" s="5"/>
      <c r="R2442" s="15"/>
    </row>
    <row r="2443" spans="3:18">
      <c r="C2443" s="5"/>
      <c r="R2443" s="15"/>
    </row>
    <row r="2444" spans="3:18">
      <c r="C2444" s="5"/>
      <c r="R2444" s="15"/>
    </row>
    <row r="2445" spans="3:18">
      <c r="C2445" s="5"/>
      <c r="R2445" s="15"/>
    </row>
    <row r="2446" spans="3:18">
      <c r="C2446" s="5"/>
      <c r="R2446" s="15"/>
    </row>
    <row r="2447" spans="3:18">
      <c r="C2447" s="5"/>
      <c r="R2447" s="15"/>
    </row>
    <row r="2448" spans="3:18">
      <c r="C2448" s="5"/>
      <c r="R2448" s="15"/>
    </row>
    <row r="2449" spans="3:18">
      <c r="C2449" s="5"/>
      <c r="R2449" s="15"/>
    </row>
    <row r="2450" spans="3:18">
      <c r="C2450" s="5"/>
      <c r="R2450" s="15"/>
    </row>
    <row r="2451" spans="3:18">
      <c r="C2451" s="5"/>
      <c r="R2451" s="15"/>
    </row>
    <row r="2452" spans="3:18">
      <c r="C2452" s="5"/>
      <c r="R2452" s="15"/>
    </row>
    <row r="2453" spans="3:18">
      <c r="C2453" s="5"/>
      <c r="R2453" s="15"/>
    </row>
    <row r="2454" spans="3:18">
      <c r="C2454" s="5"/>
      <c r="R2454" s="15"/>
    </row>
    <row r="2455" spans="3:18">
      <c r="C2455" s="5"/>
      <c r="R2455" s="15"/>
    </row>
    <row r="2456" spans="3:18">
      <c r="C2456" s="5"/>
      <c r="R2456" s="15"/>
    </row>
    <row r="2457" spans="3:18">
      <c r="C2457" s="5"/>
      <c r="R2457" s="15"/>
    </row>
    <row r="2458" spans="3:18">
      <c r="C2458" s="5"/>
      <c r="R2458" s="15"/>
    </row>
    <row r="2459" spans="3:18">
      <c r="C2459" s="5"/>
      <c r="R2459" s="15"/>
    </row>
    <row r="2460" spans="3:18">
      <c r="C2460" s="5"/>
      <c r="R2460" s="15"/>
    </row>
    <row r="2461" spans="3:18">
      <c r="C2461" s="5"/>
      <c r="R2461" s="15"/>
    </row>
    <row r="2462" spans="3:18">
      <c r="C2462" s="5"/>
      <c r="R2462" s="15"/>
    </row>
    <row r="2463" spans="3:18">
      <c r="C2463" s="5"/>
      <c r="R2463" s="15"/>
    </row>
    <row r="2464" spans="3:18">
      <c r="C2464" s="5"/>
      <c r="R2464" s="15"/>
    </row>
    <row r="2465" spans="3:18">
      <c r="C2465" s="5"/>
      <c r="R2465" s="15"/>
    </row>
    <row r="2466" spans="3:18">
      <c r="C2466" s="5"/>
      <c r="R2466" s="15"/>
    </row>
    <row r="2467" spans="3:18">
      <c r="C2467" s="5"/>
      <c r="R2467" s="15"/>
    </row>
    <row r="2468" spans="3:18">
      <c r="C2468" s="5"/>
      <c r="R2468" s="15"/>
    </row>
    <row r="2469" spans="3:18">
      <c r="C2469" s="5"/>
      <c r="R2469" s="15"/>
    </row>
    <row r="2470" spans="3:18">
      <c r="C2470" s="5"/>
      <c r="R2470" s="15"/>
    </row>
    <row r="2471" spans="3:18">
      <c r="C2471" s="5"/>
      <c r="R2471" s="15"/>
    </row>
    <row r="2472" spans="3:18">
      <c r="C2472" s="5"/>
      <c r="R2472" s="15"/>
    </row>
    <row r="2473" spans="3:18">
      <c r="C2473" s="5"/>
      <c r="R2473" s="15"/>
    </row>
    <row r="2474" spans="3:18">
      <c r="C2474" s="5"/>
      <c r="R2474" s="15"/>
    </row>
    <row r="2475" spans="3:18">
      <c r="C2475" s="5"/>
      <c r="R2475" s="15"/>
    </row>
    <row r="2476" spans="3:18">
      <c r="C2476" s="5"/>
      <c r="R2476" s="15"/>
    </row>
    <row r="2477" spans="3:18">
      <c r="C2477" s="5"/>
      <c r="R2477" s="15"/>
    </row>
    <row r="2478" spans="3:18">
      <c r="C2478" s="5"/>
      <c r="R2478" s="15"/>
    </row>
    <row r="2479" spans="3:18">
      <c r="C2479" s="5"/>
      <c r="R2479" s="15"/>
    </row>
    <row r="2480" spans="3:18">
      <c r="C2480" s="5"/>
      <c r="R2480" s="15"/>
    </row>
    <row r="2481" spans="3:18">
      <c r="C2481" s="5"/>
      <c r="R2481" s="15"/>
    </row>
    <row r="2482" spans="3:18">
      <c r="C2482" s="5"/>
      <c r="R2482" s="15"/>
    </row>
    <row r="2483" spans="3:18">
      <c r="C2483" s="5"/>
      <c r="R2483" s="15"/>
    </row>
    <row r="2484" spans="3:18">
      <c r="C2484" s="5"/>
      <c r="R2484" s="15"/>
    </row>
    <row r="2485" spans="3:18">
      <c r="C2485" s="5"/>
      <c r="R2485" s="15"/>
    </row>
    <row r="2486" spans="3:18">
      <c r="C2486" s="5"/>
      <c r="R2486" s="15"/>
    </row>
    <row r="2487" spans="3:18">
      <c r="C2487" s="5"/>
      <c r="R2487" s="15"/>
    </row>
    <row r="2488" spans="3:18">
      <c r="C2488" s="5"/>
      <c r="R2488" s="15"/>
    </row>
    <row r="2489" spans="3:18">
      <c r="C2489" s="5"/>
      <c r="R2489" s="15"/>
    </row>
    <row r="2490" spans="3:18">
      <c r="C2490" s="5"/>
      <c r="R2490" s="15"/>
    </row>
    <row r="2491" spans="3:18">
      <c r="C2491" s="5"/>
      <c r="R2491" s="15"/>
    </row>
    <row r="2492" spans="3:18">
      <c r="C2492" s="5"/>
      <c r="R2492" s="15"/>
    </row>
    <row r="2493" spans="3:18">
      <c r="C2493" s="5"/>
      <c r="R2493" s="15"/>
    </row>
    <row r="2494" spans="3:18">
      <c r="C2494" s="5"/>
      <c r="R2494" s="15"/>
    </row>
    <row r="2495" spans="3:18">
      <c r="C2495" s="5"/>
      <c r="R2495" s="15"/>
    </row>
    <row r="2496" spans="3:18">
      <c r="C2496" s="5"/>
      <c r="R2496" s="15"/>
    </row>
    <row r="2497" spans="3:18">
      <c r="C2497" s="5"/>
      <c r="R2497" s="15"/>
    </row>
    <row r="2498" spans="3:18">
      <c r="C2498" s="5"/>
      <c r="R2498" s="15"/>
    </row>
    <row r="2499" spans="3:18">
      <c r="C2499" s="5"/>
      <c r="R2499" s="15"/>
    </row>
    <row r="2500" spans="3:18">
      <c r="C2500" s="5"/>
      <c r="R2500" s="15"/>
    </row>
    <row r="2501" spans="3:18">
      <c r="C2501" s="5"/>
      <c r="R2501" s="15"/>
    </row>
    <row r="2502" spans="3:18">
      <c r="C2502" s="5"/>
      <c r="R2502" s="15"/>
    </row>
    <row r="2503" spans="3:18">
      <c r="C2503" s="5"/>
      <c r="R2503" s="15"/>
    </row>
    <row r="2504" spans="3:18">
      <c r="C2504" s="5"/>
      <c r="R2504" s="15"/>
    </row>
    <row r="2505" spans="3:18">
      <c r="C2505" s="5"/>
      <c r="R2505" s="15"/>
    </row>
    <row r="2506" spans="3:18">
      <c r="C2506" s="5"/>
      <c r="R2506" s="15"/>
    </row>
    <row r="2507" spans="3:18">
      <c r="C2507" s="5"/>
      <c r="R2507" s="15"/>
    </row>
    <row r="2508" spans="3:18">
      <c r="C2508" s="5"/>
      <c r="R2508" s="15"/>
    </row>
    <row r="2509" spans="3:18">
      <c r="C2509" s="5"/>
      <c r="R2509" s="15"/>
    </row>
    <row r="2510" spans="3:18">
      <c r="C2510" s="5"/>
      <c r="R2510" s="15"/>
    </row>
    <row r="2511" spans="3:18">
      <c r="C2511" s="5"/>
      <c r="R2511" s="15"/>
    </row>
    <row r="2512" spans="3:18">
      <c r="C2512" s="5"/>
      <c r="R2512" s="15"/>
    </row>
    <row r="2513" spans="3:18">
      <c r="C2513" s="5"/>
      <c r="R2513" s="15"/>
    </row>
    <row r="2514" spans="3:18">
      <c r="C2514" s="5"/>
      <c r="R2514" s="15"/>
    </row>
    <row r="2515" spans="3:18">
      <c r="C2515" s="5"/>
      <c r="R2515" s="15"/>
    </row>
    <row r="2516" spans="3:18">
      <c r="C2516" s="5"/>
      <c r="R2516" s="15"/>
    </row>
    <row r="2517" spans="3:18">
      <c r="C2517" s="5"/>
      <c r="R2517" s="15"/>
    </row>
    <row r="2518" spans="3:18">
      <c r="C2518" s="5"/>
      <c r="R2518" s="15"/>
    </row>
    <row r="2519" spans="3:18">
      <c r="C2519" s="5"/>
      <c r="R2519" s="15"/>
    </row>
    <row r="2520" spans="3:18">
      <c r="C2520" s="5"/>
      <c r="R2520" s="15"/>
    </row>
    <row r="2521" spans="3:18">
      <c r="C2521" s="5"/>
      <c r="R2521" s="15"/>
    </row>
    <row r="2522" spans="3:18">
      <c r="C2522" s="5"/>
      <c r="R2522" s="15"/>
    </row>
    <row r="2523" spans="3:18">
      <c r="C2523" s="5"/>
      <c r="R2523" s="15"/>
    </row>
    <row r="2524" spans="3:18">
      <c r="C2524" s="5"/>
      <c r="R2524" s="15"/>
    </row>
    <row r="2525" spans="3:18">
      <c r="C2525" s="5"/>
      <c r="R2525" s="15"/>
    </row>
    <row r="2526" spans="3:18">
      <c r="C2526" s="5"/>
      <c r="R2526" s="15"/>
    </row>
    <row r="2527" spans="3:18">
      <c r="C2527" s="5"/>
      <c r="R2527" s="15"/>
    </row>
    <row r="2528" spans="3:18">
      <c r="C2528" s="5"/>
      <c r="R2528" s="15"/>
    </row>
    <row r="2529" spans="3:18">
      <c r="C2529" s="5"/>
      <c r="R2529" s="15"/>
    </row>
    <row r="2530" spans="3:18">
      <c r="C2530" s="5"/>
      <c r="R2530" s="15"/>
    </row>
    <row r="2531" spans="3:18">
      <c r="C2531" s="5"/>
      <c r="R2531" s="15"/>
    </row>
    <row r="2532" spans="3:18">
      <c r="C2532" s="5"/>
      <c r="R2532" s="15"/>
    </row>
    <row r="2533" spans="3:18">
      <c r="C2533" s="5"/>
      <c r="R2533" s="15"/>
    </row>
    <row r="2534" spans="3:18">
      <c r="C2534" s="5"/>
      <c r="R2534" s="15"/>
    </row>
    <row r="2535" spans="3:18">
      <c r="C2535" s="5"/>
      <c r="R2535" s="15"/>
    </row>
    <row r="2536" spans="3:18">
      <c r="C2536" s="5"/>
      <c r="R2536" s="15"/>
    </row>
    <row r="2537" spans="3:18">
      <c r="C2537" s="5"/>
      <c r="R2537" s="15"/>
    </row>
    <row r="2538" spans="3:18">
      <c r="C2538" s="5"/>
      <c r="R2538" s="15"/>
    </row>
    <row r="2539" spans="3:18">
      <c r="C2539" s="5"/>
      <c r="R2539" s="15"/>
    </row>
    <row r="2540" spans="3:18">
      <c r="C2540" s="5"/>
      <c r="R2540" s="15"/>
    </row>
    <row r="2541" spans="3:18">
      <c r="C2541" s="5"/>
      <c r="R2541" s="15"/>
    </row>
    <row r="2542" spans="3:18">
      <c r="C2542" s="5"/>
      <c r="R2542" s="15"/>
    </row>
    <row r="2543" spans="3:18">
      <c r="C2543" s="5"/>
      <c r="R2543" s="15"/>
    </row>
    <row r="2544" spans="3:18">
      <c r="C2544" s="5"/>
      <c r="R2544" s="15"/>
    </row>
    <row r="2545" spans="3:18">
      <c r="C2545" s="5"/>
      <c r="R2545" s="15"/>
    </row>
    <row r="2546" spans="3:18">
      <c r="C2546" s="5"/>
      <c r="R2546" s="15"/>
    </row>
    <row r="2547" spans="3:18">
      <c r="C2547" s="5"/>
      <c r="R2547" s="15"/>
    </row>
    <row r="2548" spans="3:18">
      <c r="C2548" s="5"/>
      <c r="R2548" s="15"/>
    </row>
    <row r="2549" spans="3:18">
      <c r="C2549" s="5"/>
      <c r="R2549" s="15"/>
    </row>
    <row r="2550" spans="3:18">
      <c r="C2550" s="5"/>
      <c r="R2550" s="15"/>
    </row>
    <row r="2551" spans="3:18">
      <c r="C2551" s="5"/>
      <c r="R2551" s="15"/>
    </row>
    <row r="2552" spans="3:18">
      <c r="C2552" s="5"/>
      <c r="R2552" s="15"/>
    </row>
    <row r="2553" spans="3:18">
      <c r="C2553" s="5"/>
      <c r="R2553" s="15"/>
    </row>
    <row r="2554" spans="3:18">
      <c r="C2554" s="5"/>
      <c r="R2554" s="15"/>
    </row>
    <row r="2555" spans="3:18">
      <c r="C2555" s="5"/>
      <c r="R2555" s="15"/>
    </row>
    <row r="2556" spans="3:18">
      <c r="C2556" s="5"/>
      <c r="R2556" s="15"/>
    </row>
    <row r="2557" spans="3:18">
      <c r="C2557" s="5"/>
      <c r="R2557" s="15"/>
    </row>
    <row r="2558" spans="3:18">
      <c r="C2558" s="5"/>
      <c r="R2558" s="15"/>
    </row>
    <row r="2559" spans="3:18">
      <c r="C2559" s="5"/>
      <c r="R2559" s="15"/>
    </row>
    <row r="2560" spans="3:18">
      <c r="C2560" s="5"/>
      <c r="R2560" s="15"/>
    </row>
    <row r="2561" spans="3:18">
      <c r="C2561" s="5"/>
      <c r="R2561" s="15"/>
    </row>
    <row r="2562" spans="3:18">
      <c r="C2562" s="5"/>
      <c r="R2562" s="15"/>
    </row>
    <row r="2563" spans="3:18">
      <c r="C2563" s="5"/>
      <c r="R2563" s="15"/>
    </row>
    <row r="2564" spans="3:18">
      <c r="C2564" s="5"/>
      <c r="R2564" s="15"/>
    </row>
    <row r="2565" spans="3:18">
      <c r="C2565" s="5"/>
      <c r="R2565" s="15"/>
    </row>
    <row r="2566" spans="3:18">
      <c r="C2566" s="5"/>
      <c r="R2566" s="15"/>
    </row>
    <row r="2567" spans="3:18">
      <c r="C2567" s="5"/>
      <c r="R2567" s="15"/>
    </row>
    <row r="2568" spans="3:18">
      <c r="C2568" s="5"/>
      <c r="R2568" s="15"/>
    </row>
    <row r="2569" spans="3:18">
      <c r="C2569" s="5"/>
      <c r="R2569" s="15"/>
    </row>
    <row r="2570" spans="3:18">
      <c r="C2570" s="5"/>
      <c r="R2570" s="15"/>
    </row>
    <row r="2571" spans="3:18">
      <c r="C2571" s="5"/>
      <c r="R2571" s="15"/>
    </row>
    <row r="2572" spans="3:18">
      <c r="C2572" s="5"/>
      <c r="R2572" s="15"/>
    </row>
    <row r="2573" spans="3:18">
      <c r="C2573" s="5"/>
      <c r="R2573" s="15"/>
    </row>
    <row r="2574" spans="3:18">
      <c r="C2574" s="5"/>
      <c r="R2574" s="15"/>
    </row>
    <row r="2575" spans="3:18">
      <c r="C2575" s="5"/>
      <c r="R2575" s="15"/>
    </row>
    <row r="2576" spans="3:18">
      <c r="C2576" s="5"/>
      <c r="R2576" s="15"/>
    </row>
    <row r="2577" spans="3:18">
      <c r="C2577" s="5"/>
      <c r="R2577" s="15"/>
    </row>
    <row r="2578" spans="3:18">
      <c r="C2578" s="5"/>
      <c r="R2578" s="15"/>
    </row>
    <row r="2579" spans="3:18">
      <c r="C2579" s="5"/>
      <c r="R2579" s="15"/>
    </row>
    <row r="2580" spans="3:18">
      <c r="C2580" s="5"/>
      <c r="R2580" s="15"/>
    </row>
    <row r="2581" spans="3:18">
      <c r="C2581" s="5"/>
      <c r="R2581" s="15"/>
    </row>
    <row r="2582" spans="3:18">
      <c r="C2582" s="5"/>
      <c r="R2582" s="15"/>
    </row>
    <row r="2583" spans="3:18">
      <c r="C2583" s="5"/>
      <c r="R2583" s="15"/>
    </row>
    <row r="2584" spans="3:18">
      <c r="C2584" s="5"/>
      <c r="R2584" s="15"/>
    </row>
    <row r="2585" spans="3:18">
      <c r="C2585" s="5"/>
      <c r="R2585" s="15"/>
    </row>
    <row r="2586" spans="3:18">
      <c r="C2586" s="5"/>
      <c r="R2586" s="15"/>
    </row>
    <row r="2587" spans="3:18">
      <c r="C2587" s="5"/>
      <c r="R2587" s="15"/>
    </row>
    <row r="2588" spans="3:18">
      <c r="C2588" s="5"/>
      <c r="R2588" s="15"/>
    </row>
    <row r="2589" spans="3:18">
      <c r="C2589" s="5"/>
      <c r="R2589" s="15"/>
    </row>
    <row r="2590" spans="3:18">
      <c r="C2590" s="5"/>
      <c r="R2590" s="15"/>
    </row>
    <row r="2591" spans="3:18">
      <c r="C2591" s="5"/>
      <c r="R2591" s="15"/>
    </row>
    <row r="2592" spans="3:18">
      <c r="C2592" s="5"/>
      <c r="R2592" s="15"/>
    </row>
    <row r="2593" spans="3:18">
      <c r="C2593" s="5"/>
      <c r="R2593" s="15"/>
    </row>
    <row r="2594" spans="3:18">
      <c r="C2594" s="5"/>
      <c r="R2594" s="15"/>
    </row>
    <row r="2595" spans="3:18">
      <c r="C2595" s="5"/>
      <c r="R2595" s="15"/>
    </row>
    <row r="2596" spans="3:18">
      <c r="C2596" s="5"/>
      <c r="R2596" s="15"/>
    </row>
    <row r="2597" spans="3:18">
      <c r="C2597" s="5"/>
      <c r="R2597" s="15"/>
    </row>
    <row r="2598" spans="3:18">
      <c r="C2598" s="5"/>
      <c r="R2598" s="15"/>
    </row>
    <row r="2599" spans="3:18">
      <c r="C2599" s="5"/>
      <c r="R2599" s="15"/>
    </row>
    <row r="2600" spans="3:18">
      <c r="C2600" s="5"/>
      <c r="R2600" s="15"/>
    </row>
    <row r="2601" spans="3:18">
      <c r="C2601" s="5"/>
      <c r="R2601" s="15"/>
    </row>
    <row r="2602" spans="3:18">
      <c r="C2602" s="5"/>
      <c r="R2602" s="15"/>
    </row>
    <row r="2603" spans="3:18">
      <c r="C2603" s="5"/>
      <c r="R2603" s="15"/>
    </row>
    <row r="2604" spans="3:18">
      <c r="C2604" s="5"/>
      <c r="R2604" s="15"/>
    </row>
    <row r="2605" spans="3:18">
      <c r="C2605" s="5"/>
      <c r="R2605" s="15"/>
    </row>
    <row r="2606" spans="3:18">
      <c r="C2606" s="5"/>
      <c r="R2606" s="15"/>
    </row>
    <row r="2607" spans="3:18">
      <c r="C2607" s="5"/>
      <c r="R2607" s="15"/>
    </row>
    <row r="2608" spans="3:18">
      <c r="C2608" s="5"/>
      <c r="R2608" s="15"/>
    </row>
    <row r="2609" spans="3:18">
      <c r="C2609" s="5"/>
      <c r="R2609" s="15"/>
    </row>
    <row r="2610" spans="3:18">
      <c r="C2610" s="5"/>
      <c r="R2610" s="15"/>
    </row>
    <row r="2611" spans="3:18">
      <c r="C2611" s="5"/>
      <c r="R2611" s="15"/>
    </row>
    <row r="2612" spans="3:18">
      <c r="C2612" s="5"/>
      <c r="R2612" s="15"/>
    </row>
    <row r="2613" spans="3:18">
      <c r="C2613" s="5"/>
      <c r="R2613" s="15"/>
    </row>
    <row r="2614" spans="3:18">
      <c r="C2614" s="5"/>
      <c r="R2614" s="15"/>
    </row>
    <row r="2615" spans="3:18">
      <c r="C2615" s="5"/>
      <c r="R2615" s="15"/>
    </row>
    <row r="2616" spans="3:18">
      <c r="C2616" s="5"/>
      <c r="R2616" s="15"/>
    </row>
    <row r="2617" spans="3:18">
      <c r="C2617" s="5"/>
      <c r="R2617" s="15"/>
    </row>
    <row r="2618" spans="3:18">
      <c r="C2618" s="5"/>
      <c r="R2618" s="15"/>
    </row>
    <row r="2619" spans="3:18">
      <c r="C2619" s="5"/>
      <c r="R2619" s="15"/>
    </row>
    <row r="2620" spans="3:18">
      <c r="C2620" s="5"/>
      <c r="R2620" s="15"/>
    </row>
    <row r="2621" spans="3:18">
      <c r="C2621" s="5"/>
      <c r="R2621" s="15"/>
    </row>
    <row r="2622" spans="3:18">
      <c r="C2622" s="5"/>
      <c r="R2622" s="15"/>
    </row>
    <row r="2623" spans="3:18">
      <c r="C2623" s="5"/>
      <c r="R2623" s="15"/>
    </row>
    <row r="2624" spans="3:18">
      <c r="C2624" s="5"/>
      <c r="R2624" s="15"/>
    </row>
    <row r="2625" spans="3:18">
      <c r="C2625" s="5"/>
      <c r="R2625" s="15"/>
    </row>
    <row r="2626" spans="3:18">
      <c r="C2626" s="5"/>
      <c r="R2626" s="15"/>
    </row>
    <row r="2627" spans="3:18">
      <c r="C2627" s="5"/>
      <c r="R2627" s="15"/>
    </row>
    <row r="2628" spans="3:18">
      <c r="C2628" s="5"/>
      <c r="R2628" s="15"/>
    </row>
    <row r="2629" spans="3:18">
      <c r="C2629" s="5"/>
      <c r="R2629" s="15"/>
    </row>
    <row r="2630" spans="3:18">
      <c r="C2630" s="5"/>
      <c r="R2630" s="15"/>
    </row>
    <row r="2631" spans="3:18">
      <c r="C2631" s="5"/>
      <c r="R2631" s="15"/>
    </row>
    <row r="2632" spans="3:18">
      <c r="C2632" s="5"/>
      <c r="R2632" s="15"/>
    </row>
    <row r="2633" spans="3:18">
      <c r="C2633" s="5"/>
      <c r="R2633" s="15"/>
    </row>
    <row r="2634" spans="3:18">
      <c r="C2634" s="5"/>
      <c r="R2634" s="15"/>
    </row>
    <row r="2635" spans="3:18">
      <c r="C2635" s="5"/>
      <c r="R2635" s="15"/>
    </row>
    <row r="2636" spans="3:18">
      <c r="C2636" s="5"/>
      <c r="R2636" s="15"/>
    </row>
    <row r="2637" spans="3:18">
      <c r="C2637" s="5"/>
      <c r="R2637" s="15"/>
    </row>
    <row r="2638" spans="3:18">
      <c r="C2638" s="5"/>
      <c r="R2638" s="15"/>
    </row>
    <row r="2639" spans="3:18">
      <c r="C2639" s="5"/>
      <c r="R2639" s="15"/>
    </row>
    <row r="2640" spans="3:18">
      <c r="C2640" s="5"/>
      <c r="R2640" s="15"/>
    </row>
    <row r="2641" spans="3:18">
      <c r="C2641" s="5"/>
      <c r="R2641" s="15"/>
    </row>
    <row r="2642" spans="3:18">
      <c r="C2642" s="5"/>
      <c r="R2642" s="15"/>
    </row>
    <row r="2643" spans="3:18">
      <c r="C2643" s="5"/>
      <c r="R2643" s="15"/>
    </row>
    <row r="2644" spans="3:18">
      <c r="C2644" s="5"/>
      <c r="R2644" s="15"/>
    </row>
    <row r="2645" spans="3:18">
      <c r="C2645" s="5"/>
      <c r="R2645" s="15"/>
    </row>
    <row r="2646" spans="3:18">
      <c r="C2646" s="5"/>
      <c r="R2646" s="15"/>
    </row>
    <row r="2647" spans="3:18">
      <c r="C2647" s="5"/>
      <c r="R2647" s="15"/>
    </row>
    <row r="2648" spans="3:18">
      <c r="C2648" s="5"/>
      <c r="R2648" s="15"/>
    </row>
    <row r="2649" spans="3:18">
      <c r="C2649" s="5"/>
      <c r="R2649" s="15"/>
    </row>
    <row r="2650" spans="3:18">
      <c r="C2650" s="5"/>
      <c r="R2650" s="15"/>
    </row>
    <row r="2651" spans="3:18">
      <c r="C2651" s="5"/>
      <c r="R2651" s="15"/>
    </row>
    <row r="2652" spans="3:18">
      <c r="C2652" s="5"/>
      <c r="R2652" s="15"/>
    </row>
    <row r="2653" spans="3:18">
      <c r="C2653" s="5"/>
      <c r="R2653" s="15"/>
    </row>
    <row r="2654" spans="3:18">
      <c r="C2654" s="5"/>
      <c r="R2654" s="15"/>
    </row>
    <row r="2655" spans="3:18">
      <c r="C2655" s="5"/>
      <c r="R2655" s="15"/>
    </row>
    <row r="2656" spans="3:18">
      <c r="C2656" s="5"/>
      <c r="R2656" s="15"/>
    </row>
    <row r="2657" spans="3:18">
      <c r="C2657" s="5"/>
      <c r="R2657" s="15"/>
    </row>
    <row r="2658" spans="3:18">
      <c r="C2658" s="5"/>
      <c r="R2658" s="15"/>
    </row>
    <row r="2659" spans="3:18">
      <c r="C2659" s="5"/>
      <c r="R2659" s="15"/>
    </row>
    <row r="2660" spans="3:18">
      <c r="C2660" s="5"/>
      <c r="R2660" s="15"/>
    </row>
    <row r="2661" spans="3:18">
      <c r="C2661" s="5"/>
      <c r="R2661" s="15"/>
    </row>
    <row r="2662" spans="3:18">
      <c r="C2662" s="5"/>
      <c r="R2662" s="15"/>
    </row>
    <row r="2663" spans="3:18">
      <c r="C2663" s="5"/>
      <c r="R2663" s="15"/>
    </row>
    <row r="2664" spans="3:18">
      <c r="C2664" s="5"/>
      <c r="R2664" s="15"/>
    </row>
    <row r="2665" spans="3:18">
      <c r="C2665" s="5"/>
      <c r="R2665" s="15"/>
    </row>
    <row r="2666" spans="3:18">
      <c r="C2666" s="5"/>
      <c r="R2666" s="15"/>
    </row>
    <row r="2667" spans="3:18">
      <c r="C2667" s="5"/>
      <c r="R2667" s="15"/>
    </row>
    <row r="2668" spans="3:18">
      <c r="C2668" s="5"/>
      <c r="R2668" s="15"/>
    </row>
    <row r="2669" spans="3:18">
      <c r="C2669" s="5"/>
      <c r="R2669" s="15"/>
    </row>
    <row r="2670" spans="3:18">
      <c r="C2670" s="5"/>
      <c r="R2670" s="15"/>
    </row>
    <row r="2671" spans="3:18">
      <c r="C2671" s="5"/>
      <c r="R2671" s="15"/>
    </row>
    <row r="2672" spans="3:18">
      <c r="C2672" s="5"/>
      <c r="R2672" s="15"/>
    </row>
    <row r="2673" spans="3:18">
      <c r="C2673" s="5"/>
      <c r="R2673" s="15"/>
    </row>
    <row r="2674" spans="3:18">
      <c r="C2674" s="5"/>
      <c r="R2674" s="15"/>
    </row>
    <row r="2675" spans="3:18">
      <c r="C2675" s="5"/>
      <c r="R2675" s="15"/>
    </row>
    <row r="2676" spans="3:18">
      <c r="C2676" s="5"/>
      <c r="R2676" s="15"/>
    </row>
    <row r="2677" spans="3:18">
      <c r="C2677" s="5"/>
      <c r="R2677" s="15"/>
    </row>
    <row r="2678" spans="3:18">
      <c r="C2678" s="5"/>
      <c r="R2678" s="15"/>
    </row>
    <row r="2679" spans="3:18">
      <c r="C2679" s="5"/>
      <c r="R2679" s="15"/>
    </row>
    <row r="2680" spans="3:18">
      <c r="C2680" s="5"/>
      <c r="R2680" s="15"/>
    </row>
    <row r="2681" spans="3:18">
      <c r="C2681" s="5"/>
      <c r="R2681" s="15"/>
    </row>
    <row r="2682" spans="3:18">
      <c r="C2682" s="5"/>
      <c r="R2682" s="15"/>
    </row>
    <row r="2683" spans="3:18">
      <c r="C2683" s="5"/>
      <c r="R2683" s="15"/>
    </row>
    <row r="2684" spans="3:18">
      <c r="C2684" s="5"/>
      <c r="R2684" s="15"/>
    </row>
    <row r="2685" spans="3:18">
      <c r="C2685" s="5"/>
      <c r="R2685" s="15"/>
    </row>
    <row r="2686" spans="3:18">
      <c r="C2686" s="5"/>
      <c r="R2686" s="15"/>
    </row>
    <row r="2687" spans="3:18">
      <c r="C2687" s="5"/>
      <c r="R2687" s="15"/>
    </row>
    <row r="2688" spans="3:18">
      <c r="C2688" s="5"/>
      <c r="R2688" s="15"/>
    </row>
    <row r="2689" spans="3:18">
      <c r="C2689" s="5"/>
      <c r="R2689" s="15"/>
    </row>
    <row r="2690" spans="3:18">
      <c r="C2690" s="5"/>
      <c r="R2690" s="15"/>
    </row>
    <row r="2691" spans="3:18">
      <c r="C2691" s="5"/>
      <c r="R2691" s="15"/>
    </row>
    <row r="2692" spans="3:18">
      <c r="C2692" s="5"/>
      <c r="R2692" s="15"/>
    </row>
    <row r="2693" spans="3:18">
      <c r="C2693" s="5"/>
      <c r="R2693" s="15"/>
    </row>
    <row r="2694" spans="3:18">
      <c r="C2694" s="5"/>
      <c r="R2694" s="15"/>
    </row>
    <row r="2695" spans="3:18">
      <c r="C2695" s="5"/>
      <c r="R2695" s="15"/>
    </row>
    <row r="2696" spans="3:18">
      <c r="C2696" s="5"/>
      <c r="R2696" s="15"/>
    </row>
    <row r="2697" spans="3:18">
      <c r="C2697" s="5"/>
      <c r="R2697" s="15"/>
    </row>
    <row r="2698" spans="3:18">
      <c r="C2698" s="5"/>
      <c r="R2698" s="15"/>
    </row>
    <row r="2699" spans="3:18">
      <c r="C2699" s="5"/>
      <c r="R2699" s="15"/>
    </row>
    <row r="2700" spans="3:18">
      <c r="C2700" s="5"/>
      <c r="R2700" s="15"/>
    </row>
    <row r="2701" spans="3:18">
      <c r="C2701" s="5"/>
      <c r="R2701" s="15"/>
    </row>
    <row r="2702" spans="3:18">
      <c r="C2702" s="5"/>
      <c r="R2702" s="15"/>
    </row>
    <row r="2703" spans="3:18">
      <c r="C2703" s="5"/>
      <c r="R2703" s="15"/>
    </row>
    <row r="2704" spans="3:18">
      <c r="C2704" s="5"/>
      <c r="R2704" s="15"/>
    </row>
    <row r="2705" spans="3:18">
      <c r="C2705" s="5"/>
      <c r="R2705" s="15"/>
    </row>
    <row r="2706" spans="3:18">
      <c r="C2706" s="5"/>
      <c r="R2706" s="15"/>
    </row>
    <row r="2707" spans="3:18">
      <c r="C2707" s="5"/>
      <c r="R2707" s="15"/>
    </row>
    <row r="2708" spans="3:18">
      <c r="C2708" s="5"/>
      <c r="R2708" s="15"/>
    </row>
    <row r="2709" spans="3:18">
      <c r="C2709" s="5"/>
      <c r="R2709" s="15"/>
    </row>
    <row r="2710" spans="3:18">
      <c r="C2710" s="5"/>
      <c r="R2710" s="15"/>
    </row>
    <row r="2711" spans="3:18">
      <c r="C2711" s="5"/>
      <c r="R2711" s="15"/>
    </row>
    <row r="2712" spans="3:18">
      <c r="C2712" s="5"/>
      <c r="R2712" s="15"/>
    </row>
    <row r="2713" spans="3:18">
      <c r="C2713" s="5"/>
      <c r="R2713" s="15"/>
    </row>
    <row r="2714" spans="3:18">
      <c r="C2714" s="5"/>
      <c r="R2714" s="15"/>
    </row>
    <row r="2715" spans="3:18">
      <c r="C2715" s="5"/>
      <c r="R2715" s="15"/>
    </row>
    <row r="2716" spans="3:18">
      <c r="C2716" s="5"/>
      <c r="R2716" s="15"/>
    </row>
    <row r="2717" spans="3:18">
      <c r="C2717" s="5"/>
      <c r="R2717" s="15"/>
    </row>
    <row r="2718" spans="3:18">
      <c r="C2718" s="5"/>
      <c r="R2718" s="15"/>
    </row>
    <row r="2719" spans="3:18">
      <c r="C2719" s="5"/>
      <c r="R2719" s="15"/>
    </row>
    <row r="2720" spans="3:18">
      <c r="C2720" s="5"/>
      <c r="R2720" s="15"/>
    </row>
    <row r="2721" spans="3:18">
      <c r="C2721" s="5"/>
      <c r="R2721" s="15"/>
    </row>
    <row r="2722" spans="3:18">
      <c r="C2722" s="5"/>
      <c r="R2722" s="15"/>
    </row>
    <row r="2723" spans="3:18">
      <c r="C2723" s="5"/>
      <c r="R2723" s="15"/>
    </row>
    <row r="2724" spans="3:18">
      <c r="C2724" s="5"/>
      <c r="R2724" s="15"/>
    </row>
    <row r="2725" spans="3:18">
      <c r="C2725" s="5"/>
      <c r="R2725" s="15"/>
    </row>
    <row r="2726" spans="3:18">
      <c r="C2726" s="5"/>
      <c r="R2726" s="15"/>
    </row>
    <row r="2727" spans="3:18">
      <c r="C2727" s="5"/>
      <c r="R2727" s="15"/>
    </row>
    <row r="2728" spans="3:18">
      <c r="C2728" s="5"/>
      <c r="R2728" s="15"/>
    </row>
    <row r="2729" spans="3:18">
      <c r="C2729" s="5"/>
      <c r="R2729" s="15"/>
    </row>
    <row r="2730" spans="3:18">
      <c r="C2730" s="5"/>
      <c r="R2730" s="15"/>
    </row>
    <row r="2731" spans="3:18">
      <c r="C2731" s="5"/>
      <c r="R2731" s="15"/>
    </row>
    <row r="2732" spans="3:18">
      <c r="C2732" s="5"/>
      <c r="R2732" s="15"/>
    </row>
    <row r="2733" spans="3:18">
      <c r="C2733" s="5"/>
      <c r="R2733" s="15"/>
    </row>
    <row r="2734" spans="3:18">
      <c r="C2734" s="5"/>
      <c r="R2734" s="15"/>
    </row>
    <row r="2735" spans="3:18">
      <c r="C2735" s="5"/>
      <c r="R2735" s="15"/>
    </row>
    <row r="2736" spans="3:18">
      <c r="C2736" s="5"/>
      <c r="R2736" s="15"/>
    </row>
    <row r="2737" spans="3:18">
      <c r="C2737" s="5"/>
      <c r="R2737" s="15"/>
    </row>
    <row r="2738" spans="3:18">
      <c r="C2738" s="5"/>
      <c r="R2738" s="15"/>
    </row>
    <row r="2739" spans="3:18">
      <c r="C2739" s="5"/>
      <c r="R2739" s="15"/>
    </row>
    <row r="2740" spans="3:18">
      <c r="C2740" s="5"/>
      <c r="R2740" s="15"/>
    </row>
    <row r="2741" spans="3:18">
      <c r="C2741" s="5"/>
      <c r="R2741" s="15"/>
    </row>
    <row r="2742" spans="3:18">
      <c r="C2742" s="5"/>
      <c r="R2742" s="15"/>
    </row>
    <row r="2743" spans="3:18">
      <c r="C2743" s="5"/>
      <c r="R2743" s="15"/>
    </row>
    <row r="2744" spans="3:18">
      <c r="C2744" s="5"/>
      <c r="R2744" s="15"/>
    </row>
    <row r="2745" spans="3:18">
      <c r="C2745" s="5"/>
      <c r="R2745" s="15"/>
    </row>
    <row r="2746" spans="3:18">
      <c r="C2746" s="5"/>
      <c r="R2746" s="15"/>
    </row>
    <row r="2747" spans="3:18">
      <c r="C2747" s="5"/>
      <c r="R2747" s="15"/>
    </row>
    <row r="2748" spans="3:18">
      <c r="C2748" s="5"/>
      <c r="R2748" s="15"/>
    </row>
    <row r="2749" spans="3:18">
      <c r="C2749" s="5"/>
      <c r="R2749" s="15"/>
    </row>
    <row r="2750" spans="3:18">
      <c r="C2750" s="5"/>
      <c r="R2750" s="15"/>
    </row>
    <row r="2751" spans="3:18">
      <c r="C2751" s="5"/>
      <c r="R2751" s="15"/>
    </row>
    <row r="2752" spans="3:18">
      <c r="C2752" s="5"/>
      <c r="R2752" s="15"/>
    </row>
    <row r="2753" spans="3:18">
      <c r="C2753" s="5"/>
      <c r="R2753" s="15"/>
    </row>
    <row r="2754" spans="3:18">
      <c r="C2754" s="5"/>
      <c r="R2754" s="15"/>
    </row>
    <row r="2755" spans="3:18">
      <c r="C2755" s="5"/>
      <c r="R2755" s="15"/>
    </row>
    <row r="2756" spans="3:18">
      <c r="C2756" s="5"/>
      <c r="R2756" s="15"/>
    </row>
    <row r="2757" spans="3:18">
      <c r="C2757" s="5"/>
      <c r="R2757" s="15"/>
    </row>
    <row r="2758" spans="3:18">
      <c r="C2758" s="5"/>
      <c r="R2758" s="15"/>
    </row>
    <row r="2759" spans="3:18">
      <c r="C2759" s="5"/>
      <c r="R2759" s="15"/>
    </row>
    <row r="2760" spans="3:18">
      <c r="C2760" s="5"/>
      <c r="R2760" s="15"/>
    </row>
    <row r="2761" spans="3:18">
      <c r="C2761" s="5"/>
      <c r="R2761" s="15"/>
    </row>
    <row r="2762" spans="3:18">
      <c r="C2762" s="5"/>
      <c r="R2762" s="15"/>
    </row>
    <row r="2763" spans="3:18">
      <c r="C2763" s="5"/>
      <c r="R2763" s="15"/>
    </row>
    <row r="2764" spans="3:18">
      <c r="C2764" s="5"/>
      <c r="R2764" s="15"/>
    </row>
    <row r="2765" spans="3:18">
      <c r="C2765" s="5"/>
      <c r="R2765" s="15"/>
    </row>
    <row r="2766" spans="3:18">
      <c r="C2766" s="5"/>
      <c r="R2766" s="15"/>
    </row>
    <row r="2767" spans="3:18">
      <c r="C2767" s="5"/>
      <c r="R2767" s="15"/>
    </row>
    <row r="2768" spans="3:18">
      <c r="C2768" s="5"/>
      <c r="R2768" s="15"/>
    </row>
    <row r="2769" spans="3:18">
      <c r="C2769" s="5"/>
      <c r="R2769" s="15"/>
    </row>
    <row r="2770" spans="3:18">
      <c r="C2770" s="5"/>
      <c r="R2770" s="15"/>
    </row>
    <row r="2771" spans="3:18">
      <c r="C2771" s="5"/>
      <c r="R2771" s="15"/>
    </row>
    <row r="2772" spans="3:18">
      <c r="C2772" s="5"/>
      <c r="R2772" s="15"/>
    </row>
    <row r="2773" spans="3:18">
      <c r="C2773" s="5"/>
      <c r="R2773" s="15"/>
    </row>
    <row r="2774" spans="3:18">
      <c r="C2774" s="5"/>
      <c r="R2774" s="15"/>
    </row>
    <row r="2775" spans="3:18">
      <c r="C2775" s="5"/>
      <c r="R2775" s="15"/>
    </row>
    <row r="2776" spans="3:18">
      <c r="C2776" s="5"/>
      <c r="R2776" s="15"/>
    </row>
    <row r="2777" spans="3:18">
      <c r="C2777" s="5"/>
      <c r="R2777" s="15"/>
    </row>
    <row r="2778" spans="3:18">
      <c r="C2778" s="5"/>
      <c r="R2778" s="15"/>
    </row>
    <row r="2779" spans="3:18">
      <c r="C2779" s="5"/>
      <c r="R2779" s="15"/>
    </row>
    <row r="2780" spans="3:18">
      <c r="C2780" s="5"/>
      <c r="R2780" s="15"/>
    </row>
    <row r="2781" spans="3:18">
      <c r="C2781" s="5"/>
      <c r="R2781" s="15"/>
    </row>
    <row r="2782" spans="3:18">
      <c r="C2782" s="5"/>
      <c r="R2782" s="15"/>
    </row>
    <row r="2783" spans="3:18">
      <c r="C2783" s="5"/>
      <c r="R2783" s="15"/>
    </row>
    <row r="2784" spans="3:18">
      <c r="C2784" s="5"/>
      <c r="R2784" s="15"/>
    </row>
    <row r="2785" spans="3:18">
      <c r="C2785" s="5"/>
      <c r="R2785" s="15"/>
    </row>
    <row r="2786" spans="3:18">
      <c r="C2786" s="5"/>
      <c r="R2786" s="15"/>
    </row>
    <row r="2787" spans="3:18">
      <c r="C2787" s="5"/>
      <c r="R2787" s="15"/>
    </row>
    <row r="2788" spans="3:18">
      <c r="C2788" s="5"/>
      <c r="R2788" s="15"/>
    </row>
    <row r="2789" spans="3:18">
      <c r="C2789" s="5"/>
      <c r="R2789" s="15"/>
    </row>
    <row r="2790" spans="3:18">
      <c r="C2790" s="5"/>
      <c r="R2790" s="15"/>
    </row>
    <row r="2791" spans="3:18">
      <c r="C2791" s="5"/>
      <c r="R2791" s="15"/>
    </row>
    <row r="2792" spans="3:18">
      <c r="C2792" s="5"/>
      <c r="R2792" s="15"/>
    </row>
    <row r="2793" spans="3:18">
      <c r="C2793" s="5"/>
      <c r="R2793" s="15"/>
    </row>
    <row r="2794" spans="3:18">
      <c r="C2794" s="5"/>
      <c r="R2794" s="15"/>
    </row>
    <row r="2795" spans="3:18">
      <c r="C2795" s="5"/>
      <c r="R2795" s="15"/>
    </row>
    <row r="2796" spans="3:18">
      <c r="C2796" s="5"/>
      <c r="R2796" s="15"/>
    </row>
    <row r="2797" spans="3:18">
      <c r="C2797" s="5"/>
      <c r="R2797" s="15"/>
    </row>
    <row r="2798" spans="3:18">
      <c r="C2798" s="5"/>
      <c r="R2798" s="15"/>
    </row>
    <row r="2799" spans="3:18">
      <c r="C2799" s="5"/>
      <c r="R2799" s="15"/>
    </row>
    <row r="2800" spans="3:18">
      <c r="C2800" s="5"/>
      <c r="R2800" s="15"/>
    </row>
    <row r="2801" spans="3:18">
      <c r="C2801" s="5"/>
      <c r="R2801" s="15"/>
    </row>
    <row r="2802" spans="3:18">
      <c r="C2802" s="5"/>
      <c r="R2802" s="15"/>
    </row>
    <row r="2803" spans="3:18">
      <c r="C2803" s="5"/>
      <c r="R2803" s="15"/>
    </row>
    <row r="2804" spans="3:18">
      <c r="C2804" s="5"/>
      <c r="R2804" s="15"/>
    </row>
    <row r="2805" spans="3:18">
      <c r="C2805" s="5"/>
      <c r="R2805" s="15"/>
    </row>
    <row r="2806" spans="3:18">
      <c r="C2806" s="5"/>
      <c r="R2806" s="15"/>
    </row>
    <row r="2807" spans="3:18">
      <c r="C2807" s="5"/>
      <c r="R2807" s="15"/>
    </row>
    <row r="2808" spans="3:18">
      <c r="C2808" s="5"/>
      <c r="R2808" s="15"/>
    </row>
    <row r="2809" spans="3:18">
      <c r="C2809" s="5"/>
      <c r="R2809" s="15"/>
    </row>
    <row r="2810" spans="3:18">
      <c r="C2810" s="5"/>
      <c r="R2810" s="15"/>
    </row>
    <row r="2811" spans="3:18">
      <c r="C2811" s="5"/>
      <c r="R2811" s="15"/>
    </row>
    <row r="2812" spans="3:18">
      <c r="C2812" s="5"/>
      <c r="R2812" s="15"/>
    </row>
    <row r="2813" spans="3:18">
      <c r="C2813" s="5"/>
      <c r="R2813" s="15"/>
    </row>
    <row r="2814" spans="3:18">
      <c r="C2814" s="5"/>
      <c r="R2814" s="15"/>
    </row>
    <row r="2815" spans="3:18">
      <c r="C2815" s="5"/>
      <c r="R2815" s="15"/>
    </row>
    <row r="2816" spans="3:18">
      <c r="C2816" s="5"/>
      <c r="R2816" s="15"/>
    </row>
    <row r="2817" spans="3:18">
      <c r="C2817" s="5"/>
      <c r="R2817" s="15"/>
    </row>
    <row r="2818" spans="3:18">
      <c r="C2818" s="5"/>
      <c r="R2818" s="15"/>
    </row>
    <row r="2819" spans="3:18">
      <c r="C2819" s="5"/>
      <c r="R2819" s="15"/>
    </row>
    <row r="2820" spans="3:18">
      <c r="C2820" s="5"/>
      <c r="R2820" s="15"/>
    </row>
    <row r="2821" spans="3:18">
      <c r="C2821" s="5"/>
      <c r="R2821" s="15"/>
    </row>
    <row r="2822" spans="3:18">
      <c r="C2822" s="5"/>
      <c r="R2822" s="15"/>
    </row>
    <row r="2823" spans="3:18">
      <c r="C2823" s="5"/>
      <c r="R2823" s="15"/>
    </row>
    <row r="2824" spans="3:18">
      <c r="C2824" s="5"/>
      <c r="R2824" s="15"/>
    </row>
    <row r="2825" spans="3:18">
      <c r="C2825" s="5"/>
      <c r="R2825" s="15"/>
    </row>
    <row r="2826" spans="3:18">
      <c r="C2826" s="5"/>
      <c r="R2826" s="15"/>
    </row>
    <row r="2827" spans="3:18">
      <c r="C2827" s="5"/>
      <c r="R2827" s="15"/>
    </row>
    <row r="2828" spans="3:18">
      <c r="C2828" s="5"/>
      <c r="R2828" s="15"/>
    </row>
    <row r="2829" spans="3:18">
      <c r="C2829" s="5"/>
      <c r="R2829" s="15"/>
    </row>
    <row r="2830" spans="3:18">
      <c r="C2830" s="5"/>
      <c r="R2830" s="15"/>
    </row>
    <row r="2831" spans="3:18">
      <c r="C2831" s="5"/>
      <c r="R2831" s="15"/>
    </row>
    <row r="2832" spans="3:18">
      <c r="C2832" s="5"/>
      <c r="R2832" s="15"/>
    </row>
    <row r="2833" spans="3:18">
      <c r="C2833" s="5"/>
      <c r="R2833" s="15"/>
    </row>
    <row r="2834" spans="3:18">
      <c r="C2834" s="5"/>
      <c r="R2834" s="15"/>
    </row>
    <row r="2835" spans="3:18">
      <c r="C2835" s="5"/>
      <c r="R2835" s="15"/>
    </row>
    <row r="2836" spans="3:18">
      <c r="C2836" s="5"/>
      <c r="R2836" s="15"/>
    </row>
    <row r="2837" spans="3:18">
      <c r="C2837" s="5"/>
      <c r="R2837" s="15"/>
    </row>
    <row r="2838" spans="3:18">
      <c r="C2838" s="5"/>
      <c r="R2838" s="15"/>
    </row>
    <row r="2839" spans="3:18">
      <c r="C2839" s="5"/>
      <c r="R2839" s="15"/>
    </row>
    <row r="2840" spans="3:18">
      <c r="C2840" s="5"/>
      <c r="R2840" s="15"/>
    </row>
    <row r="2841" spans="3:18">
      <c r="C2841" s="5"/>
      <c r="R2841" s="15"/>
    </row>
    <row r="2842" spans="3:18">
      <c r="C2842" s="5"/>
      <c r="R2842" s="15"/>
    </row>
    <row r="2843" spans="3:18">
      <c r="C2843" s="5"/>
      <c r="R2843" s="15"/>
    </row>
    <row r="2844" spans="3:18">
      <c r="C2844" s="5"/>
      <c r="R2844" s="15"/>
    </row>
    <row r="2845" spans="3:18">
      <c r="C2845" s="5"/>
      <c r="R2845" s="15"/>
    </row>
    <row r="2846" spans="3:18">
      <c r="C2846" s="5"/>
      <c r="R2846" s="15"/>
    </row>
    <row r="2847" spans="3:18">
      <c r="C2847" s="5"/>
      <c r="R2847" s="15"/>
    </row>
    <row r="2848" spans="3:18">
      <c r="C2848" s="5"/>
      <c r="R2848" s="15"/>
    </row>
    <row r="2849" spans="3:18">
      <c r="C2849" s="5"/>
      <c r="R2849" s="15"/>
    </row>
    <row r="2850" spans="3:18">
      <c r="C2850" s="5"/>
      <c r="R2850" s="15"/>
    </row>
    <row r="2851" spans="3:18">
      <c r="C2851" s="5"/>
      <c r="R2851" s="15"/>
    </row>
    <row r="2852" spans="3:18">
      <c r="C2852" s="5"/>
      <c r="R2852" s="15"/>
    </row>
    <row r="2853" spans="3:18">
      <c r="C2853" s="5"/>
      <c r="R2853" s="15"/>
    </row>
    <row r="2854" spans="3:18">
      <c r="C2854" s="5"/>
      <c r="R2854" s="15"/>
    </row>
    <row r="2855" spans="3:18">
      <c r="C2855" s="5"/>
      <c r="R2855" s="15"/>
    </row>
    <row r="2856" spans="3:18">
      <c r="C2856" s="5"/>
      <c r="R2856" s="15"/>
    </row>
    <row r="2857" spans="3:18">
      <c r="C2857" s="5"/>
      <c r="R2857" s="15"/>
    </row>
    <row r="2858" spans="3:18">
      <c r="C2858" s="5"/>
      <c r="R2858" s="15"/>
    </row>
    <row r="2859" spans="3:18">
      <c r="C2859" s="5"/>
      <c r="R2859" s="15"/>
    </row>
    <row r="2860" spans="3:18">
      <c r="C2860" s="5"/>
      <c r="R2860" s="15"/>
    </row>
    <row r="2861" spans="3:18">
      <c r="C2861" s="5"/>
      <c r="R2861" s="15"/>
    </row>
    <row r="2862" spans="3:18">
      <c r="C2862" s="5"/>
      <c r="R2862" s="15"/>
    </row>
    <row r="2863" spans="3:18">
      <c r="C2863" s="5"/>
      <c r="R2863" s="15"/>
    </row>
    <row r="2864" spans="3:18">
      <c r="C2864" s="5"/>
      <c r="R2864" s="15"/>
    </row>
    <row r="2865" spans="3:18">
      <c r="C2865" s="5"/>
      <c r="R2865" s="15"/>
    </row>
    <row r="2866" spans="3:18">
      <c r="C2866" s="5"/>
      <c r="R2866" s="15"/>
    </row>
    <row r="2867" spans="3:18">
      <c r="C2867" s="5"/>
      <c r="R2867" s="15"/>
    </row>
    <row r="2868" spans="3:18">
      <c r="C2868" s="5"/>
      <c r="R2868" s="15"/>
    </row>
    <row r="2869" spans="3:18">
      <c r="C2869" s="5"/>
      <c r="R2869" s="15"/>
    </row>
    <row r="2870" spans="3:18">
      <c r="C2870" s="5"/>
      <c r="R2870" s="15"/>
    </row>
    <row r="2871" spans="3:18">
      <c r="C2871" s="5"/>
      <c r="R2871" s="15"/>
    </row>
    <row r="2872" spans="3:18">
      <c r="C2872" s="5"/>
      <c r="R2872" s="15"/>
    </row>
    <row r="2873" spans="3:18">
      <c r="C2873" s="5"/>
      <c r="R2873" s="15"/>
    </row>
    <row r="2874" spans="3:18">
      <c r="C2874" s="5"/>
      <c r="R2874" s="15"/>
    </row>
    <row r="2875" spans="3:18">
      <c r="C2875" s="5"/>
      <c r="R2875" s="15"/>
    </row>
    <row r="2876" spans="3:18">
      <c r="C2876" s="5"/>
      <c r="R2876" s="15"/>
    </row>
    <row r="2877" spans="3:18">
      <c r="C2877" s="5"/>
      <c r="R2877" s="15"/>
    </row>
    <row r="2878" spans="3:18">
      <c r="C2878" s="5"/>
      <c r="R2878" s="15"/>
    </row>
    <row r="2879" spans="3:18">
      <c r="C2879" s="5"/>
      <c r="R2879" s="15"/>
    </row>
    <row r="2880" spans="3:18">
      <c r="C2880" s="5"/>
      <c r="R2880" s="15"/>
    </row>
    <row r="2881" spans="3:18">
      <c r="C2881" s="5"/>
      <c r="R2881" s="15"/>
    </row>
    <row r="2882" spans="3:18">
      <c r="C2882" s="5"/>
      <c r="R2882" s="15"/>
    </row>
    <row r="2883" spans="3:18">
      <c r="C2883" s="5"/>
      <c r="R2883" s="15"/>
    </row>
    <row r="2884" spans="3:18">
      <c r="C2884" s="5"/>
      <c r="R2884" s="15"/>
    </row>
    <row r="2885" spans="3:18">
      <c r="C2885" s="5"/>
      <c r="R2885" s="15"/>
    </row>
    <row r="2886" spans="3:18">
      <c r="C2886" s="5"/>
      <c r="R2886" s="15"/>
    </row>
    <row r="2887" spans="3:18">
      <c r="C2887" s="5"/>
      <c r="R2887" s="15"/>
    </row>
    <row r="2888" spans="3:18">
      <c r="C2888" s="5"/>
      <c r="R2888" s="15"/>
    </row>
    <row r="2889" spans="3:18">
      <c r="C2889" s="5"/>
      <c r="R2889" s="15"/>
    </row>
    <row r="2890" spans="3:18">
      <c r="C2890" s="5"/>
      <c r="R2890" s="15"/>
    </row>
    <row r="2891" spans="3:18">
      <c r="C2891" s="5"/>
      <c r="R2891" s="15"/>
    </row>
    <row r="2892" spans="3:18">
      <c r="C2892" s="5"/>
      <c r="R2892" s="15"/>
    </row>
    <row r="2893" spans="3:18">
      <c r="C2893" s="5"/>
      <c r="R2893" s="15"/>
    </row>
    <row r="2894" spans="3:18">
      <c r="C2894" s="5"/>
      <c r="R2894" s="15"/>
    </row>
    <row r="2895" spans="3:18">
      <c r="C2895" s="5"/>
      <c r="R2895" s="15"/>
    </row>
    <row r="2896" spans="3:18">
      <c r="C2896" s="5"/>
      <c r="R2896" s="15"/>
    </row>
    <row r="2897" spans="3:18">
      <c r="C2897" s="5"/>
      <c r="R2897" s="15"/>
    </row>
    <row r="2898" spans="3:18">
      <c r="C2898" s="5"/>
      <c r="R2898" s="15"/>
    </row>
    <row r="2899" spans="3:18">
      <c r="C2899" s="5"/>
      <c r="R2899" s="15"/>
    </row>
    <row r="2900" spans="3:18">
      <c r="C2900" s="5"/>
      <c r="R2900" s="15"/>
    </row>
    <row r="2901" spans="3:18">
      <c r="C2901" s="5"/>
      <c r="R2901" s="15"/>
    </row>
    <row r="2902" spans="3:18">
      <c r="C2902" s="5"/>
      <c r="R2902" s="15"/>
    </row>
    <row r="2903" spans="3:18">
      <c r="C2903" s="5"/>
      <c r="R2903" s="15"/>
    </row>
    <row r="2904" spans="3:18">
      <c r="C2904" s="5"/>
      <c r="R2904" s="15"/>
    </row>
    <row r="2905" spans="3:18">
      <c r="C2905" s="5"/>
      <c r="R2905" s="15"/>
    </row>
    <row r="2906" spans="3:18">
      <c r="C2906" s="5"/>
      <c r="R2906" s="15"/>
    </row>
    <row r="2907" spans="3:18">
      <c r="C2907" s="5"/>
      <c r="R2907" s="15"/>
    </row>
    <row r="2908" spans="3:18">
      <c r="C2908" s="5"/>
      <c r="R2908" s="15"/>
    </row>
    <row r="2909" spans="3:18">
      <c r="C2909" s="5"/>
      <c r="R2909" s="15"/>
    </row>
    <row r="2910" spans="3:18">
      <c r="C2910" s="5"/>
      <c r="R2910" s="15"/>
    </row>
    <row r="2911" spans="3:18">
      <c r="C2911" s="5"/>
      <c r="R2911" s="15"/>
    </row>
    <row r="2912" spans="3:18">
      <c r="C2912" s="5"/>
      <c r="R2912" s="15"/>
    </row>
    <row r="2913" spans="3:18">
      <c r="C2913" s="5"/>
      <c r="R2913" s="15"/>
    </row>
    <row r="2914" spans="3:18">
      <c r="C2914" s="5"/>
      <c r="R2914" s="15"/>
    </row>
    <row r="2915" spans="3:18">
      <c r="C2915" s="5"/>
      <c r="R2915" s="15"/>
    </row>
    <row r="2916" spans="3:18">
      <c r="C2916" s="5"/>
      <c r="R2916" s="15"/>
    </row>
    <row r="2917" spans="3:18">
      <c r="C2917" s="5"/>
      <c r="R2917" s="15"/>
    </row>
    <row r="2918" spans="3:18">
      <c r="C2918" s="5"/>
      <c r="R2918" s="15"/>
    </row>
    <row r="2919" spans="3:18">
      <c r="C2919" s="5"/>
      <c r="R2919" s="15"/>
    </row>
    <row r="2920" spans="3:18">
      <c r="C2920" s="5"/>
      <c r="R2920" s="15"/>
    </row>
    <row r="2921" spans="3:18">
      <c r="C2921" s="5"/>
      <c r="R2921" s="15"/>
    </row>
    <row r="2922" spans="3:18">
      <c r="C2922" s="5"/>
      <c r="R2922" s="15"/>
    </row>
    <row r="2923" spans="3:18">
      <c r="C2923" s="5"/>
      <c r="R2923" s="15"/>
    </row>
    <row r="2924" spans="3:18">
      <c r="C2924" s="5"/>
      <c r="R2924" s="15"/>
    </row>
    <row r="2925" spans="3:18">
      <c r="C2925" s="5"/>
      <c r="R2925" s="15"/>
    </row>
    <row r="2926" spans="3:18">
      <c r="C2926" s="5"/>
      <c r="R2926" s="15"/>
    </row>
    <row r="2927" spans="3:18">
      <c r="C2927" s="5"/>
      <c r="R2927" s="15"/>
    </row>
    <row r="2928" spans="3:18">
      <c r="C2928" s="5"/>
      <c r="R2928" s="15"/>
    </row>
    <row r="2929" spans="3:18">
      <c r="C2929" s="5"/>
      <c r="R2929" s="15"/>
    </row>
    <row r="2930" spans="3:18">
      <c r="C2930" s="5"/>
      <c r="R2930" s="15"/>
    </row>
    <row r="2931" spans="3:18">
      <c r="C2931" s="5"/>
      <c r="R2931" s="15"/>
    </row>
    <row r="2932" spans="3:18">
      <c r="C2932" s="5"/>
      <c r="R2932" s="15"/>
    </row>
    <row r="2933" spans="3:18">
      <c r="C2933" s="5"/>
      <c r="R2933" s="15"/>
    </row>
    <row r="2934" spans="3:18">
      <c r="C2934" s="5"/>
      <c r="R2934" s="15"/>
    </row>
    <row r="2935" spans="3:18">
      <c r="C2935" s="5"/>
      <c r="R2935" s="15"/>
    </row>
    <row r="2936" spans="3:18">
      <c r="C2936" s="5"/>
      <c r="R2936" s="15"/>
    </row>
    <row r="2937" spans="3:18">
      <c r="C2937" s="5"/>
      <c r="R2937" s="15"/>
    </row>
    <row r="2938" spans="3:18">
      <c r="C2938" s="5"/>
      <c r="R2938" s="15"/>
    </row>
    <row r="2939" spans="3:18">
      <c r="C2939" s="5"/>
      <c r="R2939" s="15"/>
    </row>
    <row r="2940" spans="3:18">
      <c r="C2940" s="5"/>
      <c r="R2940" s="15"/>
    </row>
    <row r="2941" spans="3:18">
      <c r="C2941" s="5"/>
      <c r="R2941" s="15"/>
    </row>
    <row r="2942" spans="3:18">
      <c r="C2942" s="5"/>
      <c r="R2942" s="15"/>
    </row>
    <row r="2943" spans="3:18">
      <c r="C2943" s="5"/>
      <c r="R2943" s="15"/>
    </row>
    <row r="2944" spans="3:18">
      <c r="C2944" s="5"/>
      <c r="R2944" s="15"/>
    </row>
    <row r="2945" spans="3:18">
      <c r="C2945" s="5"/>
      <c r="R2945" s="15"/>
    </row>
    <row r="2946" spans="3:18">
      <c r="C2946" s="5"/>
      <c r="R2946" s="15"/>
    </row>
    <row r="2947" spans="3:18">
      <c r="C2947" s="5"/>
      <c r="R2947" s="15"/>
    </row>
    <row r="2948" spans="3:18">
      <c r="C2948" s="5"/>
      <c r="R2948" s="15"/>
    </row>
    <row r="2949" spans="3:18">
      <c r="C2949" s="5"/>
      <c r="R2949" s="15"/>
    </row>
    <row r="2950" spans="3:18">
      <c r="C2950" s="5"/>
      <c r="R2950" s="15"/>
    </row>
    <row r="2951" spans="3:18">
      <c r="C2951" s="5"/>
      <c r="R2951" s="15"/>
    </row>
    <row r="2952" spans="3:18">
      <c r="C2952" s="5"/>
      <c r="R2952" s="15"/>
    </row>
    <row r="2953" spans="3:18">
      <c r="C2953" s="5"/>
      <c r="R2953" s="15"/>
    </row>
    <row r="2954" spans="3:18">
      <c r="C2954" s="5"/>
      <c r="R2954" s="15"/>
    </row>
    <row r="2955" spans="3:18">
      <c r="C2955" s="5"/>
      <c r="R2955" s="15"/>
    </row>
    <row r="2956" spans="3:18">
      <c r="C2956" s="5"/>
      <c r="R2956" s="15"/>
    </row>
    <row r="2957" spans="3:18">
      <c r="C2957" s="5"/>
      <c r="R2957" s="15"/>
    </row>
    <row r="2958" spans="3:18">
      <c r="C2958" s="5"/>
      <c r="R2958" s="15"/>
    </row>
    <row r="2959" spans="3:18">
      <c r="C2959" s="5"/>
      <c r="R2959" s="15"/>
    </row>
    <row r="2960" spans="3:18">
      <c r="C2960" s="5"/>
      <c r="R2960" s="15"/>
    </row>
    <row r="2961" spans="3:18">
      <c r="C2961" s="5"/>
      <c r="R2961" s="15"/>
    </row>
    <row r="2962" spans="3:18">
      <c r="C2962" s="5"/>
      <c r="R2962" s="15"/>
    </row>
    <row r="2963" spans="3:18">
      <c r="C2963" s="5"/>
      <c r="R2963" s="15"/>
    </row>
    <row r="2964" spans="3:18">
      <c r="C2964" s="5"/>
      <c r="R2964" s="15"/>
    </row>
    <row r="2965" spans="3:18">
      <c r="C2965" s="5"/>
      <c r="R2965" s="15"/>
    </row>
    <row r="2966" spans="3:18">
      <c r="C2966" s="5"/>
      <c r="R2966" s="15"/>
    </row>
    <row r="2967" spans="3:18">
      <c r="C2967" s="5"/>
      <c r="R2967" s="15"/>
    </row>
    <row r="2968" spans="3:18">
      <c r="C2968" s="5"/>
      <c r="R2968" s="15"/>
    </row>
    <row r="2969" spans="3:18">
      <c r="C2969" s="5"/>
      <c r="R2969" s="15"/>
    </row>
    <row r="2970" spans="3:18">
      <c r="C2970" s="5"/>
      <c r="R2970" s="15"/>
    </row>
    <row r="2971" spans="3:18">
      <c r="C2971" s="5"/>
      <c r="R2971" s="15"/>
    </row>
    <row r="2972" spans="3:18">
      <c r="C2972" s="5"/>
      <c r="R2972" s="15"/>
    </row>
    <row r="2973" spans="3:18">
      <c r="C2973" s="5"/>
      <c r="R2973" s="15"/>
    </row>
    <row r="2974" spans="3:18">
      <c r="C2974" s="5"/>
      <c r="R2974" s="15"/>
    </row>
    <row r="2975" spans="3:18">
      <c r="C2975" s="5"/>
      <c r="R2975" s="15"/>
    </row>
    <row r="2976" spans="3:18">
      <c r="C2976" s="5"/>
      <c r="R2976" s="15"/>
    </row>
    <row r="2977" spans="3:18">
      <c r="C2977" s="5"/>
      <c r="R2977" s="15"/>
    </row>
    <row r="2978" spans="3:18">
      <c r="C2978" s="5"/>
      <c r="R2978" s="15"/>
    </row>
    <row r="2979" spans="3:18">
      <c r="C2979" s="5"/>
      <c r="R2979" s="15"/>
    </row>
    <row r="2980" spans="3:18">
      <c r="C2980" s="5"/>
      <c r="R2980" s="15"/>
    </row>
    <row r="2981" spans="3:18">
      <c r="C2981" s="5"/>
      <c r="R2981" s="15"/>
    </row>
    <row r="2982" spans="3:18">
      <c r="C2982" s="5"/>
      <c r="R2982" s="15"/>
    </row>
    <row r="2983" spans="3:18">
      <c r="C2983" s="5"/>
      <c r="R2983" s="15"/>
    </row>
    <row r="2984" spans="3:18">
      <c r="C2984" s="5"/>
      <c r="R2984" s="15"/>
    </row>
    <row r="2985" spans="3:18">
      <c r="C2985" s="5"/>
      <c r="R2985" s="15"/>
    </row>
    <row r="2986" spans="3:18">
      <c r="C2986" s="5"/>
      <c r="R2986" s="15"/>
    </row>
    <row r="2987" spans="3:18">
      <c r="C2987" s="5"/>
      <c r="R2987" s="15"/>
    </row>
    <row r="2988" spans="3:18">
      <c r="C2988" s="5"/>
      <c r="R2988" s="15"/>
    </row>
    <row r="2989" spans="3:18">
      <c r="C2989" s="5"/>
      <c r="R2989" s="15"/>
    </row>
    <row r="2990" spans="3:18">
      <c r="C2990" s="5"/>
      <c r="R2990" s="15"/>
    </row>
    <row r="2991" spans="3:18">
      <c r="C2991" s="5"/>
      <c r="R2991" s="15"/>
    </row>
    <row r="2992" spans="3:18">
      <c r="C2992" s="5"/>
      <c r="R2992" s="15"/>
    </row>
    <row r="2993" spans="3:18">
      <c r="C2993" s="5"/>
      <c r="R2993" s="15"/>
    </row>
    <row r="2994" spans="3:18">
      <c r="C2994" s="5"/>
      <c r="R2994" s="15"/>
    </row>
    <row r="2995" spans="3:18">
      <c r="C2995" s="5"/>
      <c r="R2995" s="15"/>
    </row>
    <row r="2996" spans="3:18">
      <c r="C2996" s="5"/>
      <c r="R2996" s="15"/>
    </row>
    <row r="2997" spans="3:18">
      <c r="C2997" s="5"/>
      <c r="R2997" s="15"/>
    </row>
    <row r="2998" spans="3:18">
      <c r="C2998" s="5"/>
      <c r="R2998" s="15"/>
    </row>
    <row r="2999" spans="3:18">
      <c r="C2999" s="5"/>
      <c r="R2999" s="15"/>
    </row>
    <row r="3000" spans="3:18">
      <c r="C3000" s="5"/>
      <c r="R3000" s="15"/>
    </row>
    <row r="3001" spans="3:18">
      <c r="C3001" s="5"/>
      <c r="R3001" s="15"/>
    </row>
    <row r="3002" spans="3:18">
      <c r="C3002" s="5"/>
      <c r="R3002" s="15"/>
    </row>
    <row r="3003" spans="3:18">
      <c r="C3003" s="5"/>
      <c r="R3003" s="15"/>
    </row>
    <row r="3004" spans="3:18">
      <c r="C3004" s="5"/>
      <c r="R3004" s="15"/>
    </row>
    <row r="3005" spans="3:18">
      <c r="C3005" s="5"/>
      <c r="R3005" s="15"/>
    </row>
    <row r="3006" spans="3:18">
      <c r="C3006" s="5"/>
      <c r="R3006" s="15"/>
    </row>
    <row r="3007" spans="3:18">
      <c r="C3007" s="5"/>
      <c r="R3007" s="15"/>
    </row>
    <row r="3008" spans="3:18">
      <c r="C3008" s="5"/>
      <c r="R3008" s="15"/>
    </row>
    <row r="3009" spans="3:18">
      <c r="C3009" s="5"/>
      <c r="R3009" s="15"/>
    </row>
    <row r="3010" spans="3:18">
      <c r="C3010" s="5"/>
      <c r="R3010" s="15"/>
    </row>
    <row r="3011" spans="3:18">
      <c r="C3011" s="5"/>
      <c r="R3011" s="15"/>
    </row>
    <row r="3012" spans="3:18">
      <c r="C3012" s="5"/>
      <c r="R3012" s="15"/>
    </row>
    <row r="3013" spans="3:18">
      <c r="C3013" s="5"/>
      <c r="R3013" s="15"/>
    </row>
    <row r="3014" spans="3:18">
      <c r="C3014" s="5"/>
      <c r="R3014" s="15"/>
    </row>
    <row r="3015" spans="3:18">
      <c r="C3015" s="5"/>
      <c r="R3015" s="15"/>
    </row>
    <row r="3016" spans="3:18">
      <c r="C3016" s="5"/>
      <c r="R3016" s="15"/>
    </row>
    <row r="3017" spans="3:18">
      <c r="C3017" s="5"/>
      <c r="R3017" s="15"/>
    </row>
    <row r="3018" spans="3:18">
      <c r="C3018" s="5"/>
      <c r="R3018" s="15"/>
    </row>
    <row r="3019" spans="3:18">
      <c r="C3019" s="5"/>
      <c r="R3019" s="15"/>
    </row>
    <row r="3020" spans="3:18">
      <c r="C3020" s="5"/>
      <c r="R3020" s="15"/>
    </row>
    <row r="3021" spans="3:18">
      <c r="C3021" s="5"/>
      <c r="R3021" s="15"/>
    </row>
    <row r="3022" spans="3:18">
      <c r="C3022" s="5"/>
      <c r="R3022" s="15"/>
    </row>
    <row r="3023" spans="3:18">
      <c r="C3023" s="5"/>
      <c r="R3023" s="15"/>
    </row>
    <row r="3024" spans="3:18">
      <c r="C3024" s="5"/>
      <c r="R3024" s="15"/>
    </row>
    <row r="3025" spans="3:18">
      <c r="C3025" s="5"/>
      <c r="R3025" s="15"/>
    </row>
    <row r="3026" spans="3:18">
      <c r="C3026" s="5"/>
      <c r="R3026" s="15"/>
    </row>
    <row r="3027" spans="3:18">
      <c r="C3027" s="5"/>
      <c r="R3027" s="15"/>
    </row>
    <row r="3028" spans="3:18">
      <c r="C3028" s="5"/>
      <c r="R3028" s="15"/>
    </row>
    <row r="3029" spans="3:18">
      <c r="C3029" s="5"/>
      <c r="R3029" s="15"/>
    </row>
    <row r="3030" spans="3:18">
      <c r="C3030" s="5"/>
      <c r="R3030" s="15"/>
    </row>
    <row r="3031" spans="3:18">
      <c r="C3031" s="5"/>
      <c r="R3031" s="15"/>
    </row>
    <row r="3032" spans="3:18">
      <c r="C3032" s="5"/>
      <c r="R3032" s="15"/>
    </row>
    <row r="3033" spans="3:18">
      <c r="C3033" s="5"/>
      <c r="R3033" s="15"/>
    </row>
    <row r="3034" spans="3:18">
      <c r="C3034" s="5"/>
      <c r="R3034" s="15"/>
    </row>
    <row r="3035" spans="3:18">
      <c r="C3035" s="5"/>
      <c r="R3035" s="15"/>
    </row>
    <row r="3036" spans="3:18">
      <c r="C3036" s="5"/>
      <c r="R3036" s="15"/>
    </row>
    <row r="3037" spans="3:18">
      <c r="C3037" s="5"/>
      <c r="R3037" s="15"/>
    </row>
    <row r="3038" spans="3:18">
      <c r="C3038" s="5"/>
      <c r="R3038" s="15"/>
    </row>
    <row r="3039" spans="3:18">
      <c r="C3039" s="5"/>
      <c r="R3039" s="15"/>
    </row>
    <row r="3040" spans="3:18">
      <c r="C3040" s="5"/>
      <c r="R3040" s="15"/>
    </row>
    <row r="3041" spans="3:18">
      <c r="C3041" s="5"/>
      <c r="R3041" s="15"/>
    </row>
    <row r="3042" spans="3:18">
      <c r="C3042" s="5"/>
      <c r="R3042" s="15"/>
    </row>
    <row r="3043" spans="3:18">
      <c r="C3043" s="5"/>
      <c r="R3043" s="15"/>
    </row>
    <row r="3044" spans="3:18">
      <c r="C3044" s="5"/>
      <c r="R3044" s="15"/>
    </row>
    <row r="3045" spans="3:18">
      <c r="C3045" s="5"/>
      <c r="R3045" s="15"/>
    </row>
    <row r="3046" spans="3:18">
      <c r="C3046" s="5"/>
      <c r="R3046" s="15"/>
    </row>
    <row r="3047" spans="3:18">
      <c r="C3047" s="5"/>
      <c r="R3047" s="15"/>
    </row>
    <row r="3048" spans="3:18">
      <c r="C3048" s="5"/>
      <c r="R3048" s="15"/>
    </row>
    <row r="3049" spans="3:18">
      <c r="C3049" s="5"/>
      <c r="R3049" s="15"/>
    </row>
    <row r="3050" spans="3:18">
      <c r="C3050" s="5"/>
      <c r="R3050" s="15"/>
    </row>
    <row r="3051" spans="3:18">
      <c r="C3051" s="5"/>
      <c r="R3051" s="15"/>
    </row>
    <row r="3052" spans="3:18">
      <c r="C3052" s="5"/>
      <c r="R3052" s="15"/>
    </row>
    <row r="3053" spans="3:18">
      <c r="C3053" s="5"/>
      <c r="R3053" s="15"/>
    </row>
    <row r="3054" spans="3:18">
      <c r="C3054" s="5"/>
      <c r="R3054" s="15"/>
    </row>
    <row r="3055" spans="3:18">
      <c r="C3055" s="5"/>
      <c r="R3055" s="15"/>
    </row>
    <row r="3056" spans="3:18">
      <c r="C3056" s="5"/>
      <c r="R3056" s="15"/>
    </row>
    <row r="3057" spans="3:18">
      <c r="C3057" s="5"/>
      <c r="R3057" s="15"/>
    </row>
    <row r="3058" spans="3:18">
      <c r="C3058" s="5"/>
      <c r="R3058" s="15"/>
    </row>
    <row r="3059" spans="3:18">
      <c r="C3059" s="5"/>
      <c r="R3059" s="15"/>
    </row>
    <row r="3060" spans="3:18">
      <c r="C3060" s="5"/>
      <c r="R3060" s="15"/>
    </row>
    <row r="3061" spans="3:18">
      <c r="C3061" s="5"/>
      <c r="R3061" s="15"/>
    </row>
    <row r="3062" spans="3:18">
      <c r="C3062" s="5"/>
      <c r="R3062" s="15"/>
    </row>
    <row r="3063" spans="3:18">
      <c r="C3063" s="5"/>
      <c r="R3063" s="15"/>
    </row>
    <row r="3064" spans="3:18">
      <c r="C3064" s="5"/>
      <c r="R3064" s="15"/>
    </row>
    <row r="3065" spans="3:18">
      <c r="C3065" s="5"/>
      <c r="R3065" s="15"/>
    </row>
    <row r="3066" spans="3:18">
      <c r="C3066" s="5"/>
      <c r="R3066" s="15"/>
    </row>
    <row r="3067" spans="3:18">
      <c r="C3067" s="5"/>
      <c r="R3067" s="15"/>
    </row>
    <row r="3068" spans="3:18">
      <c r="C3068" s="5"/>
      <c r="R3068" s="15"/>
    </row>
    <row r="3069" spans="3:18">
      <c r="C3069" s="5"/>
      <c r="R3069" s="15"/>
    </row>
    <row r="3070" spans="3:18">
      <c r="C3070" s="5"/>
      <c r="R3070" s="15"/>
    </row>
    <row r="3071" spans="3:18">
      <c r="C3071" s="5"/>
      <c r="R3071" s="15"/>
    </row>
    <row r="3072" spans="3:18">
      <c r="C3072" s="5"/>
      <c r="R3072" s="15"/>
    </row>
    <row r="3073" spans="3:18">
      <c r="C3073" s="5"/>
      <c r="R3073" s="15"/>
    </row>
    <row r="3074" spans="3:18">
      <c r="C3074" s="5"/>
      <c r="R3074" s="15"/>
    </row>
    <row r="3075" spans="3:18">
      <c r="C3075" s="5"/>
      <c r="R3075" s="15"/>
    </row>
    <row r="3076" spans="3:18">
      <c r="C3076" s="5"/>
      <c r="R3076" s="15"/>
    </row>
    <row r="3077" spans="3:18">
      <c r="C3077" s="5"/>
      <c r="R3077" s="15"/>
    </row>
    <row r="3078" spans="3:18">
      <c r="C3078" s="5"/>
      <c r="R3078" s="15"/>
    </row>
    <row r="3079" spans="3:18">
      <c r="C3079" s="5"/>
      <c r="R3079" s="15"/>
    </row>
    <row r="3080" spans="3:18">
      <c r="C3080" s="5"/>
      <c r="R3080" s="15"/>
    </row>
    <row r="3081" spans="3:18">
      <c r="C3081" s="5"/>
      <c r="R3081" s="15"/>
    </row>
    <row r="3082" spans="3:18">
      <c r="C3082" s="5"/>
      <c r="R3082" s="15"/>
    </row>
    <row r="3083" spans="3:18">
      <c r="C3083" s="5"/>
      <c r="R3083" s="15"/>
    </row>
    <row r="3084" spans="3:18">
      <c r="C3084" s="5"/>
      <c r="R3084" s="15"/>
    </row>
    <row r="3085" spans="3:18">
      <c r="C3085" s="5"/>
      <c r="R3085" s="15"/>
    </row>
    <row r="3086" spans="3:18">
      <c r="C3086" s="5"/>
      <c r="R3086" s="15"/>
    </row>
    <row r="3087" spans="3:18">
      <c r="C3087" s="5"/>
      <c r="R3087" s="15"/>
    </row>
    <row r="3088" spans="3:18">
      <c r="C3088" s="5"/>
      <c r="R3088" s="15"/>
    </row>
    <row r="3089" spans="3:18">
      <c r="C3089" s="5"/>
      <c r="R3089" s="15"/>
    </row>
    <row r="3090" spans="3:18">
      <c r="C3090" s="5"/>
      <c r="R3090" s="15"/>
    </row>
    <row r="3091" spans="3:18">
      <c r="C3091" s="5"/>
      <c r="R3091" s="15"/>
    </row>
    <row r="3092" spans="3:18">
      <c r="C3092" s="5"/>
      <c r="R3092" s="15"/>
    </row>
    <row r="3093" spans="3:18">
      <c r="C3093" s="5"/>
      <c r="R3093" s="15"/>
    </row>
    <row r="3094" spans="3:18">
      <c r="C3094" s="5"/>
      <c r="R3094" s="15"/>
    </row>
    <row r="3095" spans="3:18">
      <c r="C3095" s="5"/>
      <c r="R3095" s="15"/>
    </row>
    <row r="3096" spans="3:18">
      <c r="C3096" s="5"/>
      <c r="R3096" s="15"/>
    </row>
    <row r="3097" spans="3:18">
      <c r="C3097" s="5"/>
      <c r="R3097" s="15"/>
    </row>
    <row r="3098" spans="3:18">
      <c r="C3098" s="5"/>
      <c r="R3098" s="15"/>
    </row>
    <row r="3099" spans="3:18">
      <c r="C3099" s="5"/>
      <c r="R3099" s="15"/>
    </row>
    <row r="3100" spans="3:18">
      <c r="C3100" s="5"/>
      <c r="R3100" s="15"/>
    </row>
    <row r="3101" spans="3:18">
      <c r="C3101" s="5"/>
      <c r="R3101" s="15"/>
    </row>
    <row r="3102" spans="3:18">
      <c r="C3102" s="5"/>
      <c r="R3102" s="15"/>
    </row>
    <row r="3103" spans="3:18">
      <c r="C3103" s="5"/>
      <c r="R3103" s="15"/>
    </row>
    <row r="3104" spans="3:18">
      <c r="C3104" s="5"/>
      <c r="R3104" s="15"/>
    </row>
    <row r="3105" spans="3:18">
      <c r="C3105" s="5"/>
      <c r="R3105" s="15"/>
    </row>
    <row r="3106" spans="3:18">
      <c r="C3106" s="5"/>
      <c r="R3106" s="15"/>
    </row>
    <row r="3107" spans="3:18">
      <c r="C3107" s="5"/>
      <c r="R3107" s="15"/>
    </row>
    <row r="3108" spans="3:18">
      <c r="C3108" s="5"/>
      <c r="R3108" s="15"/>
    </row>
    <row r="3109" spans="3:18">
      <c r="C3109" s="5"/>
      <c r="R3109" s="15"/>
    </row>
    <row r="3110" spans="3:18">
      <c r="C3110" s="5"/>
      <c r="R3110" s="15"/>
    </row>
    <row r="3111" spans="3:18">
      <c r="C3111" s="5"/>
      <c r="R3111" s="15"/>
    </row>
    <row r="3112" spans="3:18">
      <c r="C3112" s="5"/>
      <c r="R3112" s="15"/>
    </row>
    <row r="3113" spans="3:18">
      <c r="C3113" s="5"/>
      <c r="R3113" s="15"/>
    </row>
    <row r="3114" spans="3:18">
      <c r="C3114" s="5"/>
      <c r="R3114" s="15"/>
    </row>
    <row r="3115" spans="3:18">
      <c r="C3115" s="5"/>
      <c r="R3115" s="15"/>
    </row>
    <row r="3116" spans="3:18">
      <c r="C3116" s="5"/>
      <c r="R3116" s="15"/>
    </row>
    <row r="3117" spans="3:18">
      <c r="C3117" s="5"/>
      <c r="R3117" s="15"/>
    </row>
    <row r="3118" spans="3:18">
      <c r="C3118" s="5"/>
      <c r="R3118" s="15"/>
    </row>
    <row r="3119" spans="3:18">
      <c r="C3119" s="5"/>
      <c r="R3119" s="15"/>
    </row>
    <row r="3120" spans="3:18">
      <c r="C3120" s="5"/>
      <c r="R3120" s="15"/>
    </row>
    <row r="3121" spans="3:18">
      <c r="C3121" s="5"/>
      <c r="R3121" s="15"/>
    </row>
    <row r="3122" spans="3:18">
      <c r="C3122" s="5"/>
      <c r="R3122" s="15"/>
    </row>
    <row r="3123" spans="3:18">
      <c r="C3123" s="5"/>
      <c r="R3123" s="15"/>
    </row>
    <row r="3124" spans="3:18">
      <c r="C3124" s="5"/>
      <c r="R3124" s="15"/>
    </row>
    <row r="3125" spans="3:18">
      <c r="C3125" s="5"/>
      <c r="R3125" s="15"/>
    </row>
    <row r="3126" spans="3:18">
      <c r="C3126" s="5"/>
      <c r="R3126" s="15"/>
    </row>
    <row r="3127" spans="3:18">
      <c r="C3127" s="5"/>
      <c r="R3127" s="15"/>
    </row>
    <row r="3128" spans="3:18">
      <c r="C3128" s="5"/>
      <c r="R3128" s="15"/>
    </row>
    <row r="3129" spans="3:18">
      <c r="C3129" s="5"/>
      <c r="R3129" s="15"/>
    </row>
    <row r="3130" spans="3:18">
      <c r="C3130" s="5"/>
      <c r="R3130" s="15"/>
    </row>
    <row r="3131" spans="3:18">
      <c r="C3131" s="5"/>
      <c r="R3131" s="15"/>
    </row>
    <row r="3132" spans="3:18">
      <c r="C3132" s="5"/>
      <c r="R3132" s="15"/>
    </row>
    <row r="3133" spans="3:18">
      <c r="C3133" s="5"/>
      <c r="R3133" s="15"/>
    </row>
    <row r="3134" spans="3:18">
      <c r="C3134" s="5"/>
      <c r="R3134" s="15"/>
    </row>
    <row r="3135" spans="3:18">
      <c r="C3135" s="5"/>
      <c r="R3135" s="15"/>
    </row>
    <row r="3136" spans="3:18">
      <c r="C3136" s="5"/>
      <c r="R3136" s="15"/>
    </row>
    <row r="3137" spans="3:18">
      <c r="C3137" s="5"/>
      <c r="R3137" s="15"/>
    </row>
    <row r="3138" spans="3:18">
      <c r="C3138" s="5"/>
      <c r="R3138" s="15"/>
    </row>
    <row r="3139" spans="3:18">
      <c r="C3139" s="5"/>
      <c r="R3139" s="15"/>
    </row>
    <row r="3140" spans="3:18">
      <c r="C3140" s="5"/>
      <c r="R3140" s="15"/>
    </row>
    <row r="3141" spans="3:18">
      <c r="C3141" s="5"/>
      <c r="R3141" s="15"/>
    </row>
    <row r="3142" spans="3:18">
      <c r="C3142" s="5"/>
      <c r="R3142" s="15"/>
    </row>
    <row r="3143" spans="3:18">
      <c r="C3143" s="5"/>
      <c r="R3143" s="15"/>
    </row>
    <row r="3144" spans="3:18">
      <c r="C3144" s="5"/>
      <c r="R3144" s="15"/>
    </row>
    <row r="3145" spans="3:18">
      <c r="C3145" s="5"/>
      <c r="R3145" s="15"/>
    </row>
    <row r="3146" spans="3:18">
      <c r="C3146" s="5"/>
      <c r="R3146" s="15"/>
    </row>
    <row r="3147" spans="3:18">
      <c r="C3147" s="5"/>
      <c r="R3147" s="15"/>
    </row>
    <row r="3148" spans="3:18">
      <c r="C3148" s="5"/>
      <c r="R3148" s="15"/>
    </row>
    <row r="3149" spans="3:18">
      <c r="C3149" s="5"/>
      <c r="R3149" s="15"/>
    </row>
    <row r="3150" spans="3:18">
      <c r="C3150" s="5"/>
      <c r="R3150" s="15"/>
    </row>
    <row r="3151" spans="3:18">
      <c r="C3151" s="5"/>
      <c r="R3151" s="15"/>
    </row>
    <row r="3152" spans="3:18">
      <c r="C3152" s="5"/>
      <c r="R3152" s="15"/>
    </row>
    <row r="3153" spans="3:18">
      <c r="C3153" s="5"/>
      <c r="R3153" s="15"/>
    </row>
    <row r="3154" spans="3:18">
      <c r="C3154" s="5"/>
      <c r="R3154" s="15"/>
    </row>
    <row r="3155" spans="3:18">
      <c r="C3155" s="5"/>
      <c r="R3155" s="15"/>
    </row>
    <row r="3156" spans="3:18">
      <c r="C3156" s="5"/>
      <c r="R3156" s="15"/>
    </row>
    <row r="3157" spans="3:18">
      <c r="C3157" s="5"/>
      <c r="R3157" s="15"/>
    </row>
    <row r="3158" spans="3:18">
      <c r="C3158" s="5"/>
      <c r="R3158" s="15"/>
    </row>
    <row r="3159" spans="3:18">
      <c r="C3159" s="5"/>
      <c r="R3159" s="15"/>
    </row>
    <row r="3160" spans="3:18">
      <c r="C3160" s="5"/>
      <c r="R3160" s="15"/>
    </row>
    <row r="3161" spans="3:18">
      <c r="C3161" s="5"/>
      <c r="R3161" s="15"/>
    </row>
    <row r="3162" spans="3:18">
      <c r="C3162" s="5"/>
      <c r="R3162" s="15"/>
    </row>
    <row r="3163" spans="3:18">
      <c r="C3163" s="5"/>
      <c r="R3163" s="15"/>
    </row>
    <row r="3164" spans="3:18">
      <c r="C3164" s="5"/>
      <c r="R3164" s="15"/>
    </row>
    <row r="3165" spans="3:18">
      <c r="C3165" s="5"/>
      <c r="R3165" s="15"/>
    </row>
    <row r="3166" spans="3:18">
      <c r="C3166" s="5"/>
      <c r="R3166" s="15"/>
    </row>
    <row r="3167" spans="3:18">
      <c r="C3167" s="5"/>
      <c r="R3167" s="15"/>
    </row>
    <row r="3168" spans="3:18">
      <c r="C3168" s="5"/>
      <c r="R3168" s="15"/>
    </row>
    <row r="3169" spans="3:18">
      <c r="C3169" s="5"/>
      <c r="R3169" s="15"/>
    </row>
    <row r="3170" spans="3:18">
      <c r="C3170" s="5"/>
      <c r="R3170" s="15"/>
    </row>
    <row r="3171" spans="3:18">
      <c r="C3171" s="5"/>
      <c r="R3171" s="15"/>
    </row>
    <row r="3172" spans="3:18">
      <c r="C3172" s="5"/>
      <c r="R3172" s="15"/>
    </row>
    <row r="3173" spans="3:18">
      <c r="C3173" s="5"/>
      <c r="R3173" s="15"/>
    </row>
    <row r="3174" spans="3:18">
      <c r="C3174" s="5"/>
      <c r="R3174" s="15"/>
    </row>
    <row r="3175" spans="3:18">
      <c r="C3175" s="5"/>
      <c r="R3175" s="15"/>
    </row>
    <row r="3176" spans="3:18">
      <c r="C3176" s="5"/>
      <c r="R3176" s="15"/>
    </row>
    <row r="3177" spans="3:18">
      <c r="C3177" s="5"/>
      <c r="R3177" s="15"/>
    </row>
    <row r="3178" spans="3:18">
      <c r="C3178" s="5"/>
      <c r="R3178" s="15"/>
    </row>
    <row r="3179" spans="3:18">
      <c r="C3179" s="5"/>
      <c r="R3179" s="15"/>
    </row>
    <row r="3180" spans="3:18">
      <c r="C3180" s="5"/>
      <c r="R3180" s="15"/>
    </row>
    <row r="3181" spans="3:18">
      <c r="C3181" s="5"/>
      <c r="R3181" s="15"/>
    </row>
    <row r="3182" spans="3:18">
      <c r="C3182" s="5"/>
      <c r="R3182" s="15"/>
    </row>
    <row r="3183" spans="3:18">
      <c r="C3183" s="5"/>
      <c r="R3183" s="15"/>
    </row>
    <row r="3184" spans="3:18">
      <c r="C3184" s="5"/>
      <c r="R3184" s="15"/>
    </row>
    <row r="3185" spans="3:18">
      <c r="C3185" s="5"/>
      <c r="R3185" s="15"/>
    </row>
    <row r="3186" spans="3:18">
      <c r="C3186" s="5"/>
      <c r="R3186" s="15"/>
    </row>
    <row r="3187" spans="3:18">
      <c r="C3187" s="5"/>
      <c r="R3187" s="15"/>
    </row>
    <row r="3188" spans="3:18">
      <c r="C3188" s="5"/>
      <c r="R3188" s="15"/>
    </row>
    <row r="3189" spans="3:18">
      <c r="C3189" s="5"/>
      <c r="R3189" s="15"/>
    </row>
    <row r="3190" spans="3:18">
      <c r="C3190" s="5"/>
      <c r="R3190" s="15"/>
    </row>
    <row r="3191" spans="3:18">
      <c r="C3191" s="5"/>
      <c r="R3191" s="15"/>
    </row>
    <row r="3192" spans="3:18">
      <c r="C3192" s="5"/>
      <c r="R3192" s="15"/>
    </row>
    <row r="3193" spans="3:18">
      <c r="C3193" s="5"/>
      <c r="R3193" s="15"/>
    </row>
    <row r="3194" spans="3:18">
      <c r="C3194" s="5"/>
      <c r="R3194" s="15"/>
    </row>
    <row r="3195" spans="3:18">
      <c r="C3195" s="5"/>
      <c r="R3195" s="15"/>
    </row>
    <row r="3196" spans="3:18">
      <c r="C3196" s="5"/>
      <c r="R3196" s="15"/>
    </row>
    <row r="3197" spans="3:18">
      <c r="C3197" s="5"/>
      <c r="R3197" s="15"/>
    </row>
    <row r="3198" spans="3:18">
      <c r="C3198" s="5"/>
      <c r="R3198" s="15"/>
    </row>
    <row r="3199" spans="3:18">
      <c r="C3199" s="5"/>
      <c r="R3199" s="15"/>
    </row>
    <row r="3200" spans="3:18">
      <c r="C3200" s="5"/>
      <c r="R3200" s="15"/>
    </row>
    <row r="3201" spans="3:18">
      <c r="C3201" s="5"/>
      <c r="R3201" s="15"/>
    </row>
    <row r="3202" spans="3:18">
      <c r="C3202" s="5"/>
      <c r="R3202" s="15"/>
    </row>
    <row r="3203" spans="3:18">
      <c r="C3203" s="5"/>
      <c r="R3203" s="15"/>
    </row>
    <row r="3204" spans="3:18">
      <c r="C3204" s="5"/>
      <c r="R3204" s="15"/>
    </row>
    <row r="3205" spans="3:18">
      <c r="C3205" s="5"/>
      <c r="R3205" s="15"/>
    </row>
    <row r="3206" spans="3:18">
      <c r="C3206" s="5"/>
      <c r="R3206" s="15"/>
    </row>
    <row r="3207" spans="3:18">
      <c r="C3207" s="5"/>
      <c r="R3207" s="15"/>
    </row>
    <row r="3208" spans="3:18">
      <c r="C3208" s="5"/>
      <c r="R3208" s="15"/>
    </row>
    <row r="3209" spans="3:18">
      <c r="C3209" s="5"/>
      <c r="R3209" s="15"/>
    </row>
    <row r="3210" spans="3:18">
      <c r="C3210" s="5"/>
      <c r="R3210" s="15"/>
    </row>
    <row r="3211" spans="3:18">
      <c r="C3211" s="5"/>
      <c r="R3211" s="15"/>
    </row>
    <row r="3212" spans="3:18">
      <c r="C3212" s="5"/>
      <c r="R3212" s="15"/>
    </row>
    <row r="3213" spans="3:18">
      <c r="C3213" s="5"/>
      <c r="R3213" s="15"/>
    </row>
    <row r="3214" spans="3:18">
      <c r="C3214" s="5"/>
      <c r="R3214" s="15"/>
    </row>
    <row r="3215" spans="3:18">
      <c r="C3215" s="5"/>
      <c r="R3215" s="15"/>
    </row>
    <row r="3216" spans="3:18">
      <c r="C3216" s="5"/>
      <c r="R3216" s="15"/>
    </row>
    <row r="3217" spans="3:18">
      <c r="C3217" s="5"/>
      <c r="R3217" s="15"/>
    </row>
    <row r="3218" spans="3:18">
      <c r="C3218" s="5"/>
      <c r="R3218" s="15"/>
    </row>
    <row r="3219" spans="3:18">
      <c r="C3219" s="5"/>
      <c r="R3219" s="15"/>
    </row>
    <row r="3220" spans="3:18">
      <c r="C3220" s="5"/>
      <c r="R3220" s="15"/>
    </row>
    <row r="3221" spans="3:18">
      <c r="C3221" s="5"/>
      <c r="R3221" s="15"/>
    </row>
    <row r="3222" spans="3:18">
      <c r="C3222" s="5"/>
      <c r="R3222" s="15"/>
    </row>
    <row r="3223" spans="3:18">
      <c r="C3223" s="5"/>
      <c r="R3223" s="15"/>
    </row>
    <row r="3224" spans="3:18">
      <c r="C3224" s="5"/>
      <c r="R3224" s="15"/>
    </row>
    <row r="3225" spans="3:18">
      <c r="C3225" s="5"/>
      <c r="R3225" s="15"/>
    </row>
    <row r="3226" spans="3:18">
      <c r="C3226" s="5"/>
      <c r="R3226" s="15"/>
    </row>
    <row r="3227" spans="3:18">
      <c r="C3227" s="5"/>
      <c r="R3227" s="15"/>
    </row>
    <row r="3228" spans="3:18">
      <c r="C3228" s="5"/>
      <c r="R3228" s="15"/>
    </row>
    <row r="3229" spans="3:18">
      <c r="C3229" s="5"/>
      <c r="R3229" s="15"/>
    </row>
    <row r="3230" spans="3:18">
      <c r="C3230" s="5"/>
      <c r="R3230" s="15"/>
    </row>
    <row r="3231" spans="3:18">
      <c r="C3231" s="5"/>
      <c r="R3231" s="15"/>
    </row>
    <row r="3232" spans="3:18">
      <c r="C3232" s="5"/>
      <c r="R3232" s="15"/>
    </row>
    <row r="3233" spans="3:18">
      <c r="C3233" s="5"/>
      <c r="R3233" s="15"/>
    </row>
    <row r="3234" spans="3:18">
      <c r="C3234" s="5"/>
      <c r="R3234" s="15"/>
    </row>
    <row r="3235" spans="3:18">
      <c r="C3235" s="5"/>
      <c r="R3235" s="15"/>
    </row>
    <row r="3236" spans="3:18">
      <c r="C3236" s="5"/>
      <c r="R3236" s="15"/>
    </row>
    <row r="3237" spans="3:18">
      <c r="C3237" s="5"/>
      <c r="R3237" s="15"/>
    </row>
    <row r="3238" spans="3:18">
      <c r="C3238" s="5"/>
      <c r="R3238" s="15"/>
    </row>
    <row r="3239" spans="3:18">
      <c r="C3239" s="5"/>
      <c r="R3239" s="15"/>
    </row>
    <row r="3240" spans="3:18">
      <c r="C3240" s="5"/>
      <c r="R3240" s="15"/>
    </row>
    <row r="3241" spans="3:18">
      <c r="C3241" s="5"/>
      <c r="R3241" s="15"/>
    </row>
    <row r="3242" spans="3:18">
      <c r="C3242" s="5"/>
      <c r="R3242" s="15"/>
    </row>
    <row r="3243" spans="3:18">
      <c r="C3243" s="5"/>
      <c r="R3243" s="15"/>
    </row>
    <row r="3244" spans="3:18">
      <c r="C3244" s="5"/>
      <c r="R3244" s="15"/>
    </row>
    <row r="3245" spans="3:18">
      <c r="C3245" s="5"/>
      <c r="R3245" s="15"/>
    </row>
    <row r="3246" spans="3:18">
      <c r="C3246" s="5"/>
      <c r="R3246" s="15"/>
    </row>
    <row r="3247" spans="3:18">
      <c r="C3247" s="5"/>
      <c r="R3247" s="15"/>
    </row>
    <row r="3248" spans="3:18">
      <c r="C3248" s="5"/>
      <c r="R3248" s="15"/>
    </row>
    <row r="3249" spans="3:18">
      <c r="C3249" s="5"/>
      <c r="R3249" s="15"/>
    </row>
    <row r="3250" spans="3:18">
      <c r="C3250" s="5"/>
      <c r="R3250" s="15"/>
    </row>
    <row r="3251" spans="3:18">
      <c r="C3251" s="5"/>
      <c r="R3251" s="15"/>
    </row>
    <row r="3252" spans="3:18">
      <c r="C3252" s="5"/>
      <c r="R3252" s="15"/>
    </row>
    <row r="3253" spans="3:18">
      <c r="C3253" s="5"/>
      <c r="R3253" s="15"/>
    </row>
    <row r="3254" spans="3:18">
      <c r="C3254" s="5"/>
      <c r="R3254" s="15"/>
    </row>
    <row r="3255" spans="3:18">
      <c r="C3255" s="5"/>
      <c r="R3255" s="15"/>
    </row>
    <row r="3256" spans="3:18">
      <c r="C3256" s="5"/>
      <c r="R3256" s="15"/>
    </row>
    <row r="3257" spans="3:18">
      <c r="C3257" s="5"/>
      <c r="R3257" s="15"/>
    </row>
    <row r="3258" spans="3:18">
      <c r="C3258" s="5"/>
      <c r="R3258" s="15"/>
    </row>
    <row r="3259" spans="3:18">
      <c r="C3259" s="5"/>
      <c r="R3259" s="15"/>
    </row>
    <row r="3260" spans="3:18">
      <c r="C3260" s="5"/>
      <c r="R3260" s="15"/>
    </row>
    <row r="3261" spans="3:18">
      <c r="C3261" s="5"/>
      <c r="R3261" s="15"/>
    </row>
    <row r="3262" spans="3:18">
      <c r="C3262" s="5"/>
      <c r="R3262" s="15"/>
    </row>
    <row r="3263" spans="3:18">
      <c r="C3263" s="5"/>
      <c r="R3263" s="15"/>
    </row>
    <row r="3264" spans="3:18">
      <c r="C3264" s="5"/>
      <c r="R3264" s="15"/>
    </row>
    <row r="3265" spans="3:18">
      <c r="C3265" s="5"/>
      <c r="R3265" s="15"/>
    </row>
    <row r="3266" spans="3:18">
      <c r="C3266" s="5"/>
      <c r="R3266" s="15"/>
    </row>
    <row r="3267" spans="3:18">
      <c r="C3267" s="5"/>
      <c r="R3267" s="15"/>
    </row>
    <row r="3268" spans="3:18">
      <c r="C3268" s="5"/>
      <c r="R3268" s="15"/>
    </row>
    <row r="3269" spans="3:18">
      <c r="C3269" s="5"/>
      <c r="R3269" s="15"/>
    </row>
    <row r="3270" spans="3:18">
      <c r="C3270" s="5"/>
      <c r="R3270" s="15"/>
    </row>
    <row r="3271" spans="3:18">
      <c r="C3271" s="5"/>
      <c r="R3271" s="15"/>
    </row>
    <row r="3272" spans="3:18">
      <c r="C3272" s="5"/>
      <c r="R3272" s="15"/>
    </row>
    <row r="3273" spans="3:18">
      <c r="C3273" s="5"/>
      <c r="R3273" s="15"/>
    </row>
    <row r="3274" spans="3:18">
      <c r="C3274" s="5"/>
      <c r="R3274" s="15"/>
    </row>
    <row r="3275" spans="3:18">
      <c r="C3275" s="5"/>
      <c r="R3275" s="15"/>
    </row>
    <row r="3276" spans="3:18">
      <c r="C3276" s="5"/>
      <c r="R3276" s="15"/>
    </row>
    <row r="3277" spans="3:18">
      <c r="C3277" s="5"/>
      <c r="R3277" s="15"/>
    </row>
    <row r="3278" spans="3:18">
      <c r="C3278" s="5"/>
      <c r="R3278" s="15"/>
    </row>
    <row r="3279" spans="3:18">
      <c r="C3279" s="5"/>
      <c r="R3279" s="15"/>
    </row>
    <row r="3280" spans="3:18">
      <c r="C3280" s="5"/>
      <c r="R3280" s="15"/>
    </row>
    <row r="3281" spans="3:18">
      <c r="C3281" s="5"/>
      <c r="R3281" s="15"/>
    </row>
    <row r="3282" spans="3:18">
      <c r="C3282" s="5"/>
      <c r="R3282" s="15"/>
    </row>
    <row r="3283" spans="3:18">
      <c r="C3283" s="5"/>
      <c r="R3283" s="15"/>
    </row>
    <row r="3284" spans="3:18">
      <c r="C3284" s="5"/>
      <c r="R3284" s="15"/>
    </row>
    <row r="3285" spans="3:18">
      <c r="C3285" s="5"/>
      <c r="R3285" s="15"/>
    </row>
    <row r="3286" spans="3:18">
      <c r="C3286" s="5"/>
      <c r="R3286" s="15"/>
    </row>
    <row r="3287" spans="3:18">
      <c r="C3287" s="5"/>
      <c r="R3287" s="15"/>
    </row>
    <row r="3288" spans="3:18">
      <c r="C3288" s="5"/>
      <c r="R3288" s="15"/>
    </row>
    <row r="3289" spans="3:18">
      <c r="C3289" s="5"/>
      <c r="R3289" s="15"/>
    </row>
    <row r="3290" spans="3:18">
      <c r="C3290" s="5"/>
      <c r="R3290" s="15"/>
    </row>
    <row r="3291" spans="3:18">
      <c r="C3291" s="5"/>
      <c r="R3291" s="15"/>
    </row>
    <row r="3292" spans="3:18">
      <c r="C3292" s="5"/>
      <c r="R3292" s="15"/>
    </row>
    <row r="3293" spans="3:18">
      <c r="C3293" s="5"/>
      <c r="R3293" s="15"/>
    </row>
    <row r="3294" spans="3:18">
      <c r="C3294" s="5"/>
      <c r="R3294" s="15"/>
    </row>
    <row r="3295" spans="3:18">
      <c r="C3295" s="5"/>
      <c r="R3295" s="15"/>
    </row>
    <row r="3296" spans="3:18">
      <c r="C3296" s="5"/>
      <c r="R3296" s="15"/>
    </row>
    <row r="3297" spans="3:18">
      <c r="C3297" s="5"/>
      <c r="R3297" s="15"/>
    </row>
    <row r="3298" spans="3:18">
      <c r="C3298" s="5"/>
      <c r="R3298" s="15"/>
    </row>
    <row r="3299" spans="3:18">
      <c r="C3299" s="5"/>
      <c r="R3299" s="15"/>
    </row>
    <row r="3300" spans="3:18">
      <c r="C3300" s="5"/>
      <c r="R3300" s="15"/>
    </row>
    <row r="3301" spans="3:18">
      <c r="C3301" s="5"/>
      <c r="R3301" s="15"/>
    </row>
    <row r="3302" spans="3:18">
      <c r="C3302" s="5"/>
      <c r="R3302" s="15"/>
    </row>
    <row r="3303" spans="3:18">
      <c r="C3303" s="5"/>
      <c r="R3303" s="15"/>
    </row>
    <row r="3304" spans="3:18">
      <c r="C3304" s="5"/>
      <c r="R3304" s="15"/>
    </row>
    <row r="3305" spans="3:18">
      <c r="C3305" s="5"/>
      <c r="R3305" s="15"/>
    </row>
    <row r="3306" spans="3:18">
      <c r="C3306" s="5"/>
      <c r="R3306" s="15"/>
    </row>
    <row r="3307" spans="3:18">
      <c r="C3307" s="5"/>
      <c r="R3307" s="15"/>
    </row>
    <row r="3308" spans="3:18">
      <c r="C3308" s="5"/>
      <c r="R3308" s="15"/>
    </row>
    <row r="3309" spans="3:18">
      <c r="C3309" s="5"/>
      <c r="R3309" s="15"/>
    </row>
    <row r="3310" spans="3:18">
      <c r="C3310" s="5"/>
      <c r="R3310" s="15"/>
    </row>
    <row r="3311" spans="3:18">
      <c r="C3311" s="5"/>
      <c r="R3311" s="15"/>
    </row>
    <row r="3312" spans="3:18">
      <c r="C3312" s="5"/>
      <c r="R3312" s="15"/>
    </row>
    <row r="3313" spans="3:18">
      <c r="C3313" s="5"/>
      <c r="R3313" s="15"/>
    </row>
    <row r="3314" spans="3:18">
      <c r="C3314" s="5"/>
      <c r="R3314" s="15"/>
    </row>
    <row r="3315" spans="3:18">
      <c r="C3315" s="5"/>
      <c r="R3315" s="15"/>
    </row>
    <row r="3316" spans="3:18">
      <c r="C3316" s="5"/>
      <c r="R3316" s="15"/>
    </row>
    <row r="3317" spans="3:18">
      <c r="C3317" s="5"/>
      <c r="R3317" s="15"/>
    </row>
    <row r="3318" spans="3:18">
      <c r="C3318" s="5"/>
      <c r="R3318" s="15"/>
    </row>
    <row r="3319" spans="3:18">
      <c r="C3319" s="5"/>
      <c r="R3319" s="15"/>
    </row>
    <row r="3320" spans="3:18">
      <c r="C3320" s="5"/>
      <c r="R3320" s="15"/>
    </row>
    <row r="3321" spans="3:18">
      <c r="C3321" s="5"/>
      <c r="R3321" s="15"/>
    </row>
    <row r="3322" spans="3:18">
      <c r="C3322" s="5"/>
      <c r="R3322" s="15"/>
    </row>
    <row r="3323" spans="3:18">
      <c r="C3323" s="5"/>
      <c r="R3323" s="15"/>
    </row>
    <row r="3324" spans="3:18">
      <c r="C3324" s="5"/>
      <c r="R3324" s="15"/>
    </row>
    <row r="3325" spans="3:18">
      <c r="C3325" s="5"/>
      <c r="R3325" s="15"/>
    </row>
    <row r="3326" spans="3:18">
      <c r="C3326" s="5"/>
      <c r="R3326" s="15"/>
    </row>
    <row r="3327" spans="3:18">
      <c r="C3327" s="5"/>
      <c r="R3327" s="15"/>
    </row>
    <row r="3328" spans="3:18">
      <c r="C3328" s="5"/>
      <c r="R3328" s="15"/>
    </row>
    <row r="3329" spans="3:18">
      <c r="C3329" s="5"/>
      <c r="R3329" s="15"/>
    </row>
    <row r="3330" spans="3:18">
      <c r="C3330" s="5"/>
      <c r="R3330" s="15"/>
    </row>
    <row r="3331" spans="3:18">
      <c r="C3331" s="5"/>
      <c r="R3331" s="15"/>
    </row>
    <row r="3332" spans="3:18">
      <c r="C3332" s="5"/>
      <c r="R3332" s="15"/>
    </row>
    <row r="3333" spans="3:18">
      <c r="C3333" s="5"/>
      <c r="R3333" s="15"/>
    </row>
    <row r="3334" spans="3:18">
      <c r="C3334" s="5"/>
      <c r="R3334" s="15"/>
    </row>
    <row r="3335" spans="3:18">
      <c r="C3335" s="5"/>
      <c r="R3335" s="15"/>
    </row>
    <row r="3336" spans="3:18">
      <c r="C3336" s="5"/>
      <c r="R3336" s="15"/>
    </row>
    <row r="3337" spans="3:18">
      <c r="C3337" s="5"/>
      <c r="R3337" s="15"/>
    </row>
    <row r="3338" spans="3:18">
      <c r="C3338" s="5"/>
      <c r="R3338" s="15"/>
    </row>
    <row r="3339" spans="3:18">
      <c r="C3339" s="5"/>
      <c r="R3339" s="15"/>
    </row>
    <row r="3340" spans="3:18">
      <c r="C3340" s="5"/>
      <c r="R3340" s="15"/>
    </row>
    <row r="3341" spans="3:18">
      <c r="C3341" s="5"/>
      <c r="R3341" s="15"/>
    </row>
    <row r="3342" spans="3:18">
      <c r="C3342" s="5"/>
      <c r="R3342" s="15"/>
    </row>
    <row r="3343" spans="3:18">
      <c r="C3343" s="5"/>
      <c r="R3343" s="15"/>
    </row>
    <row r="3344" spans="3:18">
      <c r="C3344" s="5"/>
      <c r="R3344" s="15"/>
    </row>
    <row r="3345" spans="3:18">
      <c r="C3345" s="5"/>
      <c r="R3345" s="15"/>
    </row>
    <row r="3346" spans="3:18">
      <c r="C3346" s="5"/>
      <c r="R3346" s="15"/>
    </row>
    <row r="3347" spans="3:18">
      <c r="C3347" s="5"/>
      <c r="R3347" s="15"/>
    </row>
    <row r="3348" spans="3:18">
      <c r="C3348" s="5"/>
      <c r="R3348" s="15"/>
    </row>
    <row r="3349" spans="3:18">
      <c r="C3349" s="5"/>
      <c r="R3349" s="15"/>
    </row>
    <row r="3350" spans="3:18">
      <c r="C3350" s="5"/>
      <c r="R3350" s="15"/>
    </row>
    <row r="3351" spans="3:18">
      <c r="C3351" s="5"/>
      <c r="R3351" s="15"/>
    </row>
    <row r="3352" spans="3:18">
      <c r="C3352" s="5"/>
      <c r="R3352" s="15"/>
    </row>
    <row r="3353" spans="3:18">
      <c r="C3353" s="5"/>
      <c r="R3353" s="15"/>
    </row>
    <row r="3354" spans="3:18">
      <c r="C3354" s="5"/>
      <c r="R3354" s="15"/>
    </row>
    <row r="3355" spans="3:18">
      <c r="C3355" s="5"/>
      <c r="R3355" s="15"/>
    </row>
    <row r="3356" spans="3:18">
      <c r="C3356" s="5"/>
      <c r="R3356" s="15"/>
    </row>
    <row r="3357" spans="3:18">
      <c r="C3357" s="5"/>
      <c r="R3357" s="15"/>
    </row>
    <row r="3358" spans="3:18">
      <c r="C3358" s="5"/>
      <c r="R3358" s="15"/>
    </row>
    <row r="3359" spans="3:18">
      <c r="C3359" s="5"/>
      <c r="R3359" s="15"/>
    </row>
    <row r="3360" spans="3:18">
      <c r="C3360" s="5"/>
      <c r="R3360" s="15"/>
    </row>
    <row r="3361" spans="3:18">
      <c r="C3361" s="5"/>
      <c r="R3361" s="15"/>
    </row>
    <row r="3362" spans="3:18">
      <c r="C3362" s="5"/>
      <c r="R3362" s="15"/>
    </row>
    <row r="3363" spans="3:18">
      <c r="C3363" s="5"/>
      <c r="R3363" s="15"/>
    </row>
    <row r="3364" spans="3:18">
      <c r="C3364" s="5"/>
      <c r="R3364" s="15"/>
    </row>
    <row r="3365" spans="3:18">
      <c r="C3365" s="5"/>
      <c r="R3365" s="15"/>
    </row>
    <row r="3366" spans="3:18">
      <c r="C3366" s="5"/>
      <c r="R3366" s="15"/>
    </row>
    <row r="3367" spans="3:18">
      <c r="C3367" s="5"/>
      <c r="R3367" s="15"/>
    </row>
    <row r="3368" spans="3:18">
      <c r="C3368" s="5"/>
      <c r="R3368" s="15"/>
    </row>
    <row r="3369" spans="3:18">
      <c r="C3369" s="5"/>
      <c r="R3369" s="15"/>
    </row>
    <row r="3370" spans="3:18">
      <c r="C3370" s="5"/>
      <c r="R3370" s="15"/>
    </row>
    <row r="3371" spans="3:18">
      <c r="C3371" s="5"/>
      <c r="R3371" s="15"/>
    </row>
    <row r="3372" spans="3:18">
      <c r="C3372" s="5"/>
      <c r="R3372" s="15"/>
    </row>
    <row r="3373" spans="3:18">
      <c r="C3373" s="5"/>
      <c r="R3373" s="15"/>
    </row>
    <row r="3374" spans="3:18">
      <c r="C3374" s="5"/>
      <c r="R3374" s="15"/>
    </row>
    <row r="3375" spans="3:18">
      <c r="C3375" s="5"/>
      <c r="R3375" s="15"/>
    </row>
    <row r="3376" spans="3:18">
      <c r="C3376" s="5"/>
      <c r="R3376" s="15"/>
    </row>
    <row r="3377" spans="3:18">
      <c r="C3377" s="5"/>
      <c r="R3377" s="15"/>
    </row>
    <row r="3378" spans="3:18">
      <c r="C3378" s="5"/>
      <c r="R3378" s="15"/>
    </row>
    <row r="3379" spans="3:18">
      <c r="C3379" s="5"/>
      <c r="R3379" s="15"/>
    </row>
    <row r="3380" spans="3:18">
      <c r="C3380" s="5"/>
      <c r="R3380" s="15"/>
    </row>
    <row r="3381" spans="3:18">
      <c r="C3381" s="5"/>
      <c r="R3381" s="15"/>
    </row>
    <row r="3382" spans="3:18">
      <c r="C3382" s="5"/>
      <c r="R3382" s="15"/>
    </row>
    <row r="3383" spans="3:18">
      <c r="C3383" s="5"/>
      <c r="R3383" s="15"/>
    </row>
    <row r="3384" spans="3:18">
      <c r="C3384" s="5"/>
      <c r="R3384" s="15"/>
    </row>
    <row r="3385" spans="3:18">
      <c r="C3385" s="5"/>
      <c r="R3385" s="15"/>
    </row>
    <row r="3386" spans="3:18">
      <c r="C3386" s="5"/>
      <c r="R3386" s="15"/>
    </row>
    <row r="3387" spans="3:18">
      <c r="C3387" s="5"/>
      <c r="R3387" s="15"/>
    </row>
    <row r="3388" spans="3:18">
      <c r="C3388" s="5"/>
      <c r="R3388" s="15"/>
    </row>
    <row r="3389" spans="3:18">
      <c r="C3389" s="5"/>
      <c r="R3389" s="15"/>
    </row>
    <row r="3390" spans="3:18">
      <c r="C3390" s="5"/>
      <c r="R3390" s="15"/>
    </row>
    <row r="3391" spans="3:18">
      <c r="C3391" s="5"/>
      <c r="R3391" s="15"/>
    </row>
    <row r="3392" spans="3:18">
      <c r="C3392" s="5"/>
      <c r="R3392" s="15"/>
    </row>
    <row r="3393" spans="3:18">
      <c r="C3393" s="5"/>
      <c r="R3393" s="15"/>
    </row>
    <row r="3394" spans="3:18">
      <c r="C3394" s="5"/>
      <c r="R3394" s="15"/>
    </row>
    <row r="3395" spans="3:18">
      <c r="C3395" s="5"/>
      <c r="R3395" s="15"/>
    </row>
    <row r="3396" spans="3:18">
      <c r="C3396" s="5"/>
      <c r="R3396" s="15"/>
    </row>
    <row r="3397" spans="3:18">
      <c r="C3397" s="5"/>
      <c r="R3397" s="15"/>
    </row>
    <row r="3398" spans="3:18">
      <c r="C3398" s="5"/>
      <c r="R3398" s="15"/>
    </row>
    <row r="3399" spans="3:18">
      <c r="C3399" s="5"/>
      <c r="R3399" s="15"/>
    </row>
    <row r="3400" spans="3:18">
      <c r="C3400" s="5"/>
      <c r="R3400" s="15"/>
    </row>
    <row r="3401" spans="3:18">
      <c r="C3401" s="5"/>
      <c r="R3401" s="15"/>
    </row>
    <row r="3402" spans="3:18">
      <c r="C3402" s="5"/>
      <c r="R3402" s="15"/>
    </row>
    <row r="3403" spans="3:18">
      <c r="C3403" s="5"/>
      <c r="R3403" s="15"/>
    </row>
    <row r="3404" spans="3:18">
      <c r="C3404" s="5"/>
      <c r="R3404" s="15"/>
    </row>
    <row r="3405" spans="3:18">
      <c r="C3405" s="5"/>
      <c r="R3405" s="15"/>
    </row>
    <row r="3406" spans="3:18">
      <c r="C3406" s="5"/>
      <c r="R3406" s="15"/>
    </row>
    <row r="3407" spans="3:18">
      <c r="C3407" s="5"/>
      <c r="R3407" s="15"/>
    </row>
    <row r="3408" spans="3:18">
      <c r="C3408" s="5"/>
      <c r="R3408" s="15"/>
    </row>
    <row r="3409" spans="3:18">
      <c r="C3409" s="5"/>
      <c r="R3409" s="15"/>
    </row>
    <row r="3410" spans="3:18">
      <c r="C3410" s="5"/>
      <c r="R3410" s="15"/>
    </row>
    <row r="3411" spans="3:18">
      <c r="C3411" s="5"/>
      <c r="R3411" s="15"/>
    </row>
    <row r="3412" spans="3:18">
      <c r="C3412" s="5"/>
      <c r="R3412" s="15"/>
    </row>
    <row r="3413" spans="3:18">
      <c r="C3413" s="5"/>
      <c r="R3413" s="15"/>
    </row>
    <row r="3414" spans="3:18">
      <c r="C3414" s="5"/>
      <c r="R3414" s="15"/>
    </row>
    <row r="3415" spans="3:18">
      <c r="C3415" s="5"/>
      <c r="R3415" s="15"/>
    </row>
    <row r="3416" spans="3:18">
      <c r="C3416" s="5"/>
      <c r="R3416" s="15"/>
    </row>
    <row r="3417" spans="3:18">
      <c r="C3417" s="5"/>
      <c r="R3417" s="15"/>
    </row>
    <row r="3418" spans="3:18">
      <c r="C3418" s="5"/>
      <c r="R3418" s="15"/>
    </row>
    <row r="3419" spans="3:18">
      <c r="C3419" s="5"/>
      <c r="R3419" s="15"/>
    </row>
    <row r="3420" spans="3:18">
      <c r="C3420" s="5"/>
      <c r="R3420" s="15"/>
    </row>
    <row r="3421" spans="3:18">
      <c r="C3421" s="5"/>
      <c r="R3421" s="15"/>
    </row>
    <row r="3422" spans="3:18">
      <c r="C3422" s="5"/>
      <c r="R3422" s="15"/>
    </row>
    <row r="3423" spans="3:18">
      <c r="C3423" s="5"/>
      <c r="R3423" s="15"/>
    </row>
    <row r="3424" spans="3:18">
      <c r="C3424" s="5"/>
      <c r="R3424" s="15"/>
    </row>
    <row r="3425" spans="3:18">
      <c r="C3425" s="5"/>
      <c r="R3425" s="15"/>
    </row>
    <row r="3426" spans="3:18">
      <c r="C3426" s="5"/>
      <c r="R3426" s="15"/>
    </row>
    <row r="3427" spans="3:18">
      <c r="C3427" s="5"/>
      <c r="R3427" s="15"/>
    </row>
    <row r="3428" spans="3:18">
      <c r="C3428" s="5"/>
      <c r="R3428" s="15"/>
    </row>
    <row r="3429" spans="3:18">
      <c r="C3429" s="5"/>
      <c r="R3429" s="15"/>
    </row>
    <row r="3430" spans="3:18">
      <c r="C3430" s="5"/>
      <c r="R3430" s="15"/>
    </row>
    <row r="3431" spans="3:18">
      <c r="C3431" s="5"/>
      <c r="R3431" s="15"/>
    </row>
    <row r="3432" spans="3:18">
      <c r="C3432" s="5"/>
      <c r="R3432" s="15"/>
    </row>
    <row r="3433" spans="3:18">
      <c r="C3433" s="5"/>
      <c r="R3433" s="15"/>
    </row>
    <row r="3434" spans="3:18">
      <c r="C3434" s="5"/>
      <c r="R3434" s="15"/>
    </row>
    <row r="3435" spans="3:18">
      <c r="C3435" s="5"/>
      <c r="R3435" s="15"/>
    </row>
    <row r="3436" spans="3:18">
      <c r="C3436" s="5"/>
      <c r="R3436" s="15"/>
    </row>
    <row r="3437" spans="3:18">
      <c r="C3437" s="5"/>
      <c r="R3437" s="15"/>
    </row>
    <row r="3438" spans="3:18">
      <c r="C3438" s="5"/>
      <c r="R3438" s="15"/>
    </row>
    <row r="3439" spans="3:18">
      <c r="C3439" s="5"/>
      <c r="R3439" s="15"/>
    </row>
    <row r="3440" spans="3:18">
      <c r="C3440" s="5"/>
      <c r="R3440" s="15"/>
    </row>
    <row r="3441" spans="3:18">
      <c r="C3441" s="5"/>
      <c r="R3441" s="15"/>
    </row>
    <row r="3442" spans="3:18">
      <c r="C3442" s="5"/>
      <c r="R3442" s="15"/>
    </row>
    <row r="3443" spans="3:18">
      <c r="C3443" s="5"/>
      <c r="R3443" s="15"/>
    </row>
    <row r="3444" spans="3:18">
      <c r="C3444" s="5"/>
      <c r="R3444" s="15"/>
    </row>
    <row r="3445" spans="3:18">
      <c r="C3445" s="5"/>
      <c r="R3445" s="15"/>
    </row>
    <row r="3446" spans="3:18">
      <c r="C3446" s="5"/>
      <c r="R3446" s="15"/>
    </row>
    <row r="3447" spans="3:18">
      <c r="C3447" s="5"/>
      <c r="R3447" s="15"/>
    </row>
    <row r="3448" spans="3:18">
      <c r="C3448" s="5"/>
      <c r="R3448" s="15"/>
    </row>
    <row r="3449" spans="3:18">
      <c r="C3449" s="5"/>
      <c r="R3449" s="15"/>
    </row>
    <row r="3450" spans="3:18">
      <c r="C3450" s="5"/>
      <c r="R3450" s="15"/>
    </row>
    <row r="3451" spans="3:18">
      <c r="C3451" s="5"/>
      <c r="R3451" s="15"/>
    </row>
    <row r="3452" spans="3:18">
      <c r="C3452" s="5"/>
      <c r="R3452" s="15"/>
    </row>
    <row r="3453" spans="3:18">
      <c r="C3453" s="5"/>
      <c r="R3453" s="15"/>
    </row>
    <row r="3454" spans="3:18">
      <c r="C3454" s="5"/>
      <c r="R3454" s="15"/>
    </row>
    <row r="3455" spans="3:18">
      <c r="C3455" s="5"/>
      <c r="R3455" s="15"/>
    </row>
    <row r="3456" spans="3:18">
      <c r="C3456" s="5"/>
      <c r="R3456" s="15"/>
    </row>
    <row r="3457" spans="3:18">
      <c r="C3457" s="5"/>
      <c r="R3457" s="15"/>
    </row>
    <row r="3458" spans="3:18">
      <c r="C3458" s="5"/>
      <c r="R3458" s="15"/>
    </row>
    <row r="3459" spans="3:18">
      <c r="C3459" s="5"/>
      <c r="R3459" s="15"/>
    </row>
    <row r="3460" spans="3:18">
      <c r="C3460" s="5"/>
      <c r="R3460" s="15"/>
    </row>
    <row r="3461" spans="3:18">
      <c r="C3461" s="5"/>
      <c r="R3461" s="15"/>
    </row>
    <row r="3462" spans="3:18">
      <c r="C3462" s="5"/>
      <c r="R3462" s="15"/>
    </row>
    <row r="3463" spans="3:18">
      <c r="C3463" s="5"/>
      <c r="R3463" s="15"/>
    </row>
    <row r="3464" spans="3:18">
      <c r="C3464" s="5"/>
      <c r="R3464" s="15"/>
    </row>
    <row r="3465" spans="3:18">
      <c r="C3465" s="5"/>
      <c r="R3465" s="15"/>
    </row>
    <row r="3466" spans="3:18">
      <c r="C3466" s="5"/>
      <c r="R3466" s="15"/>
    </row>
    <row r="3467" spans="3:18">
      <c r="C3467" s="5"/>
      <c r="R3467" s="15"/>
    </row>
    <row r="3468" spans="3:18">
      <c r="C3468" s="5"/>
      <c r="R3468" s="15"/>
    </row>
    <row r="3469" spans="3:18">
      <c r="C3469" s="5"/>
      <c r="R3469" s="15"/>
    </row>
    <row r="3470" spans="3:18">
      <c r="C3470" s="5"/>
      <c r="R3470" s="15"/>
    </row>
    <row r="3471" spans="3:18">
      <c r="C3471" s="5"/>
      <c r="R3471" s="15"/>
    </row>
    <row r="3472" spans="3:18">
      <c r="C3472" s="5"/>
      <c r="R3472" s="15"/>
    </row>
    <row r="3473" spans="3:18">
      <c r="C3473" s="5"/>
      <c r="R3473" s="15"/>
    </row>
    <row r="3474" spans="3:18">
      <c r="C3474" s="5"/>
      <c r="R3474" s="15"/>
    </row>
    <row r="3475" spans="3:18">
      <c r="C3475" s="5"/>
      <c r="R3475" s="15"/>
    </row>
    <row r="3476" spans="3:18">
      <c r="C3476" s="5"/>
      <c r="R3476" s="15"/>
    </row>
    <row r="3477" spans="3:18">
      <c r="C3477" s="5"/>
      <c r="R3477" s="15"/>
    </row>
    <row r="3478" spans="3:18">
      <c r="C3478" s="5"/>
      <c r="R3478" s="15"/>
    </row>
    <row r="3479" spans="3:18">
      <c r="C3479" s="5"/>
      <c r="R3479" s="15"/>
    </row>
    <row r="3480" spans="3:18">
      <c r="C3480" s="5"/>
      <c r="R3480" s="15"/>
    </row>
    <row r="3481" spans="3:18">
      <c r="C3481" s="5"/>
      <c r="R3481" s="15"/>
    </row>
    <row r="3482" spans="3:18">
      <c r="C3482" s="5"/>
      <c r="R3482" s="15"/>
    </row>
    <row r="3483" spans="3:18">
      <c r="C3483" s="5"/>
      <c r="R3483" s="15"/>
    </row>
    <row r="3484" spans="3:18">
      <c r="C3484" s="5"/>
      <c r="R3484" s="15"/>
    </row>
    <row r="3485" spans="3:18">
      <c r="C3485" s="5"/>
      <c r="R3485" s="15"/>
    </row>
    <row r="3486" spans="3:18">
      <c r="C3486" s="5"/>
      <c r="R3486" s="15"/>
    </row>
    <row r="3487" spans="3:18">
      <c r="C3487" s="5"/>
      <c r="R3487" s="15"/>
    </row>
    <row r="3488" spans="3:18">
      <c r="C3488" s="5"/>
      <c r="R3488" s="15"/>
    </row>
    <row r="3489" spans="3:18">
      <c r="C3489" s="5"/>
      <c r="R3489" s="15"/>
    </row>
    <row r="3490" spans="3:18">
      <c r="C3490" s="5"/>
      <c r="R3490" s="15"/>
    </row>
    <row r="3491" spans="3:18">
      <c r="C3491" s="5"/>
      <c r="R3491" s="15"/>
    </row>
    <row r="3492" spans="3:18">
      <c r="C3492" s="5"/>
      <c r="R3492" s="15"/>
    </row>
    <row r="3493" spans="3:18">
      <c r="C3493" s="5"/>
      <c r="R3493" s="15"/>
    </row>
    <row r="3494" spans="3:18">
      <c r="C3494" s="5"/>
      <c r="R3494" s="15"/>
    </row>
    <row r="3495" spans="3:18">
      <c r="C3495" s="5"/>
      <c r="R3495" s="15"/>
    </row>
    <row r="3496" spans="3:18">
      <c r="C3496" s="5"/>
      <c r="R3496" s="15"/>
    </row>
    <row r="3497" spans="3:18">
      <c r="C3497" s="5"/>
      <c r="R3497" s="15"/>
    </row>
    <row r="3498" spans="3:18">
      <c r="C3498" s="5"/>
      <c r="R3498" s="15"/>
    </row>
    <row r="3499" spans="3:18">
      <c r="C3499" s="5"/>
      <c r="R3499" s="15"/>
    </row>
    <row r="3500" spans="3:18">
      <c r="C3500" s="5"/>
      <c r="R3500" s="15"/>
    </row>
    <row r="3501" spans="3:18">
      <c r="C3501" s="5"/>
      <c r="R3501" s="15"/>
    </row>
    <row r="3502" spans="3:18">
      <c r="C3502" s="5"/>
      <c r="R3502" s="15"/>
    </row>
    <row r="3503" spans="3:18">
      <c r="C3503" s="5"/>
      <c r="R3503" s="15"/>
    </row>
    <row r="3504" spans="3:18">
      <c r="C3504" s="5"/>
      <c r="R3504" s="15"/>
    </row>
    <row r="3505" spans="3:18">
      <c r="C3505" s="5"/>
      <c r="R3505" s="15"/>
    </row>
    <row r="3506" spans="3:18">
      <c r="C3506" s="5"/>
      <c r="R3506" s="15"/>
    </row>
    <row r="3507" spans="3:18">
      <c r="C3507" s="5"/>
      <c r="R3507" s="15"/>
    </row>
    <row r="3508" spans="3:18">
      <c r="C3508" s="5"/>
      <c r="R3508" s="15"/>
    </row>
    <row r="3509" spans="3:18">
      <c r="C3509" s="5"/>
      <c r="R3509" s="15"/>
    </row>
    <row r="3510" spans="3:18">
      <c r="C3510" s="5"/>
      <c r="R3510" s="15"/>
    </row>
    <row r="3511" spans="3:18">
      <c r="C3511" s="5"/>
      <c r="R3511" s="15"/>
    </row>
    <row r="3512" spans="3:18">
      <c r="C3512" s="5"/>
      <c r="R3512" s="15"/>
    </row>
    <row r="3513" spans="3:18">
      <c r="C3513" s="5"/>
      <c r="R3513" s="15"/>
    </row>
    <row r="3514" spans="3:18">
      <c r="C3514" s="5"/>
      <c r="R3514" s="15"/>
    </row>
    <row r="3515" spans="3:18">
      <c r="C3515" s="5"/>
      <c r="R3515" s="15"/>
    </row>
    <row r="3516" spans="3:18">
      <c r="C3516" s="5"/>
      <c r="R3516" s="15"/>
    </row>
    <row r="3517" spans="3:18">
      <c r="C3517" s="5"/>
      <c r="R3517" s="15"/>
    </row>
    <row r="3518" spans="3:18">
      <c r="C3518" s="5"/>
      <c r="R3518" s="15"/>
    </row>
    <row r="3519" spans="3:18">
      <c r="C3519" s="5"/>
      <c r="R3519" s="15"/>
    </row>
    <row r="3520" spans="3:18">
      <c r="C3520" s="5"/>
      <c r="R3520" s="15"/>
    </row>
    <row r="3521" spans="3:18">
      <c r="C3521" s="5"/>
      <c r="R3521" s="15"/>
    </row>
    <row r="3522" spans="3:18">
      <c r="C3522" s="5"/>
      <c r="R3522" s="15"/>
    </row>
    <row r="3523" spans="3:18">
      <c r="C3523" s="5"/>
      <c r="R3523" s="15"/>
    </row>
    <row r="3524" spans="3:18">
      <c r="C3524" s="5"/>
      <c r="R3524" s="15"/>
    </row>
    <row r="3525" spans="3:18">
      <c r="C3525" s="5"/>
      <c r="R3525" s="15"/>
    </row>
    <row r="3526" spans="3:18">
      <c r="C3526" s="5"/>
      <c r="R3526" s="15"/>
    </row>
    <row r="3527" spans="3:18">
      <c r="C3527" s="5"/>
      <c r="R3527" s="15"/>
    </row>
    <row r="3528" spans="3:18">
      <c r="C3528" s="5"/>
      <c r="R3528" s="15"/>
    </row>
    <row r="3529" spans="3:18">
      <c r="C3529" s="5"/>
      <c r="R3529" s="15"/>
    </row>
    <row r="3530" spans="3:18">
      <c r="C3530" s="5"/>
      <c r="R3530" s="15"/>
    </row>
    <row r="3531" spans="3:18">
      <c r="C3531" s="5"/>
      <c r="R3531" s="15"/>
    </row>
    <row r="3532" spans="3:18">
      <c r="C3532" s="5"/>
      <c r="R3532" s="15"/>
    </row>
    <row r="3533" spans="3:18">
      <c r="C3533" s="5"/>
      <c r="R3533" s="15"/>
    </row>
    <row r="3534" spans="3:18">
      <c r="C3534" s="5"/>
      <c r="R3534" s="15"/>
    </row>
    <row r="3535" spans="3:18">
      <c r="C3535" s="5"/>
      <c r="R3535" s="15"/>
    </row>
    <row r="3536" spans="3:18">
      <c r="C3536" s="5"/>
      <c r="R3536" s="15"/>
    </row>
    <row r="3537" spans="3:18">
      <c r="C3537" s="5"/>
      <c r="R3537" s="15"/>
    </row>
    <row r="3538" spans="3:18">
      <c r="C3538" s="5"/>
      <c r="R3538" s="15"/>
    </row>
    <row r="3539" spans="3:18">
      <c r="C3539" s="5"/>
      <c r="R3539" s="15"/>
    </row>
    <row r="3540" spans="3:18">
      <c r="C3540" s="5"/>
      <c r="R3540" s="15"/>
    </row>
    <row r="3541" spans="3:18">
      <c r="C3541" s="5"/>
      <c r="R3541" s="15"/>
    </row>
    <row r="3542" spans="3:18">
      <c r="C3542" s="5"/>
      <c r="R3542" s="15"/>
    </row>
    <row r="3543" spans="3:18">
      <c r="C3543" s="5"/>
      <c r="R3543" s="15"/>
    </row>
    <row r="3544" spans="3:18">
      <c r="C3544" s="5"/>
      <c r="R3544" s="15"/>
    </row>
    <row r="3545" spans="3:18">
      <c r="C3545" s="5"/>
      <c r="R3545" s="15"/>
    </row>
    <row r="3546" spans="3:18">
      <c r="C3546" s="5"/>
      <c r="R3546" s="15"/>
    </row>
    <row r="3547" spans="3:18">
      <c r="C3547" s="5"/>
      <c r="R3547" s="15"/>
    </row>
    <row r="3548" spans="3:18">
      <c r="C3548" s="5"/>
      <c r="R3548" s="15"/>
    </row>
    <row r="3549" spans="3:18">
      <c r="C3549" s="5"/>
      <c r="R3549" s="15"/>
    </row>
    <row r="3550" spans="3:18">
      <c r="C3550" s="5"/>
      <c r="R3550" s="15"/>
    </row>
    <row r="3551" spans="3:18">
      <c r="C3551" s="5"/>
      <c r="R3551" s="15"/>
    </row>
    <row r="3552" spans="3:18">
      <c r="C3552" s="5"/>
      <c r="R3552" s="15"/>
    </row>
    <row r="3553" spans="3:18">
      <c r="C3553" s="5"/>
      <c r="R3553" s="15"/>
    </row>
    <row r="3554" spans="3:18">
      <c r="C3554" s="5"/>
      <c r="R3554" s="15"/>
    </row>
    <row r="3555" spans="3:18">
      <c r="C3555" s="5"/>
      <c r="R3555" s="15"/>
    </row>
    <row r="3556" spans="3:18">
      <c r="C3556" s="5"/>
      <c r="R3556" s="15"/>
    </row>
    <row r="3557" spans="3:18">
      <c r="C3557" s="5"/>
      <c r="R3557" s="15"/>
    </row>
    <row r="3558" spans="3:18">
      <c r="C3558" s="5"/>
      <c r="R3558" s="15"/>
    </row>
    <row r="3559" spans="3:18">
      <c r="C3559" s="5"/>
      <c r="R3559" s="15"/>
    </row>
    <row r="3560" spans="3:18">
      <c r="C3560" s="5"/>
      <c r="R3560" s="15"/>
    </row>
    <row r="3561" spans="3:18">
      <c r="C3561" s="5"/>
      <c r="R3561" s="15"/>
    </row>
    <row r="3562" spans="3:18">
      <c r="C3562" s="5"/>
      <c r="R3562" s="15"/>
    </row>
    <row r="3563" spans="3:18">
      <c r="C3563" s="5"/>
      <c r="R3563" s="15"/>
    </row>
    <row r="3564" spans="3:18">
      <c r="C3564" s="5"/>
      <c r="R3564" s="15"/>
    </row>
    <row r="3565" spans="3:18">
      <c r="C3565" s="5"/>
      <c r="R3565" s="15"/>
    </row>
    <row r="3566" spans="3:18">
      <c r="C3566" s="5"/>
      <c r="R3566" s="15"/>
    </row>
    <row r="3567" spans="3:18">
      <c r="C3567" s="5"/>
      <c r="R3567" s="15"/>
    </row>
    <row r="3568" spans="3:18">
      <c r="C3568" s="5"/>
      <c r="R3568" s="15"/>
    </row>
    <row r="3569" spans="3:18">
      <c r="C3569" s="5"/>
      <c r="R3569" s="15"/>
    </row>
    <row r="3570" spans="3:18">
      <c r="C3570" s="5"/>
      <c r="R3570" s="15"/>
    </row>
    <row r="3571" spans="3:18">
      <c r="C3571" s="5"/>
      <c r="R3571" s="15"/>
    </row>
    <row r="3572" spans="3:18">
      <c r="C3572" s="5"/>
      <c r="R3572" s="15"/>
    </row>
    <row r="3573" spans="3:18">
      <c r="C3573" s="5"/>
      <c r="R3573" s="15"/>
    </row>
    <row r="3574" spans="3:18">
      <c r="C3574" s="5"/>
      <c r="R3574" s="15"/>
    </row>
    <row r="3575" spans="3:18">
      <c r="C3575" s="5"/>
      <c r="R3575" s="15"/>
    </row>
    <row r="3576" spans="3:18">
      <c r="C3576" s="5"/>
      <c r="R3576" s="15"/>
    </row>
    <row r="3577" spans="3:18">
      <c r="C3577" s="5"/>
      <c r="R3577" s="15"/>
    </row>
    <row r="3578" spans="3:18">
      <c r="C3578" s="5"/>
      <c r="R3578" s="15"/>
    </row>
    <row r="3579" spans="3:18">
      <c r="C3579" s="5"/>
      <c r="R3579" s="15"/>
    </row>
    <row r="3580" spans="3:18">
      <c r="C3580" s="5"/>
      <c r="R3580" s="15"/>
    </row>
    <row r="3581" spans="3:18">
      <c r="C3581" s="5"/>
      <c r="R3581" s="15"/>
    </row>
    <row r="3582" spans="3:18">
      <c r="C3582" s="5"/>
      <c r="R3582" s="15"/>
    </row>
    <row r="3583" spans="3:18">
      <c r="C3583" s="5"/>
      <c r="R3583" s="15"/>
    </row>
    <row r="3584" spans="3:18">
      <c r="C3584" s="5"/>
      <c r="R3584" s="15"/>
    </row>
    <row r="3585" spans="3:18">
      <c r="C3585" s="5"/>
      <c r="R3585" s="15"/>
    </row>
    <row r="3586" spans="3:18">
      <c r="C3586" s="5"/>
      <c r="R3586" s="15"/>
    </row>
    <row r="3587" spans="3:18">
      <c r="C3587" s="5"/>
      <c r="R3587" s="15"/>
    </row>
    <row r="3588" spans="3:18">
      <c r="C3588" s="5"/>
      <c r="R3588" s="15"/>
    </row>
    <row r="3589" spans="3:18">
      <c r="C3589" s="5"/>
      <c r="R3589" s="15"/>
    </row>
    <row r="3590" spans="3:18">
      <c r="C3590" s="5"/>
      <c r="R3590" s="15"/>
    </row>
    <row r="3591" spans="3:18">
      <c r="C3591" s="5"/>
      <c r="R3591" s="15"/>
    </row>
    <row r="3592" spans="3:18">
      <c r="C3592" s="5"/>
      <c r="R3592" s="15"/>
    </row>
    <row r="3593" spans="3:18">
      <c r="C3593" s="5"/>
      <c r="R3593" s="15"/>
    </row>
    <row r="3594" spans="3:18">
      <c r="C3594" s="5"/>
      <c r="R3594" s="15"/>
    </row>
    <row r="3595" spans="3:18">
      <c r="C3595" s="5"/>
      <c r="R3595" s="15"/>
    </row>
    <row r="3596" spans="3:18">
      <c r="C3596" s="5"/>
      <c r="R3596" s="15"/>
    </row>
    <row r="3597" spans="3:18">
      <c r="C3597" s="5"/>
      <c r="R3597" s="15"/>
    </row>
    <row r="3598" spans="3:18">
      <c r="C3598" s="5"/>
      <c r="R3598" s="15"/>
    </row>
    <row r="3599" spans="3:18">
      <c r="C3599" s="5"/>
      <c r="R3599" s="15"/>
    </row>
    <row r="3600" spans="3:18">
      <c r="C3600" s="5"/>
      <c r="R3600" s="15"/>
    </row>
    <row r="3601" spans="3:18">
      <c r="C3601" s="5"/>
      <c r="R3601" s="15"/>
    </row>
    <row r="3602" spans="3:18">
      <c r="C3602" s="5"/>
      <c r="R3602" s="15"/>
    </row>
    <row r="3603" spans="3:18">
      <c r="C3603" s="5"/>
      <c r="R3603" s="15"/>
    </row>
    <row r="3604" spans="3:18">
      <c r="C3604" s="5"/>
      <c r="R3604" s="15"/>
    </row>
    <row r="3605" spans="3:18">
      <c r="C3605" s="5"/>
      <c r="R3605" s="15"/>
    </row>
    <row r="3606" spans="3:18">
      <c r="C3606" s="5"/>
      <c r="R3606" s="15"/>
    </row>
    <row r="3607" spans="3:18">
      <c r="C3607" s="5"/>
      <c r="R3607" s="15"/>
    </row>
    <row r="3608" spans="3:18">
      <c r="C3608" s="5"/>
      <c r="R3608" s="15"/>
    </row>
    <row r="3609" spans="3:18">
      <c r="C3609" s="5"/>
      <c r="R3609" s="15"/>
    </row>
    <row r="3610" spans="3:18">
      <c r="C3610" s="5"/>
      <c r="R3610" s="15"/>
    </row>
    <row r="3611" spans="3:18">
      <c r="C3611" s="5"/>
      <c r="R3611" s="15"/>
    </row>
    <row r="3612" spans="3:18">
      <c r="C3612" s="5"/>
      <c r="R3612" s="15"/>
    </row>
    <row r="3613" spans="3:18">
      <c r="C3613" s="5"/>
      <c r="R3613" s="15"/>
    </row>
    <row r="3614" spans="3:18">
      <c r="C3614" s="5"/>
      <c r="R3614" s="15"/>
    </row>
    <row r="3615" spans="3:18">
      <c r="C3615" s="5"/>
      <c r="R3615" s="15"/>
    </row>
    <row r="3616" spans="3:18">
      <c r="C3616" s="5"/>
      <c r="R3616" s="15"/>
    </row>
    <row r="3617" spans="3:18">
      <c r="C3617" s="5"/>
      <c r="R3617" s="15"/>
    </row>
    <row r="3618" spans="3:18">
      <c r="C3618" s="5"/>
      <c r="R3618" s="15"/>
    </row>
    <row r="3619" spans="3:18">
      <c r="C3619" s="5"/>
      <c r="R3619" s="15"/>
    </row>
    <row r="3620" spans="3:18">
      <c r="C3620" s="5"/>
      <c r="R3620" s="15"/>
    </row>
    <row r="3621" spans="3:18">
      <c r="C3621" s="5"/>
      <c r="R3621" s="15"/>
    </row>
    <row r="3622" spans="3:18">
      <c r="C3622" s="5"/>
      <c r="R3622" s="15"/>
    </row>
    <row r="3623" spans="3:18">
      <c r="C3623" s="5"/>
      <c r="R3623" s="15"/>
    </row>
    <row r="3624" spans="3:18">
      <c r="C3624" s="5"/>
      <c r="R3624" s="15"/>
    </row>
    <row r="3625" spans="3:18">
      <c r="C3625" s="5"/>
      <c r="R3625" s="15"/>
    </row>
    <row r="3626" spans="3:18">
      <c r="C3626" s="5"/>
      <c r="R3626" s="15"/>
    </row>
    <row r="3627" spans="3:18">
      <c r="C3627" s="5"/>
      <c r="R3627" s="15"/>
    </row>
    <row r="3628" spans="3:18">
      <c r="C3628" s="5"/>
      <c r="R3628" s="15"/>
    </row>
    <row r="3629" spans="3:18">
      <c r="C3629" s="5"/>
      <c r="R3629" s="15"/>
    </row>
    <row r="3630" spans="3:18">
      <c r="C3630" s="5"/>
      <c r="R3630" s="15"/>
    </row>
    <row r="3631" spans="3:18">
      <c r="C3631" s="5"/>
      <c r="R3631" s="15"/>
    </row>
    <row r="3632" spans="3:18">
      <c r="C3632" s="5"/>
      <c r="R3632" s="15"/>
    </row>
    <row r="3633" spans="3:18">
      <c r="C3633" s="5"/>
      <c r="R3633" s="15"/>
    </row>
    <row r="3634" spans="3:18">
      <c r="C3634" s="5"/>
      <c r="R3634" s="15"/>
    </row>
    <row r="3635" spans="3:18">
      <c r="C3635" s="5"/>
      <c r="R3635" s="15"/>
    </row>
    <row r="3636" spans="3:18">
      <c r="C3636" s="5"/>
      <c r="R3636" s="15"/>
    </row>
    <row r="3637" spans="3:18">
      <c r="C3637" s="5"/>
      <c r="R3637" s="15"/>
    </row>
    <row r="3638" spans="3:18">
      <c r="C3638" s="5"/>
      <c r="R3638" s="15"/>
    </row>
    <row r="3639" spans="3:18">
      <c r="C3639" s="5"/>
      <c r="R3639" s="15"/>
    </row>
    <row r="3640" spans="3:18">
      <c r="C3640" s="5"/>
      <c r="R3640" s="15"/>
    </row>
    <row r="3641" spans="3:18">
      <c r="C3641" s="5"/>
      <c r="R3641" s="15"/>
    </row>
    <row r="3642" spans="3:18">
      <c r="C3642" s="5"/>
      <c r="R3642" s="15"/>
    </row>
    <row r="3643" spans="3:18">
      <c r="C3643" s="5"/>
      <c r="R3643" s="15"/>
    </row>
    <row r="3644" spans="3:18">
      <c r="C3644" s="5"/>
      <c r="R3644" s="15"/>
    </row>
    <row r="3645" spans="3:18">
      <c r="C3645" s="5"/>
      <c r="R3645" s="15"/>
    </row>
    <row r="3646" spans="3:18">
      <c r="C3646" s="5"/>
      <c r="R3646" s="15"/>
    </row>
    <row r="3647" spans="3:18">
      <c r="C3647" s="5"/>
      <c r="R3647" s="15"/>
    </row>
    <row r="3648" spans="3:18">
      <c r="C3648" s="5"/>
      <c r="R3648" s="15"/>
    </row>
    <row r="3649" spans="3:18">
      <c r="C3649" s="5"/>
      <c r="R3649" s="15"/>
    </row>
    <row r="3650" spans="3:18">
      <c r="C3650" s="5"/>
      <c r="R3650" s="15"/>
    </row>
    <row r="3651" spans="3:18">
      <c r="C3651" s="5"/>
      <c r="R3651" s="15"/>
    </row>
    <row r="3652" spans="3:18">
      <c r="C3652" s="5"/>
      <c r="R3652" s="15"/>
    </row>
    <row r="3653" spans="3:18">
      <c r="C3653" s="5"/>
      <c r="R3653" s="15"/>
    </row>
    <row r="3654" spans="3:18">
      <c r="C3654" s="5"/>
      <c r="R3654" s="15"/>
    </row>
    <row r="3655" spans="3:18">
      <c r="C3655" s="5"/>
      <c r="R3655" s="15"/>
    </row>
    <row r="3656" spans="3:18">
      <c r="C3656" s="5"/>
      <c r="R3656" s="15"/>
    </row>
    <row r="3657" spans="3:18">
      <c r="C3657" s="5"/>
      <c r="R3657" s="15"/>
    </row>
    <row r="3658" spans="3:18">
      <c r="C3658" s="5"/>
      <c r="R3658" s="15"/>
    </row>
    <row r="3659" spans="3:18">
      <c r="C3659" s="5"/>
      <c r="R3659" s="15"/>
    </row>
    <row r="3660" spans="3:18">
      <c r="C3660" s="5"/>
      <c r="R3660" s="15"/>
    </row>
    <row r="3661" spans="3:18">
      <c r="C3661" s="5"/>
      <c r="R3661" s="15"/>
    </row>
    <row r="3662" spans="3:18">
      <c r="C3662" s="5"/>
      <c r="R3662" s="15"/>
    </row>
    <row r="3663" spans="3:18">
      <c r="C3663" s="5"/>
      <c r="R3663" s="15"/>
    </row>
    <row r="3664" spans="3:18">
      <c r="C3664" s="5"/>
      <c r="R3664" s="15"/>
    </row>
    <row r="3665" spans="3:18">
      <c r="C3665" s="5"/>
      <c r="R3665" s="15"/>
    </row>
    <row r="3666" spans="3:18">
      <c r="C3666" s="5"/>
      <c r="R3666" s="15"/>
    </row>
    <row r="3667" spans="3:18">
      <c r="C3667" s="5"/>
      <c r="R3667" s="15"/>
    </row>
    <row r="3668" spans="3:18">
      <c r="C3668" s="5"/>
      <c r="R3668" s="15"/>
    </row>
    <row r="3669" spans="3:18">
      <c r="C3669" s="5"/>
      <c r="R3669" s="15"/>
    </row>
    <row r="3670" spans="3:18">
      <c r="C3670" s="5"/>
      <c r="R3670" s="15"/>
    </row>
    <row r="3671" spans="3:18">
      <c r="C3671" s="5"/>
      <c r="R3671" s="15"/>
    </row>
    <row r="3672" spans="3:18">
      <c r="C3672" s="5"/>
      <c r="R3672" s="15"/>
    </row>
    <row r="3673" spans="3:18">
      <c r="C3673" s="5"/>
      <c r="R3673" s="15"/>
    </row>
    <row r="3674" spans="3:18">
      <c r="C3674" s="5"/>
      <c r="R3674" s="15"/>
    </row>
    <row r="3675" spans="3:18">
      <c r="C3675" s="5"/>
      <c r="R3675" s="15"/>
    </row>
    <row r="3676" spans="3:18">
      <c r="C3676" s="5"/>
      <c r="R3676" s="15"/>
    </row>
    <row r="3677" spans="3:18">
      <c r="C3677" s="5"/>
      <c r="R3677" s="15"/>
    </row>
    <row r="3678" spans="3:18">
      <c r="C3678" s="5"/>
      <c r="R3678" s="15"/>
    </row>
    <row r="3679" spans="3:18">
      <c r="C3679" s="5"/>
      <c r="R3679" s="15"/>
    </row>
    <row r="3680" spans="3:18">
      <c r="C3680" s="5"/>
      <c r="R3680" s="15"/>
    </row>
    <row r="3681" spans="3:18">
      <c r="C3681" s="5"/>
      <c r="R3681" s="15"/>
    </row>
    <row r="3682" spans="3:18">
      <c r="C3682" s="5"/>
      <c r="R3682" s="15"/>
    </row>
    <row r="3683" spans="3:18">
      <c r="C3683" s="5"/>
      <c r="R3683" s="15"/>
    </row>
    <row r="3684" spans="3:18">
      <c r="C3684" s="5"/>
      <c r="R3684" s="15"/>
    </row>
    <row r="3685" spans="3:18">
      <c r="C3685" s="5"/>
      <c r="R3685" s="15"/>
    </row>
    <row r="3686" spans="3:18">
      <c r="C3686" s="5"/>
      <c r="R3686" s="15"/>
    </row>
    <row r="3687" spans="3:18">
      <c r="C3687" s="5"/>
      <c r="R3687" s="15"/>
    </row>
    <row r="3688" spans="3:18">
      <c r="C3688" s="5"/>
      <c r="R3688" s="15"/>
    </row>
    <row r="3689" spans="3:18">
      <c r="C3689" s="5"/>
      <c r="R3689" s="15"/>
    </row>
    <row r="3690" spans="3:18">
      <c r="C3690" s="5"/>
      <c r="R3690" s="15"/>
    </row>
    <row r="3691" spans="3:18">
      <c r="C3691" s="5"/>
      <c r="R3691" s="15"/>
    </row>
    <row r="3692" spans="3:18">
      <c r="C3692" s="5"/>
      <c r="R3692" s="15"/>
    </row>
    <row r="3693" spans="3:18">
      <c r="C3693" s="5"/>
      <c r="R3693" s="15"/>
    </row>
    <row r="3694" spans="3:18">
      <c r="C3694" s="5"/>
      <c r="R3694" s="15"/>
    </row>
    <row r="3695" spans="3:18">
      <c r="C3695" s="5"/>
      <c r="R3695" s="15"/>
    </row>
    <row r="3696" spans="3:18">
      <c r="C3696" s="5"/>
      <c r="R3696" s="15"/>
    </row>
    <row r="3697" spans="3:18">
      <c r="C3697" s="5"/>
      <c r="R3697" s="15"/>
    </row>
    <row r="3698" spans="3:18">
      <c r="C3698" s="5"/>
      <c r="R3698" s="15"/>
    </row>
    <row r="3699" spans="3:18">
      <c r="C3699" s="5"/>
      <c r="R3699" s="15"/>
    </row>
    <row r="3700" spans="3:18">
      <c r="C3700" s="5"/>
      <c r="R3700" s="15"/>
    </row>
    <row r="3701" spans="3:18">
      <c r="C3701" s="5"/>
      <c r="R3701" s="15"/>
    </row>
    <row r="3702" spans="3:18">
      <c r="C3702" s="5"/>
      <c r="R3702" s="15"/>
    </row>
    <row r="3703" spans="3:18">
      <c r="C3703" s="5"/>
      <c r="R3703" s="15"/>
    </row>
    <row r="3704" spans="3:18">
      <c r="C3704" s="5"/>
      <c r="R3704" s="15"/>
    </row>
    <row r="3705" spans="3:18">
      <c r="C3705" s="5"/>
      <c r="R3705" s="15"/>
    </row>
    <row r="3706" spans="3:18">
      <c r="C3706" s="5"/>
      <c r="R3706" s="15"/>
    </row>
    <row r="3707" spans="3:18">
      <c r="C3707" s="5"/>
      <c r="R3707" s="15"/>
    </row>
    <row r="3708" spans="3:18">
      <c r="C3708" s="5"/>
      <c r="R3708" s="15"/>
    </row>
    <row r="3709" spans="3:18">
      <c r="C3709" s="5"/>
      <c r="R3709" s="15"/>
    </row>
    <row r="3710" spans="3:18">
      <c r="C3710" s="5"/>
      <c r="R3710" s="15"/>
    </row>
    <row r="3711" spans="3:18">
      <c r="C3711" s="5"/>
      <c r="R3711" s="15"/>
    </row>
    <row r="3712" spans="3:18">
      <c r="C3712" s="5"/>
      <c r="R3712" s="15"/>
    </row>
    <row r="3713" spans="3:18">
      <c r="C3713" s="5"/>
      <c r="R3713" s="15"/>
    </row>
    <row r="3714" spans="3:18">
      <c r="C3714" s="5"/>
      <c r="R3714" s="15"/>
    </row>
    <row r="3715" spans="3:18">
      <c r="C3715" s="5"/>
      <c r="R3715" s="15"/>
    </row>
    <row r="3716" spans="3:18">
      <c r="C3716" s="5"/>
      <c r="R3716" s="15"/>
    </row>
    <row r="3717" spans="3:18">
      <c r="C3717" s="5"/>
      <c r="R3717" s="15"/>
    </row>
    <row r="3718" spans="3:18">
      <c r="C3718" s="5"/>
      <c r="R3718" s="15"/>
    </row>
    <row r="3719" spans="3:18">
      <c r="C3719" s="5"/>
      <c r="R3719" s="15"/>
    </row>
    <row r="3720" spans="3:18">
      <c r="C3720" s="5"/>
      <c r="R3720" s="15"/>
    </row>
    <row r="3721" spans="3:18">
      <c r="C3721" s="5"/>
      <c r="R3721" s="15"/>
    </row>
    <row r="3722" spans="3:18">
      <c r="C3722" s="5"/>
      <c r="R3722" s="15"/>
    </row>
    <row r="3723" spans="3:18">
      <c r="C3723" s="5"/>
      <c r="R3723" s="15"/>
    </row>
    <row r="3724" spans="3:18">
      <c r="C3724" s="5"/>
      <c r="R3724" s="15"/>
    </row>
    <row r="3725" spans="3:18">
      <c r="C3725" s="5"/>
      <c r="R3725" s="15"/>
    </row>
    <row r="3726" spans="3:18">
      <c r="C3726" s="5"/>
      <c r="R3726" s="15"/>
    </row>
    <row r="3727" spans="3:18">
      <c r="C3727" s="5"/>
      <c r="R3727" s="15"/>
    </row>
    <row r="3728" spans="3:18">
      <c r="C3728" s="5"/>
      <c r="R3728" s="15"/>
    </row>
    <row r="3729" spans="3:18">
      <c r="C3729" s="5"/>
      <c r="R3729" s="15"/>
    </row>
    <row r="3730" spans="3:18">
      <c r="C3730" s="5"/>
      <c r="R3730" s="15"/>
    </row>
    <row r="3731" spans="3:18">
      <c r="C3731" s="5"/>
      <c r="R3731" s="15"/>
    </row>
    <row r="3732" spans="3:18">
      <c r="C3732" s="5"/>
      <c r="R3732" s="15"/>
    </row>
    <row r="3733" spans="3:18">
      <c r="C3733" s="5"/>
      <c r="R3733" s="15"/>
    </row>
    <row r="3734" spans="3:18">
      <c r="C3734" s="5"/>
      <c r="R3734" s="15"/>
    </row>
    <row r="3735" spans="3:18">
      <c r="C3735" s="5"/>
      <c r="R3735" s="15"/>
    </row>
    <row r="3736" spans="3:18">
      <c r="C3736" s="5"/>
      <c r="R3736" s="15"/>
    </row>
    <row r="3737" spans="3:18">
      <c r="C3737" s="5"/>
      <c r="R3737" s="15"/>
    </row>
    <row r="3738" spans="3:18">
      <c r="C3738" s="5"/>
      <c r="R3738" s="15"/>
    </row>
    <row r="3739" spans="3:18">
      <c r="C3739" s="5"/>
      <c r="R3739" s="15"/>
    </row>
    <row r="3740" spans="3:18">
      <c r="C3740" s="5"/>
      <c r="R3740" s="15"/>
    </row>
    <row r="3741" spans="3:18">
      <c r="C3741" s="5"/>
      <c r="R3741" s="15"/>
    </row>
    <row r="3742" spans="3:18">
      <c r="C3742" s="5"/>
      <c r="R3742" s="15"/>
    </row>
    <row r="3743" spans="3:18">
      <c r="C3743" s="5"/>
      <c r="R3743" s="15"/>
    </row>
    <row r="3744" spans="3:18">
      <c r="C3744" s="5"/>
      <c r="R3744" s="15"/>
    </row>
    <row r="3745" spans="3:18">
      <c r="C3745" s="5"/>
      <c r="R3745" s="15"/>
    </row>
    <row r="3746" spans="3:18">
      <c r="C3746" s="5"/>
      <c r="R3746" s="15"/>
    </row>
    <row r="3747" spans="3:18">
      <c r="C3747" s="5"/>
      <c r="R3747" s="15"/>
    </row>
    <row r="3748" spans="3:18">
      <c r="C3748" s="5"/>
      <c r="R3748" s="15"/>
    </row>
    <row r="3749" spans="3:18">
      <c r="C3749" s="5"/>
      <c r="R3749" s="15"/>
    </row>
    <row r="3750" spans="3:18">
      <c r="C3750" s="5"/>
      <c r="R3750" s="15"/>
    </row>
    <row r="3751" spans="3:18">
      <c r="C3751" s="5"/>
      <c r="R3751" s="15"/>
    </row>
    <row r="3752" spans="3:18">
      <c r="C3752" s="5"/>
      <c r="R3752" s="15"/>
    </row>
    <row r="3753" spans="3:18">
      <c r="C3753" s="5"/>
      <c r="R3753" s="15"/>
    </row>
    <row r="3754" spans="3:18">
      <c r="C3754" s="5"/>
      <c r="R3754" s="15"/>
    </row>
    <row r="3755" spans="3:18">
      <c r="C3755" s="5"/>
      <c r="R3755" s="15"/>
    </row>
    <row r="3756" spans="3:18">
      <c r="C3756" s="5"/>
      <c r="R3756" s="15"/>
    </row>
    <row r="3757" spans="3:18">
      <c r="C3757" s="5"/>
      <c r="R3757" s="15"/>
    </row>
    <row r="3758" spans="3:18">
      <c r="C3758" s="5"/>
      <c r="R3758" s="15"/>
    </row>
    <row r="3759" spans="3:18">
      <c r="C3759" s="5"/>
      <c r="R3759" s="15"/>
    </row>
    <row r="3760" spans="3:18">
      <c r="C3760" s="5"/>
      <c r="R3760" s="15"/>
    </row>
    <row r="3761" spans="3:18">
      <c r="C3761" s="5"/>
      <c r="R3761" s="15"/>
    </row>
    <row r="3762" spans="3:18">
      <c r="C3762" s="5"/>
      <c r="R3762" s="15"/>
    </row>
    <row r="3763" spans="3:18">
      <c r="C3763" s="5"/>
      <c r="R3763" s="15"/>
    </row>
    <row r="3764" spans="3:18">
      <c r="C3764" s="5"/>
      <c r="R3764" s="15"/>
    </row>
    <row r="3765" spans="3:18">
      <c r="C3765" s="5"/>
      <c r="R3765" s="15"/>
    </row>
    <row r="3766" spans="3:18">
      <c r="C3766" s="5"/>
      <c r="R3766" s="15"/>
    </row>
    <row r="3767" spans="3:18">
      <c r="C3767" s="5"/>
      <c r="R3767" s="15"/>
    </row>
    <row r="3768" spans="3:18">
      <c r="C3768" s="5"/>
      <c r="R3768" s="15"/>
    </row>
    <row r="3769" spans="3:18">
      <c r="C3769" s="5"/>
      <c r="R3769" s="15"/>
    </row>
    <row r="3770" spans="3:18">
      <c r="C3770" s="5"/>
      <c r="R3770" s="15"/>
    </row>
    <row r="3771" spans="3:18">
      <c r="C3771" s="5"/>
      <c r="R3771" s="15"/>
    </row>
    <row r="3772" spans="3:18">
      <c r="C3772" s="5"/>
      <c r="R3772" s="15"/>
    </row>
    <row r="3773" spans="3:18">
      <c r="C3773" s="5"/>
      <c r="R3773" s="15"/>
    </row>
    <row r="3774" spans="3:18">
      <c r="C3774" s="5"/>
      <c r="R3774" s="15"/>
    </row>
    <row r="3775" spans="3:18">
      <c r="C3775" s="5"/>
      <c r="R3775" s="15"/>
    </row>
    <row r="3776" spans="3:18">
      <c r="C3776" s="5"/>
      <c r="R3776" s="15"/>
    </row>
    <row r="3777" spans="3:18">
      <c r="C3777" s="5"/>
      <c r="R3777" s="15"/>
    </row>
    <row r="3778" spans="3:18">
      <c r="C3778" s="5"/>
      <c r="R3778" s="15"/>
    </row>
    <row r="3779" spans="3:18">
      <c r="C3779" s="5"/>
      <c r="R3779" s="15"/>
    </row>
    <row r="3780" spans="3:18">
      <c r="C3780" s="5"/>
      <c r="R3780" s="15"/>
    </row>
    <row r="3781" spans="3:18">
      <c r="C3781" s="5"/>
      <c r="R3781" s="15"/>
    </row>
    <row r="3782" spans="3:18">
      <c r="C3782" s="5"/>
      <c r="R3782" s="15"/>
    </row>
    <row r="3783" spans="3:18">
      <c r="C3783" s="5"/>
      <c r="R3783" s="15"/>
    </row>
    <row r="3784" spans="3:18">
      <c r="C3784" s="5"/>
      <c r="R3784" s="15"/>
    </row>
    <row r="3785" spans="3:18">
      <c r="C3785" s="5"/>
      <c r="R3785" s="15"/>
    </row>
    <row r="3786" spans="3:18">
      <c r="C3786" s="5"/>
      <c r="R3786" s="15"/>
    </row>
    <row r="3787" spans="3:18">
      <c r="C3787" s="5"/>
      <c r="R3787" s="15"/>
    </row>
    <row r="3788" spans="3:18">
      <c r="C3788" s="5"/>
      <c r="R3788" s="15"/>
    </row>
    <row r="3789" spans="3:18">
      <c r="C3789" s="5"/>
      <c r="R3789" s="15"/>
    </row>
    <row r="3790" spans="3:18">
      <c r="C3790" s="5"/>
      <c r="R3790" s="15"/>
    </row>
    <row r="3791" spans="3:18">
      <c r="C3791" s="5"/>
      <c r="R3791" s="15"/>
    </row>
    <row r="3792" spans="3:18">
      <c r="C3792" s="5"/>
      <c r="R3792" s="15"/>
    </row>
    <row r="3793" spans="3:18">
      <c r="C3793" s="5"/>
      <c r="R3793" s="15"/>
    </row>
    <row r="3794" spans="3:18">
      <c r="C3794" s="5"/>
      <c r="R3794" s="15"/>
    </row>
    <row r="3795" spans="3:18">
      <c r="C3795" s="5"/>
      <c r="R3795" s="15"/>
    </row>
    <row r="3796" spans="3:18">
      <c r="C3796" s="5"/>
      <c r="R3796" s="15"/>
    </row>
    <row r="3797" spans="3:18">
      <c r="C3797" s="5"/>
      <c r="R3797" s="15"/>
    </row>
    <row r="3798" spans="3:18">
      <c r="C3798" s="5"/>
      <c r="R3798" s="15"/>
    </row>
    <row r="3799" spans="3:18">
      <c r="C3799" s="5"/>
      <c r="R3799" s="15"/>
    </row>
    <row r="3800" spans="3:18">
      <c r="C3800" s="5"/>
      <c r="R3800" s="15"/>
    </row>
    <row r="3801" spans="3:18">
      <c r="C3801" s="5"/>
      <c r="R3801" s="15"/>
    </row>
    <row r="3802" spans="3:18">
      <c r="C3802" s="5"/>
      <c r="R3802" s="15"/>
    </row>
    <row r="3803" spans="3:18">
      <c r="C3803" s="5"/>
      <c r="R3803" s="15"/>
    </row>
    <row r="3804" spans="3:18">
      <c r="C3804" s="5"/>
      <c r="R3804" s="15"/>
    </row>
    <row r="3805" spans="3:18">
      <c r="C3805" s="5"/>
      <c r="R3805" s="15"/>
    </row>
    <row r="3806" spans="3:18">
      <c r="C3806" s="5"/>
      <c r="R3806" s="15"/>
    </row>
    <row r="3807" spans="3:18">
      <c r="C3807" s="5"/>
      <c r="R3807" s="15"/>
    </row>
    <row r="3808" spans="3:18">
      <c r="C3808" s="5"/>
      <c r="R3808" s="15"/>
    </row>
    <row r="3809" spans="3:18">
      <c r="C3809" s="5"/>
      <c r="R3809" s="15"/>
    </row>
    <row r="3810" spans="3:18">
      <c r="C3810" s="5"/>
      <c r="R3810" s="15"/>
    </row>
    <row r="3811" spans="3:18">
      <c r="C3811" s="5"/>
      <c r="R3811" s="15"/>
    </row>
    <row r="3812" spans="3:18">
      <c r="C3812" s="5"/>
      <c r="R3812" s="15"/>
    </row>
    <row r="3813" spans="3:18">
      <c r="C3813" s="5"/>
      <c r="R3813" s="15"/>
    </row>
    <row r="3814" spans="3:18">
      <c r="C3814" s="5"/>
      <c r="R3814" s="15"/>
    </row>
    <row r="3815" spans="3:18">
      <c r="C3815" s="5"/>
      <c r="R3815" s="15"/>
    </row>
    <row r="3816" spans="3:18">
      <c r="C3816" s="5"/>
      <c r="R3816" s="15"/>
    </row>
    <row r="3817" spans="3:18">
      <c r="C3817" s="5"/>
      <c r="R3817" s="15"/>
    </row>
    <row r="3818" spans="3:18">
      <c r="C3818" s="5"/>
      <c r="R3818" s="15"/>
    </row>
    <row r="3819" spans="3:18">
      <c r="C3819" s="5"/>
      <c r="R3819" s="15"/>
    </row>
    <row r="3820" spans="3:18">
      <c r="C3820" s="5"/>
      <c r="R3820" s="15"/>
    </row>
    <row r="3821" spans="3:18">
      <c r="C3821" s="5"/>
      <c r="R3821" s="15"/>
    </row>
    <row r="3822" spans="3:18">
      <c r="C3822" s="5"/>
      <c r="R3822" s="15"/>
    </row>
    <row r="3823" spans="3:18">
      <c r="C3823" s="5"/>
      <c r="R3823" s="15"/>
    </row>
    <row r="3824" spans="3:18">
      <c r="C3824" s="5"/>
      <c r="R3824" s="15"/>
    </row>
    <row r="3825" spans="3:18">
      <c r="C3825" s="5"/>
      <c r="R3825" s="15"/>
    </row>
    <row r="3826" spans="3:18">
      <c r="C3826" s="5"/>
      <c r="R3826" s="15"/>
    </row>
    <row r="3827" spans="3:18">
      <c r="C3827" s="5"/>
      <c r="R3827" s="15"/>
    </row>
    <row r="3828" spans="3:18">
      <c r="C3828" s="5"/>
      <c r="R3828" s="15"/>
    </row>
    <row r="3829" spans="3:18">
      <c r="C3829" s="5"/>
      <c r="R3829" s="15"/>
    </row>
    <row r="3830" spans="3:18">
      <c r="C3830" s="5"/>
      <c r="R3830" s="15"/>
    </row>
    <row r="3831" spans="3:18">
      <c r="C3831" s="5"/>
      <c r="R3831" s="15"/>
    </row>
    <row r="3832" spans="3:18">
      <c r="C3832" s="5"/>
      <c r="R3832" s="15"/>
    </row>
    <row r="3833" spans="3:18">
      <c r="C3833" s="5"/>
      <c r="R3833" s="15"/>
    </row>
    <row r="3834" spans="3:18">
      <c r="C3834" s="5"/>
      <c r="R3834" s="15"/>
    </row>
    <row r="3835" spans="3:18">
      <c r="C3835" s="5"/>
      <c r="R3835" s="15"/>
    </row>
    <row r="3836" spans="3:18">
      <c r="C3836" s="5"/>
      <c r="R3836" s="15"/>
    </row>
    <row r="3837" spans="3:18">
      <c r="C3837" s="5"/>
      <c r="R3837" s="15"/>
    </row>
    <row r="3838" spans="3:18">
      <c r="C3838" s="5"/>
      <c r="R3838" s="15"/>
    </row>
    <row r="3839" spans="3:18">
      <c r="C3839" s="5"/>
      <c r="R3839" s="15"/>
    </row>
    <row r="3840" spans="3:18">
      <c r="C3840" s="5"/>
      <c r="R3840" s="15"/>
    </row>
    <row r="3841" spans="3:18">
      <c r="C3841" s="5"/>
      <c r="R3841" s="15"/>
    </row>
    <row r="3842" spans="3:18">
      <c r="C3842" s="5"/>
      <c r="R3842" s="15"/>
    </row>
    <row r="3843" spans="3:18">
      <c r="C3843" s="5"/>
      <c r="R3843" s="15"/>
    </row>
    <row r="3844" spans="3:18">
      <c r="C3844" s="5"/>
      <c r="R3844" s="15"/>
    </row>
    <row r="3845" spans="3:18">
      <c r="C3845" s="5"/>
      <c r="R3845" s="15"/>
    </row>
    <row r="3846" spans="3:18">
      <c r="C3846" s="5"/>
      <c r="R3846" s="15"/>
    </row>
    <row r="3847" spans="3:18">
      <c r="C3847" s="5"/>
      <c r="R3847" s="15"/>
    </row>
    <row r="3848" spans="3:18">
      <c r="C3848" s="5"/>
      <c r="R3848" s="15"/>
    </row>
    <row r="3849" spans="3:18">
      <c r="C3849" s="5"/>
      <c r="R3849" s="15"/>
    </row>
    <row r="3850" spans="3:18">
      <c r="C3850" s="5"/>
      <c r="R3850" s="15"/>
    </row>
    <row r="3851" spans="3:18">
      <c r="C3851" s="5"/>
      <c r="R3851" s="15"/>
    </row>
    <row r="3852" spans="3:18">
      <c r="C3852" s="5"/>
      <c r="R3852" s="15"/>
    </row>
    <row r="3853" spans="3:18">
      <c r="C3853" s="5"/>
      <c r="R3853" s="15"/>
    </row>
    <row r="3854" spans="3:18">
      <c r="C3854" s="5"/>
      <c r="R3854" s="15"/>
    </row>
    <row r="3855" spans="3:18">
      <c r="C3855" s="5"/>
      <c r="R3855" s="15"/>
    </row>
    <row r="3856" spans="3:18">
      <c r="C3856" s="5"/>
      <c r="R3856" s="15"/>
    </row>
    <row r="3857" spans="3:18">
      <c r="C3857" s="5"/>
      <c r="R3857" s="15"/>
    </row>
    <row r="3858" spans="3:18">
      <c r="C3858" s="5"/>
      <c r="R3858" s="15"/>
    </row>
    <row r="3859" spans="3:18">
      <c r="C3859" s="5"/>
      <c r="R3859" s="15"/>
    </row>
    <row r="3860" spans="3:18">
      <c r="C3860" s="5"/>
      <c r="R3860" s="15"/>
    </row>
    <row r="3861" spans="3:18">
      <c r="C3861" s="5"/>
      <c r="R3861" s="15"/>
    </row>
    <row r="3862" spans="3:18">
      <c r="C3862" s="5"/>
      <c r="R3862" s="15"/>
    </row>
    <row r="3863" spans="3:18">
      <c r="C3863" s="5"/>
      <c r="R3863" s="15"/>
    </row>
    <row r="3864" spans="3:18">
      <c r="C3864" s="5"/>
      <c r="R3864" s="15"/>
    </row>
    <row r="3865" spans="3:18">
      <c r="C3865" s="5"/>
      <c r="R3865" s="15"/>
    </row>
    <row r="3866" spans="3:18">
      <c r="C3866" s="5"/>
      <c r="R3866" s="15"/>
    </row>
    <row r="3867" spans="3:18">
      <c r="C3867" s="5"/>
      <c r="R3867" s="15"/>
    </row>
    <row r="3868" spans="3:18">
      <c r="C3868" s="5"/>
      <c r="R3868" s="15"/>
    </row>
    <row r="3869" spans="3:18">
      <c r="C3869" s="5"/>
      <c r="R3869" s="15"/>
    </row>
    <row r="3870" spans="3:18">
      <c r="C3870" s="5"/>
      <c r="R3870" s="15"/>
    </row>
    <row r="3871" spans="3:18">
      <c r="C3871" s="5"/>
      <c r="R3871" s="15"/>
    </row>
    <row r="3872" spans="3:18">
      <c r="C3872" s="5"/>
      <c r="R3872" s="15"/>
    </row>
    <row r="3873" spans="3:18">
      <c r="C3873" s="5"/>
      <c r="R3873" s="15"/>
    </row>
    <row r="3874" spans="3:18">
      <c r="C3874" s="5"/>
      <c r="R3874" s="15"/>
    </row>
    <row r="3875" spans="3:18">
      <c r="C3875" s="5"/>
      <c r="R3875" s="15"/>
    </row>
    <row r="3876" spans="3:18">
      <c r="C3876" s="5"/>
      <c r="R3876" s="15"/>
    </row>
    <row r="3877" spans="3:18">
      <c r="C3877" s="5"/>
      <c r="R3877" s="15"/>
    </row>
    <row r="3878" spans="3:18">
      <c r="C3878" s="5"/>
      <c r="R3878" s="15"/>
    </row>
    <row r="3879" spans="3:18">
      <c r="C3879" s="5"/>
      <c r="R3879" s="15"/>
    </row>
    <row r="3880" spans="3:18">
      <c r="C3880" s="5"/>
      <c r="R3880" s="15"/>
    </row>
    <row r="3881" spans="3:18">
      <c r="C3881" s="5"/>
      <c r="R3881" s="15"/>
    </row>
    <row r="3882" spans="3:18">
      <c r="C3882" s="5"/>
      <c r="R3882" s="15"/>
    </row>
    <row r="3883" spans="3:18">
      <c r="C3883" s="5"/>
      <c r="R3883" s="15"/>
    </row>
    <row r="3884" spans="3:18">
      <c r="C3884" s="5"/>
      <c r="R3884" s="15"/>
    </row>
    <row r="3885" spans="3:18">
      <c r="C3885" s="5"/>
      <c r="R3885" s="15"/>
    </row>
    <row r="3886" spans="3:18">
      <c r="C3886" s="5"/>
      <c r="R3886" s="15"/>
    </row>
    <row r="3887" spans="3:18">
      <c r="C3887" s="5"/>
      <c r="R3887" s="15"/>
    </row>
    <row r="3888" spans="3:18">
      <c r="C3888" s="5"/>
      <c r="R3888" s="15"/>
    </row>
    <row r="3889" spans="3:18">
      <c r="C3889" s="5"/>
      <c r="R3889" s="15"/>
    </row>
    <row r="3890" spans="3:18">
      <c r="C3890" s="5"/>
      <c r="R3890" s="15"/>
    </row>
    <row r="3891" spans="3:18">
      <c r="C3891" s="5"/>
      <c r="R3891" s="15"/>
    </row>
    <row r="3892" spans="3:18">
      <c r="C3892" s="5"/>
      <c r="R3892" s="15"/>
    </row>
    <row r="3893" spans="3:18">
      <c r="C3893" s="5"/>
      <c r="R3893" s="15"/>
    </row>
    <row r="3894" spans="3:18">
      <c r="C3894" s="5"/>
      <c r="R3894" s="15"/>
    </row>
    <row r="3895" spans="3:18">
      <c r="C3895" s="5"/>
      <c r="R3895" s="15"/>
    </row>
    <row r="3896" spans="3:18">
      <c r="C3896" s="5"/>
      <c r="R3896" s="15"/>
    </row>
    <row r="3897" spans="3:18">
      <c r="C3897" s="5"/>
      <c r="R3897" s="15"/>
    </row>
    <row r="3898" spans="3:18">
      <c r="C3898" s="5"/>
      <c r="R3898" s="15"/>
    </row>
    <row r="3899" spans="3:18">
      <c r="C3899" s="5"/>
      <c r="R3899" s="15"/>
    </row>
    <row r="3900" spans="3:18">
      <c r="C3900" s="5"/>
      <c r="R3900" s="15"/>
    </row>
    <row r="3901" spans="3:18">
      <c r="C3901" s="5"/>
      <c r="R3901" s="15"/>
    </row>
    <row r="3902" spans="3:18">
      <c r="C3902" s="5"/>
      <c r="R3902" s="15"/>
    </row>
    <row r="3903" spans="3:18">
      <c r="C3903" s="5"/>
      <c r="R3903" s="15"/>
    </row>
    <row r="3904" spans="3:18">
      <c r="C3904" s="5"/>
      <c r="R3904" s="15"/>
    </row>
    <row r="3905" spans="3:18">
      <c r="C3905" s="5"/>
      <c r="R3905" s="15"/>
    </row>
    <row r="3906" spans="3:18">
      <c r="C3906" s="5"/>
      <c r="R3906" s="15"/>
    </row>
    <row r="3907" spans="3:18">
      <c r="C3907" s="5"/>
      <c r="R3907" s="15"/>
    </row>
    <row r="3908" spans="3:18">
      <c r="C3908" s="5"/>
      <c r="R3908" s="15"/>
    </row>
    <row r="3909" spans="3:18">
      <c r="C3909" s="5"/>
      <c r="R3909" s="15"/>
    </row>
    <row r="3910" spans="3:18">
      <c r="C3910" s="5"/>
      <c r="R3910" s="15"/>
    </row>
    <row r="3911" spans="3:18">
      <c r="C3911" s="5"/>
      <c r="R3911" s="15"/>
    </row>
    <row r="3912" spans="3:18">
      <c r="C3912" s="5"/>
      <c r="R3912" s="15"/>
    </row>
    <row r="3913" spans="3:18">
      <c r="C3913" s="5"/>
      <c r="R3913" s="15"/>
    </row>
    <row r="3914" spans="3:18">
      <c r="C3914" s="5"/>
      <c r="R3914" s="15"/>
    </row>
    <row r="3915" spans="3:18">
      <c r="C3915" s="5"/>
      <c r="R3915" s="15"/>
    </row>
    <row r="3916" spans="3:18">
      <c r="C3916" s="5"/>
      <c r="R3916" s="15"/>
    </row>
    <row r="3917" spans="3:18">
      <c r="C3917" s="5"/>
      <c r="R3917" s="15"/>
    </row>
    <row r="3918" spans="3:18">
      <c r="C3918" s="5"/>
      <c r="R3918" s="15"/>
    </row>
    <row r="3919" spans="3:18">
      <c r="C3919" s="5"/>
      <c r="R3919" s="15"/>
    </row>
    <row r="3920" spans="3:18">
      <c r="C3920" s="5"/>
      <c r="R3920" s="15"/>
    </row>
    <row r="3921" spans="3:18">
      <c r="C3921" s="5"/>
      <c r="R3921" s="15"/>
    </row>
    <row r="3922" spans="3:18">
      <c r="C3922" s="5"/>
      <c r="R3922" s="15"/>
    </row>
    <row r="3923" spans="3:18">
      <c r="C3923" s="5"/>
      <c r="R3923" s="15"/>
    </row>
    <row r="3924" spans="3:18">
      <c r="C3924" s="5"/>
      <c r="R3924" s="15"/>
    </row>
    <row r="3925" spans="3:18">
      <c r="C3925" s="5"/>
      <c r="R3925" s="15"/>
    </row>
    <row r="3926" spans="3:18">
      <c r="C3926" s="5"/>
      <c r="R3926" s="15"/>
    </row>
    <row r="3927" spans="3:18">
      <c r="C3927" s="5"/>
      <c r="R3927" s="15"/>
    </row>
    <row r="3928" spans="3:18">
      <c r="C3928" s="5"/>
      <c r="R3928" s="15"/>
    </row>
    <row r="3929" spans="3:18">
      <c r="C3929" s="5"/>
      <c r="R3929" s="15"/>
    </row>
    <row r="3930" spans="3:18">
      <c r="C3930" s="5"/>
      <c r="R3930" s="15"/>
    </row>
    <row r="3931" spans="3:18">
      <c r="C3931" s="5"/>
      <c r="R3931" s="15"/>
    </row>
    <row r="3932" spans="3:18">
      <c r="C3932" s="5"/>
      <c r="R3932" s="15"/>
    </row>
    <row r="3933" spans="3:18">
      <c r="C3933" s="5"/>
      <c r="R3933" s="15"/>
    </row>
    <row r="3934" spans="3:18">
      <c r="C3934" s="5"/>
      <c r="R3934" s="15"/>
    </row>
    <row r="3935" spans="3:18">
      <c r="C3935" s="5"/>
      <c r="R3935" s="15"/>
    </row>
    <row r="3936" spans="3:18">
      <c r="C3936" s="5"/>
      <c r="R3936" s="15"/>
    </row>
    <row r="3937" spans="3:18">
      <c r="C3937" s="5"/>
      <c r="R3937" s="15"/>
    </row>
    <row r="3938" spans="3:18">
      <c r="C3938" s="5"/>
      <c r="R3938" s="15"/>
    </row>
    <row r="3939" spans="3:18">
      <c r="C3939" s="5"/>
      <c r="R3939" s="15"/>
    </row>
    <row r="3940" spans="3:18">
      <c r="C3940" s="5"/>
      <c r="R3940" s="15"/>
    </row>
    <row r="3941" spans="3:18">
      <c r="C3941" s="5"/>
      <c r="R3941" s="15"/>
    </row>
    <row r="3942" spans="3:18">
      <c r="C3942" s="5"/>
      <c r="R3942" s="15"/>
    </row>
    <row r="3943" spans="3:18">
      <c r="C3943" s="5"/>
      <c r="R3943" s="15"/>
    </row>
    <row r="3944" spans="3:18">
      <c r="C3944" s="5"/>
      <c r="R3944" s="15"/>
    </row>
    <row r="3945" spans="3:18">
      <c r="C3945" s="5"/>
      <c r="R3945" s="15"/>
    </row>
    <row r="3946" spans="3:18">
      <c r="C3946" s="5"/>
      <c r="R3946" s="15"/>
    </row>
    <row r="3947" spans="3:18">
      <c r="C3947" s="5"/>
      <c r="R3947" s="15"/>
    </row>
    <row r="3948" spans="3:18">
      <c r="C3948" s="5"/>
      <c r="R3948" s="15"/>
    </row>
    <row r="3949" spans="3:18">
      <c r="C3949" s="5"/>
      <c r="R3949" s="15"/>
    </row>
    <row r="3950" spans="3:18">
      <c r="C3950" s="5"/>
      <c r="R3950" s="15"/>
    </row>
    <row r="3951" spans="3:18">
      <c r="C3951" s="5"/>
      <c r="R3951" s="15"/>
    </row>
    <row r="3952" spans="3:18">
      <c r="C3952" s="5"/>
      <c r="R3952" s="15"/>
    </row>
    <row r="3953" spans="3:18">
      <c r="C3953" s="5"/>
      <c r="R3953" s="15"/>
    </row>
    <row r="3954" spans="3:18">
      <c r="C3954" s="5"/>
      <c r="R3954" s="15"/>
    </row>
    <row r="3955" spans="3:18">
      <c r="C3955" s="5"/>
      <c r="R3955" s="15"/>
    </row>
    <row r="3956" spans="3:18">
      <c r="C3956" s="5"/>
      <c r="R3956" s="15"/>
    </row>
    <row r="3957" spans="3:18">
      <c r="C3957" s="5"/>
      <c r="R3957" s="15"/>
    </row>
    <row r="3958" spans="3:18">
      <c r="C3958" s="5"/>
      <c r="R3958" s="15"/>
    </row>
    <row r="3959" spans="3:18">
      <c r="C3959" s="5"/>
      <c r="R3959" s="15"/>
    </row>
    <row r="3960" spans="3:18">
      <c r="C3960" s="5"/>
      <c r="R3960" s="15"/>
    </row>
    <row r="3961" spans="3:18">
      <c r="C3961" s="5"/>
      <c r="R3961" s="15"/>
    </row>
    <row r="3962" spans="3:18">
      <c r="C3962" s="5"/>
      <c r="R3962" s="15"/>
    </row>
    <row r="3963" spans="3:18">
      <c r="C3963" s="5"/>
      <c r="R3963" s="15"/>
    </row>
    <row r="3964" spans="3:18">
      <c r="C3964" s="5"/>
      <c r="R3964" s="15"/>
    </row>
    <row r="3965" spans="3:18">
      <c r="C3965" s="5"/>
      <c r="R3965" s="15"/>
    </row>
    <row r="3966" spans="3:18">
      <c r="C3966" s="5"/>
      <c r="R3966" s="15"/>
    </row>
    <row r="3967" spans="3:18">
      <c r="C3967" s="5"/>
      <c r="R3967" s="15"/>
    </row>
    <row r="3968" spans="3:18">
      <c r="C3968" s="5"/>
      <c r="R3968" s="15"/>
    </row>
    <row r="3969" spans="3:18">
      <c r="C3969" s="5"/>
      <c r="R3969" s="15"/>
    </row>
    <row r="3970" spans="3:18">
      <c r="C3970" s="5"/>
      <c r="R3970" s="15"/>
    </row>
    <row r="3971" spans="3:18">
      <c r="C3971" s="5"/>
      <c r="R3971" s="15"/>
    </row>
    <row r="3972" spans="3:18">
      <c r="C3972" s="5"/>
      <c r="R3972" s="15"/>
    </row>
    <row r="3973" spans="3:18">
      <c r="C3973" s="5"/>
      <c r="R3973" s="15"/>
    </row>
    <row r="3974" spans="3:18">
      <c r="C3974" s="5"/>
      <c r="R3974" s="15"/>
    </row>
    <row r="3975" spans="3:18">
      <c r="C3975" s="5"/>
      <c r="R3975" s="15"/>
    </row>
    <row r="3976" spans="3:18">
      <c r="C3976" s="5"/>
      <c r="R3976" s="15"/>
    </row>
    <row r="3977" spans="3:18">
      <c r="C3977" s="5"/>
      <c r="R3977" s="15"/>
    </row>
    <row r="3978" spans="3:18">
      <c r="C3978" s="5"/>
      <c r="R3978" s="15"/>
    </row>
    <row r="3979" spans="3:18">
      <c r="C3979" s="5"/>
      <c r="R3979" s="15"/>
    </row>
    <row r="3980" spans="3:18">
      <c r="C3980" s="5"/>
      <c r="R3980" s="15"/>
    </row>
    <row r="3981" spans="3:18">
      <c r="C3981" s="5"/>
      <c r="R3981" s="15"/>
    </row>
    <row r="3982" spans="3:18">
      <c r="C3982" s="5"/>
      <c r="R3982" s="15"/>
    </row>
    <row r="3983" spans="3:18">
      <c r="C3983" s="5"/>
      <c r="R3983" s="15"/>
    </row>
    <row r="3984" spans="3:18">
      <c r="C3984" s="5"/>
      <c r="R3984" s="15"/>
    </row>
    <row r="3985" spans="3:18">
      <c r="C3985" s="5"/>
      <c r="R3985" s="15"/>
    </row>
    <row r="3986" spans="3:18">
      <c r="C3986" s="5"/>
      <c r="R3986" s="15"/>
    </row>
    <row r="3987" spans="3:18">
      <c r="C3987" s="5"/>
      <c r="R3987" s="15"/>
    </row>
    <row r="3988" spans="3:18">
      <c r="C3988" s="5"/>
      <c r="R3988" s="15"/>
    </row>
    <row r="3989" spans="3:18">
      <c r="C3989" s="5"/>
      <c r="R3989" s="15"/>
    </row>
    <row r="3990" spans="3:18">
      <c r="C3990" s="5"/>
      <c r="R3990" s="15"/>
    </row>
    <row r="3991" spans="3:18">
      <c r="C3991" s="5"/>
      <c r="R3991" s="15"/>
    </row>
    <row r="3992" spans="3:18">
      <c r="C3992" s="5"/>
      <c r="R3992" s="15"/>
    </row>
    <row r="3993" spans="3:18">
      <c r="C3993" s="5"/>
      <c r="R3993" s="15"/>
    </row>
    <row r="3994" spans="3:18">
      <c r="C3994" s="5"/>
      <c r="R3994" s="15"/>
    </row>
    <row r="3995" spans="3:18">
      <c r="C3995" s="5"/>
      <c r="R3995" s="15"/>
    </row>
    <row r="3996" spans="3:18">
      <c r="C3996" s="5"/>
      <c r="R3996" s="15"/>
    </row>
    <row r="3997" spans="3:18">
      <c r="C3997" s="5"/>
      <c r="R3997" s="15"/>
    </row>
    <row r="3998" spans="3:18">
      <c r="C3998" s="5"/>
      <c r="R3998" s="15"/>
    </row>
    <row r="3999" spans="3:18">
      <c r="C3999" s="5"/>
      <c r="R3999" s="15"/>
    </row>
    <row r="4000" spans="3:18">
      <c r="C4000" s="5"/>
      <c r="R4000" s="15"/>
    </row>
    <row r="4001" spans="3:18">
      <c r="C4001" s="5"/>
      <c r="R4001" s="15"/>
    </row>
    <row r="4002" spans="3:18">
      <c r="C4002" s="5"/>
      <c r="R4002" s="15"/>
    </row>
    <row r="4003" spans="3:18">
      <c r="C4003" s="5"/>
      <c r="R4003" s="15"/>
    </row>
    <row r="4004" spans="3:18">
      <c r="C4004" s="5"/>
      <c r="R4004" s="15"/>
    </row>
    <row r="4005" spans="3:18">
      <c r="C4005" s="5"/>
      <c r="R4005" s="15"/>
    </row>
    <row r="4006" spans="3:18">
      <c r="C4006" s="5"/>
      <c r="R4006" s="15"/>
    </row>
    <row r="4007" spans="3:18">
      <c r="C4007" s="5"/>
      <c r="R4007" s="15"/>
    </row>
    <row r="4008" spans="3:18">
      <c r="C4008" s="5"/>
      <c r="R4008" s="15"/>
    </row>
    <row r="4009" spans="3:18">
      <c r="C4009" s="5"/>
      <c r="R4009" s="15"/>
    </row>
    <row r="4010" spans="3:18">
      <c r="C4010" s="5"/>
      <c r="R4010" s="15"/>
    </row>
    <row r="4011" spans="3:18">
      <c r="C4011" s="5"/>
      <c r="R4011" s="15"/>
    </row>
    <row r="4012" spans="3:18">
      <c r="C4012" s="5"/>
      <c r="R4012" s="15"/>
    </row>
    <row r="4013" spans="3:18">
      <c r="C4013" s="5"/>
      <c r="R4013" s="15"/>
    </row>
    <row r="4014" spans="3:18">
      <c r="C4014" s="5"/>
      <c r="R4014" s="15"/>
    </row>
    <row r="4015" spans="3:18">
      <c r="C4015" s="5"/>
      <c r="R4015" s="15"/>
    </row>
    <row r="4016" spans="3:18">
      <c r="C4016" s="5"/>
      <c r="R4016" s="15"/>
    </row>
    <row r="4017" spans="3:18">
      <c r="C4017" s="5"/>
      <c r="R4017" s="15"/>
    </row>
    <row r="4018" spans="3:18">
      <c r="C4018" s="5"/>
      <c r="R4018" s="15"/>
    </row>
    <row r="4019" spans="3:18">
      <c r="C4019" s="5"/>
      <c r="R4019" s="15"/>
    </row>
    <row r="4020" spans="3:18">
      <c r="C4020" s="5"/>
      <c r="R4020" s="15"/>
    </row>
    <row r="4021" spans="3:18">
      <c r="C4021" s="5"/>
      <c r="R4021" s="15"/>
    </row>
    <row r="4022" spans="3:18">
      <c r="C4022" s="5"/>
      <c r="R4022" s="15"/>
    </row>
    <row r="4023" spans="3:18">
      <c r="C4023" s="5"/>
      <c r="R4023" s="15"/>
    </row>
    <row r="4024" spans="3:18">
      <c r="C4024" s="5"/>
      <c r="R4024" s="15"/>
    </row>
    <row r="4025" spans="3:18">
      <c r="C4025" s="5"/>
      <c r="R4025" s="15"/>
    </row>
    <row r="4026" spans="3:18">
      <c r="C4026" s="5"/>
      <c r="R4026" s="15"/>
    </row>
    <row r="4027" spans="3:18">
      <c r="C4027" s="5"/>
      <c r="R4027" s="15"/>
    </row>
    <row r="4028" spans="3:18">
      <c r="C4028" s="5"/>
      <c r="R4028" s="15"/>
    </row>
    <row r="4029" spans="3:18">
      <c r="C4029" s="5"/>
      <c r="R4029" s="15"/>
    </row>
    <row r="4030" spans="3:18">
      <c r="C4030" s="5"/>
      <c r="R4030" s="15"/>
    </row>
    <row r="4031" spans="3:18">
      <c r="C4031" s="5"/>
      <c r="R4031" s="15"/>
    </row>
    <row r="4032" spans="3:18">
      <c r="C4032" s="5"/>
      <c r="R4032" s="15"/>
    </row>
    <row r="4033" spans="3:18">
      <c r="C4033" s="5"/>
      <c r="R4033" s="15"/>
    </row>
    <row r="4034" spans="3:18">
      <c r="C4034" s="5"/>
      <c r="R4034" s="15"/>
    </row>
    <row r="4035" spans="3:18">
      <c r="C4035" s="5"/>
      <c r="R4035" s="15"/>
    </row>
    <row r="4036" spans="3:18">
      <c r="C4036" s="5"/>
      <c r="R4036" s="15"/>
    </row>
    <row r="4037" spans="3:18">
      <c r="C4037" s="5"/>
      <c r="R4037" s="15"/>
    </row>
    <row r="4038" spans="3:18">
      <c r="C4038" s="5"/>
      <c r="R4038" s="15"/>
    </row>
    <row r="4039" spans="3:18">
      <c r="C4039" s="5"/>
      <c r="R4039" s="15"/>
    </row>
    <row r="4040" spans="3:18">
      <c r="C4040" s="5"/>
      <c r="R4040" s="15"/>
    </row>
    <row r="4041" spans="3:18">
      <c r="C4041" s="5"/>
      <c r="R4041" s="15"/>
    </row>
    <row r="4042" spans="3:18">
      <c r="C4042" s="5"/>
      <c r="R4042" s="15"/>
    </row>
    <row r="4043" spans="3:18">
      <c r="C4043" s="5"/>
      <c r="R4043" s="15"/>
    </row>
    <row r="4044" spans="3:18">
      <c r="C4044" s="5"/>
      <c r="R4044" s="15"/>
    </row>
    <row r="4045" spans="3:18">
      <c r="C4045" s="5"/>
      <c r="R4045" s="15"/>
    </row>
    <row r="4046" spans="3:18">
      <c r="C4046" s="5"/>
      <c r="R4046" s="15"/>
    </row>
    <row r="4047" spans="3:18">
      <c r="C4047" s="5"/>
      <c r="R4047" s="15"/>
    </row>
    <row r="4048" spans="3:18">
      <c r="C4048" s="5"/>
      <c r="R4048" s="15"/>
    </row>
    <row r="4049" spans="3:18">
      <c r="C4049" s="5"/>
      <c r="R4049" s="15"/>
    </row>
    <row r="4050" spans="3:18">
      <c r="C4050" s="5"/>
      <c r="R4050" s="15"/>
    </row>
    <row r="4051" spans="3:18">
      <c r="C4051" s="5"/>
      <c r="R4051" s="15"/>
    </row>
    <row r="4052" spans="3:18">
      <c r="C4052" s="5"/>
      <c r="R4052" s="15"/>
    </row>
    <row r="4053" spans="3:18">
      <c r="C4053" s="5"/>
      <c r="R4053" s="15"/>
    </row>
    <row r="4054" spans="3:18">
      <c r="C4054" s="5"/>
      <c r="R4054" s="15"/>
    </row>
    <row r="4055" spans="3:18">
      <c r="C4055" s="5"/>
      <c r="R4055" s="15"/>
    </row>
    <row r="4056" spans="3:18">
      <c r="C4056" s="5"/>
      <c r="R4056" s="15"/>
    </row>
    <row r="4057" spans="3:18">
      <c r="C4057" s="5"/>
      <c r="R4057" s="15"/>
    </row>
    <row r="4058" spans="3:18">
      <c r="C4058" s="5"/>
      <c r="R4058" s="15"/>
    </row>
    <row r="4059" spans="3:18">
      <c r="C4059" s="5"/>
      <c r="R4059" s="15"/>
    </row>
    <row r="4060" spans="3:18">
      <c r="C4060" s="5"/>
      <c r="R4060" s="15"/>
    </row>
    <row r="4061" spans="3:18">
      <c r="C4061" s="5"/>
      <c r="R4061" s="15"/>
    </row>
    <row r="4062" spans="3:18">
      <c r="C4062" s="5"/>
      <c r="R4062" s="15"/>
    </row>
    <row r="4063" spans="3:18">
      <c r="C4063" s="5"/>
      <c r="R4063" s="15"/>
    </row>
    <row r="4064" spans="3:18">
      <c r="C4064" s="5"/>
      <c r="R4064" s="15"/>
    </row>
    <row r="4065" spans="3:18">
      <c r="C4065" s="5"/>
      <c r="R4065" s="15"/>
    </row>
    <row r="4066" spans="3:18">
      <c r="C4066" s="5"/>
      <c r="R4066" s="15"/>
    </row>
    <row r="4067" spans="3:18">
      <c r="C4067" s="5"/>
      <c r="R4067" s="15"/>
    </row>
    <row r="4068" spans="3:18">
      <c r="C4068" s="5"/>
      <c r="R4068" s="15"/>
    </row>
    <row r="4069" spans="3:18">
      <c r="C4069" s="5"/>
      <c r="R4069" s="15"/>
    </row>
    <row r="4070" spans="3:18">
      <c r="C4070" s="5"/>
      <c r="R4070" s="15"/>
    </row>
    <row r="4071" spans="3:18">
      <c r="C4071" s="5"/>
      <c r="R4071" s="15"/>
    </row>
    <row r="4072" spans="3:18">
      <c r="C4072" s="5"/>
      <c r="R4072" s="15"/>
    </row>
    <row r="4073" spans="3:18">
      <c r="C4073" s="5"/>
      <c r="R4073" s="15"/>
    </row>
    <row r="4074" spans="3:18">
      <c r="C4074" s="5"/>
      <c r="R4074" s="15"/>
    </row>
    <row r="4075" spans="3:18">
      <c r="C4075" s="5"/>
      <c r="R4075" s="15"/>
    </row>
    <row r="4076" spans="3:18">
      <c r="C4076" s="5"/>
      <c r="R4076" s="15"/>
    </row>
    <row r="4077" spans="3:18">
      <c r="C4077" s="5"/>
      <c r="R4077" s="15"/>
    </row>
    <row r="4078" spans="3:18">
      <c r="C4078" s="5"/>
      <c r="R4078" s="15"/>
    </row>
    <row r="4079" spans="3:18">
      <c r="C4079" s="5"/>
      <c r="R4079" s="15"/>
    </row>
    <row r="4080" spans="3:18">
      <c r="C4080" s="5"/>
      <c r="R4080" s="15"/>
    </row>
    <row r="4081" spans="3:18">
      <c r="C4081" s="5"/>
      <c r="R4081" s="15"/>
    </row>
    <row r="4082" spans="3:18">
      <c r="C4082" s="5"/>
      <c r="R4082" s="15"/>
    </row>
    <row r="4083" spans="3:18">
      <c r="C4083" s="5"/>
      <c r="R4083" s="15"/>
    </row>
    <row r="4084" spans="3:18">
      <c r="C4084" s="5"/>
      <c r="R4084" s="15"/>
    </row>
    <row r="4085" spans="3:18">
      <c r="C4085" s="5"/>
      <c r="R4085" s="15"/>
    </row>
    <row r="4086" spans="3:18">
      <c r="C4086" s="5"/>
      <c r="R4086" s="15"/>
    </row>
    <row r="4087" spans="3:18">
      <c r="C4087" s="5"/>
      <c r="R4087" s="15"/>
    </row>
    <row r="4088" spans="3:18">
      <c r="C4088" s="5"/>
      <c r="R4088" s="15"/>
    </row>
    <row r="4089" spans="3:18">
      <c r="C4089" s="5"/>
      <c r="R4089" s="15"/>
    </row>
    <row r="4090" spans="3:18">
      <c r="C4090" s="5"/>
      <c r="R4090" s="15"/>
    </row>
    <row r="4091" spans="3:18">
      <c r="C4091" s="5"/>
      <c r="R4091" s="15"/>
    </row>
    <row r="4092" spans="3:18">
      <c r="C4092" s="5"/>
      <c r="R4092" s="15"/>
    </row>
    <row r="4093" spans="3:18">
      <c r="C4093" s="5"/>
      <c r="R4093" s="15"/>
    </row>
    <row r="4094" spans="3:18">
      <c r="C4094" s="5"/>
      <c r="R4094" s="15"/>
    </row>
    <row r="4095" spans="3:18">
      <c r="C4095" s="5"/>
      <c r="R4095" s="15"/>
    </row>
    <row r="4096" spans="3:18">
      <c r="C4096" s="5"/>
      <c r="R4096" s="15"/>
    </row>
    <row r="4097" spans="3:18">
      <c r="C4097" s="5"/>
      <c r="R4097" s="15"/>
    </row>
    <row r="4098" spans="3:18">
      <c r="C4098" s="5"/>
      <c r="R4098" s="15"/>
    </row>
    <row r="4099" spans="3:18">
      <c r="C4099" s="5"/>
      <c r="R4099" s="15"/>
    </row>
    <row r="4100" spans="3:18">
      <c r="C4100" s="5"/>
      <c r="R4100" s="15"/>
    </row>
    <row r="4101" spans="3:18">
      <c r="C4101" s="5"/>
      <c r="R4101" s="15"/>
    </row>
    <row r="4102" spans="3:18">
      <c r="C4102" s="5"/>
      <c r="R4102" s="15"/>
    </row>
    <row r="4103" spans="3:18">
      <c r="C4103" s="5"/>
      <c r="R4103" s="15"/>
    </row>
    <row r="4104" spans="3:18">
      <c r="C4104" s="5"/>
      <c r="R4104" s="15"/>
    </row>
    <row r="4105" spans="3:18">
      <c r="C4105" s="5"/>
      <c r="R4105" s="15"/>
    </row>
    <row r="4106" spans="3:18">
      <c r="C4106" s="5"/>
      <c r="R4106" s="15"/>
    </row>
    <row r="4107" spans="3:18">
      <c r="C4107" s="5"/>
      <c r="R4107" s="15"/>
    </row>
    <row r="4108" spans="3:18">
      <c r="C4108" s="5"/>
      <c r="R4108" s="15"/>
    </row>
    <row r="4109" spans="3:18">
      <c r="C4109" s="5"/>
      <c r="R4109" s="15"/>
    </row>
    <row r="4110" spans="3:18">
      <c r="C4110" s="5"/>
      <c r="R4110" s="15"/>
    </row>
    <row r="4111" spans="3:18">
      <c r="C4111" s="5"/>
      <c r="R4111" s="15"/>
    </row>
    <row r="4112" spans="3:18">
      <c r="C4112" s="5"/>
      <c r="R4112" s="15"/>
    </row>
    <row r="4113" spans="3:18">
      <c r="C4113" s="5"/>
      <c r="R4113" s="15"/>
    </row>
    <row r="4114" spans="3:18">
      <c r="C4114" s="5"/>
      <c r="R4114" s="15"/>
    </row>
    <row r="4115" spans="3:18">
      <c r="C4115" s="5"/>
      <c r="R4115" s="15"/>
    </row>
    <row r="4116" spans="3:18">
      <c r="C4116" s="5"/>
      <c r="R4116" s="15"/>
    </row>
    <row r="4117" spans="3:18">
      <c r="C4117" s="5"/>
      <c r="R4117" s="15"/>
    </row>
    <row r="4118" spans="3:18">
      <c r="C4118" s="5"/>
      <c r="R4118" s="15"/>
    </row>
    <row r="4119" spans="3:18">
      <c r="C4119" s="5"/>
      <c r="R4119" s="15"/>
    </row>
    <row r="4120" spans="3:18">
      <c r="C4120" s="5"/>
      <c r="R4120" s="15"/>
    </row>
    <row r="4121" spans="3:18">
      <c r="C4121" s="5"/>
      <c r="R4121" s="15"/>
    </row>
    <row r="4122" spans="3:18">
      <c r="C4122" s="5"/>
      <c r="R4122" s="15"/>
    </row>
    <row r="4123" spans="3:18">
      <c r="C4123" s="5"/>
      <c r="R4123" s="15"/>
    </row>
    <row r="4124" spans="3:18">
      <c r="C4124" s="5"/>
      <c r="R4124" s="15"/>
    </row>
    <row r="4125" spans="3:18">
      <c r="C4125" s="5"/>
      <c r="R4125" s="15"/>
    </row>
    <row r="4126" spans="3:18">
      <c r="C4126" s="5"/>
      <c r="R4126" s="15"/>
    </row>
    <row r="4127" spans="3:18">
      <c r="C4127" s="5"/>
      <c r="R4127" s="15"/>
    </row>
    <row r="4128" spans="3:18">
      <c r="C4128" s="5"/>
      <c r="R4128" s="15"/>
    </row>
    <row r="4129" spans="3:18">
      <c r="C4129" s="5"/>
      <c r="R4129" s="15"/>
    </row>
    <row r="4130" spans="3:18">
      <c r="C4130" s="5"/>
      <c r="R4130" s="15"/>
    </row>
    <row r="4131" spans="3:18">
      <c r="C4131" s="5"/>
      <c r="R4131" s="15"/>
    </row>
    <row r="4132" spans="3:18">
      <c r="C4132" s="5"/>
      <c r="R4132" s="15"/>
    </row>
    <row r="4133" spans="3:18">
      <c r="C4133" s="5"/>
      <c r="R4133" s="15"/>
    </row>
    <row r="4134" spans="3:18">
      <c r="C4134" s="5"/>
      <c r="R4134" s="15"/>
    </row>
    <row r="4135" spans="3:18">
      <c r="C4135" s="5"/>
      <c r="R4135" s="15"/>
    </row>
    <row r="4136" spans="3:18">
      <c r="C4136" s="5"/>
      <c r="R4136" s="15"/>
    </row>
    <row r="4137" spans="3:18">
      <c r="C4137" s="5"/>
      <c r="R4137" s="15"/>
    </row>
    <row r="4138" spans="3:18">
      <c r="C4138" s="5"/>
      <c r="R4138" s="15"/>
    </row>
    <row r="4139" spans="3:18">
      <c r="C4139" s="5"/>
      <c r="R4139" s="15"/>
    </row>
    <row r="4140" spans="3:18">
      <c r="C4140" s="5"/>
      <c r="R4140" s="15"/>
    </row>
    <row r="4141" spans="3:18">
      <c r="C4141" s="5"/>
      <c r="R4141" s="15"/>
    </row>
    <row r="4142" spans="3:18">
      <c r="C4142" s="5"/>
      <c r="R4142" s="15"/>
    </row>
    <row r="4143" spans="3:18">
      <c r="C4143" s="5"/>
      <c r="R4143" s="15"/>
    </row>
    <row r="4144" spans="3:18">
      <c r="C4144" s="5"/>
      <c r="R4144" s="15"/>
    </row>
    <row r="4145" spans="3:18">
      <c r="C4145" s="5"/>
      <c r="R4145" s="15"/>
    </row>
    <row r="4146" spans="3:18">
      <c r="C4146" s="5"/>
      <c r="R4146" s="15"/>
    </row>
    <row r="4147" spans="3:18">
      <c r="C4147" s="5"/>
      <c r="R4147" s="15"/>
    </row>
    <row r="4148" spans="3:18">
      <c r="C4148" s="5"/>
      <c r="R4148" s="15"/>
    </row>
    <row r="4149" spans="3:18">
      <c r="C4149" s="5"/>
      <c r="R4149" s="15"/>
    </row>
    <row r="4150" spans="3:18">
      <c r="C4150" s="5"/>
      <c r="R4150" s="15"/>
    </row>
    <row r="4151" spans="3:18">
      <c r="C4151" s="5"/>
      <c r="R4151" s="15"/>
    </row>
    <row r="4152" spans="3:18">
      <c r="C4152" s="5"/>
      <c r="R4152" s="15"/>
    </row>
    <row r="4153" spans="3:18">
      <c r="C4153" s="5"/>
      <c r="R4153" s="15"/>
    </row>
    <row r="4154" spans="3:18">
      <c r="C4154" s="5"/>
      <c r="R4154" s="15"/>
    </row>
    <row r="4155" spans="3:18">
      <c r="C4155" s="5"/>
      <c r="R4155" s="15"/>
    </row>
    <row r="4156" spans="3:18">
      <c r="C4156" s="5"/>
      <c r="R4156" s="15"/>
    </row>
    <row r="4157" spans="3:18">
      <c r="C4157" s="5"/>
      <c r="R4157" s="15"/>
    </row>
    <row r="4158" spans="3:18">
      <c r="C4158" s="5"/>
      <c r="R4158" s="15"/>
    </row>
    <row r="4159" spans="3:18">
      <c r="C4159" s="5"/>
      <c r="R4159" s="15"/>
    </row>
    <row r="4160" spans="3:18">
      <c r="C4160" s="5"/>
      <c r="R4160" s="15"/>
    </row>
    <row r="4161" spans="3:18">
      <c r="C4161" s="5"/>
      <c r="R4161" s="15"/>
    </row>
    <row r="4162" spans="3:18">
      <c r="C4162" s="5"/>
      <c r="R4162" s="15"/>
    </row>
    <row r="4163" spans="3:18">
      <c r="C4163" s="5"/>
      <c r="R4163" s="15"/>
    </row>
    <row r="4164" spans="3:18">
      <c r="C4164" s="5"/>
      <c r="R4164" s="15"/>
    </row>
    <row r="4165" spans="3:18">
      <c r="C4165" s="5"/>
      <c r="R4165" s="15"/>
    </row>
    <row r="4166" spans="3:18">
      <c r="C4166" s="5"/>
      <c r="R4166" s="15"/>
    </row>
    <row r="4167" spans="3:18">
      <c r="C4167" s="5"/>
      <c r="R4167" s="15"/>
    </row>
    <row r="4168" spans="3:18">
      <c r="C4168" s="5"/>
      <c r="R4168" s="15"/>
    </row>
    <row r="4169" spans="3:18">
      <c r="C4169" s="5"/>
      <c r="R4169" s="15"/>
    </row>
    <row r="4170" spans="3:18">
      <c r="C4170" s="5"/>
      <c r="R4170" s="15"/>
    </row>
    <row r="4171" spans="3:18">
      <c r="C4171" s="5"/>
      <c r="R4171" s="15"/>
    </row>
    <row r="4172" spans="3:18">
      <c r="C4172" s="5"/>
      <c r="R4172" s="15"/>
    </row>
    <row r="4173" spans="3:18">
      <c r="C4173" s="5"/>
      <c r="R4173" s="15"/>
    </row>
    <row r="4174" spans="3:18">
      <c r="C4174" s="5"/>
      <c r="R4174" s="15"/>
    </row>
    <row r="4175" spans="3:18">
      <c r="C4175" s="5"/>
      <c r="R4175" s="15"/>
    </row>
    <row r="4176" spans="3:18">
      <c r="C4176" s="5"/>
      <c r="R4176" s="15"/>
    </row>
    <row r="4177" spans="3:18">
      <c r="C4177" s="5"/>
      <c r="R4177" s="15"/>
    </row>
    <row r="4178" spans="3:18">
      <c r="C4178" s="5"/>
      <c r="R4178" s="15"/>
    </row>
    <row r="4179" spans="3:18">
      <c r="C4179" s="5"/>
      <c r="R4179" s="15"/>
    </row>
    <row r="4180" spans="3:18">
      <c r="C4180" s="5"/>
      <c r="R4180" s="15"/>
    </row>
    <row r="4181" spans="3:18">
      <c r="C4181" s="5"/>
      <c r="R4181" s="15"/>
    </row>
    <row r="4182" spans="3:18">
      <c r="C4182" s="5"/>
      <c r="R4182" s="15"/>
    </row>
    <row r="4183" spans="3:18">
      <c r="C4183" s="5"/>
      <c r="R4183" s="15"/>
    </row>
    <row r="4184" spans="3:18">
      <c r="C4184" s="5"/>
      <c r="R4184" s="15"/>
    </row>
    <row r="4185" spans="3:18">
      <c r="C4185" s="5"/>
      <c r="R4185" s="15"/>
    </row>
    <row r="4186" spans="3:18">
      <c r="C4186" s="5"/>
      <c r="R4186" s="15"/>
    </row>
    <row r="4187" spans="3:18">
      <c r="C4187" s="5"/>
      <c r="R4187" s="15"/>
    </row>
    <row r="4188" spans="3:18">
      <c r="C4188" s="5"/>
      <c r="R4188" s="15"/>
    </row>
    <row r="4189" spans="3:18">
      <c r="C4189" s="5"/>
      <c r="R4189" s="15"/>
    </row>
    <row r="4190" spans="3:18">
      <c r="C4190" s="5"/>
      <c r="R4190" s="15"/>
    </row>
    <row r="4191" spans="3:18">
      <c r="C4191" s="5"/>
      <c r="R4191" s="15"/>
    </row>
    <row r="4192" spans="3:18">
      <c r="C4192" s="5"/>
      <c r="R4192" s="15"/>
    </row>
    <row r="4193" spans="3:18">
      <c r="C4193" s="5"/>
      <c r="R4193" s="15"/>
    </row>
    <row r="4194" spans="3:18">
      <c r="C4194" s="5"/>
      <c r="R4194" s="15"/>
    </row>
    <row r="4195" spans="3:18">
      <c r="C4195" s="5"/>
      <c r="R4195" s="15"/>
    </row>
    <row r="4196" spans="3:18">
      <c r="C4196" s="5"/>
      <c r="R4196" s="15"/>
    </row>
    <row r="4197" spans="3:18">
      <c r="C4197" s="5"/>
      <c r="R4197" s="15"/>
    </row>
    <row r="4198" spans="3:18">
      <c r="C4198" s="5"/>
      <c r="R4198" s="15"/>
    </row>
    <row r="4199" spans="3:18">
      <c r="C4199" s="5"/>
      <c r="R4199" s="15"/>
    </row>
    <row r="4200" spans="3:18">
      <c r="C4200" s="5"/>
      <c r="R4200" s="15"/>
    </row>
    <row r="4201" spans="3:18">
      <c r="C4201" s="5"/>
      <c r="R4201" s="15"/>
    </row>
    <row r="4202" spans="3:18">
      <c r="C4202" s="5"/>
      <c r="R4202" s="15"/>
    </row>
    <row r="4203" spans="3:18">
      <c r="C4203" s="5"/>
      <c r="R4203" s="15"/>
    </row>
    <row r="4204" spans="3:18">
      <c r="C4204" s="5"/>
      <c r="R4204" s="15"/>
    </row>
    <row r="4205" spans="3:18">
      <c r="C4205" s="5"/>
      <c r="R4205" s="15"/>
    </row>
    <row r="4206" spans="3:18">
      <c r="C4206" s="5"/>
      <c r="R4206" s="15"/>
    </row>
    <row r="4207" spans="3:18">
      <c r="C4207" s="5"/>
      <c r="R4207" s="15"/>
    </row>
    <row r="4208" spans="3:18">
      <c r="C4208" s="5"/>
      <c r="R4208" s="15"/>
    </row>
    <row r="4209" spans="3:18">
      <c r="C4209" s="5"/>
      <c r="R4209" s="15"/>
    </row>
    <row r="4210" spans="3:18">
      <c r="C4210" s="5"/>
      <c r="R4210" s="15"/>
    </row>
    <row r="4211" spans="3:18">
      <c r="C4211" s="5"/>
      <c r="R4211" s="15"/>
    </row>
    <row r="4212" spans="3:18">
      <c r="C4212" s="5"/>
      <c r="R4212" s="15"/>
    </row>
    <row r="4213" spans="3:18">
      <c r="C4213" s="5"/>
      <c r="R4213" s="15"/>
    </row>
    <row r="4214" spans="3:18">
      <c r="C4214" s="5"/>
      <c r="R4214" s="15"/>
    </row>
    <row r="4215" spans="3:18">
      <c r="C4215" s="5"/>
      <c r="R4215" s="15"/>
    </row>
    <row r="4216" spans="3:18">
      <c r="C4216" s="5"/>
      <c r="R4216" s="15"/>
    </row>
    <row r="4217" spans="3:18">
      <c r="C4217" s="5"/>
      <c r="R4217" s="15"/>
    </row>
    <row r="4218" spans="3:18">
      <c r="C4218" s="5"/>
      <c r="R4218" s="15"/>
    </row>
    <row r="4219" spans="3:18">
      <c r="C4219" s="5"/>
      <c r="R4219" s="15"/>
    </row>
    <row r="4220" spans="3:18">
      <c r="C4220" s="5"/>
      <c r="R4220" s="15"/>
    </row>
    <row r="4221" spans="3:18">
      <c r="C4221" s="5"/>
      <c r="R4221" s="15"/>
    </row>
    <row r="4222" spans="3:18">
      <c r="C4222" s="5"/>
      <c r="R4222" s="15"/>
    </row>
    <row r="4223" spans="3:18">
      <c r="C4223" s="5"/>
      <c r="R4223" s="15"/>
    </row>
    <row r="4224" spans="3:18">
      <c r="C4224" s="5"/>
      <c r="R4224" s="15"/>
    </row>
    <row r="4225" spans="3:18">
      <c r="C4225" s="5"/>
      <c r="R4225" s="15"/>
    </row>
    <row r="4226" spans="3:18">
      <c r="C4226" s="5"/>
      <c r="R4226" s="15"/>
    </row>
    <row r="4227" spans="3:18">
      <c r="C4227" s="5"/>
      <c r="R4227" s="15"/>
    </row>
    <row r="4228" spans="3:18">
      <c r="C4228" s="5"/>
      <c r="R4228" s="15"/>
    </row>
    <row r="4229" spans="3:18">
      <c r="C4229" s="5"/>
      <c r="R4229" s="15"/>
    </row>
    <row r="4230" spans="3:18">
      <c r="C4230" s="5"/>
      <c r="R4230" s="15"/>
    </row>
    <row r="4231" spans="3:18">
      <c r="C4231" s="5"/>
      <c r="R4231" s="15"/>
    </row>
    <row r="4232" spans="3:18">
      <c r="C4232" s="5"/>
      <c r="R4232" s="15"/>
    </row>
    <row r="4233" spans="3:18">
      <c r="C4233" s="5"/>
      <c r="R4233" s="15"/>
    </row>
    <row r="4234" spans="3:18">
      <c r="C4234" s="5"/>
      <c r="R4234" s="15"/>
    </row>
    <row r="4235" spans="3:18">
      <c r="C4235" s="5"/>
      <c r="R4235" s="15"/>
    </row>
    <row r="4236" spans="3:18">
      <c r="C4236" s="5"/>
      <c r="R4236" s="15"/>
    </row>
    <row r="4237" spans="3:18">
      <c r="C4237" s="5"/>
      <c r="R4237" s="15"/>
    </row>
    <row r="4238" spans="3:18">
      <c r="C4238" s="5"/>
      <c r="R4238" s="15"/>
    </row>
    <row r="4239" spans="3:18">
      <c r="C4239" s="5"/>
      <c r="R4239" s="15"/>
    </row>
    <row r="4240" spans="3:18">
      <c r="C4240" s="5"/>
      <c r="R4240" s="15"/>
    </row>
    <row r="4241" spans="3:18">
      <c r="C4241" s="5"/>
      <c r="R4241" s="15"/>
    </row>
    <row r="4242" spans="3:18">
      <c r="C4242" s="5"/>
      <c r="R4242" s="15"/>
    </row>
    <row r="4243" spans="3:18">
      <c r="C4243" s="5"/>
      <c r="R4243" s="15"/>
    </row>
    <row r="4244" spans="3:18">
      <c r="C4244" s="5"/>
      <c r="R4244" s="15"/>
    </row>
    <row r="4245" spans="3:18">
      <c r="C4245" s="5"/>
      <c r="R4245" s="15"/>
    </row>
    <row r="4246" spans="3:18">
      <c r="C4246" s="5"/>
      <c r="R4246" s="15"/>
    </row>
    <row r="4247" spans="3:18">
      <c r="C4247" s="5"/>
      <c r="R4247" s="15"/>
    </row>
    <row r="4248" spans="3:18">
      <c r="C4248" s="5"/>
      <c r="R4248" s="15"/>
    </row>
    <row r="4249" spans="3:18">
      <c r="C4249" s="5"/>
      <c r="R4249" s="15"/>
    </row>
    <row r="4250" spans="3:18">
      <c r="C4250" s="5"/>
      <c r="R4250" s="15"/>
    </row>
    <row r="4251" spans="3:18">
      <c r="C4251" s="5"/>
      <c r="R4251" s="15"/>
    </row>
    <row r="4252" spans="3:18">
      <c r="C4252" s="5"/>
      <c r="R4252" s="15"/>
    </row>
    <row r="4253" spans="3:18">
      <c r="C4253" s="5"/>
      <c r="R4253" s="15"/>
    </row>
    <row r="4254" spans="3:18">
      <c r="C4254" s="5"/>
      <c r="R4254" s="15"/>
    </row>
    <row r="4255" spans="3:18">
      <c r="C4255" s="5"/>
      <c r="R4255" s="15"/>
    </row>
    <row r="4256" spans="3:18">
      <c r="C4256" s="5"/>
      <c r="R4256" s="15"/>
    </row>
    <row r="4257" spans="3:18">
      <c r="C4257" s="5"/>
      <c r="R4257" s="15"/>
    </row>
    <row r="4258" spans="3:18">
      <c r="C4258" s="5"/>
      <c r="R4258" s="15"/>
    </row>
    <row r="4259" spans="3:18">
      <c r="C4259" s="5"/>
      <c r="R4259" s="15"/>
    </row>
    <row r="4260" spans="3:18">
      <c r="C4260" s="5"/>
      <c r="R4260" s="15"/>
    </row>
    <row r="4261" spans="3:18">
      <c r="C4261" s="5"/>
      <c r="R4261" s="15"/>
    </row>
    <row r="4262" spans="3:18">
      <c r="C4262" s="5"/>
      <c r="R4262" s="15"/>
    </row>
    <row r="4263" spans="3:18">
      <c r="C4263" s="5"/>
      <c r="R4263" s="15"/>
    </row>
    <row r="4264" spans="3:18">
      <c r="C4264" s="5"/>
      <c r="R4264" s="15"/>
    </row>
    <row r="4265" spans="3:18">
      <c r="C4265" s="5"/>
      <c r="R4265" s="15"/>
    </row>
    <row r="4266" spans="3:18">
      <c r="C4266" s="5"/>
      <c r="R4266" s="15"/>
    </row>
    <row r="4267" spans="3:18">
      <c r="C4267" s="5"/>
      <c r="R4267" s="15"/>
    </row>
    <row r="4268" spans="3:18">
      <c r="C4268" s="5"/>
      <c r="R4268" s="15"/>
    </row>
    <row r="4269" spans="3:18">
      <c r="C4269" s="5"/>
      <c r="R4269" s="15"/>
    </row>
    <row r="4270" spans="3:18">
      <c r="C4270" s="5"/>
      <c r="R4270" s="15"/>
    </row>
    <row r="4271" spans="3:18">
      <c r="C4271" s="5"/>
      <c r="R4271" s="15"/>
    </row>
    <row r="4272" spans="3:18">
      <c r="C4272" s="5"/>
      <c r="R4272" s="15"/>
    </row>
    <row r="4273" spans="3:18">
      <c r="C4273" s="5"/>
      <c r="R4273" s="15"/>
    </row>
    <row r="4274" spans="3:18">
      <c r="C4274" s="5"/>
      <c r="R4274" s="15"/>
    </row>
    <row r="4275" spans="3:18">
      <c r="C4275" s="5"/>
      <c r="R4275" s="15"/>
    </row>
    <row r="4276" spans="3:18">
      <c r="C4276" s="5"/>
      <c r="R4276" s="15"/>
    </row>
    <row r="4277" spans="3:18">
      <c r="C4277" s="5"/>
      <c r="R4277" s="15"/>
    </row>
    <row r="4278" spans="3:18">
      <c r="C4278" s="5"/>
      <c r="R4278" s="15"/>
    </row>
    <row r="4279" spans="3:18">
      <c r="C4279" s="5"/>
      <c r="R4279" s="15"/>
    </row>
    <row r="4280" spans="3:18">
      <c r="C4280" s="5"/>
      <c r="R4280" s="15"/>
    </row>
    <row r="4281" spans="3:18">
      <c r="C4281" s="5"/>
      <c r="R4281" s="15"/>
    </row>
    <row r="4282" spans="3:18">
      <c r="C4282" s="5"/>
      <c r="R4282" s="15"/>
    </row>
    <row r="4283" spans="3:18">
      <c r="C4283" s="5"/>
      <c r="R4283" s="15"/>
    </row>
    <row r="4284" spans="3:18">
      <c r="C4284" s="5"/>
      <c r="R4284" s="15"/>
    </row>
    <row r="4285" spans="3:18">
      <c r="C4285" s="5"/>
      <c r="R4285" s="15"/>
    </row>
    <row r="4286" spans="3:18">
      <c r="C4286" s="5"/>
      <c r="R4286" s="15"/>
    </row>
    <row r="4287" spans="3:18">
      <c r="C4287" s="5"/>
      <c r="R4287" s="15"/>
    </row>
    <row r="4288" spans="3:18">
      <c r="C4288" s="5"/>
      <c r="R4288" s="15"/>
    </row>
    <row r="4289" spans="3:18">
      <c r="C4289" s="5"/>
      <c r="R4289" s="15"/>
    </row>
    <row r="4290" spans="3:18">
      <c r="C4290" s="5"/>
      <c r="R4290" s="15"/>
    </row>
    <row r="4291" spans="3:18">
      <c r="C4291" s="5"/>
      <c r="R4291" s="15"/>
    </row>
    <row r="4292" spans="3:18">
      <c r="C4292" s="5"/>
      <c r="R4292" s="15"/>
    </row>
    <row r="4293" spans="3:18">
      <c r="C4293" s="5"/>
      <c r="R4293" s="15"/>
    </row>
    <row r="4294" spans="3:18">
      <c r="C4294" s="5"/>
      <c r="R4294" s="15"/>
    </row>
    <row r="4295" spans="3:18">
      <c r="C4295" s="5"/>
      <c r="R4295" s="15"/>
    </row>
    <row r="4296" spans="3:18">
      <c r="C4296" s="5"/>
      <c r="R4296" s="15"/>
    </row>
    <row r="4297" spans="3:18">
      <c r="C4297" s="5"/>
      <c r="R4297" s="15"/>
    </row>
    <row r="4298" spans="3:18">
      <c r="C4298" s="5"/>
      <c r="R4298" s="15"/>
    </row>
    <row r="4299" spans="3:18">
      <c r="C4299" s="5"/>
      <c r="R4299" s="15"/>
    </row>
    <row r="4300" spans="3:18">
      <c r="C4300" s="5"/>
      <c r="R4300" s="15"/>
    </row>
    <row r="4301" spans="3:18">
      <c r="C4301" s="5"/>
      <c r="R4301" s="15"/>
    </row>
    <row r="4302" spans="3:18">
      <c r="C4302" s="5"/>
      <c r="R4302" s="15"/>
    </row>
    <row r="4303" spans="3:18">
      <c r="C4303" s="5"/>
      <c r="R4303" s="15"/>
    </row>
    <row r="4304" spans="3:18">
      <c r="C4304" s="5"/>
      <c r="R4304" s="15"/>
    </row>
    <row r="4305" spans="3:18">
      <c r="C4305" s="5"/>
      <c r="R4305" s="15"/>
    </row>
    <row r="4306" spans="3:18">
      <c r="C4306" s="5"/>
      <c r="R4306" s="15"/>
    </row>
    <row r="4307" spans="3:18">
      <c r="C4307" s="5"/>
      <c r="R4307" s="15"/>
    </row>
    <row r="4308" spans="3:18">
      <c r="C4308" s="5"/>
      <c r="R4308" s="15"/>
    </row>
    <row r="4309" spans="3:18">
      <c r="C4309" s="5"/>
      <c r="R4309" s="15"/>
    </row>
    <row r="4310" spans="3:18">
      <c r="C4310" s="5"/>
      <c r="R4310" s="15"/>
    </row>
    <row r="4311" spans="3:18">
      <c r="C4311" s="5"/>
      <c r="R4311" s="15"/>
    </row>
    <row r="4312" spans="3:18">
      <c r="C4312" s="5"/>
      <c r="R4312" s="15"/>
    </row>
    <row r="4313" spans="3:18">
      <c r="C4313" s="5"/>
      <c r="R4313" s="15"/>
    </row>
    <row r="4314" spans="3:18">
      <c r="C4314" s="5"/>
      <c r="R4314" s="15"/>
    </row>
    <row r="4315" spans="3:18">
      <c r="C4315" s="5"/>
      <c r="R4315" s="15"/>
    </row>
    <row r="4316" spans="3:18">
      <c r="C4316" s="5"/>
      <c r="R4316" s="15"/>
    </row>
    <row r="4317" spans="3:18">
      <c r="C4317" s="5"/>
      <c r="R4317" s="15"/>
    </row>
    <row r="4318" spans="3:18">
      <c r="C4318" s="5"/>
      <c r="R4318" s="15"/>
    </row>
    <row r="4319" spans="3:18">
      <c r="C4319" s="5"/>
      <c r="R4319" s="15"/>
    </row>
    <row r="4320" spans="3:18">
      <c r="C4320" s="5"/>
      <c r="R4320" s="15"/>
    </row>
    <row r="4321" spans="3:18">
      <c r="C4321" s="5"/>
      <c r="R4321" s="15"/>
    </row>
    <row r="4322" spans="3:18">
      <c r="C4322" s="5"/>
      <c r="R4322" s="15"/>
    </row>
    <row r="4323" spans="3:18">
      <c r="C4323" s="5"/>
      <c r="R4323" s="15"/>
    </row>
    <row r="4324" spans="3:18">
      <c r="C4324" s="5"/>
      <c r="R4324" s="15"/>
    </row>
    <row r="4325" spans="3:18">
      <c r="C4325" s="5"/>
      <c r="R4325" s="15"/>
    </row>
    <row r="4326" spans="3:18">
      <c r="C4326" s="5"/>
      <c r="R4326" s="15"/>
    </row>
    <row r="4327" spans="3:18">
      <c r="C4327" s="5"/>
      <c r="R4327" s="15"/>
    </row>
    <row r="4328" spans="3:18">
      <c r="C4328" s="5"/>
      <c r="R4328" s="15"/>
    </row>
    <row r="4329" spans="3:18">
      <c r="C4329" s="5"/>
      <c r="R4329" s="15"/>
    </row>
    <row r="4330" spans="3:18">
      <c r="C4330" s="5"/>
      <c r="R4330" s="15"/>
    </row>
    <row r="4331" spans="3:18">
      <c r="C4331" s="5"/>
      <c r="R4331" s="15"/>
    </row>
    <row r="4332" spans="3:18">
      <c r="C4332" s="5"/>
      <c r="R4332" s="15"/>
    </row>
    <row r="4333" spans="3:18">
      <c r="C4333" s="5"/>
      <c r="R4333" s="15"/>
    </row>
    <row r="4334" spans="3:18">
      <c r="C4334" s="5"/>
      <c r="R4334" s="15"/>
    </row>
    <row r="4335" spans="3:18">
      <c r="C4335" s="5"/>
      <c r="R4335" s="15"/>
    </row>
    <row r="4336" spans="3:18">
      <c r="C4336" s="5"/>
      <c r="R4336" s="15"/>
    </row>
    <row r="4337" spans="3:18">
      <c r="C4337" s="5"/>
      <c r="R4337" s="15"/>
    </row>
    <row r="4338" spans="3:18">
      <c r="C4338" s="5"/>
      <c r="R4338" s="15"/>
    </row>
    <row r="4339" spans="3:18">
      <c r="C4339" s="5"/>
      <c r="R4339" s="15"/>
    </row>
    <row r="4340" spans="3:18">
      <c r="C4340" s="5"/>
      <c r="R4340" s="15"/>
    </row>
    <row r="4341" spans="3:18">
      <c r="C4341" s="5"/>
      <c r="R4341" s="15"/>
    </row>
    <row r="4342" spans="3:18">
      <c r="C4342" s="5"/>
      <c r="R4342" s="15"/>
    </row>
    <row r="4343" spans="3:18">
      <c r="C4343" s="5"/>
      <c r="R4343" s="15"/>
    </row>
    <row r="4344" spans="3:18">
      <c r="C4344" s="5"/>
      <c r="R4344" s="15"/>
    </row>
    <row r="4345" spans="3:18">
      <c r="C4345" s="5"/>
      <c r="R4345" s="15"/>
    </row>
    <row r="4346" spans="3:18">
      <c r="C4346" s="5"/>
      <c r="R4346" s="15"/>
    </row>
    <row r="4347" spans="3:18">
      <c r="C4347" s="5"/>
      <c r="R4347" s="15"/>
    </row>
    <row r="4348" spans="3:18">
      <c r="C4348" s="5"/>
      <c r="R4348" s="15"/>
    </row>
    <row r="4349" spans="3:18">
      <c r="C4349" s="5"/>
      <c r="R4349" s="15"/>
    </row>
    <row r="4350" spans="3:18">
      <c r="C4350" s="5"/>
      <c r="R4350" s="15"/>
    </row>
    <row r="4351" spans="3:18">
      <c r="C4351" s="5"/>
      <c r="R4351" s="15"/>
    </row>
    <row r="4352" spans="3:18">
      <c r="C4352" s="5"/>
      <c r="R4352" s="15"/>
    </row>
    <row r="4353" spans="3:18">
      <c r="C4353" s="5"/>
      <c r="R4353" s="15"/>
    </row>
    <row r="4354" spans="3:18">
      <c r="C4354" s="5"/>
      <c r="R4354" s="15"/>
    </row>
    <row r="4355" spans="3:18">
      <c r="C4355" s="5"/>
      <c r="R4355" s="15"/>
    </row>
    <row r="4356" spans="3:18">
      <c r="C4356" s="5"/>
      <c r="R4356" s="15"/>
    </row>
    <row r="4357" spans="3:18">
      <c r="C4357" s="5"/>
      <c r="R4357" s="15"/>
    </row>
    <row r="4358" spans="3:18">
      <c r="C4358" s="5"/>
      <c r="R4358" s="15"/>
    </row>
    <row r="4359" spans="3:18">
      <c r="C4359" s="5"/>
      <c r="R4359" s="15"/>
    </row>
    <row r="4360" spans="3:18">
      <c r="C4360" s="5"/>
      <c r="R4360" s="15"/>
    </row>
    <row r="4361" spans="3:18">
      <c r="C4361" s="5"/>
      <c r="R4361" s="15"/>
    </row>
    <row r="4362" spans="3:18">
      <c r="C4362" s="5"/>
      <c r="R4362" s="15"/>
    </row>
    <row r="4363" spans="3:18">
      <c r="C4363" s="5"/>
      <c r="R4363" s="15"/>
    </row>
    <row r="4364" spans="3:18">
      <c r="C4364" s="5"/>
      <c r="R4364" s="15"/>
    </row>
    <row r="4365" spans="3:18">
      <c r="C4365" s="5"/>
      <c r="R4365" s="15"/>
    </row>
    <row r="4366" spans="3:18">
      <c r="C4366" s="5"/>
      <c r="R4366" s="15"/>
    </row>
    <row r="4367" spans="3:18">
      <c r="C4367" s="5"/>
      <c r="R4367" s="15"/>
    </row>
    <row r="4368" spans="3:18">
      <c r="C4368" s="5"/>
      <c r="R4368" s="15"/>
    </row>
    <row r="4369" spans="3:18">
      <c r="C4369" s="5"/>
      <c r="R4369" s="15"/>
    </row>
    <row r="4370" spans="3:18">
      <c r="C4370" s="5"/>
      <c r="R4370" s="15"/>
    </row>
    <row r="4371" spans="3:18">
      <c r="C4371" s="5"/>
      <c r="R4371" s="15"/>
    </row>
    <row r="4372" spans="3:18">
      <c r="C4372" s="5"/>
      <c r="R4372" s="15"/>
    </row>
    <row r="4373" spans="3:18">
      <c r="C4373" s="5"/>
      <c r="R4373" s="15"/>
    </row>
    <row r="4374" spans="3:18">
      <c r="C4374" s="5"/>
      <c r="R4374" s="15"/>
    </row>
    <row r="4375" spans="3:18">
      <c r="C4375" s="5"/>
      <c r="R4375" s="15"/>
    </row>
    <row r="4376" spans="3:18">
      <c r="C4376" s="5"/>
      <c r="R4376" s="15"/>
    </row>
    <row r="4377" spans="3:18">
      <c r="C4377" s="5"/>
      <c r="R4377" s="15"/>
    </row>
    <row r="4378" spans="3:18">
      <c r="C4378" s="5"/>
      <c r="R4378" s="15"/>
    </row>
    <row r="4379" spans="3:18">
      <c r="C4379" s="5"/>
      <c r="R4379" s="15"/>
    </row>
    <row r="4380" spans="3:18">
      <c r="C4380" s="5"/>
      <c r="R4380" s="15"/>
    </row>
    <row r="4381" spans="3:18">
      <c r="C4381" s="5"/>
      <c r="R4381" s="15"/>
    </row>
    <row r="4382" spans="3:18">
      <c r="C4382" s="5"/>
      <c r="R4382" s="15"/>
    </row>
    <row r="4383" spans="3:18">
      <c r="C4383" s="5"/>
      <c r="R4383" s="15"/>
    </row>
    <row r="4384" spans="3:18">
      <c r="C4384" s="5"/>
      <c r="R4384" s="15"/>
    </row>
    <row r="4385" spans="3:18">
      <c r="C4385" s="5"/>
      <c r="R4385" s="15"/>
    </row>
    <row r="4386" spans="3:18">
      <c r="C4386" s="5"/>
      <c r="R4386" s="15"/>
    </row>
    <row r="4387" spans="3:18">
      <c r="C4387" s="5"/>
      <c r="R4387" s="15"/>
    </row>
    <row r="4388" spans="3:18">
      <c r="C4388" s="5"/>
      <c r="R4388" s="15"/>
    </row>
    <row r="4389" spans="3:18">
      <c r="C4389" s="5"/>
      <c r="R4389" s="15"/>
    </row>
    <row r="4390" spans="3:18">
      <c r="C4390" s="5"/>
      <c r="R4390" s="15"/>
    </row>
    <row r="4391" spans="3:18">
      <c r="C4391" s="5"/>
      <c r="R4391" s="15"/>
    </row>
    <row r="4392" spans="3:18">
      <c r="C4392" s="5"/>
      <c r="R4392" s="15"/>
    </row>
    <row r="4393" spans="3:18">
      <c r="C4393" s="5"/>
      <c r="R4393" s="15"/>
    </row>
    <row r="4394" spans="3:18">
      <c r="C4394" s="5"/>
      <c r="R4394" s="15"/>
    </row>
    <row r="4395" spans="3:18">
      <c r="C4395" s="5"/>
      <c r="R4395" s="15"/>
    </row>
    <row r="4396" spans="3:18">
      <c r="C4396" s="5"/>
      <c r="R4396" s="15"/>
    </row>
    <row r="4397" spans="3:18">
      <c r="C4397" s="5"/>
      <c r="R4397" s="15"/>
    </row>
    <row r="4398" spans="3:18">
      <c r="C4398" s="5"/>
      <c r="R4398" s="15"/>
    </row>
    <row r="4399" spans="3:18">
      <c r="C4399" s="5"/>
      <c r="R4399" s="15"/>
    </row>
    <row r="4400" spans="3:18">
      <c r="C4400" s="5"/>
      <c r="R4400" s="15"/>
    </row>
    <row r="4401" spans="3:18">
      <c r="C4401" s="5"/>
      <c r="R4401" s="15"/>
    </row>
    <row r="4402" spans="3:18">
      <c r="C4402" s="5"/>
      <c r="R4402" s="15"/>
    </row>
    <row r="4403" spans="3:18">
      <c r="C4403" s="5"/>
      <c r="R4403" s="15"/>
    </row>
    <row r="4404" spans="3:18">
      <c r="C4404" s="5"/>
      <c r="R4404" s="15"/>
    </row>
    <row r="4405" spans="3:18">
      <c r="C4405" s="5"/>
      <c r="R4405" s="15"/>
    </row>
    <row r="4406" spans="3:18">
      <c r="C4406" s="5"/>
      <c r="R4406" s="15"/>
    </row>
    <row r="4407" spans="3:18">
      <c r="C4407" s="5"/>
      <c r="R4407" s="15"/>
    </row>
    <row r="4408" spans="3:18">
      <c r="C4408" s="5"/>
      <c r="R4408" s="15"/>
    </row>
    <row r="4409" spans="3:18">
      <c r="C4409" s="5"/>
      <c r="R4409" s="15"/>
    </row>
    <row r="4410" spans="3:18">
      <c r="C4410" s="5"/>
      <c r="R4410" s="15"/>
    </row>
    <row r="4411" spans="3:18">
      <c r="C4411" s="5"/>
      <c r="R4411" s="15"/>
    </row>
    <row r="4412" spans="3:18">
      <c r="C4412" s="5"/>
      <c r="R4412" s="15"/>
    </row>
    <row r="4413" spans="3:18">
      <c r="C4413" s="5"/>
      <c r="R4413" s="15"/>
    </row>
    <row r="4414" spans="3:18">
      <c r="C4414" s="5"/>
      <c r="R4414" s="15"/>
    </row>
    <row r="4415" spans="3:18">
      <c r="C4415" s="5"/>
      <c r="R4415" s="15"/>
    </row>
    <row r="4416" spans="3:18">
      <c r="C4416" s="5"/>
      <c r="R4416" s="15"/>
    </row>
    <row r="4417" spans="3:18">
      <c r="C4417" s="5"/>
      <c r="R4417" s="15"/>
    </row>
    <row r="4418" spans="3:18">
      <c r="C4418" s="5"/>
      <c r="R4418" s="15"/>
    </row>
    <row r="4419" spans="3:18">
      <c r="C4419" s="5"/>
      <c r="R4419" s="15"/>
    </row>
    <row r="4420" spans="3:18">
      <c r="C4420" s="5"/>
      <c r="R4420" s="15"/>
    </row>
    <row r="4421" spans="3:18">
      <c r="C4421" s="5"/>
      <c r="R4421" s="15"/>
    </row>
    <row r="4422" spans="3:18">
      <c r="C4422" s="5"/>
      <c r="R4422" s="15"/>
    </row>
    <row r="4423" spans="3:18">
      <c r="C4423" s="5"/>
      <c r="R4423" s="15"/>
    </row>
    <row r="4424" spans="3:18">
      <c r="C4424" s="5"/>
      <c r="R4424" s="15"/>
    </row>
    <row r="4425" spans="3:18">
      <c r="C4425" s="5"/>
      <c r="R4425" s="15"/>
    </row>
    <row r="4426" spans="3:18">
      <c r="C4426" s="5"/>
      <c r="R4426" s="15"/>
    </row>
    <row r="4427" spans="3:18">
      <c r="C4427" s="5"/>
      <c r="R4427" s="15"/>
    </row>
    <row r="4428" spans="3:18">
      <c r="C4428" s="5"/>
      <c r="R4428" s="15"/>
    </row>
    <row r="4429" spans="3:18">
      <c r="C4429" s="5"/>
      <c r="R4429" s="15"/>
    </row>
    <row r="4430" spans="3:18">
      <c r="C4430" s="5"/>
      <c r="R4430" s="15"/>
    </row>
    <row r="4431" spans="3:18">
      <c r="C4431" s="5"/>
      <c r="R4431" s="15"/>
    </row>
    <row r="4432" spans="3:18">
      <c r="C4432" s="5"/>
      <c r="R4432" s="15"/>
    </row>
    <row r="4433" spans="3:18">
      <c r="C4433" s="5"/>
      <c r="R4433" s="15"/>
    </row>
    <row r="4434" spans="3:18">
      <c r="C4434" s="5"/>
      <c r="R4434" s="15"/>
    </row>
    <row r="4435" spans="3:18">
      <c r="C4435" s="5"/>
      <c r="R4435" s="15"/>
    </row>
    <row r="4436" spans="3:18">
      <c r="C4436" s="5"/>
      <c r="R4436" s="15"/>
    </row>
    <row r="4437" spans="3:18">
      <c r="C4437" s="5"/>
      <c r="R4437" s="15"/>
    </row>
    <row r="4438" spans="3:18">
      <c r="C4438" s="5"/>
      <c r="R4438" s="15"/>
    </row>
    <row r="4439" spans="3:18">
      <c r="C4439" s="5"/>
      <c r="R4439" s="15"/>
    </row>
    <row r="4440" spans="3:18">
      <c r="C4440" s="5"/>
      <c r="R4440" s="15"/>
    </row>
    <row r="4441" spans="3:18">
      <c r="C4441" s="5"/>
      <c r="R4441" s="15"/>
    </row>
    <row r="4442" spans="3:18">
      <c r="C4442" s="5"/>
      <c r="R4442" s="15"/>
    </row>
    <row r="4443" spans="3:18">
      <c r="C4443" s="5"/>
      <c r="R4443" s="15"/>
    </row>
    <row r="4444" spans="3:18">
      <c r="C4444" s="5"/>
      <c r="R4444" s="15"/>
    </row>
    <row r="4445" spans="3:18">
      <c r="C4445" s="5"/>
      <c r="R4445" s="15"/>
    </row>
    <row r="4446" spans="3:18">
      <c r="C4446" s="5"/>
      <c r="R4446" s="15"/>
    </row>
    <row r="4447" spans="3:18">
      <c r="C4447" s="5"/>
      <c r="R4447" s="15"/>
    </row>
    <row r="4448" spans="3:18">
      <c r="C4448" s="5"/>
      <c r="R4448" s="15"/>
    </row>
    <row r="4449" spans="3:18">
      <c r="C4449" s="5"/>
      <c r="R4449" s="15"/>
    </row>
    <row r="4450" spans="3:18">
      <c r="C4450" s="5"/>
      <c r="R4450" s="15"/>
    </row>
    <row r="4451" spans="3:18">
      <c r="C4451" s="5"/>
      <c r="R4451" s="15"/>
    </row>
    <row r="4452" spans="3:18">
      <c r="C4452" s="5"/>
      <c r="R4452" s="15"/>
    </row>
    <row r="4453" spans="3:18">
      <c r="C4453" s="5"/>
      <c r="R4453" s="15"/>
    </row>
    <row r="4454" spans="3:18">
      <c r="C4454" s="5"/>
      <c r="R4454" s="15"/>
    </row>
    <row r="4455" spans="3:18">
      <c r="C4455" s="5"/>
      <c r="R4455" s="15"/>
    </row>
    <row r="4456" spans="3:18">
      <c r="C4456" s="5"/>
      <c r="R4456" s="15"/>
    </row>
    <row r="4457" spans="3:18">
      <c r="C4457" s="5"/>
      <c r="R4457" s="15"/>
    </row>
    <row r="4458" spans="3:18">
      <c r="C4458" s="5"/>
      <c r="R4458" s="15"/>
    </row>
    <row r="4459" spans="3:18">
      <c r="C4459" s="5"/>
      <c r="R4459" s="15"/>
    </row>
    <row r="4460" spans="3:18">
      <c r="C4460" s="5"/>
      <c r="R4460" s="15"/>
    </row>
    <row r="4461" spans="3:18">
      <c r="C4461" s="5"/>
      <c r="R4461" s="15"/>
    </row>
    <row r="4462" spans="3:18">
      <c r="C4462" s="5"/>
      <c r="R4462" s="15"/>
    </row>
    <row r="4463" spans="3:18">
      <c r="C4463" s="5"/>
      <c r="R4463" s="15"/>
    </row>
    <row r="4464" spans="3:18">
      <c r="C4464" s="5"/>
      <c r="R4464" s="15"/>
    </row>
    <row r="4465" spans="3:18">
      <c r="C4465" s="5"/>
      <c r="R4465" s="15"/>
    </row>
    <row r="4466" spans="3:18">
      <c r="C4466" s="5"/>
      <c r="R4466" s="15"/>
    </row>
    <row r="4467" spans="3:18">
      <c r="C4467" s="5"/>
      <c r="R4467" s="15"/>
    </row>
    <row r="4468" spans="3:18">
      <c r="C4468" s="5"/>
      <c r="R4468" s="15"/>
    </row>
    <row r="4469" spans="3:18">
      <c r="C4469" s="5"/>
      <c r="R4469" s="15"/>
    </row>
    <row r="4470" spans="3:18">
      <c r="C4470" s="5"/>
      <c r="R4470" s="15"/>
    </row>
    <row r="4471" spans="3:18">
      <c r="C4471" s="5"/>
      <c r="R4471" s="15"/>
    </row>
    <row r="4472" spans="3:18">
      <c r="C4472" s="5"/>
      <c r="R4472" s="15"/>
    </row>
    <row r="4473" spans="3:18">
      <c r="C4473" s="5"/>
      <c r="R4473" s="15"/>
    </row>
    <row r="4474" spans="3:18">
      <c r="C4474" s="5"/>
      <c r="R4474" s="15"/>
    </row>
    <row r="4475" spans="3:18">
      <c r="C4475" s="5"/>
      <c r="R4475" s="15"/>
    </row>
    <row r="4476" spans="3:18">
      <c r="C4476" s="5"/>
      <c r="R4476" s="15"/>
    </row>
    <row r="4477" spans="3:18">
      <c r="C4477" s="5"/>
      <c r="R4477" s="15"/>
    </row>
    <row r="4478" spans="3:18">
      <c r="C4478" s="5"/>
      <c r="R4478" s="15"/>
    </row>
    <row r="4479" spans="3:18">
      <c r="C4479" s="5"/>
      <c r="R4479" s="15"/>
    </row>
    <row r="4480" spans="3:18">
      <c r="C4480" s="5"/>
      <c r="R4480" s="15"/>
    </row>
    <row r="4481" spans="3:18">
      <c r="C4481" s="5"/>
      <c r="R4481" s="15"/>
    </row>
    <row r="4482" spans="3:18">
      <c r="C4482" s="5"/>
      <c r="R4482" s="15"/>
    </row>
    <row r="4483" spans="3:18">
      <c r="C4483" s="5"/>
      <c r="R4483" s="15"/>
    </row>
    <row r="4484" spans="3:18">
      <c r="C4484" s="5"/>
      <c r="R4484" s="15"/>
    </row>
    <row r="4485" spans="3:18">
      <c r="C4485" s="5"/>
      <c r="R4485" s="15"/>
    </row>
    <row r="4486" spans="3:18">
      <c r="C4486" s="5"/>
      <c r="R4486" s="15"/>
    </row>
    <row r="4487" spans="3:18">
      <c r="C4487" s="5"/>
      <c r="R4487" s="15"/>
    </row>
    <row r="4488" spans="3:18">
      <c r="C4488" s="5"/>
      <c r="R4488" s="15"/>
    </row>
    <row r="4489" spans="3:18">
      <c r="C4489" s="5"/>
      <c r="R4489" s="15"/>
    </row>
    <row r="4490" spans="3:18">
      <c r="C4490" s="5"/>
      <c r="R4490" s="15"/>
    </row>
    <row r="4491" spans="3:18">
      <c r="C4491" s="5"/>
      <c r="R4491" s="15"/>
    </row>
    <row r="4492" spans="3:18">
      <c r="C4492" s="5"/>
      <c r="R4492" s="15"/>
    </row>
    <row r="4493" spans="3:18">
      <c r="C4493" s="5"/>
      <c r="R4493" s="15"/>
    </row>
    <row r="4494" spans="3:18">
      <c r="C4494" s="5"/>
      <c r="R4494" s="15"/>
    </row>
    <row r="4495" spans="3:18">
      <c r="C4495" s="5"/>
      <c r="R4495" s="15"/>
    </row>
    <row r="4496" spans="3:18">
      <c r="C4496" s="5"/>
      <c r="R4496" s="15"/>
    </row>
    <row r="4497" spans="3:18">
      <c r="C4497" s="5"/>
      <c r="R4497" s="15"/>
    </row>
    <row r="4498" spans="3:18">
      <c r="C4498" s="5"/>
      <c r="R4498" s="15"/>
    </row>
    <row r="4499" spans="3:18">
      <c r="C4499" s="5"/>
      <c r="R4499" s="15"/>
    </row>
    <row r="4500" spans="3:18">
      <c r="C4500" s="5"/>
      <c r="R4500" s="15"/>
    </row>
    <row r="4501" spans="3:18">
      <c r="C4501" s="5"/>
      <c r="R4501" s="15"/>
    </row>
    <row r="4502" spans="3:18">
      <c r="C4502" s="5"/>
      <c r="R4502" s="15"/>
    </row>
    <row r="4503" spans="3:18">
      <c r="C4503" s="5"/>
      <c r="R4503" s="15"/>
    </row>
    <row r="4504" spans="3:18">
      <c r="C4504" s="5"/>
      <c r="R4504" s="15"/>
    </row>
    <row r="4505" spans="3:18">
      <c r="C4505" s="5"/>
      <c r="R4505" s="15"/>
    </row>
    <row r="4506" spans="3:18">
      <c r="C4506" s="5"/>
      <c r="R4506" s="15"/>
    </row>
    <row r="4507" spans="3:18">
      <c r="C4507" s="5"/>
      <c r="R4507" s="15"/>
    </row>
    <row r="4508" spans="3:18">
      <c r="C4508" s="5"/>
      <c r="R4508" s="15"/>
    </row>
    <row r="4509" spans="3:18">
      <c r="C4509" s="5"/>
      <c r="R4509" s="15"/>
    </row>
    <row r="4510" spans="3:18">
      <c r="C4510" s="5"/>
      <c r="R4510" s="15"/>
    </row>
    <row r="4511" spans="3:18">
      <c r="C4511" s="5"/>
      <c r="R4511" s="15"/>
    </row>
    <row r="4512" spans="3:18">
      <c r="C4512" s="5"/>
      <c r="R4512" s="15"/>
    </row>
    <row r="4513" spans="3:18">
      <c r="C4513" s="5"/>
      <c r="R4513" s="15"/>
    </row>
    <row r="4514" spans="3:18">
      <c r="C4514" s="5"/>
      <c r="R4514" s="15"/>
    </row>
    <row r="4515" spans="3:18">
      <c r="C4515" s="5"/>
      <c r="R4515" s="15"/>
    </row>
    <row r="4516" spans="3:18">
      <c r="C4516" s="5"/>
      <c r="R4516" s="15"/>
    </row>
    <row r="4517" spans="3:18">
      <c r="C4517" s="5"/>
      <c r="R4517" s="15"/>
    </row>
    <row r="4518" spans="3:18">
      <c r="C4518" s="5"/>
      <c r="R4518" s="15"/>
    </row>
    <row r="4519" spans="3:18">
      <c r="C4519" s="5"/>
      <c r="R4519" s="15"/>
    </row>
    <row r="4520" spans="3:18">
      <c r="C4520" s="5"/>
      <c r="R4520" s="15"/>
    </row>
    <row r="4521" spans="3:18">
      <c r="C4521" s="5"/>
      <c r="R4521" s="15"/>
    </row>
    <row r="4522" spans="3:18">
      <c r="C4522" s="5"/>
      <c r="R4522" s="15"/>
    </row>
    <row r="4523" spans="3:18">
      <c r="C4523" s="5"/>
      <c r="R4523" s="15"/>
    </row>
    <row r="4524" spans="3:18">
      <c r="C4524" s="5"/>
      <c r="R4524" s="15"/>
    </row>
    <row r="4525" spans="3:18">
      <c r="C4525" s="5"/>
      <c r="R4525" s="15"/>
    </row>
    <row r="4526" spans="3:18">
      <c r="C4526" s="5"/>
      <c r="R4526" s="15"/>
    </row>
    <row r="4527" spans="3:18">
      <c r="C4527" s="5"/>
      <c r="R4527" s="15"/>
    </row>
    <row r="4528" spans="3:18">
      <c r="C4528" s="5"/>
      <c r="R4528" s="15"/>
    </row>
    <row r="4529" spans="3:18">
      <c r="C4529" s="5"/>
      <c r="R4529" s="15"/>
    </row>
    <row r="4530" spans="3:18">
      <c r="C4530" s="5"/>
      <c r="R4530" s="15"/>
    </row>
    <row r="4531" spans="3:18">
      <c r="C4531" s="5"/>
      <c r="R4531" s="15"/>
    </row>
    <row r="4532" spans="3:18">
      <c r="C4532" s="5"/>
      <c r="R4532" s="15"/>
    </row>
    <row r="4533" spans="3:18">
      <c r="C4533" s="5"/>
      <c r="R4533" s="15"/>
    </row>
    <row r="4534" spans="3:18">
      <c r="C4534" s="5"/>
      <c r="R4534" s="15"/>
    </row>
    <row r="4535" spans="3:18">
      <c r="C4535" s="5"/>
      <c r="R4535" s="15"/>
    </row>
    <row r="4536" spans="3:18">
      <c r="C4536" s="5"/>
      <c r="R4536" s="15"/>
    </row>
    <row r="4537" spans="3:18">
      <c r="C4537" s="5"/>
      <c r="R4537" s="15"/>
    </row>
    <row r="4538" spans="3:18">
      <c r="C4538" s="5"/>
      <c r="R4538" s="15"/>
    </row>
    <row r="4539" spans="3:18">
      <c r="C4539" s="5"/>
      <c r="R4539" s="15"/>
    </row>
    <row r="4540" spans="3:18">
      <c r="C4540" s="5"/>
      <c r="R4540" s="15"/>
    </row>
    <row r="4541" spans="3:18">
      <c r="C4541" s="5"/>
      <c r="R4541" s="15"/>
    </row>
    <row r="4542" spans="3:18">
      <c r="C4542" s="5"/>
      <c r="R4542" s="15"/>
    </row>
    <row r="4543" spans="3:18">
      <c r="C4543" s="5"/>
      <c r="R4543" s="15"/>
    </row>
    <row r="4544" spans="3:18">
      <c r="C4544" s="5"/>
      <c r="R4544" s="15"/>
    </row>
    <row r="4545" spans="3:18">
      <c r="C4545" s="5"/>
      <c r="R4545" s="15"/>
    </row>
    <row r="4546" spans="3:18">
      <c r="C4546" s="5"/>
      <c r="R4546" s="15"/>
    </row>
    <row r="4547" spans="3:18">
      <c r="C4547" s="5"/>
      <c r="R4547" s="15"/>
    </row>
    <row r="4548" spans="3:18">
      <c r="C4548" s="5"/>
      <c r="R4548" s="15"/>
    </row>
    <row r="4549" spans="3:18">
      <c r="C4549" s="5"/>
      <c r="R4549" s="15"/>
    </row>
    <row r="4550" spans="3:18">
      <c r="C4550" s="5"/>
      <c r="R4550" s="15"/>
    </row>
    <row r="4551" spans="3:18">
      <c r="C4551" s="5"/>
      <c r="R4551" s="15"/>
    </row>
    <row r="4552" spans="3:18">
      <c r="C4552" s="5"/>
      <c r="R4552" s="15"/>
    </row>
    <row r="4553" spans="3:18">
      <c r="C4553" s="5"/>
      <c r="R4553" s="15"/>
    </row>
    <row r="4554" spans="3:18">
      <c r="C4554" s="5"/>
      <c r="R4554" s="15"/>
    </row>
    <row r="4555" spans="3:18">
      <c r="C4555" s="5"/>
      <c r="R4555" s="15"/>
    </row>
    <row r="4556" spans="3:18">
      <c r="C4556" s="5"/>
      <c r="R4556" s="15"/>
    </row>
    <row r="4557" spans="3:18">
      <c r="C4557" s="5"/>
      <c r="R4557" s="15"/>
    </row>
    <row r="4558" spans="3:18">
      <c r="C4558" s="5"/>
      <c r="R4558" s="15"/>
    </row>
    <row r="4559" spans="3:18">
      <c r="C4559" s="5"/>
      <c r="R4559" s="15"/>
    </row>
    <row r="4560" spans="3:18">
      <c r="C4560" s="5"/>
      <c r="R4560" s="15"/>
    </row>
    <row r="4561" spans="3:18">
      <c r="C4561" s="5"/>
      <c r="R4561" s="15"/>
    </row>
    <row r="4562" spans="3:18">
      <c r="C4562" s="5"/>
      <c r="R4562" s="15"/>
    </row>
    <row r="4563" spans="3:18">
      <c r="C4563" s="5"/>
      <c r="R4563" s="15"/>
    </row>
    <row r="4564" spans="3:18">
      <c r="C4564" s="5"/>
      <c r="R4564" s="15"/>
    </row>
    <row r="4565" spans="3:18">
      <c r="C4565" s="5"/>
      <c r="R4565" s="15"/>
    </row>
    <row r="4566" spans="3:18">
      <c r="C4566" s="5"/>
      <c r="R4566" s="15"/>
    </row>
    <row r="4567" spans="3:18">
      <c r="C4567" s="5"/>
      <c r="R4567" s="15"/>
    </row>
    <row r="4568" spans="3:18">
      <c r="C4568" s="5"/>
      <c r="R4568" s="15"/>
    </row>
    <row r="4569" spans="3:18">
      <c r="C4569" s="5"/>
      <c r="R4569" s="15"/>
    </row>
    <row r="4570" spans="3:18">
      <c r="C4570" s="5"/>
      <c r="R4570" s="15"/>
    </row>
    <row r="4571" spans="3:18">
      <c r="C4571" s="5"/>
      <c r="R4571" s="15"/>
    </row>
    <row r="4572" spans="3:18">
      <c r="C4572" s="5"/>
      <c r="R4572" s="15"/>
    </row>
    <row r="4573" spans="3:18">
      <c r="C4573" s="5"/>
      <c r="R4573" s="15"/>
    </row>
    <row r="4574" spans="3:18">
      <c r="C4574" s="5"/>
      <c r="R4574" s="15"/>
    </row>
    <row r="4575" spans="3:18">
      <c r="C4575" s="5"/>
      <c r="R4575" s="15"/>
    </row>
    <row r="4576" spans="3:18">
      <c r="C4576" s="5"/>
      <c r="R4576" s="15"/>
    </row>
    <row r="4577" spans="3:18">
      <c r="C4577" s="5"/>
      <c r="R4577" s="15"/>
    </row>
    <row r="4578" spans="3:18">
      <c r="C4578" s="5"/>
      <c r="R4578" s="15"/>
    </row>
    <row r="4579" spans="3:18">
      <c r="C4579" s="5"/>
      <c r="R4579" s="15"/>
    </row>
    <row r="4580" spans="3:18">
      <c r="C4580" s="5"/>
      <c r="R4580" s="15"/>
    </row>
    <row r="4581" spans="3:18">
      <c r="C4581" s="5"/>
      <c r="R4581" s="15"/>
    </row>
    <row r="4582" spans="3:18">
      <c r="C4582" s="5"/>
      <c r="R4582" s="15"/>
    </row>
    <row r="4583" spans="3:18">
      <c r="C4583" s="5"/>
      <c r="R4583" s="15"/>
    </row>
    <row r="4584" spans="3:18">
      <c r="C4584" s="5"/>
      <c r="R4584" s="15"/>
    </row>
    <row r="4585" spans="3:18">
      <c r="C4585" s="5"/>
      <c r="R4585" s="15"/>
    </row>
    <row r="4586" spans="3:18">
      <c r="C4586" s="5"/>
      <c r="R4586" s="15"/>
    </row>
    <row r="4587" spans="3:18">
      <c r="C4587" s="5"/>
      <c r="R4587" s="15"/>
    </row>
    <row r="4588" spans="3:18">
      <c r="C4588" s="5"/>
      <c r="R4588" s="15"/>
    </row>
    <row r="4589" spans="3:18">
      <c r="C4589" s="5"/>
      <c r="R4589" s="15"/>
    </row>
    <row r="4590" spans="3:18">
      <c r="C4590" s="5"/>
      <c r="R4590" s="15"/>
    </row>
    <row r="4591" spans="3:18">
      <c r="C4591" s="5"/>
      <c r="R4591" s="15"/>
    </row>
    <row r="4592" spans="3:18">
      <c r="C4592" s="5"/>
      <c r="R4592" s="15"/>
    </row>
    <row r="4593" spans="3:18">
      <c r="C4593" s="5"/>
      <c r="R4593" s="15"/>
    </row>
    <row r="4594" spans="3:18">
      <c r="C4594" s="5"/>
      <c r="R4594" s="15"/>
    </row>
    <row r="4595" spans="3:18">
      <c r="C4595" s="5"/>
      <c r="R4595" s="15"/>
    </row>
    <row r="4596" spans="3:18">
      <c r="C4596" s="5"/>
      <c r="R4596" s="15"/>
    </row>
    <row r="4597" spans="3:18">
      <c r="C4597" s="5"/>
      <c r="R4597" s="15"/>
    </row>
    <row r="4598" spans="3:18">
      <c r="C4598" s="5"/>
      <c r="R4598" s="15"/>
    </row>
    <row r="4599" spans="3:18">
      <c r="C4599" s="5"/>
      <c r="R4599" s="15"/>
    </row>
    <row r="4600" spans="3:18">
      <c r="C4600" s="5"/>
      <c r="R4600" s="15"/>
    </row>
    <row r="4601" spans="3:18">
      <c r="C4601" s="5"/>
      <c r="R4601" s="15"/>
    </row>
    <row r="4602" spans="3:18">
      <c r="C4602" s="5"/>
      <c r="R4602" s="15"/>
    </row>
    <row r="4603" spans="3:18">
      <c r="C4603" s="5"/>
      <c r="R4603" s="15"/>
    </row>
    <row r="4604" spans="3:18">
      <c r="C4604" s="5"/>
      <c r="R4604" s="15"/>
    </row>
    <row r="4605" spans="3:18">
      <c r="C4605" s="5"/>
      <c r="R4605" s="15"/>
    </row>
    <row r="4606" spans="3:18">
      <c r="C4606" s="5"/>
      <c r="R4606" s="15"/>
    </row>
    <row r="4607" spans="3:18">
      <c r="C4607" s="5"/>
      <c r="R4607" s="15"/>
    </row>
    <row r="4608" spans="3:18">
      <c r="C4608" s="5"/>
      <c r="R4608" s="15"/>
    </row>
    <row r="4609" spans="3:18">
      <c r="C4609" s="5"/>
      <c r="R4609" s="15"/>
    </row>
    <row r="4610" spans="3:18">
      <c r="C4610" s="5"/>
      <c r="R4610" s="15"/>
    </row>
    <row r="4611" spans="3:18">
      <c r="C4611" s="5"/>
      <c r="R4611" s="15"/>
    </row>
    <row r="4612" spans="3:18">
      <c r="C4612" s="5"/>
      <c r="R4612" s="15"/>
    </row>
    <row r="4613" spans="3:18">
      <c r="C4613" s="5"/>
      <c r="R4613" s="15"/>
    </row>
    <row r="4614" spans="3:18">
      <c r="C4614" s="5"/>
      <c r="R4614" s="15"/>
    </row>
    <row r="4615" spans="3:18">
      <c r="C4615" s="5"/>
      <c r="R4615" s="15"/>
    </row>
    <row r="4616" spans="3:18">
      <c r="C4616" s="5"/>
      <c r="R4616" s="15"/>
    </row>
    <row r="4617" spans="3:18">
      <c r="C4617" s="5"/>
      <c r="R4617" s="15"/>
    </row>
    <row r="4618" spans="3:18">
      <c r="C4618" s="5"/>
      <c r="R4618" s="15"/>
    </row>
    <row r="4619" spans="3:18">
      <c r="C4619" s="5"/>
      <c r="R4619" s="15"/>
    </row>
    <row r="4620" spans="3:18">
      <c r="C4620" s="5"/>
      <c r="R4620" s="15"/>
    </row>
    <row r="4621" spans="3:18">
      <c r="C4621" s="5"/>
      <c r="R4621" s="15"/>
    </row>
    <row r="4622" spans="3:18">
      <c r="C4622" s="5"/>
      <c r="R4622" s="15"/>
    </row>
    <row r="4623" spans="3:18">
      <c r="C4623" s="5"/>
      <c r="R4623" s="15"/>
    </row>
    <row r="4624" spans="3:18">
      <c r="C4624" s="5"/>
      <c r="R4624" s="15"/>
    </row>
    <row r="4625" spans="3:18">
      <c r="C4625" s="5"/>
      <c r="R4625" s="15"/>
    </row>
    <row r="4626" spans="3:18">
      <c r="C4626" s="5"/>
      <c r="R4626" s="15"/>
    </row>
    <row r="4627" spans="3:18">
      <c r="C4627" s="5"/>
      <c r="R4627" s="15"/>
    </row>
    <row r="4628" spans="3:18">
      <c r="C4628" s="5"/>
      <c r="R4628" s="15"/>
    </row>
    <row r="4629" spans="3:18">
      <c r="C4629" s="5"/>
      <c r="R4629" s="15"/>
    </row>
    <row r="4630" spans="3:18">
      <c r="C4630" s="5"/>
      <c r="R4630" s="15"/>
    </row>
    <row r="4631" spans="3:18">
      <c r="C4631" s="5"/>
      <c r="R4631" s="15"/>
    </row>
    <row r="4632" spans="3:18">
      <c r="C4632" s="5"/>
      <c r="R4632" s="15"/>
    </row>
    <row r="4633" spans="3:18">
      <c r="C4633" s="5"/>
      <c r="R4633" s="15"/>
    </row>
    <row r="4634" spans="3:18">
      <c r="C4634" s="5"/>
      <c r="R4634" s="15"/>
    </row>
    <row r="4635" spans="3:18">
      <c r="C4635" s="5"/>
      <c r="R4635" s="15"/>
    </row>
    <row r="4636" spans="3:18">
      <c r="C4636" s="5"/>
      <c r="R4636" s="15"/>
    </row>
    <row r="4637" spans="3:18">
      <c r="C4637" s="5"/>
      <c r="R4637" s="15"/>
    </row>
    <row r="4638" spans="3:18">
      <c r="C4638" s="5"/>
      <c r="R4638" s="15"/>
    </row>
    <row r="4639" spans="3:18">
      <c r="C4639" s="5"/>
      <c r="R4639" s="15"/>
    </row>
    <row r="4640" spans="3:18">
      <c r="C4640" s="5"/>
      <c r="R4640" s="15"/>
    </row>
    <row r="4641" spans="3:18">
      <c r="C4641" s="5"/>
      <c r="R4641" s="15"/>
    </row>
    <row r="4642" spans="3:18">
      <c r="C4642" s="5"/>
      <c r="R4642" s="15"/>
    </row>
    <row r="4643" spans="3:18">
      <c r="C4643" s="5"/>
      <c r="R4643" s="15"/>
    </row>
    <row r="4644" spans="3:18">
      <c r="C4644" s="5"/>
      <c r="R4644" s="15"/>
    </row>
    <row r="4645" spans="3:18">
      <c r="C4645" s="5"/>
      <c r="R4645" s="15"/>
    </row>
    <row r="4646" spans="3:18">
      <c r="C4646" s="5"/>
      <c r="R4646" s="15"/>
    </row>
    <row r="4647" spans="3:18">
      <c r="C4647" s="5"/>
      <c r="R4647" s="15"/>
    </row>
    <row r="4648" spans="3:18">
      <c r="C4648" s="5"/>
      <c r="R4648" s="15"/>
    </row>
    <row r="4649" spans="3:18">
      <c r="C4649" s="5"/>
      <c r="R4649" s="15"/>
    </row>
    <row r="4650" spans="3:18">
      <c r="C4650" s="5"/>
      <c r="R4650" s="15"/>
    </row>
    <row r="4651" spans="3:18">
      <c r="C4651" s="5"/>
      <c r="R4651" s="15"/>
    </row>
    <row r="4652" spans="3:18">
      <c r="C4652" s="5"/>
      <c r="R4652" s="15"/>
    </row>
    <row r="4653" spans="3:18">
      <c r="C4653" s="5"/>
      <c r="R4653" s="15"/>
    </row>
    <row r="4654" spans="3:18">
      <c r="C4654" s="5"/>
      <c r="R4654" s="15"/>
    </row>
    <row r="4655" spans="3:18">
      <c r="C4655" s="5"/>
      <c r="R4655" s="15"/>
    </row>
    <row r="4656" spans="3:18">
      <c r="C4656" s="5"/>
      <c r="R4656" s="15"/>
    </row>
    <row r="4657" spans="3:18">
      <c r="C4657" s="5"/>
      <c r="R4657" s="15"/>
    </row>
    <row r="4658" spans="3:18">
      <c r="C4658" s="5"/>
      <c r="R4658" s="15"/>
    </row>
    <row r="4659" spans="3:18">
      <c r="C4659" s="5"/>
      <c r="R4659" s="15"/>
    </row>
    <row r="4660" spans="3:18">
      <c r="C4660" s="5"/>
      <c r="R4660" s="15"/>
    </row>
    <row r="4661" spans="3:18">
      <c r="C4661" s="5"/>
      <c r="R4661" s="15"/>
    </row>
    <row r="4662" spans="3:18">
      <c r="C4662" s="5"/>
      <c r="R4662" s="15"/>
    </row>
    <row r="4663" spans="3:18">
      <c r="C4663" s="5"/>
      <c r="R4663" s="15"/>
    </row>
    <row r="4664" spans="3:18">
      <c r="C4664" s="5"/>
      <c r="R4664" s="15"/>
    </row>
    <row r="4665" spans="3:18">
      <c r="C4665" s="5"/>
      <c r="R4665" s="15"/>
    </row>
    <row r="4666" spans="3:18">
      <c r="C4666" s="5"/>
      <c r="R4666" s="15"/>
    </row>
    <row r="4667" spans="3:18">
      <c r="C4667" s="5"/>
      <c r="R4667" s="15"/>
    </row>
    <row r="4668" spans="3:18">
      <c r="C4668" s="5"/>
      <c r="R4668" s="15"/>
    </row>
    <row r="4669" spans="3:18">
      <c r="C4669" s="5"/>
      <c r="R4669" s="15"/>
    </row>
    <row r="4670" spans="3:18">
      <c r="C4670" s="5"/>
      <c r="R4670" s="15"/>
    </row>
    <row r="4671" spans="3:18">
      <c r="C4671" s="5"/>
      <c r="R4671" s="15"/>
    </row>
    <row r="4672" spans="3:18">
      <c r="C4672" s="5"/>
      <c r="R4672" s="15"/>
    </row>
    <row r="4673" spans="3:18">
      <c r="C4673" s="5"/>
      <c r="R4673" s="15"/>
    </row>
    <row r="4674" spans="3:18">
      <c r="C4674" s="5"/>
      <c r="R4674" s="15"/>
    </row>
    <row r="4675" spans="3:18">
      <c r="C4675" s="5"/>
      <c r="R4675" s="15"/>
    </row>
    <row r="4676" spans="3:18">
      <c r="C4676" s="5"/>
      <c r="R4676" s="15"/>
    </row>
    <row r="4677" spans="3:18">
      <c r="C4677" s="5"/>
      <c r="R4677" s="15"/>
    </row>
    <row r="4678" spans="3:18">
      <c r="C4678" s="5"/>
      <c r="R4678" s="15"/>
    </row>
    <row r="4679" spans="3:18">
      <c r="C4679" s="5"/>
      <c r="R4679" s="15"/>
    </row>
    <row r="4680" spans="3:18">
      <c r="C4680" s="5"/>
      <c r="R4680" s="15"/>
    </row>
    <row r="4681" spans="3:18">
      <c r="C4681" s="5"/>
      <c r="R4681" s="15"/>
    </row>
    <row r="4682" spans="3:18">
      <c r="C4682" s="5"/>
      <c r="R4682" s="15"/>
    </row>
    <row r="4683" spans="3:18">
      <c r="C4683" s="5"/>
      <c r="R4683" s="15"/>
    </row>
    <row r="4684" spans="3:18">
      <c r="C4684" s="5"/>
      <c r="R4684" s="15"/>
    </row>
    <row r="4685" spans="3:18">
      <c r="C4685" s="5"/>
      <c r="R4685" s="15"/>
    </row>
    <row r="4686" spans="3:18">
      <c r="C4686" s="5"/>
      <c r="R4686" s="15"/>
    </row>
    <row r="4687" spans="3:18">
      <c r="C4687" s="5"/>
      <c r="R4687" s="15"/>
    </row>
    <row r="4688" spans="3:18">
      <c r="C4688" s="5"/>
      <c r="R4688" s="15"/>
    </row>
    <row r="4689" spans="3:18">
      <c r="C4689" s="5"/>
      <c r="R4689" s="15"/>
    </row>
    <row r="4690" spans="3:18">
      <c r="C4690" s="5"/>
      <c r="R4690" s="15"/>
    </row>
    <row r="4691" spans="3:18">
      <c r="C4691" s="5"/>
      <c r="R4691" s="15"/>
    </row>
    <row r="4692" spans="3:18">
      <c r="C4692" s="5"/>
      <c r="R4692" s="15"/>
    </row>
    <row r="4693" spans="3:18">
      <c r="C4693" s="5"/>
      <c r="R4693" s="15"/>
    </row>
    <row r="4694" spans="3:18">
      <c r="C4694" s="5"/>
      <c r="R4694" s="15"/>
    </row>
    <row r="4695" spans="3:18">
      <c r="C4695" s="5"/>
      <c r="R4695" s="15"/>
    </row>
    <row r="4696" spans="3:18">
      <c r="C4696" s="5"/>
      <c r="R4696" s="15"/>
    </row>
    <row r="4697" spans="3:18">
      <c r="C4697" s="5"/>
      <c r="R4697" s="15"/>
    </row>
    <row r="4698" spans="3:18">
      <c r="C4698" s="5"/>
      <c r="R4698" s="15"/>
    </row>
    <row r="4699" spans="3:18">
      <c r="C4699" s="5"/>
      <c r="R4699" s="15"/>
    </row>
    <row r="4700" spans="3:18">
      <c r="C4700" s="5"/>
      <c r="R4700" s="15"/>
    </row>
    <row r="4701" spans="3:18">
      <c r="C4701" s="5"/>
      <c r="R4701" s="15"/>
    </row>
    <row r="4702" spans="3:18">
      <c r="C4702" s="5"/>
      <c r="R4702" s="15"/>
    </row>
    <row r="4703" spans="3:18">
      <c r="C4703" s="5"/>
      <c r="R4703" s="15"/>
    </row>
    <row r="4704" spans="3:18">
      <c r="C4704" s="5"/>
      <c r="R4704" s="15"/>
    </row>
    <row r="4705" spans="3:18">
      <c r="C4705" s="5"/>
      <c r="R4705" s="15"/>
    </row>
    <row r="4706" spans="3:18">
      <c r="C4706" s="5"/>
      <c r="R4706" s="15"/>
    </row>
    <row r="4707" spans="3:18">
      <c r="C4707" s="5"/>
      <c r="R4707" s="15"/>
    </row>
    <row r="4708" spans="3:18">
      <c r="C4708" s="5"/>
      <c r="R4708" s="15"/>
    </row>
    <row r="4709" spans="3:18">
      <c r="C4709" s="5"/>
      <c r="R4709" s="15"/>
    </row>
    <row r="4710" spans="3:18">
      <c r="C4710" s="5"/>
      <c r="R4710" s="15"/>
    </row>
    <row r="4711" spans="3:18">
      <c r="C4711" s="5"/>
      <c r="R4711" s="15"/>
    </row>
    <row r="4712" spans="3:18">
      <c r="C4712" s="5"/>
      <c r="R4712" s="15"/>
    </row>
    <row r="4713" spans="3:18">
      <c r="C4713" s="5"/>
      <c r="R4713" s="15"/>
    </row>
    <row r="4714" spans="3:18">
      <c r="C4714" s="5"/>
      <c r="R4714" s="15"/>
    </row>
    <row r="4715" spans="3:18">
      <c r="C4715" s="5"/>
      <c r="R4715" s="15"/>
    </row>
    <row r="4716" spans="3:18">
      <c r="C4716" s="5"/>
      <c r="R4716" s="15"/>
    </row>
    <row r="4717" spans="3:18">
      <c r="C4717" s="5"/>
      <c r="R4717" s="15"/>
    </row>
    <row r="4718" spans="3:18">
      <c r="C4718" s="5"/>
      <c r="R4718" s="15"/>
    </row>
    <row r="4719" spans="3:18">
      <c r="C4719" s="5"/>
      <c r="R4719" s="15"/>
    </row>
    <row r="4720" spans="3:18">
      <c r="C4720" s="5"/>
      <c r="R4720" s="15"/>
    </row>
    <row r="4721" spans="3:18">
      <c r="C4721" s="5"/>
      <c r="R4721" s="15"/>
    </row>
    <row r="4722" spans="3:18">
      <c r="C4722" s="5"/>
      <c r="R4722" s="15"/>
    </row>
    <row r="4723" spans="3:18">
      <c r="C4723" s="5"/>
      <c r="R4723" s="15"/>
    </row>
    <row r="4724" spans="3:18">
      <c r="C4724" s="5"/>
      <c r="R4724" s="15"/>
    </row>
    <row r="4725" spans="3:18">
      <c r="C4725" s="5"/>
      <c r="R4725" s="15"/>
    </row>
    <row r="4726" spans="3:18">
      <c r="C4726" s="5"/>
      <c r="R4726" s="15"/>
    </row>
    <row r="4727" spans="3:18">
      <c r="C4727" s="5"/>
      <c r="R4727" s="15"/>
    </row>
    <row r="4728" spans="3:18">
      <c r="C4728" s="5"/>
      <c r="R4728" s="15"/>
    </row>
    <row r="4729" spans="3:18">
      <c r="C4729" s="5"/>
      <c r="R4729" s="15"/>
    </row>
    <row r="4730" spans="3:18">
      <c r="C4730" s="5"/>
      <c r="R4730" s="15"/>
    </row>
    <row r="4731" spans="3:18">
      <c r="C4731" s="5"/>
      <c r="R4731" s="15"/>
    </row>
    <row r="4732" spans="3:18">
      <c r="C4732" s="5"/>
      <c r="R4732" s="15"/>
    </row>
    <row r="4733" spans="3:18">
      <c r="C4733" s="5"/>
      <c r="R4733" s="15"/>
    </row>
    <row r="4734" spans="3:18">
      <c r="C4734" s="5"/>
      <c r="R4734" s="15"/>
    </row>
    <row r="4735" spans="3:18">
      <c r="C4735" s="5"/>
      <c r="R4735" s="15"/>
    </row>
    <row r="4736" spans="3:18">
      <c r="C4736" s="5"/>
      <c r="R4736" s="15"/>
    </row>
    <row r="4737" spans="3:18">
      <c r="C4737" s="5"/>
      <c r="R4737" s="15"/>
    </row>
    <row r="4738" spans="3:18">
      <c r="C4738" s="5"/>
      <c r="R4738" s="15"/>
    </row>
    <row r="4739" spans="3:18">
      <c r="C4739" s="5"/>
      <c r="R4739" s="15"/>
    </row>
    <row r="4740" spans="3:18">
      <c r="C4740" s="5"/>
      <c r="R4740" s="15"/>
    </row>
    <row r="4741" spans="3:18">
      <c r="C4741" s="5"/>
      <c r="R4741" s="15"/>
    </row>
    <row r="4742" spans="3:18">
      <c r="C4742" s="5"/>
      <c r="R4742" s="15"/>
    </row>
    <row r="4743" spans="3:18">
      <c r="C4743" s="5"/>
      <c r="R4743" s="15"/>
    </row>
    <row r="4744" spans="3:18">
      <c r="C4744" s="5"/>
      <c r="R4744" s="15"/>
    </row>
    <row r="4745" spans="3:18">
      <c r="C4745" s="5"/>
      <c r="R4745" s="15"/>
    </row>
    <row r="4746" spans="3:18">
      <c r="C4746" s="5"/>
      <c r="R4746" s="15"/>
    </row>
    <row r="4747" spans="3:18">
      <c r="C4747" s="5"/>
      <c r="R4747" s="15"/>
    </row>
    <row r="4748" spans="3:18">
      <c r="C4748" s="5"/>
      <c r="R4748" s="15"/>
    </row>
    <row r="4749" spans="3:18">
      <c r="C4749" s="5"/>
      <c r="R4749" s="15"/>
    </row>
    <row r="4750" spans="3:18">
      <c r="C4750" s="5"/>
      <c r="R4750" s="15"/>
    </row>
    <row r="4751" spans="3:18">
      <c r="C4751" s="5"/>
      <c r="R4751" s="15"/>
    </row>
    <row r="4752" spans="3:18">
      <c r="C4752" s="5"/>
      <c r="R4752" s="15"/>
    </row>
    <row r="4753" spans="3:18">
      <c r="C4753" s="5"/>
      <c r="R4753" s="15"/>
    </row>
    <row r="4754" spans="3:18">
      <c r="C4754" s="5"/>
      <c r="R4754" s="15"/>
    </row>
    <row r="4755" spans="3:18">
      <c r="C4755" s="5"/>
      <c r="R4755" s="15"/>
    </row>
    <row r="4756" spans="3:18">
      <c r="C4756" s="5"/>
      <c r="R4756" s="15"/>
    </row>
    <row r="4757" spans="3:18">
      <c r="C4757" s="5"/>
      <c r="R4757" s="15"/>
    </row>
    <row r="4758" spans="3:18">
      <c r="C4758" s="5"/>
      <c r="R4758" s="15"/>
    </row>
    <row r="4759" spans="3:18">
      <c r="C4759" s="5"/>
      <c r="R4759" s="15"/>
    </row>
    <row r="4760" spans="3:18">
      <c r="C4760" s="5"/>
      <c r="R4760" s="15"/>
    </row>
    <row r="4761" spans="3:18">
      <c r="C4761" s="5"/>
      <c r="R4761" s="15"/>
    </row>
    <row r="4762" spans="3:18">
      <c r="C4762" s="5"/>
      <c r="R4762" s="15"/>
    </row>
    <row r="4763" spans="3:18">
      <c r="C4763" s="5"/>
      <c r="R4763" s="15"/>
    </row>
    <row r="4764" spans="3:18">
      <c r="C4764" s="5"/>
      <c r="R4764" s="15"/>
    </row>
    <row r="4765" spans="3:18">
      <c r="C4765" s="5"/>
      <c r="R4765" s="15"/>
    </row>
    <row r="4766" spans="3:18">
      <c r="C4766" s="5"/>
      <c r="R4766" s="15"/>
    </row>
    <row r="4767" spans="3:18">
      <c r="C4767" s="5"/>
      <c r="R4767" s="15"/>
    </row>
    <row r="4768" spans="3:18">
      <c r="C4768" s="5"/>
      <c r="R4768" s="15"/>
    </row>
    <row r="4769" spans="3:18">
      <c r="C4769" s="5"/>
      <c r="R4769" s="15"/>
    </row>
    <row r="4770" spans="3:18">
      <c r="C4770" s="5"/>
      <c r="R4770" s="15"/>
    </row>
    <row r="4771" spans="3:18">
      <c r="C4771" s="5"/>
      <c r="R4771" s="15"/>
    </row>
    <row r="4772" spans="3:18">
      <c r="C4772" s="5"/>
      <c r="R4772" s="15"/>
    </row>
    <row r="4773" spans="3:18">
      <c r="C4773" s="5"/>
      <c r="R4773" s="15"/>
    </row>
    <row r="4774" spans="3:18">
      <c r="C4774" s="5"/>
      <c r="R4774" s="15"/>
    </row>
    <row r="4775" spans="3:18">
      <c r="C4775" s="5"/>
      <c r="R4775" s="15"/>
    </row>
    <row r="4776" spans="3:18">
      <c r="C4776" s="5"/>
      <c r="R4776" s="15"/>
    </row>
    <row r="4777" spans="3:18">
      <c r="C4777" s="5"/>
      <c r="R4777" s="15"/>
    </row>
    <row r="4778" spans="3:18">
      <c r="C4778" s="5"/>
      <c r="R4778" s="15"/>
    </row>
    <row r="4779" spans="3:18">
      <c r="C4779" s="5"/>
      <c r="R4779" s="15"/>
    </row>
    <row r="4780" spans="3:18">
      <c r="C4780" s="5"/>
      <c r="R4780" s="15"/>
    </row>
    <row r="4781" spans="3:18">
      <c r="C4781" s="5"/>
      <c r="R4781" s="15"/>
    </row>
    <row r="4782" spans="3:18">
      <c r="C4782" s="5"/>
      <c r="R4782" s="15"/>
    </row>
    <row r="4783" spans="3:18">
      <c r="C4783" s="5"/>
      <c r="R4783" s="15"/>
    </row>
    <row r="4784" spans="3:18">
      <c r="C4784" s="5"/>
      <c r="R4784" s="15"/>
    </row>
    <row r="4785" spans="3:18">
      <c r="C4785" s="5"/>
      <c r="R4785" s="15"/>
    </row>
    <row r="4786" spans="3:18">
      <c r="C4786" s="5"/>
      <c r="R4786" s="15"/>
    </row>
    <row r="4787" spans="3:18">
      <c r="C4787" s="5"/>
      <c r="R4787" s="15"/>
    </row>
    <row r="4788" spans="3:18">
      <c r="C4788" s="5"/>
      <c r="R4788" s="15"/>
    </row>
    <row r="4789" spans="3:18">
      <c r="C4789" s="5"/>
      <c r="R4789" s="15"/>
    </row>
    <row r="4790" spans="3:18">
      <c r="C4790" s="5"/>
      <c r="R4790" s="15"/>
    </row>
    <row r="4791" spans="3:18">
      <c r="C4791" s="5"/>
      <c r="R4791" s="15"/>
    </row>
    <row r="4792" spans="3:18">
      <c r="C4792" s="5"/>
      <c r="R4792" s="15"/>
    </row>
    <row r="4793" spans="3:18">
      <c r="C4793" s="5"/>
      <c r="R4793" s="15"/>
    </row>
    <row r="4794" spans="3:18">
      <c r="C4794" s="5"/>
      <c r="R4794" s="15"/>
    </row>
    <row r="4795" spans="3:18">
      <c r="C4795" s="5"/>
      <c r="R4795" s="15"/>
    </row>
    <row r="4796" spans="3:18">
      <c r="C4796" s="5"/>
      <c r="R4796" s="15"/>
    </row>
    <row r="4797" spans="3:18">
      <c r="C4797" s="5"/>
      <c r="R4797" s="15"/>
    </row>
    <row r="4798" spans="3:18">
      <c r="C4798" s="5"/>
      <c r="R4798" s="15"/>
    </row>
    <row r="4799" spans="3:18">
      <c r="C4799" s="5"/>
      <c r="R4799" s="15"/>
    </row>
    <row r="4800" spans="3:18">
      <c r="C4800" s="5"/>
      <c r="R4800" s="15"/>
    </row>
    <row r="4801" spans="3:18">
      <c r="C4801" s="5"/>
      <c r="R4801" s="15"/>
    </row>
    <row r="4802" spans="3:18">
      <c r="C4802" s="5"/>
      <c r="R4802" s="15"/>
    </row>
    <row r="4803" spans="3:18">
      <c r="C4803" s="5"/>
      <c r="R4803" s="15"/>
    </row>
    <row r="4804" spans="3:18">
      <c r="C4804" s="5"/>
      <c r="R4804" s="15"/>
    </row>
    <row r="4805" spans="3:18">
      <c r="C4805" s="5"/>
      <c r="R4805" s="15"/>
    </row>
    <row r="4806" spans="3:18">
      <c r="C4806" s="5"/>
      <c r="R4806" s="15"/>
    </row>
    <row r="4807" spans="3:18">
      <c r="C4807" s="5"/>
      <c r="R4807" s="15"/>
    </row>
    <row r="4808" spans="3:18">
      <c r="C4808" s="5"/>
      <c r="R4808" s="15"/>
    </row>
    <row r="4809" spans="3:18">
      <c r="C4809" s="5"/>
      <c r="R4809" s="15"/>
    </row>
    <row r="4810" spans="3:18">
      <c r="C4810" s="5"/>
      <c r="R4810" s="15"/>
    </row>
    <row r="4811" spans="3:18">
      <c r="C4811" s="5"/>
      <c r="R4811" s="15"/>
    </row>
    <row r="4812" spans="3:18">
      <c r="C4812" s="5"/>
      <c r="R4812" s="15"/>
    </row>
    <row r="4813" spans="3:18">
      <c r="C4813" s="5"/>
      <c r="R4813" s="15"/>
    </row>
    <row r="4814" spans="3:18">
      <c r="C4814" s="5"/>
      <c r="R4814" s="15"/>
    </row>
    <row r="4815" spans="3:18">
      <c r="C4815" s="5"/>
      <c r="R4815" s="15"/>
    </row>
    <row r="4816" spans="3:18">
      <c r="C4816" s="5"/>
      <c r="R4816" s="15"/>
    </row>
    <row r="4817" spans="3:18">
      <c r="C4817" s="5"/>
      <c r="R4817" s="15"/>
    </row>
    <row r="4818" spans="3:18">
      <c r="C4818" s="5"/>
      <c r="R4818" s="15"/>
    </row>
    <row r="4819" spans="3:18">
      <c r="C4819" s="5"/>
      <c r="R4819" s="15"/>
    </row>
    <row r="4820" spans="3:18">
      <c r="C4820" s="5"/>
      <c r="R4820" s="15"/>
    </row>
    <row r="4821" spans="3:18">
      <c r="C4821" s="5"/>
      <c r="R4821" s="15"/>
    </row>
    <row r="4822" spans="3:18">
      <c r="C4822" s="5"/>
      <c r="R4822" s="15"/>
    </row>
    <row r="4823" spans="3:18">
      <c r="C4823" s="5"/>
      <c r="R4823" s="15"/>
    </row>
    <row r="4824" spans="3:18">
      <c r="C4824" s="5"/>
      <c r="R4824" s="15"/>
    </row>
    <row r="4825" spans="3:18">
      <c r="C4825" s="5"/>
      <c r="R4825" s="15"/>
    </row>
    <row r="4826" spans="3:18">
      <c r="C4826" s="5"/>
      <c r="R4826" s="15"/>
    </row>
    <row r="4827" spans="3:18">
      <c r="C4827" s="5"/>
      <c r="R4827" s="15"/>
    </row>
    <row r="4828" spans="3:18">
      <c r="C4828" s="5"/>
      <c r="R4828" s="15"/>
    </row>
    <row r="4829" spans="3:18">
      <c r="C4829" s="5"/>
      <c r="R4829" s="15"/>
    </row>
    <row r="4830" spans="3:18">
      <c r="C4830" s="5"/>
      <c r="R4830" s="15"/>
    </row>
    <row r="4831" spans="3:18">
      <c r="C4831" s="5"/>
      <c r="R4831" s="15"/>
    </row>
    <row r="4832" spans="3:18">
      <c r="C4832" s="5"/>
      <c r="R4832" s="15"/>
    </row>
    <row r="4833" spans="3:18">
      <c r="C4833" s="5"/>
      <c r="R4833" s="15"/>
    </row>
    <row r="4834" spans="3:18">
      <c r="C4834" s="5"/>
      <c r="R4834" s="15"/>
    </row>
    <row r="4835" spans="3:18">
      <c r="C4835" s="5"/>
      <c r="R4835" s="15"/>
    </row>
    <row r="4836" spans="3:18">
      <c r="C4836" s="5"/>
      <c r="R4836" s="15"/>
    </row>
    <row r="4837" spans="3:18">
      <c r="C4837" s="5"/>
      <c r="R4837" s="15"/>
    </row>
    <row r="4838" spans="3:18">
      <c r="C4838" s="5"/>
      <c r="R4838" s="15"/>
    </row>
    <row r="4839" spans="3:18">
      <c r="C4839" s="5"/>
      <c r="R4839" s="15"/>
    </row>
    <row r="4840" spans="3:18">
      <c r="C4840" s="5"/>
      <c r="R4840" s="15"/>
    </row>
    <row r="4841" spans="3:18">
      <c r="C4841" s="5"/>
      <c r="R4841" s="15"/>
    </row>
    <row r="4842" spans="3:18">
      <c r="C4842" s="5"/>
      <c r="R4842" s="15"/>
    </row>
    <row r="4843" spans="3:18">
      <c r="C4843" s="5"/>
      <c r="R4843" s="15"/>
    </row>
    <row r="4844" spans="3:18">
      <c r="C4844" s="5"/>
      <c r="R4844" s="15"/>
    </row>
    <row r="4845" spans="3:18">
      <c r="C4845" s="5"/>
      <c r="R4845" s="15"/>
    </row>
    <row r="4846" spans="3:18">
      <c r="C4846" s="5"/>
      <c r="R4846" s="15"/>
    </row>
    <row r="4847" spans="3:18">
      <c r="C4847" s="5"/>
      <c r="R4847" s="15"/>
    </row>
    <row r="4848" spans="3:18">
      <c r="C4848" s="5"/>
      <c r="R4848" s="15"/>
    </row>
    <row r="4849" spans="3:18">
      <c r="C4849" s="5"/>
      <c r="R4849" s="15"/>
    </row>
    <row r="4850" spans="3:18">
      <c r="C4850" s="5"/>
      <c r="R4850" s="15"/>
    </row>
    <row r="4851" spans="3:18">
      <c r="C4851" s="5"/>
      <c r="R4851" s="15"/>
    </row>
    <row r="4852" spans="3:18">
      <c r="C4852" s="5"/>
      <c r="R4852" s="15"/>
    </row>
    <row r="4853" spans="3:18">
      <c r="C4853" s="5"/>
      <c r="R4853" s="15"/>
    </row>
    <row r="4854" spans="3:18">
      <c r="C4854" s="5"/>
      <c r="R4854" s="15"/>
    </row>
    <row r="4855" spans="3:18">
      <c r="C4855" s="5"/>
      <c r="R4855" s="15"/>
    </row>
    <row r="4856" spans="3:18">
      <c r="C4856" s="5"/>
      <c r="R4856" s="15"/>
    </row>
    <row r="4857" spans="3:18">
      <c r="C4857" s="5"/>
      <c r="R4857" s="15"/>
    </row>
    <row r="4858" spans="3:18">
      <c r="C4858" s="5"/>
      <c r="R4858" s="15"/>
    </row>
    <row r="4859" spans="3:18">
      <c r="C4859" s="5"/>
      <c r="R4859" s="15"/>
    </row>
    <row r="4860" spans="3:18">
      <c r="C4860" s="5"/>
      <c r="R4860" s="15"/>
    </row>
    <row r="4861" spans="3:18">
      <c r="C4861" s="5"/>
      <c r="R4861" s="15"/>
    </row>
    <row r="4862" spans="3:18">
      <c r="C4862" s="5"/>
      <c r="R4862" s="15"/>
    </row>
    <row r="4863" spans="3:18">
      <c r="C4863" s="5"/>
      <c r="R4863" s="15"/>
    </row>
    <row r="4864" spans="3:18">
      <c r="C4864" s="5"/>
      <c r="R4864" s="15"/>
    </row>
    <row r="4865" spans="3:18">
      <c r="C4865" s="5"/>
      <c r="R4865" s="15"/>
    </row>
    <row r="4866" spans="3:18">
      <c r="C4866" s="5"/>
      <c r="R4866" s="15"/>
    </row>
    <row r="4867" spans="3:18">
      <c r="C4867" s="5"/>
      <c r="R4867" s="15"/>
    </row>
    <row r="4868" spans="3:18">
      <c r="C4868" s="5"/>
      <c r="R4868" s="15"/>
    </row>
    <row r="4869" spans="3:18">
      <c r="C4869" s="5"/>
      <c r="R4869" s="15"/>
    </row>
    <row r="4870" spans="3:18">
      <c r="C4870" s="5"/>
      <c r="R4870" s="15"/>
    </row>
    <row r="4871" spans="3:18">
      <c r="C4871" s="5"/>
      <c r="R4871" s="15"/>
    </row>
    <row r="4872" spans="3:18">
      <c r="C4872" s="5"/>
      <c r="R4872" s="15"/>
    </row>
    <row r="4873" spans="3:18">
      <c r="C4873" s="5"/>
      <c r="R4873" s="15"/>
    </row>
    <row r="4874" spans="3:18">
      <c r="C4874" s="5"/>
      <c r="R4874" s="15"/>
    </row>
    <row r="4875" spans="3:18">
      <c r="C4875" s="5"/>
      <c r="R4875" s="15"/>
    </row>
    <row r="4876" spans="3:18">
      <c r="C4876" s="5"/>
      <c r="R4876" s="15"/>
    </row>
    <row r="4877" spans="3:18">
      <c r="C4877" s="5"/>
      <c r="R4877" s="15"/>
    </row>
    <row r="4878" spans="3:18">
      <c r="C4878" s="5"/>
      <c r="R4878" s="15"/>
    </row>
    <row r="4879" spans="3:18">
      <c r="C4879" s="5"/>
      <c r="R4879" s="15"/>
    </row>
    <row r="4880" spans="3:18">
      <c r="C4880" s="5"/>
      <c r="R4880" s="15"/>
    </row>
    <row r="4881" spans="3:18">
      <c r="C4881" s="5"/>
      <c r="R4881" s="15"/>
    </row>
    <row r="4882" spans="3:18">
      <c r="C4882" s="5"/>
      <c r="R4882" s="15"/>
    </row>
    <row r="4883" spans="3:18">
      <c r="C4883" s="5"/>
      <c r="R4883" s="15"/>
    </row>
    <row r="4884" spans="3:18">
      <c r="C4884" s="5"/>
      <c r="R4884" s="15"/>
    </row>
    <row r="4885" spans="3:18">
      <c r="C4885" s="5"/>
      <c r="R4885" s="15"/>
    </row>
    <row r="4886" spans="3:18">
      <c r="C4886" s="5"/>
      <c r="R4886" s="15"/>
    </row>
    <row r="4887" spans="3:18">
      <c r="C4887" s="5"/>
      <c r="R4887" s="15"/>
    </row>
    <row r="4888" spans="3:18">
      <c r="C4888" s="5"/>
      <c r="R4888" s="15"/>
    </row>
    <row r="4889" spans="3:18">
      <c r="C4889" s="5"/>
      <c r="R4889" s="15"/>
    </row>
    <row r="4890" spans="3:18">
      <c r="C4890" s="5"/>
      <c r="R4890" s="15"/>
    </row>
    <row r="4891" spans="3:18">
      <c r="C4891" s="5"/>
      <c r="R4891" s="15"/>
    </row>
    <row r="4892" spans="3:18">
      <c r="C4892" s="5"/>
      <c r="R4892" s="15"/>
    </row>
    <row r="4893" spans="3:18">
      <c r="C4893" s="5"/>
      <c r="R4893" s="15"/>
    </row>
    <row r="4894" spans="3:18">
      <c r="C4894" s="5"/>
      <c r="R4894" s="15"/>
    </row>
    <row r="4895" spans="3:18">
      <c r="C4895" s="5"/>
      <c r="R4895" s="15"/>
    </row>
    <row r="4896" spans="3:18">
      <c r="C4896" s="5"/>
      <c r="R4896" s="15"/>
    </row>
    <row r="4897" spans="3:18">
      <c r="C4897" s="5"/>
      <c r="R4897" s="15"/>
    </row>
    <row r="4898" spans="3:18">
      <c r="C4898" s="5"/>
      <c r="R4898" s="15"/>
    </row>
    <row r="4899" spans="3:18">
      <c r="C4899" s="5"/>
      <c r="R4899" s="15"/>
    </row>
    <row r="4900" spans="3:18">
      <c r="C4900" s="5"/>
      <c r="R4900" s="15"/>
    </row>
    <row r="4901" spans="3:18">
      <c r="C4901" s="5"/>
      <c r="R4901" s="15"/>
    </row>
    <row r="4902" spans="3:18">
      <c r="C4902" s="5"/>
      <c r="R4902" s="15"/>
    </row>
    <row r="4903" spans="3:18">
      <c r="C4903" s="5"/>
      <c r="R4903" s="15"/>
    </row>
    <row r="4904" spans="3:18">
      <c r="C4904" s="5"/>
      <c r="R4904" s="15"/>
    </row>
    <row r="4905" spans="3:18">
      <c r="C4905" s="5"/>
      <c r="R4905" s="15"/>
    </row>
    <row r="4906" spans="3:18">
      <c r="C4906" s="5"/>
      <c r="R4906" s="15"/>
    </row>
    <row r="4907" spans="3:18">
      <c r="C4907" s="5"/>
      <c r="R4907" s="15"/>
    </row>
    <row r="4908" spans="3:18">
      <c r="C4908" s="5"/>
      <c r="R4908" s="15"/>
    </row>
    <row r="4909" spans="3:18">
      <c r="C4909" s="5"/>
      <c r="R4909" s="15"/>
    </row>
    <row r="4910" spans="3:18">
      <c r="C4910" s="5"/>
      <c r="R4910" s="15"/>
    </row>
    <row r="4911" spans="3:18">
      <c r="C4911" s="5"/>
      <c r="R4911" s="15"/>
    </row>
    <row r="4912" spans="3:18">
      <c r="C4912" s="5"/>
      <c r="R4912" s="15"/>
    </row>
    <row r="4913" spans="3:18">
      <c r="C4913" s="5"/>
      <c r="R4913" s="15"/>
    </row>
    <row r="4914" spans="3:18">
      <c r="C4914" s="5"/>
      <c r="R4914" s="15"/>
    </row>
    <row r="4915" spans="3:18">
      <c r="C4915" s="5"/>
      <c r="R4915" s="15"/>
    </row>
    <row r="4916" spans="3:18">
      <c r="C4916" s="5"/>
      <c r="R4916" s="15"/>
    </row>
    <row r="4917" spans="3:18">
      <c r="C4917" s="5"/>
      <c r="R4917" s="15"/>
    </row>
    <row r="4918" spans="3:18">
      <c r="C4918" s="5"/>
      <c r="R4918" s="15"/>
    </row>
    <row r="4919" spans="3:18">
      <c r="C4919" s="5"/>
      <c r="R4919" s="15"/>
    </row>
    <row r="4920" spans="3:18">
      <c r="C4920" s="5"/>
      <c r="R4920" s="15"/>
    </row>
    <row r="4921" spans="3:18">
      <c r="C4921" s="5"/>
      <c r="R4921" s="15"/>
    </row>
    <row r="4922" spans="3:18">
      <c r="C4922" s="5"/>
      <c r="R4922" s="15"/>
    </row>
    <row r="4923" spans="3:18">
      <c r="C4923" s="5"/>
      <c r="R4923" s="15"/>
    </row>
    <row r="4924" spans="3:18">
      <c r="C4924" s="5"/>
      <c r="R4924" s="15"/>
    </row>
    <row r="4925" spans="3:18">
      <c r="C4925" s="5"/>
      <c r="R4925" s="15"/>
    </row>
    <row r="4926" spans="3:18">
      <c r="C4926" s="5"/>
      <c r="R4926" s="15"/>
    </row>
    <row r="4927" spans="3:18">
      <c r="C4927" s="5"/>
      <c r="R4927" s="15"/>
    </row>
    <row r="4928" spans="3:18">
      <c r="C4928" s="5"/>
      <c r="R4928" s="15"/>
    </row>
    <row r="4929" spans="3:18">
      <c r="C4929" s="5"/>
      <c r="R4929" s="15"/>
    </row>
    <row r="4930" spans="3:18">
      <c r="C4930" s="5"/>
      <c r="R4930" s="15"/>
    </row>
    <row r="4931" spans="3:18">
      <c r="C4931" s="5"/>
      <c r="R4931" s="15"/>
    </row>
    <row r="4932" spans="3:18">
      <c r="C4932" s="5"/>
      <c r="R4932" s="15"/>
    </row>
    <row r="4933" spans="3:18">
      <c r="C4933" s="5"/>
      <c r="R4933" s="15"/>
    </row>
    <row r="4934" spans="3:18">
      <c r="C4934" s="5"/>
      <c r="R4934" s="15"/>
    </row>
    <row r="4935" spans="3:18">
      <c r="C4935" s="5"/>
      <c r="R4935" s="15"/>
    </row>
    <row r="4936" spans="3:18">
      <c r="C4936" s="5"/>
      <c r="R4936" s="15"/>
    </row>
    <row r="4937" spans="3:18">
      <c r="C4937" s="5"/>
      <c r="R4937" s="15"/>
    </row>
    <row r="4938" spans="3:18">
      <c r="C4938" s="5"/>
      <c r="R4938" s="15"/>
    </row>
    <row r="4939" spans="3:18">
      <c r="C4939" s="5"/>
      <c r="R4939" s="15"/>
    </row>
    <row r="4940" spans="3:18">
      <c r="C4940" s="5"/>
      <c r="R4940" s="15"/>
    </row>
    <row r="4941" spans="3:18">
      <c r="C4941" s="5"/>
      <c r="R4941" s="15"/>
    </row>
    <row r="4942" spans="3:18">
      <c r="C4942" s="5"/>
      <c r="R4942" s="15"/>
    </row>
    <row r="4943" spans="3:18">
      <c r="C4943" s="5"/>
      <c r="R4943" s="15"/>
    </row>
    <row r="4944" spans="3:18">
      <c r="C4944" s="5"/>
      <c r="R4944" s="15"/>
    </row>
    <row r="4945" spans="3:18">
      <c r="C4945" s="5"/>
      <c r="R4945" s="15"/>
    </row>
    <row r="4946" spans="3:18">
      <c r="C4946" s="5"/>
      <c r="R4946" s="15"/>
    </row>
    <row r="4947" spans="3:18">
      <c r="C4947" s="5"/>
      <c r="R4947" s="15"/>
    </row>
    <row r="4948" spans="3:18">
      <c r="C4948" s="5"/>
      <c r="R4948" s="15"/>
    </row>
    <row r="4949" spans="3:18">
      <c r="C4949" s="5"/>
      <c r="R4949" s="15"/>
    </row>
    <row r="4950" spans="3:18">
      <c r="C4950" s="5"/>
      <c r="R4950" s="15"/>
    </row>
    <row r="4951" spans="3:18">
      <c r="C4951" s="5"/>
      <c r="R4951" s="15"/>
    </row>
    <row r="4952" spans="3:18">
      <c r="C4952" s="5"/>
      <c r="R4952" s="15"/>
    </row>
    <row r="4953" spans="3:18">
      <c r="C4953" s="5"/>
      <c r="R4953" s="15"/>
    </row>
    <row r="4954" spans="3:18">
      <c r="C4954" s="5"/>
      <c r="R4954" s="15"/>
    </row>
    <row r="4955" spans="3:18">
      <c r="C4955" s="5"/>
      <c r="R4955" s="15"/>
    </row>
    <row r="4956" spans="3:18">
      <c r="C4956" s="5"/>
      <c r="R4956" s="15"/>
    </row>
    <row r="4957" spans="3:18">
      <c r="C4957" s="5"/>
      <c r="R4957" s="15"/>
    </row>
    <row r="4958" spans="3:18">
      <c r="C4958" s="5"/>
      <c r="R4958" s="15"/>
    </row>
    <row r="4959" spans="3:18">
      <c r="C4959" s="5"/>
      <c r="R4959" s="15"/>
    </row>
    <row r="4960" spans="3:18">
      <c r="C4960" s="5"/>
      <c r="R4960" s="15"/>
    </row>
    <row r="4961" spans="3:18">
      <c r="C4961" s="5"/>
      <c r="R4961" s="15"/>
    </row>
    <row r="4962" spans="3:18">
      <c r="C4962" s="5"/>
      <c r="R4962" s="15"/>
    </row>
    <row r="4963" spans="3:18">
      <c r="C4963" s="5"/>
      <c r="R4963" s="15"/>
    </row>
    <row r="4964" spans="3:18">
      <c r="C4964" s="5"/>
      <c r="R4964" s="15"/>
    </row>
    <row r="4965" spans="3:18">
      <c r="C4965" s="5"/>
      <c r="R4965" s="15"/>
    </row>
    <row r="4966" spans="3:18">
      <c r="C4966" s="5"/>
      <c r="R4966" s="15"/>
    </row>
    <row r="4967" spans="3:18">
      <c r="C4967" s="5"/>
      <c r="R4967" s="15"/>
    </row>
    <row r="4968" spans="3:18">
      <c r="C4968" s="5"/>
      <c r="R4968" s="15"/>
    </row>
    <row r="4969" spans="3:18">
      <c r="C4969" s="5"/>
      <c r="R4969" s="15"/>
    </row>
    <row r="4970" spans="3:18">
      <c r="C4970" s="5"/>
      <c r="R4970" s="15"/>
    </row>
    <row r="4971" spans="3:18">
      <c r="C4971" s="5"/>
      <c r="R4971" s="15"/>
    </row>
    <row r="4972" spans="3:18">
      <c r="C4972" s="5"/>
      <c r="R4972" s="15"/>
    </row>
    <row r="4973" spans="3:18">
      <c r="C4973" s="5"/>
      <c r="R4973" s="15"/>
    </row>
    <row r="4974" spans="3:18">
      <c r="C4974" s="5"/>
      <c r="R4974" s="15"/>
    </row>
    <row r="4975" spans="3:18">
      <c r="C4975" s="5"/>
      <c r="R4975" s="15"/>
    </row>
    <row r="4976" spans="3:18">
      <c r="C4976" s="5"/>
      <c r="R4976" s="15"/>
    </row>
    <row r="4977" spans="3:18">
      <c r="C4977" s="5"/>
      <c r="R4977" s="15"/>
    </row>
    <row r="4978" spans="3:18">
      <c r="C4978" s="5"/>
      <c r="R4978" s="15"/>
    </row>
    <row r="4979" spans="3:18">
      <c r="C4979" s="5"/>
      <c r="R4979" s="15"/>
    </row>
    <row r="4980" spans="3:18">
      <c r="C4980" s="5"/>
      <c r="R4980" s="15"/>
    </row>
    <row r="4981" spans="3:18">
      <c r="C4981" s="5"/>
      <c r="R4981" s="15"/>
    </row>
    <row r="4982" spans="3:18">
      <c r="C4982" s="5"/>
      <c r="R4982" s="15"/>
    </row>
    <row r="4983" spans="3:18">
      <c r="C4983" s="5"/>
      <c r="R4983" s="15"/>
    </row>
    <row r="4984" spans="3:18">
      <c r="C4984" s="5"/>
      <c r="R4984" s="15"/>
    </row>
    <row r="4985" spans="3:18">
      <c r="C4985" s="5"/>
      <c r="R4985" s="15"/>
    </row>
    <row r="4986" spans="3:18">
      <c r="C4986" s="5"/>
      <c r="R4986" s="15"/>
    </row>
    <row r="4987" spans="3:18">
      <c r="C4987" s="5"/>
      <c r="R4987" s="15"/>
    </row>
    <row r="4988" spans="3:18">
      <c r="C4988" s="5"/>
      <c r="R4988" s="15"/>
    </row>
    <row r="4989" spans="3:18">
      <c r="C4989" s="5"/>
      <c r="R4989" s="15"/>
    </row>
    <row r="4990" spans="3:18">
      <c r="C4990" s="5"/>
      <c r="R4990" s="15"/>
    </row>
    <row r="4991" spans="3:18">
      <c r="C4991" s="5"/>
      <c r="R4991" s="15"/>
    </row>
    <row r="4992" spans="3:18">
      <c r="C4992" s="5"/>
      <c r="R4992" s="15"/>
    </row>
    <row r="4993" spans="3:18">
      <c r="C4993" s="5"/>
      <c r="R4993" s="15"/>
    </row>
    <row r="4994" spans="3:18">
      <c r="C4994" s="5"/>
      <c r="R4994" s="15"/>
    </row>
    <row r="4995" spans="3:18">
      <c r="C4995" s="5"/>
      <c r="R4995" s="15"/>
    </row>
    <row r="4996" spans="3:18">
      <c r="C4996" s="5"/>
      <c r="R4996" s="15"/>
    </row>
    <row r="4997" spans="3:18">
      <c r="C4997" s="5"/>
      <c r="R4997" s="15"/>
    </row>
    <row r="4998" spans="3:18">
      <c r="C4998" s="5"/>
      <c r="R4998" s="15"/>
    </row>
    <row r="4999" spans="3:18">
      <c r="C4999" s="5"/>
      <c r="R4999" s="15"/>
    </row>
    <row r="5000" spans="3:18">
      <c r="C5000" s="5"/>
      <c r="R5000" s="15"/>
    </row>
    <row r="5001" spans="3:18">
      <c r="C5001" s="5"/>
      <c r="R5001" s="15"/>
    </row>
    <row r="5002" spans="3:18">
      <c r="C5002" s="5"/>
      <c r="R5002" s="15"/>
    </row>
    <row r="5003" spans="3:18">
      <c r="C5003" s="5"/>
      <c r="R5003" s="15"/>
    </row>
    <row r="5004" spans="3:18">
      <c r="C5004" s="5"/>
      <c r="R5004" s="15"/>
    </row>
    <row r="5005" spans="3:18">
      <c r="C5005" s="5"/>
      <c r="R5005" s="15"/>
    </row>
    <row r="5006" spans="3:18">
      <c r="C5006" s="5"/>
      <c r="R5006" s="15"/>
    </row>
    <row r="5007" spans="3:18">
      <c r="C5007" s="5"/>
      <c r="R5007" s="15"/>
    </row>
    <row r="5008" spans="3:18">
      <c r="C5008" s="5"/>
      <c r="R5008" s="15"/>
    </row>
    <row r="5009" spans="3:18">
      <c r="C5009" s="5"/>
      <c r="R5009" s="15"/>
    </row>
    <row r="5010" spans="3:18">
      <c r="C5010" s="5"/>
      <c r="R5010" s="15"/>
    </row>
    <row r="5011" spans="3:18">
      <c r="C5011" s="5"/>
      <c r="R5011" s="15"/>
    </row>
    <row r="5012" spans="3:18">
      <c r="C5012" s="5"/>
      <c r="R5012" s="15"/>
    </row>
    <row r="5013" spans="3:18">
      <c r="C5013" s="5"/>
      <c r="R5013" s="15"/>
    </row>
    <row r="5014" spans="3:18">
      <c r="C5014" s="5"/>
      <c r="R5014" s="15"/>
    </row>
    <row r="5015" spans="3:18">
      <c r="C5015" s="5"/>
      <c r="R5015" s="15"/>
    </row>
    <row r="5016" spans="3:18">
      <c r="C5016" s="5"/>
      <c r="R5016" s="15"/>
    </row>
    <row r="5017" spans="3:18">
      <c r="C5017" s="5"/>
      <c r="R5017" s="15"/>
    </row>
    <row r="5018" spans="3:18">
      <c r="C5018" s="5"/>
      <c r="R5018" s="15"/>
    </row>
    <row r="5019" spans="3:18">
      <c r="C5019" s="5"/>
      <c r="R5019" s="15"/>
    </row>
    <row r="5020" spans="3:18">
      <c r="C5020" s="5"/>
      <c r="R5020" s="15"/>
    </row>
    <row r="5021" spans="3:18">
      <c r="C5021" s="5"/>
      <c r="R5021" s="15"/>
    </row>
    <row r="5022" spans="3:18">
      <c r="C5022" s="5"/>
      <c r="R5022" s="15"/>
    </row>
    <row r="5023" spans="3:18">
      <c r="C5023" s="5"/>
      <c r="R5023" s="15"/>
    </row>
    <row r="5024" spans="3:18">
      <c r="C5024" s="5"/>
      <c r="R5024" s="15"/>
    </row>
    <row r="5025" spans="3:18">
      <c r="C5025" s="5"/>
      <c r="R5025" s="15"/>
    </row>
    <row r="5026" spans="3:18">
      <c r="C5026" s="5"/>
      <c r="R5026" s="15"/>
    </row>
    <row r="5027" spans="3:18">
      <c r="C5027" s="5"/>
      <c r="R5027" s="15"/>
    </row>
    <row r="5028" spans="3:18">
      <c r="C5028" s="5"/>
      <c r="R5028" s="15"/>
    </row>
    <row r="5029" spans="3:18">
      <c r="C5029" s="5"/>
      <c r="R5029" s="15"/>
    </row>
    <row r="5030" spans="3:18">
      <c r="C5030" s="5"/>
      <c r="R5030" s="15"/>
    </row>
    <row r="5031" spans="3:18">
      <c r="C5031" s="5"/>
      <c r="R5031" s="15"/>
    </row>
    <row r="5032" spans="3:18">
      <c r="C5032" s="5"/>
      <c r="R5032" s="15"/>
    </row>
    <row r="5033" spans="3:18">
      <c r="C5033" s="5"/>
      <c r="R5033" s="15"/>
    </row>
    <row r="5034" spans="3:18">
      <c r="C5034" s="5"/>
      <c r="R5034" s="15"/>
    </row>
    <row r="5035" spans="3:18">
      <c r="C5035" s="5"/>
      <c r="R5035" s="15"/>
    </row>
    <row r="5036" spans="3:18">
      <c r="C5036" s="5"/>
      <c r="R5036" s="15"/>
    </row>
    <row r="5037" spans="3:18">
      <c r="C5037" s="5"/>
      <c r="R5037" s="15"/>
    </row>
    <row r="5038" spans="3:18">
      <c r="C5038" s="5"/>
      <c r="R5038" s="15"/>
    </row>
    <row r="5039" spans="3:18">
      <c r="C5039" s="5"/>
      <c r="R5039" s="15"/>
    </row>
    <row r="5040" spans="3:18">
      <c r="C5040" s="5"/>
      <c r="R5040" s="15"/>
    </row>
    <row r="5041" spans="3:18">
      <c r="C5041" s="5"/>
      <c r="R5041" s="15"/>
    </row>
    <row r="5042" spans="3:18">
      <c r="C5042" s="5"/>
      <c r="R5042" s="15"/>
    </row>
    <row r="5043" spans="3:18">
      <c r="C5043" s="5"/>
      <c r="R5043" s="15"/>
    </row>
    <row r="5044" spans="3:18">
      <c r="C5044" s="5"/>
      <c r="R5044" s="15"/>
    </row>
    <row r="5045" spans="3:18">
      <c r="C5045" s="5"/>
      <c r="R5045" s="15"/>
    </row>
    <row r="5046" spans="3:18">
      <c r="C5046" s="5"/>
      <c r="R5046" s="15"/>
    </row>
    <row r="5047" spans="3:18">
      <c r="C5047" s="5"/>
      <c r="R5047" s="15"/>
    </row>
    <row r="5048" spans="3:18">
      <c r="C5048" s="5"/>
      <c r="R5048" s="15"/>
    </row>
    <row r="5049" spans="3:18">
      <c r="C5049" s="5"/>
      <c r="R5049" s="15"/>
    </row>
    <row r="5050" spans="3:18">
      <c r="C5050" s="5"/>
      <c r="R5050" s="15"/>
    </row>
    <row r="5051" spans="3:18">
      <c r="C5051" s="5"/>
      <c r="R5051" s="15"/>
    </row>
    <row r="5052" spans="3:18">
      <c r="C5052" s="5"/>
      <c r="R5052" s="15"/>
    </row>
    <row r="5053" spans="3:18">
      <c r="C5053" s="5"/>
      <c r="R5053" s="15"/>
    </row>
    <row r="5054" spans="3:18">
      <c r="C5054" s="5"/>
      <c r="R5054" s="15"/>
    </row>
    <row r="5055" spans="3:18">
      <c r="C5055" s="5"/>
      <c r="R5055" s="15"/>
    </row>
    <row r="5056" spans="3:18">
      <c r="C5056" s="5"/>
      <c r="R5056" s="15"/>
    </row>
    <row r="5057" spans="3:18">
      <c r="C5057" s="5"/>
      <c r="R5057" s="15"/>
    </row>
    <row r="5058" spans="3:18">
      <c r="C5058" s="5"/>
      <c r="R5058" s="15"/>
    </row>
    <row r="5059" spans="3:18">
      <c r="C5059" s="5"/>
      <c r="R5059" s="15"/>
    </row>
    <row r="5060" spans="3:18">
      <c r="C5060" s="5"/>
      <c r="R5060" s="15"/>
    </row>
    <row r="5061" spans="3:18">
      <c r="C5061" s="5"/>
      <c r="R5061" s="15"/>
    </row>
    <row r="5062" spans="3:18">
      <c r="C5062" s="5"/>
      <c r="R5062" s="15"/>
    </row>
    <row r="5063" spans="3:18">
      <c r="C5063" s="5"/>
      <c r="R5063" s="15"/>
    </row>
    <row r="5064" spans="3:18">
      <c r="C5064" s="5"/>
      <c r="R5064" s="15"/>
    </row>
    <row r="5065" spans="3:18">
      <c r="C5065" s="5"/>
      <c r="R5065" s="15"/>
    </row>
    <row r="5066" spans="3:18">
      <c r="C5066" s="5"/>
      <c r="R5066" s="15"/>
    </row>
    <row r="5067" spans="3:18">
      <c r="C5067" s="5"/>
      <c r="R5067" s="15"/>
    </row>
    <row r="5068" spans="3:18">
      <c r="C5068" s="5"/>
      <c r="R5068" s="15"/>
    </row>
    <row r="5069" spans="3:18">
      <c r="C5069" s="5"/>
      <c r="R5069" s="15"/>
    </row>
    <row r="5070" spans="3:18">
      <c r="C5070" s="5"/>
      <c r="R5070" s="15"/>
    </row>
    <row r="5071" spans="3:18">
      <c r="C5071" s="5"/>
      <c r="R5071" s="15"/>
    </row>
    <row r="5072" spans="3:18">
      <c r="C5072" s="5"/>
      <c r="R5072" s="15"/>
    </row>
    <row r="5073" spans="3:18">
      <c r="C5073" s="5"/>
      <c r="R5073" s="15"/>
    </row>
    <row r="5074" spans="3:18">
      <c r="C5074" s="5"/>
      <c r="R5074" s="15"/>
    </row>
    <row r="5075" spans="3:18">
      <c r="C5075" s="5"/>
      <c r="R5075" s="15"/>
    </row>
    <row r="5076" spans="3:18">
      <c r="C5076" s="5"/>
      <c r="R5076" s="15"/>
    </row>
    <row r="5077" spans="3:18">
      <c r="C5077" s="5"/>
      <c r="R5077" s="15"/>
    </row>
    <row r="5078" spans="3:18">
      <c r="C5078" s="5"/>
      <c r="R5078" s="15"/>
    </row>
    <row r="5079" spans="3:18">
      <c r="C5079" s="5"/>
      <c r="R5079" s="15"/>
    </row>
    <row r="5080" spans="3:18">
      <c r="C5080" s="5"/>
      <c r="R5080" s="15"/>
    </row>
    <row r="5081" spans="3:18">
      <c r="C5081" s="5"/>
      <c r="R5081" s="15"/>
    </row>
    <row r="5082" spans="3:18">
      <c r="C5082" s="5"/>
      <c r="R5082" s="15"/>
    </row>
    <row r="5083" spans="3:18">
      <c r="C5083" s="5"/>
      <c r="R5083" s="15"/>
    </row>
    <row r="5084" spans="3:18">
      <c r="C5084" s="5"/>
      <c r="R5084" s="15"/>
    </row>
    <row r="5085" spans="3:18">
      <c r="C5085" s="5"/>
      <c r="R5085" s="15"/>
    </row>
    <row r="5086" spans="3:18">
      <c r="C5086" s="5"/>
      <c r="R5086" s="15"/>
    </row>
    <row r="5087" spans="3:18">
      <c r="C5087" s="5"/>
      <c r="R5087" s="15"/>
    </row>
    <row r="5088" spans="3:18">
      <c r="C5088" s="5"/>
      <c r="R5088" s="15"/>
    </row>
    <row r="5089" spans="3:18">
      <c r="C5089" s="5"/>
      <c r="R5089" s="15"/>
    </row>
    <row r="5090" spans="3:18">
      <c r="C5090" s="5"/>
      <c r="R5090" s="15"/>
    </row>
    <row r="5091" spans="3:18">
      <c r="C5091" s="5"/>
      <c r="R5091" s="15"/>
    </row>
    <row r="5092" spans="3:18">
      <c r="C5092" s="5"/>
      <c r="R5092" s="15"/>
    </row>
    <row r="5093" spans="3:18">
      <c r="C5093" s="5"/>
      <c r="R5093" s="15"/>
    </row>
    <row r="5094" spans="3:18">
      <c r="C5094" s="5"/>
      <c r="R5094" s="15"/>
    </row>
    <row r="5095" spans="3:18">
      <c r="C5095" s="5"/>
      <c r="R5095" s="15"/>
    </row>
    <row r="5096" spans="3:18">
      <c r="C5096" s="5"/>
      <c r="R5096" s="15"/>
    </row>
    <row r="5097" spans="3:18">
      <c r="C5097" s="5"/>
      <c r="R5097" s="15"/>
    </row>
    <row r="5098" spans="3:18">
      <c r="C5098" s="5"/>
      <c r="R5098" s="15"/>
    </row>
    <row r="5099" spans="3:18">
      <c r="C5099" s="5"/>
      <c r="R5099" s="15"/>
    </row>
    <row r="5100" spans="3:18">
      <c r="C5100" s="5"/>
      <c r="R5100" s="15"/>
    </row>
    <row r="5101" spans="3:18">
      <c r="C5101" s="5"/>
      <c r="R5101" s="15"/>
    </row>
    <row r="5102" spans="3:18">
      <c r="C5102" s="5"/>
      <c r="R5102" s="15"/>
    </row>
    <row r="5103" spans="3:18">
      <c r="C5103" s="5"/>
      <c r="R5103" s="15"/>
    </row>
    <row r="5104" spans="3:18">
      <c r="C5104" s="5"/>
      <c r="R5104" s="15"/>
    </row>
    <row r="5105" spans="3:18">
      <c r="C5105" s="5"/>
      <c r="R5105" s="15"/>
    </row>
    <row r="5106" spans="3:18">
      <c r="C5106" s="5"/>
      <c r="R5106" s="15"/>
    </row>
    <row r="5107" spans="3:18">
      <c r="C5107" s="5"/>
      <c r="R5107" s="15"/>
    </row>
    <row r="5108" spans="3:18">
      <c r="C5108" s="5"/>
      <c r="R5108" s="15"/>
    </row>
    <row r="5109" spans="3:18">
      <c r="C5109" s="5"/>
      <c r="R5109" s="15"/>
    </row>
    <row r="5110" spans="3:18">
      <c r="C5110" s="5"/>
      <c r="R5110" s="15"/>
    </row>
    <row r="5111" spans="3:18">
      <c r="C5111" s="5"/>
      <c r="R5111" s="15"/>
    </row>
    <row r="5112" spans="3:18">
      <c r="C5112" s="5"/>
      <c r="R5112" s="15"/>
    </row>
    <row r="5113" spans="3:18">
      <c r="C5113" s="5"/>
      <c r="R5113" s="15"/>
    </row>
    <row r="5114" spans="3:18">
      <c r="C5114" s="5"/>
      <c r="R5114" s="15"/>
    </row>
    <row r="5115" spans="3:18">
      <c r="C5115" s="5"/>
      <c r="R5115" s="15"/>
    </row>
    <row r="5116" spans="3:18">
      <c r="C5116" s="5"/>
      <c r="R5116" s="15"/>
    </row>
    <row r="5117" spans="3:18">
      <c r="C5117" s="5"/>
      <c r="R5117" s="15"/>
    </row>
    <row r="5118" spans="3:18">
      <c r="C5118" s="5"/>
      <c r="R5118" s="15"/>
    </row>
    <row r="5119" spans="3:18">
      <c r="C5119" s="5"/>
      <c r="R5119" s="15"/>
    </row>
    <row r="5120" spans="3:18">
      <c r="C5120" s="5"/>
      <c r="R5120" s="15"/>
    </row>
    <row r="5121" spans="3:18">
      <c r="C5121" s="5"/>
      <c r="R5121" s="15"/>
    </row>
    <row r="5122" spans="3:18">
      <c r="C5122" s="5"/>
      <c r="R5122" s="15"/>
    </row>
    <row r="5123" spans="3:18">
      <c r="C5123" s="5"/>
      <c r="R5123" s="15"/>
    </row>
    <row r="5124" spans="3:18">
      <c r="C5124" s="5"/>
      <c r="R5124" s="15"/>
    </row>
    <row r="5125" spans="3:18">
      <c r="C5125" s="5"/>
      <c r="R5125" s="15"/>
    </row>
    <row r="5126" spans="3:18">
      <c r="C5126" s="5"/>
      <c r="R5126" s="15"/>
    </row>
    <row r="5127" spans="3:18">
      <c r="C5127" s="5"/>
      <c r="R5127" s="15"/>
    </row>
    <row r="5128" spans="3:18">
      <c r="C5128" s="5"/>
      <c r="R5128" s="15"/>
    </row>
    <row r="5129" spans="3:18">
      <c r="C5129" s="5"/>
      <c r="R5129" s="15"/>
    </row>
    <row r="5130" spans="3:18">
      <c r="C5130" s="5"/>
      <c r="R5130" s="15"/>
    </row>
    <row r="5131" spans="3:18">
      <c r="C5131" s="5"/>
      <c r="R5131" s="15"/>
    </row>
    <row r="5132" spans="3:18">
      <c r="C5132" s="5"/>
      <c r="R5132" s="15"/>
    </row>
    <row r="5133" spans="3:18">
      <c r="C5133" s="5"/>
      <c r="R5133" s="15"/>
    </row>
    <row r="5134" spans="3:18">
      <c r="C5134" s="5"/>
      <c r="R5134" s="15"/>
    </row>
    <row r="5135" spans="3:18">
      <c r="C5135" s="5"/>
      <c r="R5135" s="15"/>
    </row>
    <row r="5136" spans="3:18">
      <c r="C5136" s="5"/>
      <c r="R5136" s="15"/>
    </row>
    <row r="5137" spans="3:18">
      <c r="C5137" s="5"/>
      <c r="R5137" s="15"/>
    </row>
    <row r="5138" spans="3:18">
      <c r="C5138" s="5"/>
      <c r="R5138" s="15"/>
    </row>
    <row r="5139" spans="3:18">
      <c r="C5139" s="5"/>
      <c r="R5139" s="15"/>
    </row>
    <row r="5140" spans="3:18">
      <c r="C5140" s="5"/>
      <c r="R5140" s="15"/>
    </row>
    <row r="5141" spans="3:18">
      <c r="C5141" s="5"/>
      <c r="R5141" s="15"/>
    </row>
    <row r="5142" spans="3:18">
      <c r="C5142" s="5"/>
      <c r="R5142" s="15"/>
    </row>
    <row r="5143" spans="3:18">
      <c r="C5143" s="5"/>
      <c r="R5143" s="15"/>
    </row>
    <row r="5144" spans="3:18">
      <c r="C5144" s="5"/>
      <c r="R5144" s="15"/>
    </row>
    <row r="5145" spans="3:18">
      <c r="C5145" s="5"/>
      <c r="R5145" s="15"/>
    </row>
    <row r="5146" spans="3:18">
      <c r="C5146" s="5"/>
      <c r="R5146" s="15"/>
    </row>
    <row r="5147" spans="3:18">
      <c r="C5147" s="5"/>
      <c r="R5147" s="15"/>
    </row>
    <row r="5148" spans="3:18">
      <c r="C5148" s="5"/>
      <c r="R5148" s="15"/>
    </row>
    <row r="5149" spans="3:18">
      <c r="C5149" s="5"/>
      <c r="R5149" s="15"/>
    </row>
    <row r="5150" spans="3:18">
      <c r="C5150" s="5"/>
      <c r="R5150" s="15"/>
    </row>
    <row r="5151" spans="3:18">
      <c r="C5151" s="5"/>
      <c r="R5151" s="15"/>
    </row>
    <row r="5152" spans="3:18">
      <c r="C5152" s="5"/>
      <c r="R5152" s="15"/>
    </row>
    <row r="5153" spans="3:18">
      <c r="C5153" s="5"/>
      <c r="R5153" s="15"/>
    </row>
    <row r="5154" spans="3:18">
      <c r="C5154" s="5"/>
      <c r="R5154" s="15"/>
    </row>
    <row r="5155" spans="3:18">
      <c r="C5155" s="5"/>
      <c r="R5155" s="15"/>
    </row>
    <row r="5156" spans="3:18">
      <c r="C5156" s="5"/>
      <c r="R5156" s="15"/>
    </row>
    <row r="5157" spans="3:18">
      <c r="C5157" s="5"/>
      <c r="R5157" s="15"/>
    </row>
    <row r="5158" spans="3:18">
      <c r="C5158" s="5"/>
      <c r="R5158" s="15"/>
    </row>
    <row r="5159" spans="3:18">
      <c r="C5159" s="5"/>
      <c r="R5159" s="15"/>
    </row>
    <row r="5160" spans="3:18">
      <c r="C5160" s="5"/>
      <c r="R5160" s="15"/>
    </row>
    <row r="5161" spans="3:18">
      <c r="C5161" s="5"/>
      <c r="R5161" s="15"/>
    </row>
    <row r="5162" spans="3:18">
      <c r="C5162" s="5"/>
      <c r="R5162" s="15"/>
    </row>
    <row r="5163" spans="3:18">
      <c r="C5163" s="5"/>
      <c r="R5163" s="15"/>
    </row>
    <row r="5164" spans="3:18">
      <c r="C5164" s="5"/>
      <c r="R5164" s="15"/>
    </row>
    <row r="5165" spans="3:18">
      <c r="C5165" s="5"/>
      <c r="R5165" s="15"/>
    </row>
    <row r="5166" spans="3:18">
      <c r="C5166" s="5"/>
      <c r="R5166" s="15"/>
    </row>
    <row r="5167" spans="3:18">
      <c r="C5167" s="5"/>
      <c r="R5167" s="15"/>
    </row>
    <row r="5168" spans="3:18">
      <c r="C5168" s="5"/>
      <c r="R5168" s="15"/>
    </row>
    <row r="5169" spans="3:18">
      <c r="C5169" s="5"/>
      <c r="R5169" s="15"/>
    </row>
    <row r="5170" spans="3:18">
      <c r="C5170" s="5"/>
      <c r="R5170" s="15"/>
    </row>
    <row r="5171" spans="3:18">
      <c r="C5171" s="5"/>
      <c r="R5171" s="15"/>
    </row>
    <row r="5172" spans="3:18">
      <c r="C5172" s="5"/>
      <c r="R5172" s="15"/>
    </row>
    <row r="5173" spans="3:18">
      <c r="C5173" s="5"/>
      <c r="R5173" s="15"/>
    </row>
    <row r="5174" spans="3:18">
      <c r="C5174" s="5"/>
      <c r="R5174" s="15"/>
    </row>
    <row r="5175" spans="3:18">
      <c r="C5175" s="5"/>
      <c r="R5175" s="15"/>
    </row>
    <row r="5176" spans="3:18">
      <c r="C5176" s="5"/>
      <c r="R5176" s="15"/>
    </row>
    <row r="5177" spans="3:18">
      <c r="C5177" s="5"/>
      <c r="R5177" s="15"/>
    </row>
    <row r="5178" spans="3:18">
      <c r="C5178" s="5"/>
      <c r="R5178" s="15"/>
    </row>
    <row r="5179" spans="3:18">
      <c r="C5179" s="5"/>
      <c r="R5179" s="15"/>
    </row>
    <row r="5180" spans="3:18">
      <c r="C5180" s="5"/>
      <c r="R5180" s="15"/>
    </row>
    <row r="5181" spans="3:18">
      <c r="C5181" s="5"/>
      <c r="R5181" s="15"/>
    </row>
    <row r="5182" spans="3:18">
      <c r="C5182" s="5"/>
      <c r="R5182" s="15"/>
    </row>
    <row r="5183" spans="3:18">
      <c r="C5183" s="5"/>
      <c r="R5183" s="15"/>
    </row>
    <row r="5184" spans="3:18">
      <c r="C5184" s="5"/>
      <c r="R5184" s="15"/>
    </row>
    <row r="5185" spans="3:18">
      <c r="C5185" s="5"/>
      <c r="R5185" s="15"/>
    </row>
    <row r="5186" spans="3:18">
      <c r="C5186" s="5"/>
      <c r="R5186" s="15"/>
    </row>
    <row r="5187" spans="3:18">
      <c r="C5187" s="5"/>
      <c r="R5187" s="15"/>
    </row>
    <row r="5188" spans="3:18">
      <c r="C5188" s="5"/>
      <c r="R5188" s="15"/>
    </row>
    <row r="5189" spans="3:18">
      <c r="C5189" s="5"/>
      <c r="R5189" s="15"/>
    </row>
    <row r="5190" spans="3:18">
      <c r="C5190" s="5"/>
      <c r="R5190" s="15"/>
    </row>
    <row r="5191" spans="3:18">
      <c r="C5191" s="5"/>
      <c r="R5191" s="15"/>
    </row>
    <row r="5192" spans="3:18">
      <c r="C5192" s="5"/>
      <c r="R5192" s="15"/>
    </row>
    <row r="5193" spans="3:18">
      <c r="C5193" s="5"/>
      <c r="R5193" s="15"/>
    </row>
    <row r="5194" spans="3:18">
      <c r="C5194" s="5"/>
      <c r="R5194" s="15"/>
    </row>
    <row r="5195" spans="3:18">
      <c r="C5195" s="5"/>
      <c r="R5195" s="15"/>
    </row>
    <row r="5196" spans="3:18">
      <c r="C5196" s="5"/>
      <c r="R5196" s="15"/>
    </row>
    <row r="5197" spans="3:18">
      <c r="C5197" s="5"/>
      <c r="R5197" s="15"/>
    </row>
    <row r="5198" spans="3:18">
      <c r="C5198" s="5"/>
      <c r="R5198" s="15"/>
    </row>
    <row r="5199" spans="3:18">
      <c r="C5199" s="5"/>
      <c r="R5199" s="15"/>
    </row>
    <row r="5200" spans="3:18">
      <c r="C5200" s="5"/>
      <c r="R5200" s="15"/>
    </row>
    <row r="5201" spans="3:18">
      <c r="C5201" s="5"/>
      <c r="R5201" s="15"/>
    </row>
    <row r="5202" spans="3:18">
      <c r="C5202" s="5"/>
      <c r="R5202" s="15"/>
    </row>
    <row r="5203" spans="3:18">
      <c r="C5203" s="5"/>
      <c r="R5203" s="15"/>
    </row>
    <row r="5204" spans="3:18">
      <c r="C5204" s="5"/>
      <c r="R5204" s="15"/>
    </row>
    <row r="5205" spans="3:18">
      <c r="C5205" s="5"/>
      <c r="R5205" s="15"/>
    </row>
    <row r="5206" spans="3:18">
      <c r="C5206" s="5"/>
      <c r="R5206" s="15"/>
    </row>
    <row r="5207" spans="3:18">
      <c r="C5207" s="5"/>
      <c r="R5207" s="15"/>
    </row>
    <row r="5208" spans="3:18">
      <c r="C5208" s="5"/>
      <c r="R5208" s="15"/>
    </row>
    <row r="5209" spans="3:18">
      <c r="C5209" s="5"/>
      <c r="R5209" s="15"/>
    </row>
    <row r="5210" spans="3:18">
      <c r="C5210" s="5"/>
      <c r="R5210" s="15"/>
    </row>
    <row r="5211" spans="3:18">
      <c r="C5211" s="5"/>
      <c r="R5211" s="15"/>
    </row>
    <row r="5212" spans="3:18">
      <c r="C5212" s="5"/>
      <c r="R5212" s="15"/>
    </row>
    <row r="5213" spans="3:18">
      <c r="C5213" s="5"/>
      <c r="R5213" s="15"/>
    </row>
    <row r="5214" spans="3:18">
      <c r="C5214" s="5"/>
      <c r="R5214" s="15"/>
    </row>
    <row r="5215" spans="3:18">
      <c r="C5215" s="5"/>
      <c r="R5215" s="15"/>
    </row>
    <row r="5216" spans="3:18">
      <c r="C5216" s="5"/>
      <c r="R5216" s="15"/>
    </row>
    <row r="5217" spans="3:18">
      <c r="C5217" s="5"/>
      <c r="R5217" s="15"/>
    </row>
    <row r="5218" spans="3:18">
      <c r="C5218" s="5"/>
      <c r="R5218" s="15"/>
    </row>
    <row r="5219" spans="3:18">
      <c r="C5219" s="5"/>
      <c r="R5219" s="15"/>
    </row>
    <row r="5220" spans="3:18">
      <c r="C5220" s="5"/>
      <c r="R5220" s="15"/>
    </row>
    <row r="5221" spans="3:18">
      <c r="C5221" s="5"/>
      <c r="R5221" s="15"/>
    </row>
    <row r="5222" spans="3:18">
      <c r="C5222" s="5"/>
      <c r="R5222" s="15"/>
    </row>
    <row r="5223" spans="3:18">
      <c r="C5223" s="5"/>
      <c r="R5223" s="15"/>
    </row>
    <row r="5224" spans="3:18">
      <c r="C5224" s="5"/>
      <c r="R5224" s="15"/>
    </row>
    <row r="5225" spans="3:18">
      <c r="C5225" s="5"/>
      <c r="R5225" s="15"/>
    </row>
    <row r="5226" spans="3:18">
      <c r="C5226" s="5"/>
      <c r="R5226" s="15"/>
    </row>
    <row r="5227" spans="3:18">
      <c r="C5227" s="5"/>
      <c r="R5227" s="15"/>
    </row>
    <row r="5228" spans="3:18">
      <c r="C5228" s="5"/>
      <c r="R5228" s="15"/>
    </row>
    <row r="5229" spans="3:18">
      <c r="C5229" s="5"/>
      <c r="R5229" s="15"/>
    </row>
    <row r="5230" spans="3:18">
      <c r="C5230" s="5"/>
      <c r="R5230" s="15"/>
    </row>
    <row r="5231" spans="3:18">
      <c r="C5231" s="5"/>
      <c r="R5231" s="15"/>
    </row>
    <row r="5232" spans="3:18">
      <c r="C5232" s="5"/>
      <c r="R5232" s="15"/>
    </row>
    <row r="5233" spans="3:18">
      <c r="C5233" s="5"/>
      <c r="R5233" s="15"/>
    </row>
    <row r="5234" spans="3:18">
      <c r="C5234" s="5"/>
      <c r="R5234" s="15"/>
    </row>
    <row r="5235" spans="3:18">
      <c r="C5235" s="5"/>
      <c r="R5235" s="15"/>
    </row>
    <row r="5236" spans="3:18">
      <c r="C5236" s="5"/>
      <c r="R5236" s="15"/>
    </row>
    <row r="5237" spans="3:18">
      <c r="C5237" s="5"/>
      <c r="R5237" s="15"/>
    </row>
    <row r="5238" spans="3:18">
      <c r="C5238" s="5"/>
      <c r="R5238" s="15"/>
    </row>
    <row r="5239" spans="3:18">
      <c r="C5239" s="5"/>
      <c r="R5239" s="15"/>
    </row>
    <row r="5240" spans="3:18">
      <c r="C5240" s="5"/>
      <c r="R5240" s="15"/>
    </row>
    <row r="5241" spans="3:18">
      <c r="C5241" s="5"/>
      <c r="R5241" s="15"/>
    </row>
    <row r="5242" spans="3:18">
      <c r="C5242" s="5"/>
      <c r="R5242" s="15"/>
    </row>
    <row r="5243" spans="3:18">
      <c r="C5243" s="5"/>
      <c r="R5243" s="15"/>
    </row>
    <row r="5244" spans="3:18">
      <c r="C5244" s="5"/>
      <c r="R5244" s="15"/>
    </row>
    <row r="5245" spans="3:18">
      <c r="C5245" s="5"/>
      <c r="R5245" s="15"/>
    </row>
    <row r="5246" spans="3:18">
      <c r="C5246" s="5"/>
      <c r="R5246" s="15"/>
    </row>
    <row r="5247" spans="3:18">
      <c r="C5247" s="5"/>
      <c r="R5247" s="15"/>
    </row>
    <row r="5248" spans="3:18">
      <c r="C5248" s="5"/>
      <c r="R5248" s="15"/>
    </row>
    <row r="5249" spans="3:18">
      <c r="C5249" s="5"/>
      <c r="R5249" s="15"/>
    </row>
    <row r="5250" spans="3:18">
      <c r="C5250" s="5"/>
      <c r="R5250" s="15"/>
    </row>
    <row r="5251" spans="3:18">
      <c r="C5251" s="5"/>
      <c r="R5251" s="15"/>
    </row>
    <row r="5252" spans="3:18">
      <c r="C5252" s="5"/>
      <c r="R5252" s="15"/>
    </row>
    <row r="5253" spans="3:18">
      <c r="C5253" s="5"/>
      <c r="R5253" s="15"/>
    </row>
    <row r="5254" spans="3:18">
      <c r="C5254" s="5"/>
      <c r="R5254" s="15"/>
    </row>
    <row r="5255" spans="3:18">
      <c r="C5255" s="5"/>
      <c r="R5255" s="15"/>
    </row>
    <row r="5256" spans="3:18">
      <c r="C5256" s="5"/>
      <c r="R5256" s="15"/>
    </row>
    <row r="5257" spans="3:18">
      <c r="C5257" s="5"/>
      <c r="R5257" s="15"/>
    </row>
    <row r="5258" spans="3:18">
      <c r="C5258" s="5"/>
      <c r="R5258" s="15"/>
    </row>
    <row r="5259" spans="3:18">
      <c r="C5259" s="5"/>
      <c r="R5259" s="15"/>
    </row>
    <row r="5260" spans="3:18">
      <c r="C5260" s="5"/>
      <c r="R5260" s="15"/>
    </row>
    <row r="5261" spans="3:18">
      <c r="C5261" s="5"/>
      <c r="R5261" s="15"/>
    </row>
    <row r="5262" spans="3:18">
      <c r="C5262" s="5"/>
      <c r="R5262" s="15"/>
    </row>
    <row r="5263" spans="3:18">
      <c r="C5263" s="5"/>
      <c r="R5263" s="15"/>
    </row>
    <row r="5264" spans="3:18">
      <c r="C5264" s="5"/>
      <c r="R5264" s="15"/>
    </row>
    <row r="5265" spans="3:18">
      <c r="C5265" s="5"/>
      <c r="R5265" s="15"/>
    </row>
    <row r="5266" spans="3:18">
      <c r="C5266" s="5"/>
      <c r="R5266" s="15"/>
    </row>
    <row r="5267" spans="3:18">
      <c r="C5267" s="5"/>
      <c r="R5267" s="15"/>
    </row>
    <row r="5268" spans="3:18">
      <c r="C5268" s="5"/>
      <c r="R5268" s="15"/>
    </row>
    <row r="5269" spans="3:18">
      <c r="C5269" s="5"/>
      <c r="R5269" s="15"/>
    </row>
    <row r="5270" spans="3:18">
      <c r="C5270" s="5"/>
      <c r="R5270" s="15"/>
    </row>
    <row r="5271" spans="3:18">
      <c r="C5271" s="5"/>
      <c r="R5271" s="15"/>
    </row>
    <row r="5272" spans="3:18">
      <c r="C5272" s="5"/>
      <c r="R5272" s="15"/>
    </row>
    <row r="5273" spans="3:18">
      <c r="C5273" s="5"/>
      <c r="R5273" s="15"/>
    </row>
    <row r="5274" spans="3:18">
      <c r="C5274" s="5"/>
      <c r="R5274" s="15"/>
    </row>
    <row r="5275" spans="3:18">
      <c r="C5275" s="5"/>
      <c r="R5275" s="15"/>
    </row>
    <row r="5276" spans="3:18">
      <c r="C5276" s="5"/>
      <c r="R5276" s="15"/>
    </row>
    <row r="5277" spans="3:18">
      <c r="C5277" s="5"/>
      <c r="R5277" s="15"/>
    </row>
    <row r="5278" spans="3:18">
      <c r="C5278" s="5"/>
      <c r="R5278" s="15"/>
    </row>
    <row r="5279" spans="3:18">
      <c r="C5279" s="5"/>
      <c r="R5279" s="15"/>
    </row>
    <row r="5280" spans="3:18">
      <c r="C5280" s="5"/>
      <c r="R5280" s="15"/>
    </row>
    <row r="5281" spans="3:18">
      <c r="C5281" s="5"/>
      <c r="R5281" s="15"/>
    </row>
    <row r="5282" spans="3:18">
      <c r="C5282" s="5"/>
      <c r="R5282" s="15"/>
    </row>
    <row r="5283" spans="3:18">
      <c r="C5283" s="5"/>
      <c r="R5283" s="15"/>
    </row>
    <row r="5284" spans="3:18">
      <c r="C5284" s="5"/>
      <c r="R5284" s="15"/>
    </row>
    <row r="5285" spans="3:18">
      <c r="C5285" s="5"/>
      <c r="R5285" s="15"/>
    </row>
    <row r="5286" spans="3:18">
      <c r="C5286" s="5"/>
      <c r="R5286" s="15"/>
    </row>
    <row r="5287" spans="3:18">
      <c r="C5287" s="5"/>
      <c r="R5287" s="15"/>
    </row>
    <row r="5288" spans="3:18">
      <c r="C5288" s="5"/>
      <c r="R5288" s="15"/>
    </row>
    <row r="5289" spans="3:18">
      <c r="C5289" s="5"/>
      <c r="R5289" s="15"/>
    </row>
    <row r="5290" spans="3:18">
      <c r="C5290" s="5"/>
      <c r="R5290" s="15"/>
    </row>
    <row r="5291" spans="3:18">
      <c r="C5291" s="5"/>
      <c r="R5291" s="15"/>
    </row>
    <row r="5292" spans="3:18">
      <c r="C5292" s="5"/>
      <c r="R5292" s="15"/>
    </row>
    <row r="5293" spans="3:18">
      <c r="C5293" s="5"/>
      <c r="R5293" s="15"/>
    </row>
    <row r="5294" spans="3:18">
      <c r="C5294" s="5"/>
      <c r="R5294" s="15"/>
    </row>
    <row r="5295" spans="3:18">
      <c r="C5295" s="5"/>
      <c r="R5295" s="15"/>
    </row>
    <row r="5296" spans="3:18">
      <c r="C5296" s="5"/>
      <c r="R5296" s="15"/>
    </row>
    <row r="5297" spans="3:18">
      <c r="C5297" s="5"/>
      <c r="R5297" s="15"/>
    </row>
    <row r="5298" spans="3:18">
      <c r="C5298" s="5"/>
      <c r="R5298" s="15"/>
    </row>
    <row r="5299" spans="3:18">
      <c r="C5299" s="5"/>
      <c r="R5299" s="15"/>
    </row>
    <row r="5300" spans="3:18">
      <c r="C5300" s="5"/>
      <c r="R5300" s="15"/>
    </row>
    <row r="5301" spans="3:18">
      <c r="C5301" s="5"/>
      <c r="R5301" s="15"/>
    </row>
    <row r="5302" spans="3:18">
      <c r="C5302" s="5"/>
      <c r="R5302" s="15"/>
    </row>
    <row r="5303" spans="3:18">
      <c r="C5303" s="5"/>
      <c r="R5303" s="15"/>
    </row>
    <row r="5304" spans="3:18">
      <c r="C5304" s="5"/>
      <c r="R5304" s="15"/>
    </row>
    <row r="5305" spans="3:18">
      <c r="C5305" s="5"/>
      <c r="R5305" s="15"/>
    </row>
    <row r="5306" spans="3:18">
      <c r="C5306" s="5"/>
      <c r="R5306" s="15"/>
    </row>
    <row r="5307" spans="3:18">
      <c r="C5307" s="5"/>
      <c r="R5307" s="15"/>
    </row>
    <row r="5308" spans="3:18">
      <c r="C5308" s="5"/>
      <c r="R5308" s="15"/>
    </row>
    <row r="5309" spans="3:18">
      <c r="C5309" s="5"/>
      <c r="R5309" s="15"/>
    </row>
    <row r="5310" spans="3:18">
      <c r="C5310" s="5"/>
      <c r="R5310" s="15"/>
    </row>
    <row r="5311" spans="3:18">
      <c r="C5311" s="5"/>
      <c r="R5311" s="15"/>
    </row>
    <row r="5312" spans="3:18">
      <c r="C5312" s="5"/>
      <c r="R5312" s="15"/>
    </row>
    <row r="5313" spans="3:18">
      <c r="C5313" s="5"/>
      <c r="R5313" s="15"/>
    </row>
    <row r="5314" spans="3:18">
      <c r="C5314" s="5"/>
      <c r="R5314" s="15"/>
    </row>
    <row r="5315" spans="3:18">
      <c r="C5315" s="5"/>
      <c r="R5315" s="15"/>
    </row>
    <row r="5316" spans="3:18">
      <c r="C5316" s="5"/>
      <c r="R5316" s="15"/>
    </row>
    <row r="5317" spans="3:18">
      <c r="C5317" s="5"/>
      <c r="R5317" s="15"/>
    </row>
    <row r="5318" spans="3:18">
      <c r="C5318" s="5"/>
      <c r="R5318" s="15"/>
    </row>
    <row r="5319" spans="3:18">
      <c r="C5319" s="5"/>
      <c r="R5319" s="15"/>
    </row>
    <row r="5320" spans="3:18">
      <c r="C5320" s="5"/>
      <c r="R5320" s="15"/>
    </row>
    <row r="5321" spans="3:18">
      <c r="C5321" s="5"/>
      <c r="R5321" s="15"/>
    </row>
    <row r="5322" spans="3:18">
      <c r="C5322" s="5"/>
      <c r="R5322" s="15"/>
    </row>
    <row r="5323" spans="3:18">
      <c r="C5323" s="5"/>
      <c r="R5323" s="15"/>
    </row>
    <row r="5324" spans="3:18">
      <c r="C5324" s="5"/>
      <c r="R5324" s="15"/>
    </row>
    <row r="5325" spans="3:18">
      <c r="C5325" s="5"/>
      <c r="R5325" s="15"/>
    </row>
    <row r="5326" spans="3:18">
      <c r="C5326" s="5"/>
      <c r="R5326" s="15"/>
    </row>
    <row r="5327" spans="3:18">
      <c r="C5327" s="5"/>
      <c r="R5327" s="15"/>
    </row>
    <row r="5328" spans="3:18">
      <c r="C5328" s="5"/>
      <c r="R5328" s="15"/>
    </row>
    <row r="5329" spans="3:18">
      <c r="C5329" s="5"/>
      <c r="R5329" s="15"/>
    </row>
    <row r="5330" spans="3:18">
      <c r="C5330" s="5"/>
      <c r="R5330" s="15"/>
    </row>
    <row r="5331" spans="3:18">
      <c r="C5331" s="5"/>
      <c r="R5331" s="15"/>
    </row>
    <row r="5332" spans="3:18">
      <c r="C5332" s="5"/>
      <c r="R5332" s="15"/>
    </row>
    <row r="5333" spans="3:18">
      <c r="C5333" s="5"/>
      <c r="R5333" s="15"/>
    </row>
    <row r="5334" spans="3:18">
      <c r="C5334" s="5"/>
      <c r="R5334" s="15"/>
    </row>
    <row r="5335" spans="3:18">
      <c r="C5335" s="5"/>
      <c r="R5335" s="15"/>
    </row>
    <row r="5336" spans="3:18">
      <c r="C5336" s="5"/>
      <c r="R5336" s="15"/>
    </row>
    <row r="5337" spans="3:18">
      <c r="C5337" s="5"/>
      <c r="R5337" s="15"/>
    </row>
    <row r="5338" spans="3:18">
      <c r="C5338" s="5"/>
      <c r="R5338" s="15"/>
    </row>
    <row r="5339" spans="3:18">
      <c r="C5339" s="5"/>
      <c r="R5339" s="15"/>
    </row>
    <row r="5340" spans="3:18">
      <c r="C5340" s="5"/>
      <c r="R5340" s="15"/>
    </row>
    <row r="5341" spans="3:18">
      <c r="C5341" s="5"/>
      <c r="R5341" s="15"/>
    </row>
    <row r="5342" spans="3:18">
      <c r="C5342" s="5"/>
      <c r="R5342" s="15"/>
    </row>
    <row r="5343" spans="3:18">
      <c r="C5343" s="5"/>
      <c r="R5343" s="15"/>
    </row>
    <row r="5344" spans="3:18">
      <c r="C5344" s="5"/>
      <c r="R5344" s="15"/>
    </row>
    <row r="5345" spans="3:18">
      <c r="C5345" s="5"/>
      <c r="R5345" s="15"/>
    </row>
    <row r="5346" spans="3:18">
      <c r="C5346" s="5"/>
      <c r="R5346" s="15"/>
    </row>
    <row r="5347" spans="3:18">
      <c r="C5347" s="5"/>
      <c r="R5347" s="15"/>
    </row>
    <row r="5348" spans="3:18">
      <c r="C5348" s="5"/>
      <c r="R5348" s="15"/>
    </row>
    <row r="5349" spans="3:18">
      <c r="C5349" s="5"/>
      <c r="R5349" s="15"/>
    </row>
    <row r="5350" spans="3:18">
      <c r="C5350" s="5"/>
      <c r="R5350" s="15"/>
    </row>
    <row r="5351" spans="3:18">
      <c r="C5351" s="5"/>
      <c r="R5351" s="15"/>
    </row>
    <row r="5352" spans="3:18">
      <c r="C5352" s="5"/>
      <c r="R5352" s="15"/>
    </row>
    <row r="5353" spans="3:18">
      <c r="C5353" s="5"/>
      <c r="R5353" s="15"/>
    </row>
    <row r="5354" spans="3:18">
      <c r="C5354" s="5"/>
      <c r="R5354" s="15"/>
    </row>
    <row r="5355" spans="3:18">
      <c r="C5355" s="5"/>
      <c r="R5355" s="15"/>
    </row>
    <row r="5356" spans="3:18">
      <c r="C5356" s="5"/>
      <c r="R5356" s="15"/>
    </row>
    <row r="5357" spans="3:18">
      <c r="C5357" s="5"/>
      <c r="R5357" s="15"/>
    </row>
    <row r="5358" spans="3:18">
      <c r="C5358" s="5"/>
      <c r="R5358" s="15"/>
    </row>
    <row r="5359" spans="3:18">
      <c r="C5359" s="5"/>
      <c r="R5359" s="15"/>
    </row>
    <row r="5360" spans="3:18">
      <c r="C5360" s="5"/>
      <c r="R5360" s="15"/>
    </row>
    <row r="5361" spans="3:18">
      <c r="C5361" s="5"/>
      <c r="R5361" s="15"/>
    </row>
    <row r="5362" spans="3:18">
      <c r="C5362" s="5"/>
      <c r="R5362" s="15"/>
    </row>
    <row r="5363" spans="3:18">
      <c r="C5363" s="5"/>
      <c r="R5363" s="15"/>
    </row>
    <row r="5364" spans="3:18">
      <c r="C5364" s="5"/>
      <c r="R5364" s="15"/>
    </row>
    <row r="5365" spans="3:18">
      <c r="C5365" s="5"/>
      <c r="R5365" s="15"/>
    </row>
    <row r="5366" spans="3:18">
      <c r="C5366" s="5"/>
      <c r="R5366" s="15"/>
    </row>
    <row r="5367" spans="3:18">
      <c r="C5367" s="5"/>
      <c r="R5367" s="15"/>
    </row>
    <row r="5368" spans="3:18">
      <c r="C5368" s="5"/>
      <c r="R5368" s="15"/>
    </row>
    <row r="5369" spans="3:18">
      <c r="C5369" s="5"/>
      <c r="R5369" s="15"/>
    </row>
    <row r="5370" spans="3:18">
      <c r="C5370" s="5"/>
      <c r="R5370" s="15"/>
    </row>
    <row r="5371" spans="3:18">
      <c r="C5371" s="5"/>
      <c r="R5371" s="15"/>
    </row>
    <row r="5372" spans="3:18">
      <c r="C5372" s="5"/>
      <c r="R5372" s="15"/>
    </row>
    <row r="5373" spans="3:18">
      <c r="C5373" s="5"/>
      <c r="R5373" s="15"/>
    </row>
    <row r="5374" spans="3:18">
      <c r="C5374" s="5"/>
      <c r="R5374" s="15"/>
    </row>
    <row r="5375" spans="3:18">
      <c r="C5375" s="5"/>
      <c r="R5375" s="15"/>
    </row>
    <row r="5376" spans="3:18">
      <c r="C5376" s="5"/>
      <c r="R5376" s="15"/>
    </row>
    <row r="5377" spans="3:18">
      <c r="C5377" s="5"/>
      <c r="R5377" s="15"/>
    </row>
    <row r="5378" spans="3:18">
      <c r="C5378" s="5"/>
      <c r="R5378" s="15"/>
    </row>
    <row r="5379" spans="3:18">
      <c r="C5379" s="5"/>
      <c r="R5379" s="15"/>
    </row>
    <row r="5380" spans="3:18">
      <c r="C5380" s="5"/>
      <c r="R5380" s="15"/>
    </row>
    <row r="5381" spans="3:18">
      <c r="C5381" s="5"/>
      <c r="R5381" s="15"/>
    </row>
    <row r="5382" spans="3:18">
      <c r="C5382" s="5"/>
      <c r="R5382" s="15"/>
    </row>
    <row r="5383" spans="3:18">
      <c r="C5383" s="5"/>
      <c r="R5383" s="15"/>
    </row>
    <row r="5384" spans="3:18">
      <c r="C5384" s="5"/>
      <c r="R5384" s="15"/>
    </row>
    <row r="5385" spans="3:18">
      <c r="C5385" s="5"/>
      <c r="R5385" s="15"/>
    </row>
    <row r="5386" spans="3:18">
      <c r="C5386" s="5"/>
      <c r="R5386" s="15"/>
    </row>
    <row r="5387" spans="3:18">
      <c r="C5387" s="5"/>
      <c r="R5387" s="15"/>
    </row>
    <row r="5388" spans="3:18">
      <c r="C5388" s="5"/>
      <c r="R5388" s="15"/>
    </row>
    <row r="5389" spans="3:18">
      <c r="C5389" s="5"/>
      <c r="R5389" s="15"/>
    </row>
    <row r="5390" spans="3:18">
      <c r="C5390" s="5"/>
      <c r="R5390" s="15"/>
    </row>
    <row r="5391" spans="3:18">
      <c r="C5391" s="5"/>
      <c r="R5391" s="15"/>
    </row>
    <row r="5392" spans="3:18">
      <c r="C5392" s="5"/>
      <c r="R5392" s="15"/>
    </row>
    <row r="5393" spans="3:18">
      <c r="C5393" s="5"/>
      <c r="R5393" s="15"/>
    </row>
    <row r="5394" spans="3:18">
      <c r="C5394" s="5"/>
      <c r="R5394" s="15"/>
    </row>
    <row r="5395" spans="3:18">
      <c r="C5395" s="5"/>
      <c r="R5395" s="15"/>
    </row>
    <row r="5396" spans="3:18">
      <c r="C5396" s="5"/>
      <c r="R5396" s="15"/>
    </row>
    <row r="5397" spans="3:18">
      <c r="C5397" s="5"/>
      <c r="R5397" s="15"/>
    </row>
    <row r="5398" spans="3:18">
      <c r="C5398" s="5"/>
      <c r="R5398" s="15"/>
    </row>
    <row r="5399" spans="3:18">
      <c r="C5399" s="5"/>
      <c r="R5399" s="15"/>
    </row>
    <row r="5400" spans="3:18">
      <c r="C5400" s="5"/>
      <c r="R5400" s="15"/>
    </row>
    <row r="5401" spans="3:18">
      <c r="C5401" s="5"/>
      <c r="R5401" s="15"/>
    </row>
    <row r="5402" spans="3:18">
      <c r="C5402" s="5"/>
      <c r="R5402" s="15"/>
    </row>
    <row r="5403" spans="3:18">
      <c r="C5403" s="5"/>
      <c r="R5403" s="15"/>
    </row>
    <row r="5404" spans="3:18">
      <c r="C5404" s="5"/>
      <c r="R5404" s="15"/>
    </row>
    <row r="5405" spans="3:18">
      <c r="C5405" s="5"/>
      <c r="R5405" s="15"/>
    </row>
    <row r="5406" spans="3:18">
      <c r="C5406" s="5"/>
      <c r="R5406" s="15"/>
    </row>
    <row r="5407" spans="3:18">
      <c r="C5407" s="5"/>
      <c r="R5407" s="15"/>
    </row>
    <row r="5408" spans="3:18">
      <c r="C5408" s="5"/>
      <c r="R5408" s="15"/>
    </row>
    <row r="5409" spans="3:18">
      <c r="C5409" s="5"/>
      <c r="R5409" s="15"/>
    </row>
    <row r="5410" spans="3:18">
      <c r="C5410" s="5"/>
      <c r="R5410" s="15"/>
    </row>
    <row r="5411" spans="3:18">
      <c r="C5411" s="5"/>
      <c r="R5411" s="15"/>
    </row>
    <row r="5412" spans="3:18">
      <c r="C5412" s="5"/>
      <c r="R5412" s="15"/>
    </row>
    <row r="5413" spans="3:18">
      <c r="C5413" s="5"/>
      <c r="R5413" s="15"/>
    </row>
    <row r="5414" spans="3:18">
      <c r="C5414" s="5"/>
      <c r="R5414" s="15"/>
    </row>
    <row r="5415" spans="3:18">
      <c r="C5415" s="5"/>
      <c r="R5415" s="15"/>
    </row>
    <row r="5416" spans="3:18">
      <c r="C5416" s="5"/>
      <c r="R5416" s="15"/>
    </row>
    <row r="5417" spans="3:18">
      <c r="C5417" s="5"/>
      <c r="R5417" s="15"/>
    </row>
    <row r="5418" spans="3:18">
      <c r="C5418" s="5"/>
      <c r="R5418" s="15"/>
    </row>
    <row r="5419" spans="3:18">
      <c r="C5419" s="5"/>
      <c r="R5419" s="15"/>
    </row>
    <row r="5420" spans="3:18">
      <c r="C5420" s="5"/>
      <c r="R5420" s="15"/>
    </row>
    <row r="5421" spans="3:18">
      <c r="C5421" s="5"/>
      <c r="R5421" s="15"/>
    </row>
    <row r="5422" spans="3:18">
      <c r="C5422" s="5"/>
      <c r="R5422" s="15"/>
    </row>
    <row r="5423" spans="3:18">
      <c r="C5423" s="5"/>
      <c r="R5423" s="15"/>
    </row>
    <row r="5424" spans="3:18">
      <c r="C5424" s="5"/>
      <c r="R5424" s="15"/>
    </row>
    <row r="5425" spans="3:18">
      <c r="C5425" s="5"/>
      <c r="R5425" s="15"/>
    </row>
    <row r="5426" spans="3:18">
      <c r="C5426" s="5"/>
      <c r="R5426" s="15"/>
    </row>
    <row r="5427" spans="3:18">
      <c r="C5427" s="5"/>
      <c r="R5427" s="15"/>
    </row>
    <row r="5428" spans="3:18">
      <c r="C5428" s="5"/>
      <c r="R5428" s="15"/>
    </row>
    <row r="5429" spans="3:18">
      <c r="C5429" s="5"/>
      <c r="R5429" s="15"/>
    </row>
    <row r="5430" spans="3:18">
      <c r="C5430" s="5"/>
      <c r="R5430" s="15"/>
    </row>
    <row r="5431" spans="3:18">
      <c r="C5431" s="5"/>
      <c r="R5431" s="15"/>
    </row>
    <row r="5432" spans="3:18">
      <c r="C5432" s="5"/>
      <c r="R5432" s="15"/>
    </row>
    <row r="5433" spans="3:18">
      <c r="C5433" s="5"/>
      <c r="R5433" s="15"/>
    </row>
    <row r="5434" spans="3:18">
      <c r="C5434" s="5"/>
      <c r="R5434" s="15"/>
    </row>
    <row r="5435" spans="3:18">
      <c r="C5435" s="5"/>
      <c r="R5435" s="15"/>
    </row>
    <row r="5436" spans="3:18">
      <c r="C5436" s="5"/>
      <c r="R5436" s="15"/>
    </row>
    <row r="5437" spans="3:18">
      <c r="C5437" s="5"/>
      <c r="R5437" s="15"/>
    </row>
    <row r="5438" spans="3:18">
      <c r="C5438" s="5"/>
      <c r="R5438" s="15"/>
    </row>
    <row r="5439" spans="3:18">
      <c r="C5439" s="5"/>
      <c r="R5439" s="15"/>
    </row>
    <row r="5440" spans="3:18">
      <c r="C5440" s="5"/>
      <c r="R5440" s="15"/>
    </row>
    <row r="5441" spans="3:18">
      <c r="C5441" s="5"/>
      <c r="R5441" s="15"/>
    </row>
    <row r="5442" spans="3:18">
      <c r="C5442" s="5"/>
      <c r="R5442" s="15"/>
    </row>
    <row r="5443" spans="3:18">
      <c r="C5443" s="5"/>
      <c r="R5443" s="15"/>
    </row>
    <row r="5444" spans="3:18">
      <c r="C5444" s="5"/>
      <c r="R5444" s="15"/>
    </row>
    <row r="5445" spans="3:18">
      <c r="C5445" s="5"/>
      <c r="R5445" s="15"/>
    </row>
    <row r="5446" spans="3:18">
      <c r="C5446" s="5"/>
      <c r="R5446" s="15"/>
    </row>
    <row r="5447" spans="3:18">
      <c r="C5447" s="5"/>
      <c r="R5447" s="15"/>
    </row>
    <row r="5448" spans="3:18">
      <c r="C5448" s="5"/>
      <c r="R5448" s="15"/>
    </row>
    <row r="5449" spans="3:18">
      <c r="C5449" s="5"/>
      <c r="R5449" s="15"/>
    </row>
    <row r="5450" spans="3:18">
      <c r="C5450" s="5"/>
      <c r="R5450" s="15"/>
    </row>
    <row r="5451" spans="3:18">
      <c r="C5451" s="5"/>
      <c r="R5451" s="15"/>
    </row>
    <row r="5452" spans="3:18">
      <c r="C5452" s="5"/>
      <c r="R5452" s="15"/>
    </row>
    <row r="5453" spans="3:18">
      <c r="C5453" s="5"/>
      <c r="R5453" s="15"/>
    </row>
    <row r="5454" spans="3:18">
      <c r="C5454" s="5"/>
      <c r="R5454" s="15"/>
    </row>
    <row r="5455" spans="3:18">
      <c r="C5455" s="5"/>
      <c r="R5455" s="15"/>
    </row>
    <row r="5456" spans="3:18">
      <c r="C5456" s="5"/>
      <c r="R5456" s="15"/>
    </row>
    <row r="5457" spans="3:18">
      <c r="C5457" s="5"/>
      <c r="R5457" s="15"/>
    </row>
    <row r="5458" spans="3:18">
      <c r="C5458" s="5"/>
      <c r="R5458" s="15"/>
    </row>
    <row r="5459" spans="3:18">
      <c r="C5459" s="5"/>
      <c r="R5459" s="15"/>
    </row>
    <row r="5460" spans="3:18">
      <c r="C5460" s="5"/>
      <c r="R5460" s="15"/>
    </row>
    <row r="5461" spans="3:18">
      <c r="C5461" s="5"/>
      <c r="R5461" s="15"/>
    </row>
    <row r="5462" spans="3:18">
      <c r="C5462" s="5"/>
      <c r="R5462" s="15"/>
    </row>
    <row r="5463" spans="3:18">
      <c r="C5463" s="5"/>
      <c r="R5463" s="15"/>
    </row>
    <row r="5464" spans="3:18">
      <c r="C5464" s="5"/>
      <c r="R5464" s="15"/>
    </row>
    <row r="5465" spans="3:18">
      <c r="C5465" s="5"/>
      <c r="R5465" s="15"/>
    </row>
    <row r="5466" spans="3:18">
      <c r="C5466" s="5"/>
      <c r="R5466" s="15"/>
    </row>
    <row r="5467" spans="3:18">
      <c r="C5467" s="5"/>
      <c r="R5467" s="15"/>
    </row>
    <row r="5468" spans="3:18">
      <c r="C5468" s="5"/>
      <c r="R5468" s="15"/>
    </row>
    <row r="5469" spans="3:18">
      <c r="C5469" s="5"/>
      <c r="R5469" s="15"/>
    </row>
    <row r="5470" spans="3:18">
      <c r="C5470" s="5"/>
      <c r="R5470" s="15"/>
    </row>
    <row r="5471" spans="3:18">
      <c r="C5471" s="5"/>
      <c r="R5471" s="15"/>
    </row>
    <row r="5472" spans="3:18">
      <c r="C5472" s="5"/>
      <c r="R5472" s="15"/>
    </row>
    <row r="5473" spans="3:18">
      <c r="C5473" s="5"/>
      <c r="R5473" s="15"/>
    </row>
    <row r="5474" spans="3:18">
      <c r="C5474" s="5"/>
      <c r="R5474" s="15"/>
    </row>
    <row r="5475" spans="3:18">
      <c r="C5475" s="5"/>
      <c r="R5475" s="15"/>
    </row>
    <row r="5476" spans="3:18">
      <c r="C5476" s="5"/>
      <c r="R5476" s="15"/>
    </row>
    <row r="5477" spans="3:18">
      <c r="C5477" s="5"/>
      <c r="R5477" s="15"/>
    </row>
    <row r="5478" spans="3:18">
      <c r="C5478" s="5"/>
      <c r="R5478" s="15"/>
    </row>
    <row r="5479" spans="3:18">
      <c r="C5479" s="5"/>
      <c r="R5479" s="15"/>
    </row>
    <row r="5480" spans="3:18">
      <c r="C5480" s="5"/>
      <c r="R5480" s="15"/>
    </row>
    <row r="5481" spans="3:18">
      <c r="C5481" s="5"/>
      <c r="R5481" s="15"/>
    </row>
    <row r="5482" spans="3:18">
      <c r="C5482" s="5"/>
      <c r="R5482" s="15"/>
    </row>
    <row r="5483" spans="3:18">
      <c r="C5483" s="5"/>
      <c r="R5483" s="15"/>
    </row>
    <row r="5484" spans="3:18">
      <c r="C5484" s="5"/>
      <c r="R5484" s="15"/>
    </row>
    <row r="5485" spans="3:18">
      <c r="C5485" s="5"/>
      <c r="R5485" s="15"/>
    </row>
    <row r="5486" spans="3:18">
      <c r="C5486" s="5"/>
      <c r="R5486" s="15"/>
    </row>
    <row r="5487" spans="3:18">
      <c r="C5487" s="5"/>
      <c r="R5487" s="15"/>
    </row>
    <row r="5488" spans="3:18">
      <c r="C5488" s="5"/>
      <c r="R5488" s="15"/>
    </row>
    <row r="5489" spans="3:18">
      <c r="C5489" s="5"/>
      <c r="R5489" s="15"/>
    </row>
    <row r="5490" spans="3:18">
      <c r="C5490" s="5"/>
      <c r="R5490" s="15"/>
    </row>
    <row r="5491" spans="3:18">
      <c r="C5491" s="5"/>
      <c r="R5491" s="15"/>
    </row>
    <row r="5492" spans="3:18">
      <c r="C5492" s="5"/>
      <c r="R5492" s="15"/>
    </row>
    <row r="5493" spans="3:18">
      <c r="C5493" s="5"/>
      <c r="R5493" s="15"/>
    </row>
    <row r="5494" spans="3:18">
      <c r="C5494" s="5"/>
      <c r="R5494" s="15"/>
    </row>
    <row r="5495" spans="3:18">
      <c r="C5495" s="5"/>
      <c r="R5495" s="15"/>
    </row>
    <row r="5496" spans="3:18">
      <c r="C5496" s="5"/>
      <c r="R5496" s="15"/>
    </row>
    <row r="5497" spans="3:18">
      <c r="C5497" s="5"/>
      <c r="R5497" s="15"/>
    </row>
    <row r="5498" spans="3:18">
      <c r="C5498" s="5"/>
      <c r="R5498" s="15"/>
    </row>
    <row r="5499" spans="3:18">
      <c r="C5499" s="5"/>
      <c r="R5499" s="15"/>
    </row>
    <row r="5500" spans="3:18">
      <c r="C5500" s="5"/>
      <c r="R5500" s="15"/>
    </row>
    <row r="5501" spans="3:18">
      <c r="C5501" s="5"/>
      <c r="R5501" s="15"/>
    </row>
    <row r="5502" spans="3:18">
      <c r="C5502" s="5"/>
      <c r="R5502" s="15"/>
    </row>
    <row r="5503" spans="3:18">
      <c r="C5503" s="5"/>
      <c r="R5503" s="15"/>
    </row>
    <row r="5504" spans="3:18">
      <c r="C5504" s="5"/>
      <c r="R5504" s="15"/>
    </row>
    <row r="5505" spans="3:18">
      <c r="C5505" s="5"/>
      <c r="R5505" s="15"/>
    </row>
    <row r="5506" spans="3:18">
      <c r="C5506" s="5"/>
      <c r="R5506" s="15"/>
    </row>
    <row r="5507" spans="3:18">
      <c r="C5507" s="5"/>
      <c r="R5507" s="15"/>
    </row>
    <row r="5508" spans="3:18">
      <c r="C5508" s="5"/>
      <c r="R5508" s="15"/>
    </row>
    <row r="5509" spans="3:18">
      <c r="C5509" s="5"/>
      <c r="R5509" s="15"/>
    </row>
    <row r="5510" spans="3:18">
      <c r="C5510" s="5"/>
      <c r="R5510" s="15"/>
    </row>
    <row r="5511" spans="3:18">
      <c r="C5511" s="5"/>
      <c r="R5511" s="15"/>
    </row>
    <row r="5512" spans="3:18">
      <c r="C5512" s="5"/>
      <c r="R5512" s="15"/>
    </row>
    <row r="5513" spans="3:18">
      <c r="C5513" s="5"/>
      <c r="R5513" s="15"/>
    </row>
    <row r="5514" spans="3:18">
      <c r="C5514" s="5"/>
      <c r="R5514" s="15"/>
    </row>
    <row r="5515" spans="3:18">
      <c r="C5515" s="5"/>
      <c r="R5515" s="15"/>
    </row>
    <row r="5516" spans="3:18">
      <c r="C5516" s="5"/>
      <c r="R5516" s="15"/>
    </row>
    <row r="5517" spans="3:18">
      <c r="C5517" s="5"/>
      <c r="R5517" s="15"/>
    </row>
    <row r="5518" spans="3:18">
      <c r="C5518" s="5"/>
      <c r="R5518" s="15"/>
    </row>
    <row r="5519" spans="3:18">
      <c r="C5519" s="5"/>
      <c r="R5519" s="15"/>
    </row>
    <row r="5520" spans="3:18">
      <c r="C5520" s="5"/>
      <c r="R5520" s="15"/>
    </row>
    <row r="5521" spans="3:18">
      <c r="C5521" s="5"/>
      <c r="R5521" s="15"/>
    </row>
    <row r="5522" spans="3:18">
      <c r="C5522" s="5"/>
      <c r="R5522" s="15"/>
    </row>
    <row r="5523" spans="3:18">
      <c r="C5523" s="5"/>
      <c r="R5523" s="15"/>
    </row>
    <row r="5524" spans="3:18">
      <c r="C5524" s="5"/>
      <c r="R5524" s="15"/>
    </row>
    <row r="5525" spans="3:18">
      <c r="C5525" s="5"/>
      <c r="R5525" s="15"/>
    </row>
    <row r="5526" spans="3:18">
      <c r="C5526" s="5"/>
      <c r="R5526" s="15"/>
    </row>
    <row r="5527" spans="3:18">
      <c r="C5527" s="5"/>
      <c r="R5527" s="15"/>
    </row>
    <row r="5528" spans="3:18">
      <c r="C5528" s="5"/>
      <c r="R5528" s="15"/>
    </row>
    <row r="5529" spans="3:18">
      <c r="C5529" s="5"/>
      <c r="R5529" s="15"/>
    </row>
    <row r="5530" spans="3:18">
      <c r="C5530" s="5"/>
      <c r="R5530" s="15"/>
    </row>
    <row r="5531" spans="3:18">
      <c r="C5531" s="5"/>
      <c r="R5531" s="15"/>
    </row>
    <row r="5532" spans="3:18">
      <c r="C5532" s="5"/>
      <c r="R5532" s="15"/>
    </row>
    <row r="5533" spans="3:18">
      <c r="C5533" s="5"/>
      <c r="R5533" s="15"/>
    </row>
    <row r="5534" spans="3:18">
      <c r="C5534" s="5"/>
      <c r="R5534" s="15"/>
    </row>
    <row r="5535" spans="3:18">
      <c r="C5535" s="5"/>
      <c r="R5535" s="15"/>
    </row>
    <row r="5536" spans="3:18">
      <c r="C5536" s="5"/>
      <c r="R5536" s="15"/>
    </row>
    <row r="5537" spans="3:18">
      <c r="C5537" s="5"/>
      <c r="R5537" s="15"/>
    </row>
    <row r="5538" spans="3:18">
      <c r="C5538" s="5"/>
      <c r="R5538" s="15"/>
    </row>
    <row r="5539" spans="3:18">
      <c r="C5539" s="5"/>
      <c r="R5539" s="15"/>
    </row>
    <row r="5540" spans="3:18">
      <c r="C5540" s="5"/>
      <c r="R5540" s="15"/>
    </row>
    <row r="5541" spans="3:18">
      <c r="C5541" s="5"/>
      <c r="R5541" s="15"/>
    </row>
    <row r="5542" spans="3:18">
      <c r="C5542" s="5"/>
      <c r="R5542" s="15"/>
    </row>
    <row r="5543" spans="3:18">
      <c r="C5543" s="5"/>
      <c r="R5543" s="15"/>
    </row>
    <row r="5544" spans="3:18">
      <c r="C5544" s="5"/>
      <c r="R5544" s="15"/>
    </row>
    <row r="5545" spans="3:18">
      <c r="C5545" s="5"/>
      <c r="R5545" s="15"/>
    </row>
    <row r="5546" spans="3:18">
      <c r="C5546" s="5"/>
      <c r="R5546" s="15"/>
    </row>
    <row r="5547" spans="3:18">
      <c r="C5547" s="5"/>
      <c r="R5547" s="15"/>
    </row>
    <row r="5548" spans="3:18">
      <c r="C5548" s="5"/>
      <c r="R5548" s="15"/>
    </row>
    <row r="5549" spans="3:18">
      <c r="C5549" s="5"/>
      <c r="R5549" s="15"/>
    </row>
    <row r="5550" spans="3:18">
      <c r="C5550" s="5"/>
      <c r="R5550" s="15"/>
    </row>
    <row r="5551" spans="3:18">
      <c r="C5551" s="5"/>
      <c r="R5551" s="15"/>
    </row>
    <row r="5552" spans="3:18">
      <c r="C5552" s="5"/>
      <c r="R5552" s="15"/>
    </row>
    <row r="5553" spans="3:18">
      <c r="C5553" s="5"/>
      <c r="R5553" s="15"/>
    </row>
    <row r="5554" spans="3:18">
      <c r="C5554" s="5"/>
      <c r="R5554" s="15"/>
    </row>
    <row r="5555" spans="3:18">
      <c r="C5555" s="5"/>
      <c r="R5555" s="15"/>
    </row>
    <row r="5556" spans="3:18">
      <c r="C5556" s="5"/>
      <c r="R5556" s="15"/>
    </row>
    <row r="5557" spans="3:18">
      <c r="C5557" s="5"/>
      <c r="R5557" s="15"/>
    </row>
    <row r="5558" spans="3:18">
      <c r="C5558" s="5"/>
      <c r="R5558" s="15"/>
    </row>
    <row r="5559" spans="3:18">
      <c r="C5559" s="5"/>
      <c r="R5559" s="15"/>
    </row>
    <row r="5560" spans="3:18">
      <c r="C5560" s="5"/>
      <c r="R5560" s="15"/>
    </row>
    <row r="5561" spans="3:18">
      <c r="C5561" s="5"/>
      <c r="R5561" s="15"/>
    </row>
    <row r="5562" spans="3:18">
      <c r="C5562" s="5"/>
      <c r="R5562" s="15"/>
    </row>
    <row r="5563" spans="3:18">
      <c r="C5563" s="5"/>
      <c r="R5563" s="15"/>
    </row>
    <row r="5564" spans="3:18">
      <c r="C5564" s="5"/>
      <c r="R5564" s="15"/>
    </row>
    <row r="5565" spans="3:18">
      <c r="C5565" s="5"/>
      <c r="R5565" s="15"/>
    </row>
    <row r="5566" spans="3:18">
      <c r="C5566" s="5"/>
      <c r="R5566" s="15"/>
    </row>
    <row r="5567" spans="3:18">
      <c r="C5567" s="5"/>
      <c r="R5567" s="15"/>
    </row>
    <row r="5568" spans="3:18">
      <c r="C5568" s="5"/>
      <c r="R5568" s="15"/>
    </row>
    <row r="5569" spans="3:18">
      <c r="C5569" s="5"/>
      <c r="R5569" s="15"/>
    </row>
    <row r="5570" spans="3:18">
      <c r="C5570" s="5"/>
      <c r="R5570" s="15"/>
    </row>
    <row r="5571" spans="3:18">
      <c r="C5571" s="5"/>
      <c r="R5571" s="15"/>
    </row>
    <row r="5572" spans="3:18">
      <c r="C5572" s="5"/>
      <c r="R5572" s="15"/>
    </row>
    <row r="5573" spans="3:18">
      <c r="C5573" s="5"/>
      <c r="R5573" s="15"/>
    </row>
    <row r="5574" spans="3:18">
      <c r="C5574" s="5"/>
      <c r="R5574" s="15"/>
    </row>
    <row r="5575" spans="3:18">
      <c r="C5575" s="5"/>
      <c r="R5575" s="15"/>
    </row>
    <row r="5576" spans="3:18">
      <c r="C5576" s="5"/>
      <c r="R5576" s="15"/>
    </row>
    <row r="5577" spans="3:18">
      <c r="C5577" s="5"/>
      <c r="R5577" s="15"/>
    </row>
    <row r="5578" spans="3:18">
      <c r="C5578" s="5"/>
      <c r="R5578" s="15"/>
    </row>
    <row r="5579" spans="3:18">
      <c r="C5579" s="5"/>
      <c r="R5579" s="15"/>
    </row>
    <row r="5580" spans="3:18">
      <c r="C5580" s="5"/>
      <c r="R5580" s="15"/>
    </row>
    <row r="5581" spans="3:18">
      <c r="C5581" s="5"/>
      <c r="R5581" s="15"/>
    </row>
    <row r="5582" spans="3:18">
      <c r="C5582" s="5"/>
      <c r="R5582" s="15"/>
    </row>
    <row r="5583" spans="3:18">
      <c r="C5583" s="5"/>
      <c r="R5583" s="15"/>
    </row>
    <row r="5584" spans="3:18">
      <c r="C5584" s="5"/>
      <c r="R5584" s="15"/>
    </row>
    <row r="5585" spans="3:18">
      <c r="C5585" s="5"/>
      <c r="R5585" s="15"/>
    </row>
    <row r="5586" spans="3:18">
      <c r="C5586" s="5"/>
      <c r="R5586" s="15"/>
    </row>
    <row r="5587" spans="3:18">
      <c r="C5587" s="5"/>
      <c r="R5587" s="15"/>
    </row>
    <row r="5588" spans="3:18">
      <c r="C5588" s="5"/>
      <c r="R5588" s="15"/>
    </row>
    <row r="5589" spans="3:18">
      <c r="C5589" s="5"/>
      <c r="R5589" s="15"/>
    </row>
    <row r="5590" spans="3:18">
      <c r="C5590" s="5"/>
      <c r="R5590" s="15"/>
    </row>
    <row r="5591" spans="3:18">
      <c r="C5591" s="5"/>
      <c r="R5591" s="15"/>
    </row>
    <row r="5592" spans="3:18">
      <c r="C5592" s="5"/>
      <c r="R5592" s="15"/>
    </row>
    <row r="5593" spans="3:18">
      <c r="C5593" s="5"/>
      <c r="R5593" s="15"/>
    </row>
    <row r="5594" spans="3:18">
      <c r="C5594" s="5"/>
      <c r="R5594" s="15"/>
    </row>
    <row r="5595" spans="3:18">
      <c r="C5595" s="5"/>
      <c r="R5595" s="15"/>
    </row>
    <row r="5596" spans="3:18">
      <c r="C5596" s="5"/>
      <c r="R5596" s="15"/>
    </row>
    <row r="5597" spans="3:18">
      <c r="C5597" s="5"/>
      <c r="R5597" s="15"/>
    </row>
    <row r="5598" spans="3:18">
      <c r="C5598" s="5"/>
      <c r="R5598" s="15"/>
    </row>
    <row r="5599" spans="3:18">
      <c r="C5599" s="5"/>
      <c r="R5599" s="15"/>
    </row>
    <row r="5600" spans="3:18">
      <c r="C5600" s="5"/>
      <c r="R5600" s="15"/>
    </row>
    <row r="5601" spans="3:18">
      <c r="C5601" s="5"/>
      <c r="R5601" s="15"/>
    </row>
    <row r="5602" spans="3:18">
      <c r="C5602" s="5"/>
      <c r="R5602" s="15"/>
    </row>
    <row r="5603" spans="3:18">
      <c r="C5603" s="5"/>
      <c r="R5603" s="15"/>
    </row>
    <row r="5604" spans="3:18">
      <c r="C5604" s="5"/>
      <c r="R5604" s="15"/>
    </row>
    <row r="5605" spans="3:18">
      <c r="C5605" s="5"/>
      <c r="R5605" s="15"/>
    </row>
    <row r="5606" spans="3:18">
      <c r="C5606" s="5"/>
      <c r="R5606" s="15"/>
    </row>
    <row r="5607" spans="3:18">
      <c r="C5607" s="5"/>
      <c r="R5607" s="15"/>
    </row>
    <row r="5608" spans="3:18">
      <c r="C5608" s="5"/>
      <c r="R5608" s="15"/>
    </row>
    <row r="5609" spans="3:18">
      <c r="C5609" s="5"/>
      <c r="R5609" s="15"/>
    </row>
    <row r="5610" spans="3:18">
      <c r="C5610" s="5"/>
      <c r="R5610" s="15"/>
    </row>
    <row r="5611" spans="3:18">
      <c r="C5611" s="5"/>
      <c r="R5611" s="15"/>
    </row>
    <row r="5612" spans="3:18">
      <c r="C5612" s="5"/>
      <c r="R5612" s="15"/>
    </row>
    <row r="5613" spans="3:18">
      <c r="C5613" s="5"/>
      <c r="R5613" s="15"/>
    </row>
    <row r="5614" spans="3:18">
      <c r="C5614" s="5"/>
      <c r="R5614" s="15"/>
    </row>
    <row r="5615" spans="3:18">
      <c r="C5615" s="5"/>
      <c r="R5615" s="15"/>
    </row>
    <row r="5616" spans="3:18">
      <c r="C5616" s="5"/>
      <c r="R5616" s="15"/>
    </row>
    <row r="5617" spans="3:18">
      <c r="C5617" s="5"/>
      <c r="R5617" s="15"/>
    </row>
    <row r="5618" spans="3:18">
      <c r="C5618" s="5"/>
      <c r="R5618" s="15"/>
    </row>
    <row r="5619" spans="3:18">
      <c r="C5619" s="5"/>
      <c r="R5619" s="15"/>
    </row>
    <row r="5620" spans="3:18">
      <c r="C5620" s="5"/>
      <c r="R5620" s="15"/>
    </row>
    <row r="5621" spans="3:18">
      <c r="C5621" s="5"/>
      <c r="R5621" s="15"/>
    </row>
    <row r="5622" spans="3:18">
      <c r="C5622" s="5"/>
      <c r="R5622" s="15"/>
    </row>
    <row r="5623" spans="3:18">
      <c r="C5623" s="5"/>
      <c r="R5623" s="15"/>
    </row>
    <row r="5624" spans="3:18">
      <c r="C5624" s="5"/>
      <c r="R5624" s="15"/>
    </row>
    <row r="5625" spans="3:18">
      <c r="C5625" s="5"/>
      <c r="R5625" s="15"/>
    </row>
    <row r="5626" spans="3:18">
      <c r="C5626" s="5"/>
      <c r="R5626" s="15"/>
    </row>
    <row r="5627" spans="3:18">
      <c r="C5627" s="5"/>
      <c r="R5627" s="15"/>
    </row>
    <row r="5628" spans="3:18">
      <c r="C5628" s="5"/>
      <c r="R5628" s="15"/>
    </row>
    <row r="5629" spans="3:18">
      <c r="C5629" s="5"/>
      <c r="R5629" s="15"/>
    </row>
    <row r="5630" spans="3:18">
      <c r="C5630" s="5"/>
      <c r="R5630" s="15"/>
    </row>
    <row r="5631" spans="3:18">
      <c r="C5631" s="5"/>
      <c r="R5631" s="15"/>
    </row>
    <row r="5632" spans="3:18">
      <c r="C5632" s="5"/>
      <c r="R5632" s="15"/>
    </row>
    <row r="5633" spans="3:18">
      <c r="C5633" s="5"/>
      <c r="R5633" s="15"/>
    </row>
    <row r="5634" spans="3:18">
      <c r="C5634" s="5"/>
      <c r="R5634" s="15"/>
    </row>
    <row r="5635" spans="3:18">
      <c r="C5635" s="5"/>
      <c r="R5635" s="15"/>
    </row>
    <row r="5636" spans="3:18">
      <c r="C5636" s="5"/>
      <c r="R5636" s="15"/>
    </row>
    <row r="5637" spans="3:18">
      <c r="C5637" s="5"/>
      <c r="R5637" s="15"/>
    </row>
    <row r="5638" spans="3:18">
      <c r="C5638" s="5"/>
      <c r="R5638" s="15"/>
    </row>
    <row r="5639" spans="3:18">
      <c r="C5639" s="5"/>
      <c r="R5639" s="15"/>
    </row>
    <row r="5640" spans="3:18">
      <c r="C5640" s="5"/>
      <c r="R5640" s="15"/>
    </row>
    <row r="5641" spans="3:18">
      <c r="C5641" s="5"/>
      <c r="R5641" s="15"/>
    </row>
    <row r="5642" spans="3:18">
      <c r="C5642" s="5"/>
      <c r="R5642" s="15"/>
    </row>
    <row r="5643" spans="3:18">
      <c r="C5643" s="5"/>
      <c r="R5643" s="15"/>
    </row>
    <row r="5644" spans="3:18">
      <c r="C5644" s="5"/>
      <c r="R5644" s="15"/>
    </row>
    <row r="5645" spans="3:18">
      <c r="C5645" s="5"/>
      <c r="R5645" s="15"/>
    </row>
    <row r="5646" spans="3:18">
      <c r="C5646" s="5"/>
      <c r="R5646" s="15"/>
    </row>
    <row r="5647" spans="3:18">
      <c r="C5647" s="5"/>
      <c r="R5647" s="15"/>
    </row>
    <row r="5648" spans="3:18">
      <c r="C5648" s="5"/>
      <c r="R5648" s="15"/>
    </row>
    <row r="5649" spans="3:18">
      <c r="C5649" s="5"/>
      <c r="R5649" s="15"/>
    </row>
    <row r="5650" spans="3:18">
      <c r="C5650" s="5"/>
      <c r="R5650" s="15"/>
    </row>
    <row r="5651" spans="3:18">
      <c r="C5651" s="5"/>
      <c r="R5651" s="15"/>
    </row>
    <row r="5652" spans="3:18">
      <c r="C5652" s="5"/>
      <c r="R5652" s="15"/>
    </row>
    <row r="5653" spans="3:18">
      <c r="C5653" s="5"/>
      <c r="R5653" s="15"/>
    </row>
    <row r="5654" spans="3:18">
      <c r="C5654" s="5"/>
      <c r="R5654" s="15"/>
    </row>
    <row r="5655" spans="3:18">
      <c r="C5655" s="5"/>
      <c r="R5655" s="15"/>
    </row>
    <row r="5656" spans="3:18">
      <c r="C5656" s="5"/>
      <c r="R5656" s="15"/>
    </row>
    <row r="5657" spans="3:18">
      <c r="C5657" s="5"/>
      <c r="R5657" s="15"/>
    </row>
    <row r="5658" spans="3:18">
      <c r="C5658" s="5"/>
      <c r="R5658" s="15"/>
    </row>
    <row r="5659" spans="3:18">
      <c r="C5659" s="5"/>
      <c r="R5659" s="15"/>
    </row>
    <row r="5660" spans="3:18">
      <c r="C5660" s="5"/>
      <c r="R5660" s="15"/>
    </row>
    <row r="5661" spans="3:18">
      <c r="C5661" s="5"/>
      <c r="R5661" s="15"/>
    </row>
    <row r="5662" spans="3:18">
      <c r="C5662" s="5"/>
      <c r="R5662" s="15"/>
    </row>
    <row r="5663" spans="3:18">
      <c r="C5663" s="5"/>
      <c r="R5663" s="15"/>
    </row>
    <row r="5664" spans="3:18">
      <c r="C5664" s="5"/>
      <c r="R5664" s="15"/>
    </row>
    <row r="5665" spans="3:18">
      <c r="C5665" s="5"/>
      <c r="R5665" s="15"/>
    </row>
    <row r="5666" spans="3:18">
      <c r="C5666" s="5"/>
      <c r="R5666" s="15"/>
    </row>
    <row r="5667" spans="3:18">
      <c r="C5667" s="5"/>
      <c r="R5667" s="15"/>
    </row>
    <row r="5668" spans="3:18">
      <c r="C5668" s="5"/>
      <c r="R5668" s="15"/>
    </row>
    <row r="5669" spans="3:18">
      <c r="C5669" s="5"/>
      <c r="R5669" s="15"/>
    </row>
    <row r="5670" spans="3:18">
      <c r="C5670" s="5"/>
      <c r="R5670" s="15"/>
    </row>
    <row r="5671" spans="3:18">
      <c r="C5671" s="5"/>
      <c r="R5671" s="15"/>
    </row>
    <row r="5672" spans="3:18">
      <c r="C5672" s="5"/>
      <c r="R5672" s="15"/>
    </row>
    <row r="5673" spans="3:18">
      <c r="C5673" s="5"/>
      <c r="R5673" s="15"/>
    </row>
    <row r="5674" spans="3:18">
      <c r="C5674" s="5"/>
      <c r="R5674" s="15"/>
    </row>
    <row r="5675" spans="3:18">
      <c r="C5675" s="5"/>
      <c r="R5675" s="15"/>
    </row>
    <row r="5676" spans="3:18">
      <c r="C5676" s="5"/>
      <c r="R5676" s="15"/>
    </row>
    <row r="5677" spans="3:18">
      <c r="C5677" s="5"/>
      <c r="R5677" s="15"/>
    </row>
    <row r="5678" spans="3:18">
      <c r="C5678" s="5"/>
      <c r="R5678" s="15"/>
    </row>
    <row r="5679" spans="3:18">
      <c r="C5679" s="5"/>
      <c r="R5679" s="15"/>
    </row>
    <row r="5680" spans="3:18">
      <c r="C5680" s="5"/>
      <c r="R5680" s="15"/>
    </row>
    <row r="5681" spans="3:18">
      <c r="C5681" s="5"/>
      <c r="R5681" s="15"/>
    </row>
    <row r="5682" spans="3:18">
      <c r="C5682" s="5"/>
      <c r="R5682" s="15"/>
    </row>
    <row r="5683" spans="3:18">
      <c r="C5683" s="5"/>
      <c r="R5683" s="15"/>
    </row>
    <row r="5684" spans="3:18">
      <c r="C5684" s="5"/>
      <c r="R5684" s="15"/>
    </row>
    <row r="5685" spans="3:18">
      <c r="C5685" s="5"/>
      <c r="R5685" s="15"/>
    </row>
    <row r="5686" spans="3:18">
      <c r="C5686" s="5"/>
      <c r="R5686" s="15"/>
    </row>
    <row r="5687" spans="3:18">
      <c r="C5687" s="5"/>
      <c r="R5687" s="15"/>
    </row>
    <row r="5688" spans="3:18">
      <c r="C5688" s="5"/>
      <c r="R5688" s="15"/>
    </row>
    <row r="5689" spans="3:18">
      <c r="C5689" s="5"/>
      <c r="R5689" s="15"/>
    </row>
    <row r="5690" spans="3:18">
      <c r="C5690" s="5"/>
      <c r="R5690" s="15"/>
    </row>
    <row r="5691" spans="3:18">
      <c r="C5691" s="5"/>
      <c r="R5691" s="15"/>
    </row>
    <row r="5692" spans="3:18">
      <c r="C5692" s="5"/>
      <c r="R5692" s="15"/>
    </row>
    <row r="5693" spans="3:18">
      <c r="C5693" s="5"/>
      <c r="R5693" s="15"/>
    </row>
    <row r="5694" spans="3:18">
      <c r="C5694" s="5"/>
      <c r="R5694" s="15"/>
    </row>
    <row r="5695" spans="3:18">
      <c r="C5695" s="5"/>
      <c r="R5695" s="15"/>
    </row>
    <row r="5696" spans="3:18">
      <c r="C5696" s="5"/>
      <c r="R5696" s="15"/>
    </row>
    <row r="5697" spans="3:18">
      <c r="C5697" s="5"/>
      <c r="R5697" s="15"/>
    </row>
    <row r="5698" spans="3:18">
      <c r="C5698" s="5"/>
      <c r="R5698" s="15"/>
    </row>
    <row r="5699" spans="3:18">
      <c r="C5699" s="5"/>
      <c r="R5699" s="15"/>
    </row>
    <row r="5700" spans="3:18">
      <c r="C5700" s="5"/>
      <c r="R5700" s="15"/>
    </row>
    <row r="5701" spans="3:18">
      <c r="C5701" s="5"/>
      <c r="R5701" s="15"/>
    </row>
    <row r="5702" spans="3:18">
      <c r="C5702" s="5"/>
      <c r="R5702" s="15"/>
    </row>
    <row r="5703" spans="3:18">
      <c r="C5703" s="5"/>
      <c r="R5703" s="15"/>
    </row>
    <row r="5704" spans="3:18">
      <c r="C5704" s="5"/>
      <c r="R5704" s="15"/>
    </row>
    <row r="5705" spans="3:18">
      <c r="C5705" s="5"/>
      <c r="R5705" s="15"/>
    </row>
    <row r="5706" spans="3:18">
      <c r="C5706" s="5"/>
      <c r="R5706" s="15"/>
    </row>
    <row r="5707" spans="3:18">
      <c r="C5707" s="5"/>
      <c r="R5707" s="15"/>
    </row>
    <row r="5708" spans="3:18">
      <c r="C5708" s="5"/>
      <c r="R5708" s="15"/>
    </row>
    <row r="5709" spans="3:18">
      <c r="C5709" s="5"/>
      <c r="R5709" s="15"/>
    </row>
    <row r="5710" spans="3:18">
      <c r="C5710" s="5"/>
      <c r="R5710" s="15"/>
    </row>
    <row r="5711" spans="3:18">
      <c r="C5711" s="5"/>
      <c r="R5711" s="15"/>
    </row>
    <row r="5712" spans="3:18">
      <c r="C5712" s="5"/>
      <c r="R5712" s="15"/>
    </row>
    <row r="5713" spans="3:18">
      <c r="C5713" s="5"/>
      <c r="R5713" s="15"/>
    </row>
    <row r="5714" spans="3:18">
      <c r="C5714" s="5"/>
      <c r="R5714" s="15"/>
    </row>
    <row r="5715" spans="3:18">
      <c r="C5715" s="5"/>
      <c r="R5715" s="15"/>
    </row>
    <row r="5716" spans="3:18">
      <c r="C5716" s="5"/>
      <c r="R5716" s="15"/>
    </row>
    <row r="5717" spans="3:18">
      <c r="C5717" s="5"/>
      <c r="R5717" s="15"/>
    </row>
    <row r="5718" spans="3:18">
      <c r="C5718" s="5"/>
      <c r="R5718" s="15"/>
    </row>
    <row r="5719" spans="3:18">
      <c r="C5719" s="5"/>
      <c r="R5719" s="15"/>
    </row>
    <row r="5720" spans="3:18">
      <c r="C5720" s="5"/>
      <c r="R5720" s="15"/>
    </row>
    <row r="5721" spans="3:18">
      <c r="C5721" s="5"/>
      <c r="R5721" s="15"/>
    </row>
    <row r="5722" spans="3:18">
      <c r="C5722" s="5"/>
      <c r="R5722" s="15"/>
    </row>
    <row r="5723" spans="3:18">
      <c r="C5723" s="5"/>
      <c r="R5723" s="15"/>
    </row>
    <row r="5724" spans="3:18">
      <c r="C5724" s="5"/>
      <c r="R5724" s="15"/>
    </row>
    <row r="5725" spans="3:18">
      <c r="C5725" s="5"/>
      <c r="R5725" s="15"/>
    </row>
    <row r="5726" spans="3:18">
      <c r="C5726" s="5"/>
      <c r="R5726" s="15"/>
    </row>
    <row r="5727" spans="3:18">
      <c r="C5727" s="5"/>
      <c r="R5727" s="15"/>
    </row>
    <row r="5728" spans="3:18">
      <c r="C5728" s="5"/>
      <c r="R5728" s="15"/>
    </row>
    <row r="5729" spans="3:18">
      <c r="C5729" s="5"/>
      <c r="R5729" s="15"/>
    </row>
    <row r="5730" spans="3:18">
      <c r="C5730" s="5"/>
      <c r="R5730" s="15"/>
    </row>
    <row r="5731" spans="3:18">
      <c r="C5731" s="5"/>
      <c r="R5731" s="15"/>
    </row>
    <row r="5732" spans="3:18">
      <c r="C5732" s="5"/>
      <c r="R5732" s="15"/>
    </row>
    <row r="5733" spans="3:18">
      <c r="C5733" s="5"/>
      <c r="R5733" s="15"/>
    </row>
    <row r="5734" spans="3:18">
      <c r="C5734" s="5"/>
      <c r="R5734" s="15"/>
    </row>
    <row r="5735" spans="3:18">
      <c r="C5735" s="5"/>
      <c r="R5735" s="15"/>
    </row>
    <row r="5736" spans="3:18">
      <c r="C5736" s="5"/>
      <c r="R5736" s="15"/>
    </row>
    <row r="5737" spans="3:18">
      <c r="C5737" s="5"/>
      <c r="R5737" s="15"/>
    </row>
    <row r="5738" spans="3:18">
      <c r="C5738" s="5"/>
      <c r="R5738" s="15"/>
    </row>
    <row r="5739" spans="3:18">
      <c r="C5739" s="5"/>
      <c r="R5739" s="15"/>
    </row>
    <row r="5740" spans="3:18">
      <c r="C5740" s="5"/>
      <c r="R5740" s="15"/>
    </row>
    <row r="5741" spans="3:18">
      <c r="C5741" s="5"/>
      <c r="R5741" s="15"/>
    </row>
    <row r="5742" spans="3:18">
      <c r="C5742" s="5"/>
      <c r="R5742" s="15"/>
    </row>
    <row r="5743" spans="3:18">
      <c r="C5743" s="5"/>
      <c r="R5743" s="15"/>
    </row>
    <row r="5744" spans="3:18">
      <c r="C5744" s="5"/>
      <c r="R5744" s="15"/>
    </row>
    <row r="5745" spans="3:18">
      <c r="C5745" s="5"/>
      <c r="R5745" s="15"/>
    </row>
    <row r="5746" spans="3:18">
      <c r="C5746" s="5"/>
      <c r="R5746" s="15"/>
    </row>
    <row r="5747" spans="3:18">
      <c r="C5747" s="5"/>
      <c r="R5747" s="15"/>
    </row>
    <row r="5748" spans="3:18">
      <c r="C5748" s="5"/>
      <c r="R5748" s="15"/>
    </row>
    <row r="5749" spans="3:18">
      <c r="C5749" s="5"/>
      <c r="R5749" s="15"/>
    </row>
    <row r="5750" spans="3:18">
      <c r="C5750" s="5"/>
      <c r="R5750" s="15"/>
    </row>
    <row r="5751" spans="3:18">
      <c r="C5751" s="5"/>
      <c r="R5751" s="15"/>
    </row>
    <row r="5752" spans="3:18">
      <c r="C5752" s="5"/>
      <c r="R5752" s="15"/>
    </row>
    <row r="5753" spans="3:18">
      <c r="C5753" s="5"/>
      <c r="R5753" s="15"/>
    </row>
    <row r="5754" spans="3:18">
      <c r="C5754" s="5"/>
      <c r="R5754" s="15"/>
    </row>
    <row r="5755" spans="3:18">
      <c r="C5755" s="5"/>
      <c r="R5755" s="15"/>
    </row>
    <row r="5756" spans="3:18">
      <c r="C5756" s="5"/>
      <c r="R5756" s="15"/>
    </row>
    <row r="5757" spans="3:18">
      <c r="C5757" s="5"/>
      <c r="R5757" s="15"/>
    </row>
    <row r="5758" spans="3:18">
      <c r="C5758" s="5"/>
      <c r="R5758" s="15"/>
    </row>
    <row r="5759" spans="3:18">
      <c r="C5759" s="5"/>
      <c r="R5759" s="15"/>
    </row>
    <row r="5760" spans="3:18">
      <c r="C5760" s="5"/>
      <c r="R5760" s="15"/>
    </row>
    <row r="5761" spans="3:18">
      <c r="C5761" s="5"/>
      <c r="R5761" s="15"/>
    </row>
    <row r="5762" spans="3:18">
      <c r="C5762" s="5"/>
      <c r="R5762" s="15"/>
    </row>
    <row r="5763" spans="3:18">
      <c r="C5763" s="5"/>
      <c r="R5763" s="15"/>
    </row>
    <row r="5764" spans="3:18">
      <c r="C5764" s="5"/>
      <c r="R5764" s="15"/>
    </row>
    <row r="5765" spans="3:18">
      <c r="C5765" s="5"/>
      <c r="R5765" s="15"/>
    </row>
    <row r="5766" spans="3:18">
      <c r="C5766" s="5"/>
      <c r="R5766" s="15"/>
    </row>
    <row r="5767" spans="3:18">
      <c r="C5767" s="5"/>
      <c r="R5767" s="15"/>
    </row>
    <row r="5768" spans="3:18">
      <c r="C5768" s="5"/>
      <c r="R5768" s="15"/>
    </row>
    <row r="5769" spans="3:18">
      <c r="C5769" s="5"/>
      <c r="R5769" s="15"/>
    </row>
    <row r="5770" spans="3:18">
      <c r="C5770" s="5"/>
      <c r="R5770" s="15"/>
    </row>
    <row r="5771" spans="3:18">
      <c r="C5771" s="5"/>
      <c r="R5771" s="15"/>
    </row>
    <row r="5772" spans="3:18">
      <c r="C5772" s="5"/>
      <c r="R5772" s="15"/>
    </row>
    <row r="5773" spans="3:18">
      <c r="C5773" s="5"/>
      <c r="R5773" s="15"/>
    </row>
    <row r="5774" spans="3:18">
      <c r="C5774" s="5"/>
      <c r="R5774" s="15"/>
    </row>
    <row r="5775" spans="3:18">
      <c r="C5775" s="5"/>
      <c r="R5775" s="15"/>
    </row>
    <row r="5776" spans="3:18">
      <c r="C5776" s="5"/>
      <c r="R5776" s="15"/>
    </row>
    <row r="5777" spans="3:18">
      <c r="C5777" s="5"/>
      <c r="R5777" s="15"/>
    </row>
    <row r="5778" spans="3:18">
      <c r="C5778" s="5"/>
      <c r="R5778" s="15"/>
    </row>
    <row r="5779" spans="3:18">
      <c r="C5779" s="5"/>
      <c r="R5779" s="15"/>
    </row>
    <row r="5780" spans="3:18">
      <c r="C5780" s="5"/>
      <c r="R5780" s="15"/>
    </row>
    <row r="5781" spans="3:18">
      <c r="C5781" s="5"/>
      <c r="R5781" s="15"/>
    </row>
    <row r="5782" spans="3:18">
      <c r="C5782" s="5"/>
      <c r="R5782" s="15"/>
    </row>
    <row r="5783" spans="3:18">
      <c r="C5783" s="5"/>
      <c r="R5783" s="15"/>
    </row>
    <row r="5784" spans="3:18">
      <c r="C5784" s="5"/>
      <c r="R5784" s="15"/>
    </row>
    <row r="5785" spans="3:18">
      <c r="C5785" s="5"/>
      <c r="R5785" s="15"/>
    </row>
    <row r="5786" spans="3:18">
      <c r="C5786" s="5"/>
      <c r="R5786" s="15"/>
    </row>
    <row r="5787" spans="3:18">
      <c r="C5787" s="5"/>
      <c r="R5787" s="15"/>
    </row>
    <row r="5788" spans="3:18">
      <c r="C5788" s="5"/>
      <c r="R5788" s="15"/>
    </row>
    <row r="5789" spans="3:18">
      <c r="C5789" s="5"/>
      <c r="R5789" s="15"/>
    </row>
    <row r="5790" spans="3:18">
      <c r="C5790" s="5"/>
      <c r="R5790" s="15"/>
    </row>
    <row r="5791" spans="3:18">
      <c r="C5791" s="5"/>
      <c r="R5791" s="15"/>
    </row>
    <row r="5792" spans="3:18">
      <c r="C5792" s="5"/>
      <c r="R5792" s="15"/>
    </row>
    <row r="5793" spans="3:18">
      <c r="C5793" s="5"/>
      <c r="R5793" s="15"/>
    </row>
    <row r="5794" spans="3:18">
      <c r="C5794" s="5"/>
      <c r="R5794" s="15"/>
    </row>
    <row r="5795" spans="3:18">
      <c r="C5795" s="5"/>
      <c r="R5795" s="15"/>
    </row>
    <row r="5796" spans="3:18">
      <c r="C5796" s="5"/>
      <c r="R5796" s="15"/>
    </row>
    <row r="5797" spans="3:18">
      <c r="C5797" s="5"/>
      <c r="R5797" s="15"/>
    </row>
    <row r="5798" spans="3:18">
      <c r="C5798" s="5"/>
      <c r="R5798" s="15"/>
    </row>
    <row r="5799" spans="3:18">
      <c r="C5799" s="5"/>
      <c r="R5799" s="15"/>
    </row>
    <row r="5800" spans="3:18">
      <c r="C5800" s="5"/>
      <c r="R5800" s="15"/>
    </row>
    <row r="5801" spans="3:18">
      <c r="C5801" s="5"/>
      <c r="R5801" s="15"/>
    </row>
    <row r="5802" spans="3:18">
      <c r="C5802" s="5"/>
      <c r="R5802" s="15"/>
    </row>
    <row r="5803" spans="3:18">
      <c r="C5803" s="5"/>
      <c r="R5803" s="15"/>
    </row>
    <row r="5804" spans="3:18">
      <c r="C5804" s="5"/>
      <c r="R5804" s="15"/>
    </row>
    <row r="5805" spans="3:18">
      <c r="C5805" s="5"/>
      <c r="R5805" s="15"/>
    </row>
    <row r="5806" spans="3:18">
      <c r="C5806" s="5"/>
      <c r="R5806" s="15"/>
    </row>
    <row r="5807" spans="3:18">
      <c r="C5807" s="5"/>
      <c r="R5807" s="15"/>
    </row>
    <row r="5808" spans="3:18">
      <c r="C5808" s="5"/>
      <c r="R5808" s="15"/>
    </row>
    <row r="5809" spans="3:18">
      <c r="C5809" s="5"/>
      <c r="R5809" s="15"/>
    </row>
    <row r="5810" spans="3:18">
      <c r="C5810" s="5"/>
      <c r="R5810" s="15"/>
    </row>
    <row r="5811" spans="3:18">
      <c r="C5811" s="5"/>
      <c r="R5811" s="15"/>
    </row>
    <row r="5812" spans="3:18">
      <c r="C5812" s="5"/>
      <c r="R5812" s="15"/>
    </row>
    <row r="5813" spans="3:18">
      <c r="C5813" s="5"/>
      <c r="R5813" s="15"/>
    </row>
    <row r="5814" spans="3:18">
      <c r="C5814" s="5"/>
      <c r="R5814" s="15"/>
    </row>
    <row r="5815" spans="3:18">
      <c r="C5815" s="5"/>
      <c r="R5815" s="15"/>
    </row>
    <row r="5816" spans="3:18">
      <c r="C5816" s="5"/>
      <c r="R5816" s="15"/>
    </row>
    <row r="5817" spans="3:18">
      <c r="C5817" s="5"/>
      <c r="R5817" s="15"/>
    </row>
    <row r="5818" spans="3:18">
      <c r="C5818" s="5"/>
      <c r="R5818" s="15"/>
    </row>
    <row r="5819" spans="3:18">
      <c r="C5819" s="5"/>
      <c r="R5819" s="15"/>
    </row>
    <row r="5820" spans="3:18">
      <c r="C5820" s="5"/>
      <c r="R5820" s="15"/>
    </row>
    <row r="5821" spans="3:18">
      <c r="C5821" s="5"/>
      <c r="R5821" s="15"/>
    </row>
    <row r="5822" spans="3:18">
      <c r="C5822" s="5"/>
      <c r="R5822" s="15"/>
    </row>
    <row r="5823" spans="3:18">
      <c r="C5823" s="5"/>
      <c r="R5823" s="15"/>
    </row>
    <row r="5824" spans="3:18">
      <c r="C5824" s="5"/>
      <c r="R5824" s="15"/>
    </row>
    <row r="5825" spans="3:18">
      <c r="C5825" s="5"/>
      <c r="R5825" s="15"/>
    </row>
    <row r="5826" spans="3:18">
      <c r="C5826" s="5"/>
      <c r="R5826" s="15"/>
    </row>
    <row r="5827" spans="3:18">
      <c r="C5827" s="5"/>
      <c r="R5827" s="15"/>
    </row>
    <row r="5828" spans="3:18">
      <c r="C5828" s="5"/>
      <c r="R5828" s="15"/>
    </row>
    <row r="5829" spans="3:18">
      <c r="C5829" s="5"/>
      <c r="R5829" s="15"/>
    </row>
    <row r="5830" spans="3:18">
      <c r="C5830" s="5"/>
      <c r="R5830" s="15"/>
    </row>
    <row r="5831" spans="3:18">
      <c r="C5831" s="5"/>
      <c r="R5831" s="15"/>
    </row>
    <row r="5832" spans="3:18">
      <c r="C5832" s="5"/>
      <c r="R5832" s="15"/>
    </row>
    <row r="5833" spans="3:18">
      <c r="C5833" s="5"/>
      <c r="R5833" s="15"/>
    </row>
    <row r="5834" spans="3:18">
      <c r="C5834" s="5"/>
      <c r="R5834" s="15"/>
    </row>
    <row r="5835" spans="3:18">
      <c r="C5835" s="5"/>
      <c r="R5835" s="15"/>
    </row>
    <row r="5836" spans="3:18">
      <c r="C5836" s="5"/>
      <c r="R5836" s="15"/>
    </row>
    <row r="5837" spans="3:18">
      <c r="C5837" s="5"/>
      <c r="R5837" s="15"/>
    </row>
    <row r="5838" spans="3:18">
      <c r="C5838" s="5"/>
      <c r="R5838" s="15"/>
    </row>
    <row r="5839" spans="3:18">
      <c r="C5839" s="5"/>
      <c r="R5839" s="15"/>
    </row>
    <row r="5840" spans="3:18">
      <c r="C5840" s="5"/>
      <c r="R5840" s="15"/>
    </row>
    <row r="5841" spans="3:18">
      <c r="C5841" s="5"/>
      <c r="R5841" s="15"/>
    </row>
    <row r="5842" spans="3:18">
      <c r="C5842" s="5"/>
      <c r="R5842" s="15"/>
    </row>
    <row r="5843" spans="3:18">
      <c r="C5843" s="5"/>
      <c r="R5843" s="15"/>
    </row>
    <row r="5844" spans="3:18">
      <c r="C5844" s="5"/>
      <c r="R5844" s="15"/>
    </row>
    <row r="5845" spans="3:18">
      <c r="C5845" s="5"/>
      <c r="R5845" s="15"/>
    </row>
    <row r="5846" spans="3:18">
      <c r="C5846" s="5"/>
      <c r="R5846" s="15"/>
    </row>
    <row r="5847" spans="3:18">
      <c r="C5847" s="5"/>
      <c r="R5847" s="15"/>
    </row>
    <row r="5848" spans="3:18">
      <c r="C5848" s="5"/>
      <c r="R5848" s="15"/>
    </row>
    <row r="5849" spans="3:18">
      <c r="C5849" s="5"/>
      <c r="R5849" s="15"/>
    </row>
    <row r="5850" spans="3:18">
      <c r="C5850" s="5"/>
      <c r="R5850" s="15"/>
    </row>
    <row r="5851" spans="3:18">
      <c r="C5851" s="5"/>
      <c r="R5851" s="15"/>
    </row>
    <row r="5852" spans="3:18">
      <c r="C5852" s="5"/>
      <c r="R5852" s="15"/>
    </row>
    <row r="5853" spans="3:18">
      <c r="C5853" s="5"/>
      <c r="R5853" s="15"/>
    </row>
    <row r="5854" spans="3:18">
      <c r="C5854" s="5"/>
      <c r="R5854" s="15"/>
    </row>
    <row r="5855" spans="3:18">
      <c r="C5855" s="5"/>
      <c r="R5855" s="15"/>
    </row>
    <row r="5856" spans="3:18">
      <c r="C5856" s="5"/>
      <c r="R5856" s="15"/>
    </row>
    <row r="5857" spans="3:18">
      <c r="C5857" s="5"/>
      <c r="R5857" s="15"/>
    </row>
    <row r="5858" spans="3:18">
      <c r="C5858" s="5"/>
      <c r="R5858" s="15"/>
    </row>
    <row r="5859" spans="3:18">
      <c r="C5859" s="5"/>
      <c r="R5859" s="15"/>
    </row>
    <row r="5860" spans="3:18">
      <c r="C5860" s="5"/>
      <c r="R5860" s="15"/>
    </row>
    <row r="5861" spans="3:18">
      <c r="C5861" s="5"/>
      <c r="R5861" s="15"/>
    </row>
    <row r="5862" spans="3:18">
      <c r="C5862" s="5"/>
      <c r="R5862" s="15"/>
    </row>
    <row r="5863" spans="3:18">
      <c r="C5863" s="5"/>
      <c r="R5863" s="15"/>
    </row>
    <row r="5864" spans="3:18">
      <c r="C5864" s="5"/>
      <c r="R5864" s="15"/>
    </row>
    <row r="5865" spans="3:18">
      <c r="C5865" s="5"/>
      <c r="R5865" s="15"/>
    </row>
    <row r="5866" spans="3:18">
      <c r="C5866" s="5"/>
      <c r="R5866" s="15"/>
    </row>
    <row r="5867" spans="3:18">
      <c r="C5867" s="5"/>
      <c r="R5867" s="15"/>
    </row>
    <row r="5868" spans="3:18">
      <c r="C5868" s="5"/>
      <c r="R5868" s="15"/>
    </row>
    <row r="5869" spans="3:18">
      <c r="C5869" s="5"/>
      <c r="R5869" s="15"/>
    </row>
    <row r="5870" spans="3:18">
      <c r="C5870" s="5"/>
      <c r="R5870" s="15"/>
    </row>
    <row r="5871" spans="3:18">
      <c r="C5871" s="5"/>
      <c r="R5871" s="15"/>
    </row>
    <row r="5872" spans="3:18">
      <c r="C5872" s="5"/>
      <c r="R5872" s="15"/>
    </row>
    <row r="5873" spans="3:18">
      <c r="C5873" s="5"/>
      <c r="R5873" s="15"/>
    </row>
    <row r="5874" spans="3:18">
      <c r="C5874" s="5"/>
      <c r="R5874" s="15"/>
    </row>
    <row r="5875" spans="3:18">
      <c r="C5875" s="5"/>
      <c r="R5875" s="15"/>
    </row>
    <row r="5876" spans="3:18">
      <c r="C5876" s="5"/>
      <c r="R5876" s="15"/>
    </row>
    <row r="5877" spans="3:18">
      <c r="C5877" s="5"/>
      <c r="R5877" s="15"/>
    </row>
    <row r="5878" spans="3:18">
      <c r="C5878" s="5"/>
      <c r="R5878" s="15"/>
    </row>
    <row r="5879" spans="3:18">
      <c r="C5879" s="5"/>
      <c r="R5879" s="15"/>
    </row>
    <row r="5880" spans="3:18">
      <c r="C5880" s="5"/>
      <c r="R5880" s="15"/>
    </row>
    <row r="5881" spans="3:18">
      <c r="C5881" s="5"/>
      <c r="R5881" s="15"/>
    </row>
    <row r="5882" spans="3:18">
      <c r="C5882" s="5"/>
      <c r="R5882" s="15"/>
    </row>
    <row r="5883" spans="3:18">
      <c r="C5883" s="5"/>
      <c r="R5883" s="15"/>
    </row>
    <row r="5884" spans="3:18">
      <c r="C5884" s="5"/>
      <c r="R5884" s="15"/>
    </row>
    <row r="5885" spans="3:18">
      <c r="C5885" s="5"/>
      <c r="R5885" s="15"/>
    </row>
    <row r="5886" spans="3:18">
      <c r="C5886" s="5"/>
      <c r="R5886" s="15"/>
    </row>
    <row r="5887" spans="3:18">
      <c r="C5887" s="5"/>
      <c r="R5887" s="15"/>
    </row>
    <row r="5888" spans="3:18">
      <c r="C5888" s="5"/>
      <c r="R5888" s="15"/>
    </row>
    <row r="5889" spans="3:18">
      <c r="C5889" s="5"/>
      <c r="R5889" s="15"/>
    </row>
    <row r="5890" spans="3:18">
      <c r="C5890" s="5"/>
      <c r="R5890" s="15"/>
    </row>
    <row r="5891" spans="3:18">
      <c r="C5891" s="5"/>
      <c r="R5891" s="15"/>
    </row>
    <row r="5892" spans="3:18">
      <c r="C5892" s="5"/>
      <c r="R5892" s="15"/>
    </row>
    <row r="5893" spans="3:18">
      <c r="C5893" s="5"/>
      <c r="R5893" s="15"/>
    </row>
    <row r="5894" spans="3:18">
      <c r="C5894" s="5"/>
      <c r="R5894" s="15"/>
    </row>
    <row r="5895" spans="3:18">
      <c r="C5895" s="5"/>
      <c r="R5895" s="15"/>
    </row>
    <row r="5896" spans="3:18">
      <c r="C5896" s="5"/>
      <c r="R5896" s="15"/>
    </row>
    <row r="5897" spans="3:18">
      <c r="C5897" s="5"/>
      <c r="R5897" s="15"/>
    </row>
    <row r="5898" spans="3:18">
      <c r="C5898" s="5"/>
      <c r="R5898" s="15"/>
    </row>
    <row r="5899" spans="3:18">
      <c r="C5899" s="5"/>
      <c r="R5899" s="15"/>
    </row>
    <row r="5900" spans="3:18">
      <c r="C5900" s="5"/>
      <c r="R5900" s="15"/>
    </row>
    <row r="5901" spans="3:18">
      <c r="C5901" s="5"/>
      <c r="R5901" s="15"/>
    </row>
    <row r="5902" spans="3:18">
      <c r="C5902" s="5"/>
      <c r="R5902" s="15"/>
    </row>
    <row r="5903" spans="3:18">
      <c r="C5903" s="5"/>
      <c r="R5903" s="15"/>
    </row>
    <row r="5904" spans="3:18">
      <c r="C5904" s="5"/>
      <c r="R5904" s="15"/>
    </row>
    <row r="5905" spans="3:18">
      <c r="C5905" s="5"/>
      <c r="R5905" s="15"/>
    </row>
    <row r="5906" spans="3:18">
      <c r="C5906" s="5"/>
      <c r="R5906" s="15"/>
    </row>
    <row r="5907" spans="3:18">
      <c r="C5907" s="5"/>
      <c r="R5907" s="15"/>
    </row>
    <row r="5908" spans="3:18">
      <c r="C5908" s="5"/>
      <c r="R5908" s="15"/>
    </row>
    <row r="5909" spans="3:18">
      <c r="C5909" s="5"/>
      <c r="R5909" s="15"/>
    </row>
    <row r="5910" spans="3:18">
      <c r="C5910" s="5"/>
      <c r="R5910" s="15"/>
    </row>
    <row r="5911" spans="3:18">
      <c r="C5911" s="5"/>
      <c r="R5911" s="15"/>
    </row>
    <row r="5912" spans="3:18">
      <c r="C5912" s="5"/>
      <c r="R5912" s="15"/>
    </row>
    <row r="5913" spans="3:18">
      <c r="C5913" s="5"/>
      <c r="R5913" s="15"/>
    </row>
    <row r="5914" spans="3:18">
      <c r="C5914" s="5"/>
      <c r="R5914" s="15"/>
    </row>
    <row r="5915" spans="3:18">
      <c r="C5915" s="5"/>
      <c r="R5915" s="15"/>
    </row>
    <row r="5916" spans="3:18">
      <c r="C5916" s="5"/>
      <c r="R5916" s="15"/>
    </row>
    <row r="5917" spans="3:18">
      <c r="C5917" s="5"/>
      <c r="R5917" s="15"/>
    </row>
    <row r="5918" spans="3:18">
      <c r="C5918" s="5"/>
      <c r="R5918" s="15"/>
    </row>
    <row r="5919" spans="3:18">
      <c r="C5919" s="5"/>
      <c r="R5919" s="15"/>
    </row>
    <row r="5920" spans="3:18">
      <c r="C5920" s="5"/>
      <c r="R5920" s="15"/>
    </row>
    <row r="5921" spans="3:18">
      <c r="C5921" s="5"/>
      <c r="R5921" s="15"/>
    </row>
    <row r="5922" spans="3:18">
      <c r="C5922" s="5"/>
      <c r="R5922" s="15"/>
    </row>
    <row r="5923" spans="3:18">
      <c r="C5923" s="5"/>
      <c r="R5923" s="15"/>
    </row>
    <row r="5924" spans="3:18">
      <c r="C5924" s="5"/>
      <c r="R5924" s="15"/>
    </row>
    <row r="5925" spans="3:18">
      <c r="C5925" s="5"/>
      <c r="R5925" s="15"/>
    </row>
    <row r="5926" spans="3:18">
      <c r="C5926" s="5"/>
      <c r="R5926" s="15"/>
    </row>
    <row r="5927" spans="3:18">
      <c r="C5927" s="5"/>
      <c r="R5927" s="15"/>
    </row>
    <row r="5928" spans="3:18">
      <c r="C5928" s="5"/>
      <c r="R5928" s="15"/>
    </row>
    <row r="5929" spans="3:18">
      <c r="C5929" s="5"/>
      <c r="R5929" s="15"/>
    </row>
    <row r="5930" spans="3:18">
      <c r="C5930" s="5"/>
      <c r="R5930" s="15"/>
    </row>
    <row r="5931" spans="3:18">
      <c r="C5931" s="5"/>
      <c r="R5931" s="15"/>
    </row>
    <row r="5932" spans="3:18">
      <c r="C5932" s="5"/>
      <c r="R5932" s="15"/>
    </row>
    <row r="5933" spans="3:18">
      <c r="C5933" s="5"/>
      <c r="R5933" s="15"/>
    </row>
    <row r="5934" spans="3:18">
      <c r="C5934" s="5"/>
      <c r="R5934" s="15"/>
    </row>
    <row r="5935" spans="3:18">
      <c r="C5935" s="5"/>
      <c r="R5935" s="15"/>
    </row>
    <row r="5936" spans="3:18">
      <c r="C5936" s="5"/>
      <c r="R5936" s="15"/>
    </row>
    <row r="5937" spans="3:18">
      <c r="C5937" s="5"/>
      <c r="R5937" s="15"/>
    </row>
    <row r="5938" spans="3:18">
      <c r="C5938" s="5"/>
      <c r="R5938" s="15"/>
    </row>
    <row r="5939" spans="3:18">
      <c r="C5939" s="5"/>
      <c r="R5939" s="15"/>
    </row>
    <row r="5940" spans="3:18">
      <c r="C5940" s="5"/>
      <c r="R5940" s="15"/>
    </row>
    <row r="5941" spans="3:18">
      <c r="C5941" s="5"/>
      <c r="R5941" s="15"/>
    </row>
    <row r="5942" spans="3:18">
      <c r="C5942" s="5"/>
      <c r="R5942" s="15"/>
    </row>
    <row r="5943" spans="3:18">
      <c r="C5943" s="5"/>
      <c r="R5943" s="15"/>
    </row>
    <row r="5944" spans="3:18">
      <c r="C5944" s="5"/>
      <c r="R5944" s="15"/>
    </row>
    <row r="5945" spans="3:18">
      <c r="C5945" s="5"/>
      <c r="R5945" s="15"/>
    </row>
    <row r="5946" spans="3:18">
      <c r="C5946" s="5"/>
      <c r="R5946" s="15"/>
    </row>
    <row r="5947" spans="3:18">
      <c r="C5947" s="5"/>
      <c r="R5947" s="15"/>
    </row>
    <row r="5948" spans="3:18">
      <c r="C5948" s="5"/>
      <c r="R5948" s="15"/>
    </row>
    <row r="5949" spans="3:18">
      <c r="C5949" s="5"/>
      <c r="R5949" s="15"/>
    </row>
    <row r="5950" spans="3:18">
      <c r="C5950" s="5"/>
      <c r="R5950" s="15"/>
    </row>
    <row r="5951" spans="3:18">
      <c r="C5951" s="5"/>
      <c r="R5951" s="15"/>
    </row>
    <row r="5952" spans="3:18">
      <c r="C5952" s="5"/>
      <c r="R5952" s="15"/>
    </row>
    <row r="5953" spans="3:18">
      <c r="C5953" s="5"/>
      <c r="R5953" s="15"/>
    </row>
    <row r="5954" spans="3:18">
      <c r="C5954" s="5"/>
      <c r="R5954" s="15"/>
    </row>
    <row r="5955" spans="3:18">
      <c r="C5955" s="5"/>
      <c r="R5955" s="15"/>
    </row>
    <row r="5956" spans="3:18">
      <c r="C5956" s="5"/>
      <c r="R5956" s="15"/>
    </row>
    <row r="5957" spans="3:18">
      <c r="C5957" s="5"/>
      <c r="R5957" s="15"/>
    </row>
    <row r="5958" spans="3:18">
      <c r="C5958" s="5"/>
      <c r="R5958" s="15"/>
    </row>
    <row r="5959" spans="3:18">
      <c r="C5959" s="5"/>
      <c r="R5959" s="15"/>
    </row>
    <row r="5960" spans="3:18">
      <c r="C5960" s="5"/>
      <c r="R5960" s="15"/>
    </row>
    <row r="5961" spans="3:18">
      <c r="C5961" s="5"/>
      <c r="R5961" s="15"/>
    </row>
    <row r="5962" spans="3:18">
      <c r="C5962" s="5"/>
      <c r="R5962" s="15"/>
    </row>
    <row r="5963" spans="3:18">
      <c r="C5963" s="5"/>
      <c r="R5963" s="15"/>
    </row>
    <row r="5964" spans="3:18">
      <c r="C5964" s="5"/>
      <c r="R5964" s="15"/>
    </row>
    <row r="5965" spans="3:18">
      <c r="C5965" s="5"/>
      <c r="R5965" s="15"/>
    </row>
    <row r="5966" spans="3:18">
      <c r="C5966" s="5"/>
      <c r="R5966" s="15"/>
    </row>
    <row r="5967" spans="3:18">
      <c r="C5967" s="5"/>
      <c r="R5967" s="15"/>
    </row>
    <row r="5968" spans="3:18">
      <c r="C5968" s="5"/>
      <c r="R5968" s="15"/>
    </row>
    <row r="5969" spans="3:18">
      <c r="C5969" s="5"/>
      <c r="R5969" s="15"/>
    </row>
    <row r="5970" spans="3:18">
      <c r="C5970" s="5"/>
      <c r="R5970" s="15"/>
    </row>
    <row r="5971" spans="3:18">
      <c r="C5971" s="5"/>
      <c r="R5971" s="15"/>
    </row>
    <row r="5972" spans="3:18">
      <c r="C5972" s="5"/>
      <c r="R5972" s="15"/>
    </row>
    <row r="5973" spans="3:18">
      <c r="C5973" s="5"/>
      <c r="R5973" s="15"/>
    </row>
    <row r="5974" spans="3:18">
      <c r="C5974" s="5"/>
      <c r="R5974" s="15"/>
    </row>
    <row r="5975" spans="3:18">
      <c r="C5975" s="5"/>
      <c r="R5975" s="15"/>
    </row>
    <row r="5976" spans="3:18">
      <c r="C5976" s="5"/>
      <c r="R5976" s="15"/>
    </row>
    <row r="5977" spans="3:18">
      <c r="C5977" s="5"/>
      <c r="R5977" s="15"/>
    </row>
    <row r="5978" spans="3:18">
      <c r="C5978" s="5"/>
      <c r="R5978" s="15"/>
    </row>
    <row r="5979" spans="3:18">
      <c r="C5979" s="5"/>
      <c r="R5979" s="15"/>
    </row>
    <row r="5980" spans="3:18">
      <c r="C5980" s="5"/>
      <c r="R5980" s="15"/>
    </row>
    <row r="5981" spans="3:18">
      <c r="C5981" s="5"/>
      <c r="R5981" s="15"/>
    </row>
    <row r="5982" spans="3:18">
      <c r="C5982" s="5"/>
      <c r="R5982" s="15"/>
    </row>
    <row r="5983" spans="3:18">
      <c r="C5983" s="5"/>
      <c r="R5983" s="15"/>
    </row>
    <row r="5984" spans="3:18">
      <c r="C5984" s="5"/>
      <c r="R5984" s="15"/>
    </row>
    <row r="5985" spans="3:18">
      <c r="C5985" s="5"/>
      <c r="R5985" s="15"/>
    </row>
    <row r="5986" spans="3:18">
      <c r="C5986" s="5"/>
      <c r="R5986" s="15"/>
    </row>
    <row r="5987" spans="3:18">
      <c r="C5987" s="5"/>
      <c r="R5987" s="15"/>
    </row>
    <row r="5988" spans="3:18">
      <c r="C5988" s="5"/>
      <c r="R5988" s="15"/>
    </row>
    <row r="5989" spans="3:18">
      <c r="C5989" s="5"/>
      <c r="R5989" s="15"/>
    </row>
    <row r="5990" spans="3:18">
      <c r="C5990" s="5"/>
      <c r="R5990" s="15"/>
    </row>
    <row r="5991" spans="3:18">
      <c r="C5991" s="5"/>
      <c r="R5991" s="15"/>
    </row>
    <row r="5992" spans="3:18">
      <c r="C5992" s="5"/>
      <c r="R5992" s="15"/>
    </row>
    <row r="5993" spans="3:18">
      <c r="C5993" s="5"/>
      <c r="R5993" s="15"/>
    </row>
    <row r="5994" spans="3:18">
      <c r="C5994" s="5"/>
      <c r="R5994" s="15"/>
    </row>
    <row r="5995" spans="3:18">
      <c r="C5995" s="5"/>
      <c r="R5995" s="15"/>
    </row>
    <row r="5996" spans="3:18">
      <c r="C5996" s="5"/>
      <c r="R5996" s="15"/>
    </row>
    <row r="5997" spans="3:18">
      <c r="C5997" s="5"/>
      <c r="R5997" s="15"/>
    </row>
    <row r="5998" spans="3:18">
      <c r="C5998" s="5"/>
      <c r="R5998" s="15"/>
    </row>
    <row r="5999" spans="3:18">
      <c r="C5999" s="5"/>
      <c r="R5999" s="15"/>
    </row>
    <row r="6000" spans="3:18">
      <c r="C6000" s="5"/>
      <c r="R6000" s="15"/>
    </row>
    <row r="6001" spans="3:18">
      <c r="C6001" s="5"/>
      <c r="R6001" s="15"/>
    </row>
    <row r="6002" spans="3:18">
      <c r="C6002" s="5"/>
      <c r="R6002" s="15"/>
    </row>
    <row r="6003" spans="3:18">
      <c r="C6003" s="5"/>
      <c r="R6003" s="15"/>
    </row>
    <row r="6004" spans="3:18">
      <c r="C6004" s="5"/>
      <c r="R6004" s="15"/>
    </row>
    <row r="6005" spans="3:18">
      <c r="C6005" s="5"/>
      <c r="R6005" s="15"/>
    </row>
    <row r="6006" spans="3:18">
      <c r="C6006" s="5"/>
      <c r="R6006" s="15"/>
    </row>
    <row r="6007" spans="3:18">
      <c r="C6007" s="5"/>
      <c r="R6007" s="15"/>
    </row>
    <row r="6008" spans="3:18">
      <c r="C6008" s="5"/>
      <c r="R6008" s="15"/>
    </row>
    <row r="6009" spans="3:18">
      <c r="C6009" s="5"/>
      <c r="R6009" s="15"/>
    </row>
    <row r="6010" spans="3:18">
      <c r="C6010" s="5"/>
      <c r="R6010" s="15"/>
    </row>
    <row r="6011" spans="3:18">
      <c r="C6011" s="5"/>
      <c r="R6011" s="15"/>
    </row>
    <row r="6012" spans="3:18">
      <c r="C6012" s="5"/>
      <c r="R6012" s="15"/>
    </row>
    <row r="6013" spans="3:18">
      <c r="C6013" s="5"/>
      <c r="R6013" s="15"/>
    </row>
    <row r="6014" spans="3:18">
      <c r="C6014" s="5"/>
      <c r="R6014" s="15"/>
    </row>
    <row r="6015" spans="3:18">
      <c r="C6015" s="5"/>
      <c r="R6015" s="15"/>
    </row>
    <row r="6016" spans="3:18">
      <c r="C6016" s="5"/>
      <c r="R6016" s="15"/>
    </row>
    <row r="6017" spans="3:18">
      <c r="C6017" s="5"/>
      <c r="R6017" s="15"/>
    </row>
    <row r="6018" spans="3:18">
      <c r="C6018" s="5"/>
      <c r="R6018" s="15"/>
    </row>
    <row r="6019" spans="3:18">
      <c r="C6019" s="5"/>
      <c r="R6019" s="15"/>
    </row>
    <row r="6020" spans="3:18">
      <c r="C6020" s="5"/>
      <c r="R6020" s="15"/>
    </row>
    <row r="6021" spans="3:18">
      <c r="C6021" s="5"/>
      <c r="R6021" s="15"/>
    </row>
    <row r="6022" spans="3:18">
      <c r="C6022" s="5"/>
      <c r="R6022" s="15"/>
    </row>
    <row r="6023" spans="3:18">
      <c r="C6023" s="5"/>
      <c r="R6023" s="15"/>
    </row>
    <row r="6024" spans="3:18">
      <c r="C6024" s="5"/>
      <c r="R6024" s="15"/>
    </row>
    <row r="6025" spans="3:18">
      <c r="C6025" s="5"/>
      <c r="R6025" s="15"/>
    </row>
    <row r="6026" spans="3:18">
      <c r="C6026" s="5"/>
      <c r="R6026" s="15"/>
    </row>
    <row r="6027" spans="3:18">
      <c r="C6027" s="5"/>
      <c r="R6027" s="15"/>
    </row>
    <row r="6028" spans="3:18">
      <c r="C6028" s="5"/>
      <c r="R6028" s="15"/>
    </row>
    <row r="6029" spans="3:18">
      <c r="C6029" s="5"/>
      <c r="R6029" s="15"/>
    </row>
    <row r="6030" spans="3:18">
      <c r="C6030" s="5"/>
      <c r="R6030" s="15"/>
    </row>
    <row r="6031" spans="3:18">
      <c r="C6031" s="5"/>
      <c r="R6031" s="15"/>
    </row>
    <row r="6032" spans="3:18">
      <c r="C6032" s="5"/>
      <c r="R6032" s="15"/>
    </row>
    <row r="6033" spans="3:18">
      <c r="C6033" s="5"/>
      <c r="R6033" s="15"/>
    </row>
    <row r="6034" spans="3:18">
      <c r="C6034" s="5"/>
      <c r="R6034" s="15"/>
    </row>
    <row r="6035" spans="3:18">
      <c r="C6035" s="5"/>
      <c r="R6035" s="15"/>
    </row>
    <row r="6036" spans="3:18">
      <c r="C6036" s="5"/>
      <c r="R6036" s="15"/>
    </row>
    <row r="6037" spans="3:18">
      <c r="C6037" s="5"/>
      <c r="R6037" s="15"/>
    </row>
    <row r="6038" spans="3:18">
      <c r="C6038" s="5"/>
      <c r="R6038" s="15"/>
    </row>
    <row r="6039" spans="3:18">
      <c r="C6039" s="5"/>
      <c r="R6039" s="15"/>
    </row>
    <row r="6040" spans="3:18">
      <c r="C6040" s="5"/>
      <c r="R6040" s="15"/>
    </row>
    <row r="6041" spans="3:18">
      <c r="C6041" s="5"/>
      <c r="R6041" s="15"/>
    </row>
    <row r="6042" spans="3:18">
      <c r="C6042" s="5"/>
      <c r="R6042" s="15"/>
    </row>
    <row r="6043" spans="3:18">
      <c r="C6043" s="5"/>
      <c r="R6043" s="15"/>
    </row>
    <row r="6044" spans="3:18">
      <c r="C6044" s="5"/>
      <c r="R6044" s="15"/>
    </row>
    <row r="6045" spans="3:18">
      <c r="C6045" s="5"/>
      <c r="R6045" s="15"/>
    </row>
    <row r="6046" spans="3:18">
      <c r="C6046" s="5"/>
      <c r="R6046" s="15"/>
    </row>
    <row r="6047" spans="3:18">
      <c r="C6047" s="5"/>
      <c r="R6047" s="15"/>
    </row>
    <row r="6048" spans="3:18">
      <c r="C6048" s="5"/>
      <c r="R6048" s="15"/>
    </row>
    <row r="6049" spans="3:18">
      <c r="C6049" s="5"/>
      <c r="R6049" s="15"/>
    </row>
    <row r="6050" spans="3:18">
      <c r="C6050" s="5"/>
      <c r="R6050" s="15"/>
    </row>
    <row r="6051" spans="3:18">
      <c r="C6051" s="5"/>
      <c r="R6051" s="15"/>
    </row>
    <row r="6052" spans="3:18">
      <c r="C6052" s="5"/>
      <c r="R6052" s="15"/>
    </row>
    <row r="6053" spans="3:18">
      <c r="C6053" s="5"/>
      <c r="R6053" s="15"/>
    </row>
    <row r="6054" spans="3:18">
      <c r="C6054" s="5"/>
      <c r="R6054" s="15"/>
    </row>
    <row r="6055" spans="3:18">
      <c r="C6055" s="5"/>
      <c r="R6055" s="15"/>
    </row>
    <row r="6056" spans="3:18">
      <c r="C6056" s="5"/>
      <c r="R6056" s="15"/>
    </row>
    <row r="6057" spans="3:18">
      <c r="C6057" s="5"/>
      <c r="R6057" s="15"/>
    </row>
    <row r="6058" spans="3:18">
      <c r="C6058" s="5"/>
      <c r="R6058" s="15"/>
    </row>
    <row r="6059" spans="3:18">
      <c r="C6059" s="5"/>
      <c r="R6059" s="15"/>
    </row>
    <row r="6060" spans="3:18">
      <c r="C6060" s="5"/>
      <c r="R6060" s="15"/>
    </row>
    <row r="6061" spans="3:18">
      <c r="C6061" s="5"/>
      <c r="R6061" s="15"/>
    </row>
    <row r="6062" spans="3:18">
      <c r="C6062" s="5"/>
      <c r="R6062" s="15"/>
    </row>
    <row r="6063" spans="3:18">
      <c r="C6063" s="5"/>
      <c r="R6063" s="15"/>
    </row>
    <row r="6064" spans="3:18">
      <c r="C6064" s="5"/>
      <c r="R6064" s="15"/>
    </row>
    <row r="6065" spans="3:18">
      <c r="C6065" s="5"/>
      <c r="R6065" s="15"/>
    </row>
    <row r="6066" spans="3:18">
      <c r="C6066" s="5"/>
      <c r="R6066" s="15"/>
    </row>
    <row r="6067" spans="3:18">
      <c r="C6067" s="5"/>
      <c r="R6067" s="15"/>
    </row>
    <row r="6068" spans="3:18">
      <c r="C6068" s="5"/>
      <c r="R6068" s="15"/>
    </row>
    <row r="6069" spans="3:18">
      <c r="C6069" s="5"/>
      <c r="R6069" s="15"/>
    </row>
    <row r="6070" spans="3:18">
      <c r="C6070" s="5"/>
      <c r="R6070" s="15"/>
    </row>
    <row r="6071" spans="3:18">
      <c r="C6071" s="5"/>
      <c r="R6071" s="15"/>
    </row>
    <row r="6072" spans="3:18">
      <c r="C6072" s="5"/>
      <c r="R6072" s="15"/>
    </row>
    <row r="6073" spans="3:18">
      <c r="C6073" s="5"/>
      <c r="R6073" s="15"/>
    </row>
    <row r="6074" spans="3:18">
      <c r="C6074" s="5"/>
      <c r="R6074" s="15"/>
    </row>
    <row r="6075" spans="3:18">
      <c r="C6075" s="5"/>
      <c r="R6075" s="15"/>
    </row>
    <row r="6076" spans="3:18">
      <c r="C6076" s="5"/>
      <c r="R6076" s="15"/>
    </row>
    <row r="6077" spans="3:18">
      <c r="C6077" s="5"/>
      <c r="R6077" s="15"/>
    </row>
    <row r="6078" spans="3:18">
      <c r="C6078" s="5"/>
      <c r="R6078" s="15"/>
    </row>
    <row r="6079" spans="3:18">
      <c r="C6079" s="5"/>
      <c r="R6079" s="15"/>
    </row>
    <row r="6080" spans="3:18">
      <c r="C6080" s="5"/>
      <c r="R6080" s="15"/>
    </row>
    <row r="6081" spans="3:18">
      <c r="C6081" s="5"/>
      <c r="R6081" s="15"/>
    </row>
    <row r="6082" spans="3:18">
      <c r="C6082" s="5"/>
      <c r="R6082" s="15"/>
    </row>
    <row r="6083" spans="3:18">
      <c r="C6083" s="5"/>
      <c r="R6083" s="15"/>
    </row>
    <row r="6084" spans="3:18">
      <c r="C6084" s="5"/>
      <c r="R6084" s="15"/>
    </row>
    <row r="6085" spans="3:18">
      <c r="C6085" s="5"/>
      <c r="R6085" s="15"/>
    </row>
    <row r="6086" spans="3:18">
      <c r="C6086" s="5"/>
      <c r="R6086" s="15"/>
    </row>
    <row r="6087" spans="3:18">
      <c r="C6087" s="5"/>
      <c r="R6087" s="15"/>
    </row>
    <row r="6088" spans="3:18">
      <c r="C6088" s="5"/>
      <c r="R6088" s="15"/>
    </row>
    <row r="6089" spans="3:18">
      <c r="C6089" s="5"/>
      <c r="R6089" s="15"/>
    </row>
    <row r="6090" spans="3:18">
      <c r="C6090" s="5"/>
      <c r="R6090" s="15"/>
    </row>
    <row r="6091" spans="3:18">
      <c r="C6091" s="5"/>
      <c r="R6091" s="15"/>
    </row>
    <row r="6092" spans="3:18">
      <c r="C6092" s="5"/>
      <c r="R6092" s="15"/>
    </row>
    <row r="6093" spans="3:18">
      <c r="C6093" s="5"/>
      <c r="R6093" s="15"/>
    </row>
    <row r="6094" spans="3:18">
      <c r="C6094" s="5"/>
      <c r="R6094" s="15"/>
    </row>
    <row r="6095" spans="3:18">
      <c r="C6095" s="5"/>
      <c r="R6095" s="15"/>
    </row>
    <row r="6096" spans="3:18">
      <c r="C6096" s="5"/>
      <c r="R6096" s="15"/>
    </row>
    <row r="6097" spans="3:18">
      <c r="C6097" s="5"/>
      <c r="R6097" s="15"/>
    </row>
    <row r="6098" spans="3:18">
      <c r="C6098" s="5"/>
      <c r="R6098" s="15"/>
    </row>
    <row r="6099" spans="3:18">
      <c r="C6099" s="5"/>
      <c r="R6099" s="15"/>
    </row>
    <row r="6100" spans="3:18">
      <c r="C6100" s="5"/>
      <c r="R6100" s="15"/>
    </row>
    <row r="6101" spans="3:18">
      <c r="C6101" s="5"/>
      <c r="R6101" s="15"/>
    </row>
    <row r="6102" spans="3:18">
      <c r="C6102" s="5"/>
      <c r="R6102" s="15"/>
    </row>
    <row r="6103" spans="3:18">
      <c r="C6103" s="5"/>
      <c r="R6103" s="15"/>
    </row>
    <row r="6104" spans="3:18">
      <c r="C6104" s="5"/>
      <c r="R6104" s="15"/>
    </row>
    <row r="6105" spans="3:18">
      <c r="C6105" s="5"/>
      <c r="R6105" s="15"/>
    </row>
    <row r="6106" spans="3:18">
      <c r="C6106" s="5"/>
      <c r="R6106" s="15"/>
    </row>
    <row r="6107" spans="3:18">
      <c r="C6107" s="5"/>
      <c r="R6107" s="15"/>
    </row>
    <row r="6108" spans="3:18">
      <c r="C6108" s="5"/>
      <c r="R6108" s="15"/>
    </row>
    <row r="6109" spans="3:18">
      <c r="C6109" s="5"/>
      <c r="R6109" s="15"/>
    </row>
    <row r="6110" spans="3:18">
      <c r="C6110" s="5"/>
      <c r="R6110" s="15"/>
    </row>
    <row r="6111" spans="3:18">
      <c r="C6111" s="5"/>
      <c r="R6111" s="15"/>
    </row>
    <row r="6112" spans="3:18">
      <c r="C6112" s="5"/>
      <c r="R6112" s="15"/>
    </row>
    <row r="6113" spans="3:18">
      <c r="C6113" s="5"/>
      <c r="R6113" s="15"/>
    </row>
    <row r="6114" spans="3:18">
      <c r="C6114" s="5"/>
      <c r="R6114" s="15"/>
    </row>
    <row r="6115" spans="3:18">
      <c r="C6115" s="5"/>
      <c r="R6115" s="15"/>
    </row>
    <row r="6116" spans="3:18">
      <c r="C6116" s="5"/>
      <c r="R6116" s="15"/>
    </row>
    <row r="6117" spans="3:18">
      <c r="C6117" s="5"/>
      <c r="R6117" s="15"/>
    </row>
    <row r="6118" spans="3:18">
      <c r="C6118" s="5"/>
      <c r="R6118" s="15"/>
    </row>
    <row r="6119" spans="3:18">
      <c r="C6119" s="5"/>
      <c r="R6119" s="15"/>
    </row>
    <row r="6120" spans="3:18">
      <c r="C6120" s="5"/>
      <c r="R6120" s="15"/>
    </row>
    <row r="6121" spans="3:18">
      <c r="C6121" s="5"/>
      <c r="R6121" s="15"/>
    </row>
    <row r="6122" spans="3:18">
      <c r="C6122" s="5"/>
      <c r="R6122" s="15"/>
    </row>
    <row r="6123" spans="3:18">
      <c r="C6123" s="5"/>
      <c r="R6123" s="15"/>
    </row>
    <row r="6124" spans="3:18">
      <c r="C6124" s="5"/>
      <c r="R6124" s="15"/>
    </row>
    <row r="6125" spans="3:18">
      <c r="C6125" s="5"/>
      <c r="R6125" s="15"/>
    </row>
    <row r="6126" spans="3:18">
      <c r="C6126" s="5"/>
      <c r="R6126" s="15"/>
    </row>
    <row r="6127" spans="3:18">
      <c r="C6127" s="5"/>
      <c r="R6127" s="15"/>
    </row>
    <row r="6128" spans="3:18">
      <c r="C6128" s="5"/>
      <c r="R6128" s="15"/>
    </row>
    <row r="6129" spans="3:18">
      <c r="C6129" s="5"/>
      <c r="R6129" s="15"/>
    </row>
    <row r="6130" spans="3:18">
      <c r="C6130" s="5"/>
      <c r="R6130" s="15"/>
    </row>
    <row r="6131" spans="3:18">
      <c r="C6131" s="5"/>
      <c r="R6131" s="15"/>
    </row>
    <row r="6132" spans="3:18">
      <c r="C6132" s="5"/>
      <c r="R6132" s="15"/>
    </row>
    <row r="6133" spans="3:18">
      <c r="C6133" s="5"/>
      <c r="R6133" s="15"/>
    </row>
    <row r="6134" spans="3:18">
      <c r="C6134" s="5"/>
      <c r="R6134" s="15"/>
    </row>
    <row r="6135" spans="3:18">
      <c r="C6135" s="5"/>
      <c r="R6135" s="15"/>
    </row>
    <row r="6136" spans="3:18">
      <c r="C6136" s="5"/>
      <c r="R6136" s="15"/>
    </row>
    <row r="6137" spans="3:18">
      <c r="C6137" s="5"/>
      <c r="R6137" s="15"/>
    </row>
    <row r="6138" spans="3:18">
      <c r="C6138" s="5"/>
      <c r="R6138" s="15"/>
    </row>
    <row r="6139" spans="3:18">
      <c r="C6139" s="5"/>
      <c r="R6139" s="15"/>
    </row>
    <row r="6140" spans="3:18">
      <c r="C6140" s="5"/>
      <c r="R6140" s="15"/>
    </row>
    <row r="6141" spans="3:18">
      <c r="C6141" s="5"/>
      <c r="R6141" s="15"/>
    </row>
    <row r="6142" spans="3:18">
      <c r="C6142" s="5"/>
      <c r="R6142" s="15"/>
    </row>
    <row r="6143" spans="3:18">
      <c r="C6143" s="5"/>
      <c r="R6143" s="15"/>
    </row>
    <row r="6144" spans="3:18">
      <c r="C6144" s="5"/>
      <c r="R6144" s="15"/>
    </row>
    <row r="6145" spans="3:18">
      <c r="C6145" s="5"/>
      <c r="R6145" s="15"/>
    </row>
    <row r="6146" spans="3:18">
      <c r="C6146" s="5"/>
      <c r="R6146" s="15"/>
    </row>
    <row r="6147" spans="3:18">
      <c r="C6147" s="5"/>
      <c r="R6147" s="15"/>
    </row>
    <row r="6148" spans="3:18">
      <c r="C6148" s="5"/>
      <c r="R6148" s="15"/>
    </row>
    <row r="6149" spans="3:18">
      <c r="C6149" s="5"/>
      <c r="R6149" s="15"/>
    </row>
    <row r="6150" spans="3:18">
      <c r="C6150" s="5"/>
      <c r="R6150" s="15"/>
    </row>
    <row r="6151" spans="3:18">
      <c r="C6151" s="5"/>
      <c r="R6151" s="15"/>
    </row>
    <row r="6152" spans="3:18">
      <c r="C6152" s="5"/>
      <c r="R6152" s="15"/>
    </row>
    <row r="6153" spans="3:18">
      <c r="C6153" s="5"/>
      <c r="R6153" s="15"/>
    </row>
    <row r="6154" spans="3:18">
      <c r="C6154" s="5"/>
      <c r="R6154" s="15"/>
    </row>
    <row r="6155" spans="3:18">
      <c r="C6155" s="5"/>
      <c r="R6155" s="15"/>
    </row>
    <row r="6156" spans="3:18">
      <c r="C6156" s="5"/>
      <c r="R6156" s="15"/>
    </row>
    <row r="6157" spans="3:18">
      <c r="C6157" s="5"/>
      <c r="R6157" s="15"/>
    </row>
    <row r="6158" spans="3:18">
      <c r="C6158" s="5"/>
      <c r="R6158" s="15"/>
    </row>
    <row r="6159" spans="3:18">
      <c r="C6159" s="5"/>
      <c r="R6159" s="15"/>
    </row>
    <row r="6160" spans="3:18">
      <c r="C6160" s="5"/>
      <c r="R6160" s="15"/>
    </row>
    <row r="6161" spans="3:18">
      <c r="C6161" s="5"/>
      <c r="R6161" s="15"/>
    </row>
    <row r="6162" spans="3:18">
      <c r="C6162" s="5"/>
      <c r="R6162" s="15"/>
    </row>
    <row r="6163" spans="3:18">
      <c r="C6163" s="5"/>
      <c r="R6163" s="15"/>
    </row>
    <row r="6164" spans="3:18">
      <c r="C6164" s="5"/>
      <c r="R6164" s="15"/>
    </row>
    <row r="6165" spans="3:18">
      <c r="C6165" s="5"/>
      <c r="R6165" s="15"/>
    </row>
    <row r="6166" spans="3:18">
      <c r="C6166" s="5"/>
      <c r="R6166" s="15"/>
    </row>
    <row r="6167" spans="3:18">
      <c r="C6167" s="5"/>
      <c r="R6167" s="15"/>
    </row>
    <row r="6168" spans="3:18">
      <c r="C6168" s="5"/>
      <c r="R6168" s="15"/>
    </row>
    <row r="6169" spans="3:18">
      <c r="C6169" s="5"/>
      <c r="R6169" s="15"/>
    </row>
    <row r="6170" spans="3:18">
      <c r="C6170" s="5"/>
      <c r="R6170" s="15"/>
    </row>
    <row r="6171" spans="3:18">
      <c r="C6171" s="5"/>
      <c r="R6171" s="15"/>
    </row>
    <row r="6172" spans="3:18">
      <c r="C6172" s="5"/>
      <c r="R6172" s="15"/>
    </row>
    <row r="6173" spans="3:18">
      <c r="C6173" s="5"/>
      <c r="R6173" s="15"/>
    </row>
    <row r="6174" spans="3:18">
      <c r="C6174" s="5"/>
      <c r="R6174" s="15"/>
    </row>
    <row r="6175" spans="3:18">
      <c r="C6175" s="5"/>
      <c r="R6175" s="15"/>
    </row>
    <row r="6176" spans="3:18">
      <c r="C6176" s="5"/>
      <c r="R6176" s="15"/>
    </row>
    <row r="6177" spans="3:18">
      <c r="C6177" s="5"/>
      <c r="R6177" s="15"/>
    </row>
    <row r="6178" spans="3:18">
      <c r="C6178" s="5"/>
      <c r="R6178" s="15"/>
    </row>
    <row r="6179" spans="3:18">
      <c r="C6179" s="5"/>
      <c r="R6179" s="15"/>
    </row>
    <row r="6180" spans="3:18">
      <c r="C6180" s="5"/>
      <c r="R6180" s="15"/>
    </row>
    <row r="6181" spans="3:18">
      <c r="C6181" s="5"/>
      <c r="R6181" s="15"/>
    </row>
    <row r="6182" spans="3:18">
      <c r="C6182" s="5"/>
      <c r="R6182" s="15"/>
    </row>
    <row r="6183" spans="3:18">
      <c r="C6183" s="5"/>
      <c r="R6183" s="15"/>
    </row>
    <row r="6184" spans="3:18">
      <c r="C6184" s="5"/>
      <c r="R6184" s="15"/>
    </row>
    <row r="6185" spans="3:18">
      <c r="C6185" s="5"/>
      <c r="R6185" s="15"/>
    </row>
    <row r="6186" spans="3:18">
      <c r="C6186" s="5"/>
      <c r="R6186" s="15"/>
    </row>
    <row r="6187" spans="3:18">
      <c r="C6187" s="5"/>
      <c r="R6187" s="15"/>
    </row>
    <row r="6188" spans="3:18">
      <c r="C6188" s="5"/>
      <c r="R6188" s="15"/>
    </row>
    <row r="6189" spans="3:18">
      <c r="C6189" s="5"/>
      <c r="R6189" s="15"/>
    </row>
    <row r="6190" spans="3:18">
      <c r="C6190" s="5"/>
      <c r="R6190" s="15"/>
    </row>
    <row r="6191" spans="3:18">
      <c r="C6191" s="5"/>
      <c r="R6191" s="15"/>
    </row>
    <row r="6192" spans="3:18">
      <c r="C6192" s="5"/>
      <c r="R6192" s="15"/>
    </row>
    <row r="6193" spans="3:18">
      <c r="C6193" s="5"/>
      <c r="R6193" s="15"/>
    </row>
    <row r="6194" spans="3:18">
      <c r="C6194" s="5"/>
      <c r="R6194" s="15"/>
    </row>
    <row r="6195" spans="3:18">
      <c r="C6195" s="5"/>
      <c r="R6195" s="15"/>
    </row>
    <row r="6196" spans="3:18">
      <c r="C6196" s="5"/>
      <c r="R6196" s="15"/>
    </row>
    <row r="6197" spans="3:18">
      <c r="C6197" s="5"/>
      <c r="R6197" s="15"/>
    </row>
    <row r="6198" spans="3:18">
      <c r="C6198" s="5"/>
      <c r="R6198" s="15"/>
    </row>
    <row r="6199" spans="3:18">
      <c r="C6199" s="5"/>
      <c r="R6199" s="15"/>
    </row>
    <row r="6200" spans="3:18">
      <c r="C6200" s="5"/>
      <c r="R6200" s="15"/>
    </row>
    <row r="6201" spans="3:18">
      <c r="C6201" s="5"/>
      <c r="R6201" s="15"/>
    </row>
    <row r="6202" spans="3:18">
      <c r="C6202" s="5"/>
      <c r="R6202" s="15"/>
    </row>
    <row r="6203" spans="3:18">
      <c r="C6203" s="5"/>
      <c r="R6203" s="15"/>
    </row>
    <row r="6204" spans="3:18">
      <c r="C6204" s="5"/>
      <c r="R6204" s="15"/>
    </row>
    <row r="6205" spans="3:18">
      <c r="C6205" s="5"/>
      <c r="R6205" s="15"/>
    </row>
    <row r="6206" spans="3:18">
      <c r="C6206" s="5"/>
      <c r="R6206" s="15"/>
    </row>
    <row r="6207" spans="3:18">
      <c r="C6207" s="5"/>
      <c r="R6207" s="15"/>
    </row>
    <row r="6208" spans="3:18">
      <c r="C6208" s="5"/>
      <c r="R6208" s="15"/>
    </row>
    <row r="6209" spans="3:18">
      <c r="C6209" s="5"/>
      <c r="R6209" s="15"/>
    </row>
    <row r="6210" spans="3:18">
      <c r="C6210" s="5"/>
      <c r="R6210" s="15"/>
    </row>
    <row r="6211" spans="3:18">
      <c r="C6211" s="5"/>
      <c r="R6211" s="15"/>
    </row>
    <row r="6212" spans="3:18">
      <c r="C6212" s="5"/>
      <c r="R6212" s="15"/>
    </row>
    <row r="6213" spans="3:18">
      <c r="C6213" s="5"/>
      <c r="R6213" s="15"/>
    </row>
    <row r="6214" spans="3:18">
      <c r="C6214" s="5"/>
      <c r="R6214" s="15"/>
    </row>
    <row r="6215" spans="3:18">
      <c r="C6215" s="5"/>
      <c r="R6215" s="15"/>
    </row>
    <row r="6216" spans="3:18">
      <c r="C6216" s="5"/>
      <c r="R6216" s="15"/>
    </row>
    <row r="6217" spans="3:18">
      <c r="C6217" s="5"/>
      <c r="R6217" s="15"/>
    </row>
    <row r="6218" spans="3:18">
      <c r="C6218" s="5"/>
      <c r="R6218" s="15"/>
    </row>
    <row r="6219" spans="3:18">
      <c r="C6219" s="5"/>
      <c r="R6219" s="15"/>
    </row>
    <row r="6220" spans="3:18">
      <c r="C6220" s="5"/>
      <c r="R6220" s="15"/>
    </row>
    <row r="6221" spans="3:18">
      <c r="C6221" s="5"/>
      <c r="R6221" s="15"/>
    </row>
    <row r="6222" spans="3:18">
      <c r="C6222" s="5"/>
      <c r="R6222" s="15"/>
    </row>
    <row r="6223" spans="3:18">
      <c r="C6223" s="5"/>
      <c r="R6223" s="15"/>
    </row>
    <row r="6224" spans="3:18">
      <c r="C6224" s="5"/>
      <c r="R6224" s="15"/>
    </row>
    <row r="6225" spans="3:18">
      <c r="C6225" s="5"/>
      <c r="R6225" s="15"/>
    </row>
    <row r="6226" spans="3:18">
      <c r="C6226" s="5"/>
      <c r="R6226" s="15"/>
    </row>
    <row r="6227" spans="3:18">
      <c r="C6227" s="5"/>
      <c r="R6227" s="15"/>
    </row>
    <row r="6228" spans="3:18">
      <c r="C6228" s="5"/>
      <c r="R6228" s="15"/>
    </row>
    <row r="6229" spans="3:18">
      <c r="C6229" s="5"/>
      <c r="R6229" s="15"/>
    </row>
    <row r="6230" spans="3:18">
      <c r="C6230" s="5"/>
      <c r="R6230" s="15"/>
    </row>
    <row r="6231" spans="3:18">
      <c r="C6231" s="5"/>
      <c r="R6231" s="15"/>
    </row>
    <row r="6232" spans="3:18">
      <c r="C6232" s="5"/>
      <c r="R6232" s="15"/>
    </row>
    <row r="6233" spans="3:18">
      <c r="C6233" s="5"/>
      <c r="R6233" s="15"/>
    </row>
    <row r="6234" spans="3:18">
      <c r="C6234" s="5"/>
      <c r="R6234" s="15"/>
    </row>
    <row r="6235" spans="3:18">
      <c r="C6235" s="5"/>
      <c r="R6235" s="15"/>
    </row>
    <row r="6236" spans="3:18">
      <c r="C6236" s="5"/>
      <c r="R6236" s="15"/>
    </row>
    <row r="6237" spans="3:18">
      <c r="C6237" s="5"/>
      <c r="R6237" s="15"/>
    </row>
    <row r="6238" spans="3:18">
      <c r="C6238" s="5"/>
      <c r="R6238" s="15"/>
    </row>
    <row r="6239" spans="3:18">
      <c r="C6239" s="5"/>
      <c r="R6239" s="15"/>
    </row>
    <row r="6240" spans="3:18">
      <c r="C6240" s="5"/>
      <c r="R6240" s="15"/>
    </row>
    <row r="6241" spans="3:18">
      <c r="C6241" s="5"/>
      <c r="R6241" s="15"/>
    </row>
    <row r="6242" spans="3:18">
      <c r="C6242" s="5"/>
      <c r="R6242" s="15"/>
    </row>
    <row r="6243" spans="3:18">
      <c r="C6243" s="5"/>
      <c r="R6243" s="15"/>
    </row>
    <row r="6244" spans="3:18">
      <c r="C6244" s="5"/>
      <c r="R6244" s="15"/>
    </row>
    <row r="6245" spans="3:18">
      <c r="C6245" s="5"/>
      <c r="R6245" s="15"/>
    </row>
    <row r="6246" spans="3:18">
      <c r="C6246" s="5"/>
      <c r="R6246" s="15"/>
    </row>
    <row r="6247" spans="3:18">
      <c r="C6247" s="5"/>
      <c r="R6247" s="15"/>
    </row>
    <row r="6248" spans="3:18">
      <c r="C6248" s="5"/>
      <c r="R6248" s="15"/>
    </row>
    <row r="6249" spans="3:18">
      <c r="C6249" s="5"/>
      <c r="R6249" s="15"/>
    </row>
    <row r="6250" spans="3:18">
      <c r="C6250" s="5"/>
      <c r="R6250" s="15"/>
    </row>
    <row r="6251" spans="3:18">
      <c r="C6251" s="5"/>
      <c r="R6251" s="15"/>
    </row>
    <row r="6252" spans="3:18">
      <c r="C6252" s="5"/>
      <c r="R6252" s="15"/>
    </row>
    <row r="6253" spans="3:18">
      <c r="C6253" s="5"/>
      <c r="R6253" s="15"/>
    </row>
    <row r="6254" spans="3:18">
      <c r="C6254" s="5"/>
      <c r="R6254" s="15"/>
    </row>
    <row r="6255" spans="3:18">
      <c r="C6255" s="5"/>
      <c r="R6255" s="15"/>
    </row>
    <row r="6256" spans="3:18">
      <c r="C6256" s="5"/>
      <c r="R6256" s="15"/>
    </row>
    <row r="6257" spans="3:18">
      <c r="C6257" s="5"/>
      <c r="R6257" s="15"/>
    </row>
    <row r="6258" spans="3:18">
      <c r="C6258" s="5"/>
      <c r="R6258" s="15"/>
    </row>
    <row r="6259" spans="3:18">
      <c r="C6259" s="5"/>
      <c r="R6259" s="15"/>
    </row>
    <row r="6260" spans="3:18">
      <c r="C6260" s="5"/>
      <c r="R6260" s="15"/>
    </row>
    <row r="6261" spans="3:18">
      <c r="C6261" s="5"/>
      <c r="R6261" s="15"/>
    </row>
    <row r="6262" spans="3:18">
      <c r="C6262" s="5"/>
      <c r="R6262" s="15"/>
    </row>
    <row r="6263" spans="3:18">
      <c r="C6263" s="5"/>
      <c r="R6263" s="15"/>
    </row>
    <row r="6264" spans="3:18">
      <c r="C6264" s="5"/>
      <c r="R6264" s="15"/>
    </row>
    <row r="6265" spans="3:18">
      <c r="C6265" s="5"/>
      <c r="R6265" s="15"/>
    </row>
    <row r="6266" spans="3:18">
      <c r="C6266" s="5"/>
      <c r="R6266" s="15"/>
    </row>
    <row r="6267" spans="3:18">
      <c r="C6267" s="5"/>
      <c r="R6267" s="15"/>
    </row>
    <row r="6268" spans="3:18">
      <c r="C6268" s="5"/>
      <c r="R6268" s="15"/>
    </row>
    <row r="6269" spans="3:18">
      <c r="C6269" s="5"/>
      <c r="R6269" s="15"/>
    </row>
    <row r="6270" spans="3:18">
      <c r="C6270" s="5"/>
      <c r="R6270" s="15"/>
    </row>
    <row r="6271" spans="3:18">
      <c r="C6271" s="5"/>
      <c r="R6271" s="15"/>
    </row>
    <row r="6272" spans="3:18">
      <c r="C6272" s="5"/>
      <c r="R6272" s="15"/>
    </row>
    <row r="6273" spans="3:18">
      <c r="C6273" s="5"/>
      <c r="R6273" s="15"/>
    </row>
    <row r="6274" spans="3:18">
      <c r="C6274" s="5"/>
      <c r="R6274" s="15"/>
    </row>
    <row r="6275" spans="3:18">
      <c r="C6275" s="5"/>
      <c r="R6275" s="15"/>
    </row>
    <row r="6276" spans="3:18">
      <c r="C6276" s="5"/>
      <c r="R6276" s="15"/>
    </row>
    <row r="6277" spans="3:18">
      <c r="C6277" s="5"/>
      <c r="R6277" s="15"/>
    </row>
    <row r="6278" spans="3:18">
      <c r="C6278" s="5"/>
      <c r="R6278" s="15"/>
    </row>
    <row r="6279" spans="3:18">
      <c r="C6279" s="5"/>
      <c r="R6279" s="15"/>
    </row>
    <row r="6280" spans="3:18">
      <c r="C6280" s="5"/>
      <c r="R6280" s="15"/>
    </row>
    <row r="6281" spans="3:18">
      <c r="C6281" s="5"/>
      <c r="R6281" s="15"/>
    </row>
    <row r="6282" spans="3:18">
      <c r="C6282" s="5"/>
      <c r="R6282" s="15"/>
    </row>
    <row r="6283" spans="3:18">
      <c r="C6283" s="5"/>
      <c r="R6283" s="15"/>
    </row>
    <row r="6284" spans="3:18">
      <c r="C6284" s="5"/>
      <c r="R6284" s="15"/>
    </row>
    <row r="6285" spans="3:18">
      <c r="C6285" s="5"/>
      <c r="R6285" s="15"/>
    </row>
    <row r="6286" spans="3:18">
      <c r="C6286" s="5"/>
      <c r="R6286" s="15"/>
    </row>
    <row r="6287" spans="3:18">
      <c r="C6287" s="5"/>
      <c r="R6287" s="15"/>
    </row>
    <row r="6288" spans="3:18">
      <c r="C6288" s="5"/>
      <c r="R6288" s="15"/>
    </row>
    <row r="6289" spans="3:18">
      <c r="C6289" s="5"/>
      <c r="R6289" s="15"/>
    </row>
    <row r="6290" spans="3:18">
      <c r="C6290" s="5"/>
      <c r="R6290" s="15"/>
    </row>
    <row r="6291" spans="3:18">
      <c r="C6291" s="5"/>
      <c r="R6291" s="15"/>
    </row>
    <row r="6292" spans="3:18">
      <c r="C6292" s="5"/>
      <c r="R6292" s="15"/>
    </row>
    <row r="6293" spans="3:18">
      <c r="C6293" s="5"/>
      <c r="R6293" s="15"/>
    </row>
    <row r="6294" spans="3:18">
      <c r="C6294" s="5"/>
      <c r="R6294" s="15"/>
    </row>
    <row r="6295" spans="3:18">
      <c r="C6295" s="5"/>
      <c r="R6295" s="15"/>
    </row>
    <row r="6296" spans="3:18">
      <c r="C6296" s="5"/>
      <c r="R6296" s="15"/>
    </row>
    <row r="6297" spans="3:18">
      <c r="C6297" s="5"/>
      <c r="R6297" s="15"/>
    </row>
    <row r="6298" spans="3:18">
      <c r="C6298" s="5"/>
      <c r="R6298" s="15"/>
    </row>
    <row r="6299" spans="3:18">
      <c r="C6299" s="5"/>
      <c r="R6299" s="15"/>
    </row>
    <row r="6300" spans="3:18">
      <c r="C6300" s="5"/>
      <c r="R6300" s="15"/>
    </row>
    <row r="6301" spans="3:18">
      <c r="C6301" s="5"/>
      <c r="R6301" s="15"/>
    </row>
    <row r="6302" spans="3:18">
      <c r="C6302" s="5"/>
      <c r="R6302" s="15"/>
    </row>
    <row r="6303" spans="3:18">
      <c r="C6303" s="5"/>
      <c r="R6303" s="15"/>
    </row>
    <row r="6304" spans="3:18">
      <c r="C6304" s="5"/>
      <c r="R6304" s="15"/>
    </row>
    <row r="6305" spans="3:18">
      <c r="C6305" s="5"/>
      <c r="R6305" s="15"/>
    </row>
    <row r="6306" spans="3:18">
      <c r="C6306" s="5"/>
      <c r="R6306" s="15"/>
    </row>
    <row r="6307" spans="3:18">
      <c r="C6307" s="5"/>
      <c r="R6307" s="15"/>
    </row>
    <row r="6308" spans="3:18">
      <c r="C6308" s="5"/>
      <c r="R6308" s="15"/>
    </row>
    <row r="6309" spans="3:18">
      <c r="C6309" s="5"/>
      <c r="R6309" s="15"/>
    </row>
    <row r="6310" spans="3:18">
      <c r="C6310" s="5"/>
      <c r="R6310" s="15"/>
    </row>
    <row r="6311" spans="3:18">
      <c r="C6311" s="5"/>
      <c r="R6311" s="15"/>
    </row>
    <row r="6312" spans="3:18">
      <c r="C6312" s="5"/>
      <c r="R6312" s="15"/>
    </row>
    <row r="6313" spans="3:18">
      <c r="C6313" s="5"/>
      <c r="R6313" s="15"/>
    </row>
    <row r="6314" spans="3:18">
      <c r="C6314" s="5"/>
      <c r="R6314" s="15"/>
    </row>
    <row r="6315" spans="3:18">
      <c r="C6315" s="5"/>
      <c r="R6315" s="15"/>
    </row>
    <row r="6316" spans="3:18">
      <c r="C6316" s="5"/>
      <c r="R6316" s="15"/>
    </row>
    <row r="6317" spans="3:18">
      <c r="C6317" s="5"/>
      <c r="R6317" s="15"/>
    </row>
    <row r="6318" spans="3:18">
      <c r="C6318" s="5"/>
      <c r="R6318" s="15"/>
    </row>
    <row r="6319" spans="3:18">
      <c r="C6319" s="5"/>
      <c r="R6319" s="15"/>
    </row>
    <row r="6320" spans="3:18">
      <c r="C6320" s="5"/>
      <c r="R6320" s="15"/>
    </row>
    <row r="6321" spans="3:18">
      <c r="C6321" s="5"/>
      <c r="R6321" s="15"/>
    </row>
    <row r="6322" spans="3:18">
      <c r="C6322" s="5"/>
      <c r="R6322" s="15"/>
    </row>
    <row r="6323" spans="3:18">
      <c r="C6323" s="5"/>
      <c r="R6323" s="15"/>
    </row>
    <row r="6324" spans="3:18">
      <c r="C6324" s="5"/>
      <c r="R6324" s="15"/>
    </row>
    <row r="6325" spans="3:18">
      <c r="C6325" s="5"/>
      <c r="R6325" s="15"/>
    </row>
    <row r="6326" spans="3:18">
      <c r="C6326" s="5"/>
      <c r="R6326" s="15"/>
    </row>
    <row r="6327" spans="3:18">
      <c r="C6327" s="5"/>
      <c r="R6327" s="15"/>
    </row>
    <row r="6328" spans="3:18">
      <c r="C6328" s="5"/>
      <c r="R6328" s="15"/>
    </row>
    <row r="6329" spans="3:18">
      <c r="C6329" s="5"/>
      <c r="R6329" s="15"/>
    </row>
    <row r="6330" spans="3:18">
      <c r="C6330" s="5"/>
      <c r="R6330" s="15"/>
    </row>
    <row r="6331" spans="3:18">
      <c r="C6331" s="5"/>
      <c r="R6331" s="15"/>
    </row>
    <row r="6332" spans="3:18">
      <c r="C6332" s="5"/>
      <c r="R6332" s="15"/>
    </row>
    <row r="6333" spans="3:18">
      <c r="C6333" s="5"/>
      <c r="R6333" s="15"/>
    </row>
    <row r="6334" spans="3:18">
      <c r="C6334" s="5"/>
      <c r="R6334" s="15"/>
    </row>
    <row r="6335" spans="3:18">
      <c r="C6335" s="5"/>
      <c r="R6335" s="15"/>
    </row>
    <row r="6336" spans="3:18">
      <c r="C6336" s="5"/>
      <c r="R6336" s="15"/>
    </row>
    <row r="6337" spans="3:18">
      <c r="C6337" s="5"/>
      <c r="R6337" s="15"/>
    </row>
    <row r="6338" spans="3:18">
      <c r="C6338" s="5"/>
      <c r="R6338" s="15"/>
    </row>
    <row r="6339" spans="3:18">
      <c r="C6339" s="5"/>
      <c r="R6339" s="15"/>
    </row>
    <row r="6340" spans="3:18">
      <c r="C6340" s="5"/>
      <c r="R6340" s="15"/>
    </row>
    <row r="6341" spans="3:18">
      <c r="C6341" s="5"/>
      <c r="R6341" s="15"/>
    </row>
    <row r="6342" spans="3:18">
      <c r="C6342" s="5"/>
      <c r="R6342" s="15"/>
    </row>
    <row r="6343" spans="3:18">
      <c r="C6343" s="5"/>
      <c r="R6343" s="15"/>
    </row>
    <row r="6344" spans="3:18">
      <c r="C6344" s="5"/>
      <c r="R6344" s="15"/>
    </row>
    <row r="6345" spans="3:18">
      <c r="C6345" s="5"/>
      <c r="R6345" s="15"/>
    </row>
    <row r="6346" spans="3:18">
      <c r="C6346" s="5"/>
      <c r="R6346" s="15"/>
    </row>
    <row r="6347" spans="3:18">
      <c r="C6347" s="5"/>
      <c r="R6347" s="15"/>
    </row>
    <row r="6348" spans="3:18">
      <c r="C6348" s="5"/>
      <c r="R6348" s="15"/>
    </row>
    <row r="6349" spans="3:18">
      <c r="C6349" s="5"/>
      <c r="R6349" s="15"/>
    </row>
    <row r="6350" spans="3:18">
      <c r="C6350" s="5"/>
      <c r="R6350" s="15"/>
    </row>
    <row r="6351" spans="3:18">
      <c r="C6351" s="5"/>
      <c r="R6351" s="15"/>
    </row>
    <row r="6352" spans="3:18">
      <c r="C6352" s="5"/>
      <c r="R6352" s="15"/>
    </row>
    <row r="6353" spans="3:18">
      <c r="C6353" s="5"/>
      <c r="R6353" s="15"/>
    </row>
    <row r="6354" spans="3:18">
      <c r="C6354" s="5"/>
      <c r="R6354" s="15"/>
    </row>
    <row r="6355" spans="3:18">
      <c r="C6355" s="5"/>
      <c r="R6355" s="15"/>
    </row>
    <row r="6356" spans="3:18">
      <c r="C6356" s="5"/>
      <c r="R6356" s="15"/>
    </row>
    <row r="6357" spans="3:18">
      <c r="C6357" s="5"/>
      <c r="R6357" s="15"/>
    </row>
    <row r="6358" spans="3:18">
      <c r="C6358" s="5"/>
      <c r="R6358" s="15"/>
    </row>
    <row r="6359" spans="3:18">
      <c r="C6359" s="5"/>
      <c r="R6359" s="15"/>
    </row>
    <row r="6360" spans="3:18">
      <c r="C6360" s="5"/>
      <c r="R6360" s="15"/>
    </row>
    <row r="6361" spans="3:18">
      <c r="C6361" s="5"/>
      <c r="R6361" s="15"/>
    </row>
    <row r="6362" spans="3:18">
      <c r="C6362" s="5"/>
      <c r="R6362" s="15"/>
    </row>
    <row r="6363" spans="3:18">
      <c r="C6363" s="5"/>
      <c r="R6363" s="15"/>
    </row>
    <row r="6364" spans="3:18">
      <c r="C6364" s="5"/>
      <c r="R6364" s="15"/>
    </row>
    <row r="6365" spans="3:18">
      <c r="C6365" s="5"/>
      <c r="R6365" s="15"/>
    </row>
    <row r="6366" spans="3:18">
      <c r="C6366" s="5"/>
      <c r="R6366" s="15"/>
    </row>
    <row r="6367" spans="3:18">
      <c r="C6367" s="5"/>
      <c r="R6367" s="15"/>
    </row>
    <row r="6368" spans="3:18">
      <c r="C6368" s="5"/>
      <c r="R6368" s="15"/>
    </row>
    <row r="6369" spans="3:18">
      <c r="C6369" s="5"/>
      <c r="R6369" s="15"/>
    </row>
    <row r="6370" spans="3:18">
      <c r="C6370" s="5"/>
      <c r="R6370" s="15"/>
    </row>
    <row r="6371" spans="3:18">
      <c r="C6371" s="5"/>
      <c r="R6371" s="15"/>
    </row>
    <row r="6372" spans="3:18">
      <c r="C6372" s="5"/>
      <c r="R6372" s="15"/>
    </row>
    <row r="6373" spans="3:18">
      <c r="C6373" s="5"/>
      <c r="R6373" s="15"/>
    </row>
    <row r="6374" spans="3:18">
      <c r="C6374" s="5"/>
      <c r="R6374" s="15"/>
    </row>
    <row r="6375" spans="3:18">
      <c r="C6375" s="5"/>
      <c r="R6375" s="15"/>
    </row>
    <row r="6376" spans="3:18">
      <c r="C6376" s="5"/>
      <c r="R6376" s="15"/>
    </row>
    <row r="6377" spans="3:18">
      <c r="C6377" s="5"/>
      <c r="R6377" s="15"/>
    </row>
    <row r="6378" spans="3:18">
      <c r="C6378" s="5"/>
      <c r="R6378" s="15"/>
    </row>
    <row r="6379" spans="3:18">
      <c r="C6379" s="5"/>
      <c r="R6379" s="15"/>
    </row>
    <row r="6380" spans="3:18">
      <c r="C6380" s="5"/>
      <c r="R6380" s="15"/>
    </row>
    <row r="6381" spans="3:18">
      <c r="C6381" s="5"/>
      <c r="R6381" s="15"/>
    </row>
    <row r="6382" spans="3:18">
      <c r="C6382" s="5"/>
      <c r="R6382" s="15"/>
    </row>
    <row r="6383" spans="3:18">
      <c r="C6383" s="5"/>
      <c r="R6383" s="15"/>
    </row>
    <row r="6384" spans="3:18">
      <c r="C6384" s="5"/>
      <c r="R6384" s="15"/>
    </row>
    <row r="6385" spans="3:18">
      <c r="C6385" s="5"/>
      <c r="R6385" s="15"/>
    </row>
    <row r="6386" spans="3:18">
      <c r="C6386" s="5"/>
      <c r="R6386" s="15"/>
    </row>
    <row r="6387" spans="3:18">
      <c r="C6387" s="5"/>
      <c r="R6387" s="15"/>
    </row>
    <row r="6388" spans="3:18">
      <c r="C6388" s="5"/>
      <c r="R6388" s="15"/>
    </row>
    <row r="6389" spans="3:18">
      <c r="C6389" s="5"/>
      <c r="R6389" s="15"/>
    </row>
    <row r="6390" spans="3:18">
      <c r="C6390" s="5"/>
      <c r="R6390" s="15"/>
    </row>
    <row r="6391" spans="3:18">
      <c r="C6391" s="5"/>
      <c r="R6391" s="15"/>
    </row>
    <row r="6392" spans="3:18">
      <c r="C6392" s="5"/>
      <c r="R6392" s="15"/>
    </row>
    <row r="6393" spans="3:18">
      <c r="C6393" s="5"/>
      <c r="R6393" s="15"/>
    </row>
    <row r="6394" spans="3:18">
      <c r="C6394" s="5"/>
      <c r="R6394" s="15"/>
    </row>
    <row r="6395" spans="3:18">
      <c r="C6395" s="5"/>
      <c r="R6395" s="15"/>
    </row>
    <row r="6396" spans="3:18">
      <c r="C6396" s="5"/>
      <c r="R6396" s="15"/>
    </row>
    <row r="6397" spans="3:18">
      <c r="C6397" s="5"/>
      <c r="R6397" s="15"/>
    </row>
    <row r="6398" spans="3:18">
      <c r="C6398" s="5"/>
      <c r="R6398" s="15"/>
    </row>
    <row r="6399" spans="3:18">
      <c r="C6399" s="5"/>
      <c r="R6399" s="15"/>
    </row>
    <row r="6400" spans="3:18">
      <c r="C6400" s="5"/>
      <c r="R6400" s="15"/>
    </row>
    <row r="6401" spans="3:18">
      <c r="C6401" s="5"/>
      <c r="R6401" s="15"/>
    </row>
    <row r="6402" spans="3:18">
      <c r="C6402" s="5"/>
      <c r="R6402" s="15"/>
    </row>
    <row r="6403" spans="3:18">
      <c r="C6403" s="5"/>
      <c r="R6403" s="15"/>
    </row>
    <row r="6404" spans="3:18">
      <c r="C6404" s="5"/>
      <c r="R6404" s="15"/>
    </row>
    <row r="6405" spans="3:18">
      <c r="C6405" s="5"/>
      <c r="R6405" s="15"/>
    </row>
    <row r="6406" spans="3:18">
      <c r="C6406" s="5"/>
      <c r="R6406" s="15"/>
    </row>
    <row r="6407" spans="3:18">
      <c r="C6407" s="5"/>
      <c r="R6407" s="15"/>
    </row>
    <row r="6408" spans="3:18">
      <c r="C6408" s="5"/>
      <c r="R6408" s="15"/>
    </row>
    <row r="6409" spans="3:18">
      <c r="C6409" s="5"/>
      <c r="R6409" s="15"/>
    </row>
    <row r="6410" spans="3:18">
      <c r="C6410" s="5"/>
      <c r="R6410" s="15"/>
    </row>
    <row r="6411" spans="3:18">
      <c r="C6411" s="5"/>
      <c r="R6411" s="15"/>
    </row>
    <row r="6412" spans="3:18">
      <c r="C6412" s="5"/>
      <c r="R6412" s="15"/>
    </row>
    <row r="6413" spans="3:18">
      <c r="C6413" s="5"/>
      <c r="R6413" s="15"/>
    </row>
    <row r="6414" spans="3:18">
      <c r="C6414" s="5"/>
      <c r="R6414" s="15"/>
    </row>
    <row r="6415" spans="3:18">
      <c r="C6415" s="5"/>
      <c r="R6415" s="15"/>
    </row>
    <row r="6416" spans="3:18">
      <c r="C6416" s="5"/>
      <c r="R6416" s="15"/>
    </row>
    <row r="6417" spans="3:18">
      <c r="C6417" s="5"/>
      <c r="R6417" s="15"/>
    </row>
    <row r="6418" spans="3:18">
      <c r="C6418" s="5"/>
      <c r="R6418" s="15"/>
    </row>
    <row r="6419" spans="3:18">
      <c r="C6419" s="5"/>
      <c r="R6419" s="15"/>
    </row>
    <row r="6420" spans="3:18">
      <c r="C6420" s="5"/>
      <c r="R6420" s="15"/>
    </row>
    <row r="6421" spans="3:18">
      <c r="C6421" s="5"/>
      <c r="R6421" s="15"/>
    </row>
    <row r="6422" spans="3:18">
      <c r="C6422" s="5"/>
      <c r="R6422" s="15"/>
    </row>
    <row r="6423" spans="3:18">
      <c r="C6423" s="5"/>
      <c r="R6423" s="15"/>
    </row>
    <row r="6424" spans="3:18">
      <c r="C6424" s="5"/>
      <c r="R6424" s="15"/>
    </row>
    <row r="6425" spans="3:18">
      <c r="C6425" s="5"/>
      <c r="R6425" s="15"/>
    </row>
    <row r="6426" spans="3:18">
      <c r="C6426" s="5"/>
      <c r="R6426" s="15"/>
    </row>
    <row r="6427" spans="3:18">
      <c r="C6427" s="5"/>
      <c r="R6427" s="15"/>
    </row>
    <row r="6428" spans="3:18">
      <c r="C6428" s="5"/>
      <c r="R6428" s="15"/>
    </row>
    <row r="6429" spans="3:18">
      <c r="C6429" s="5"/>
      <c r="R6429" s="15"/>
    </row>
    <row r="6430" spans="3:18">
      <c r="C6430" s="5"/>
      <c r="R6430" s="15"/>
    </row>
    <row r="6431" spans="3:18">
      <c r="C6431" s="5"/>
      <c r="R6431" s="15"/>
    </row>
    <row r="6432" spans="3:18">
      <c r="C6432" s="5"/>
      <c r="R6432" s="15"/>
    </row>
    <row r="6433" spans="3:18">
      <c r="C6433" s="5"/>
      <c r="R6433" s="15"/>
    </row>
    <row r="6434" spans="3:18">
      <c r="C6434" s="5"/>
      <c r="R6434" s="15"/>
    </row>
    <row r="6435" spans="3:18">
      <c r="C6435" s="5"/>
      <c r="R6435" s="15"/>
    </row>
    <row r="6436" spans="3:18">
      <c r="C6436" s="5"/>
      <c r="R6436" s="15"/>
    </row>
    <row r="6437" spans="3:18">
      <c r="C6437" s="5"/>
      <c r="R6437" s="15"/>
    </row>
    <row r="6438" spans="3:18">
      <c r="C6438" s="5"/>
      <c r="R6438" s="15"/>
    </row>
    <row r="6439" spans="3:18">
      <c r="C6439" s="5"/>
      <c r="R6439" s="15"/>
    </row>
    <row r="6440" spans="3:18">
      <c r="C6440" s="5"/>
      <c r="R6440" s="15"/>
    </row>
    <row r="6441" spans="3:18">
      <c r="C6441" s="5"/>
      <c r="R6441" s="15"/>
    </row>
    <row r="6442" spans="3:18">
      <c r="C6442" s="5"/>
      <c r="R6442" s="15"/>
    </row>
    <row r="6443" spans="3:18">
      <c r="C6443" s="5"/>
      <c r="R6443" s="15"/>
    </row>
    <row r="6444" spans="3:18">
      <c r="C6444" s="5"/>
      <c r="R6444" s="15"/>
    </row>
    <row r="6445" spans="3:18">
      <c r="C6445" s="5"/>
      <c r="R6445" s="15"/>
    </row>
    <row r="6446" spans="3:18">
      <c r="C6446" s="5"/>
      <c r="R6446" s="15"/>
    </row>
    <row r="6447" spans="3:18">
      <c r="C6447" s="5"/>
      <c r="R6447" s="15"/>
    </row>
    <row r="6448" spans="3:18">
      <c r="C6448" s="5"/>
      <c r="R6448" s="15"/>
    </row>
    <row r="6449" spans="3:18">
      <c r="C6449" s="5"/>
      <c r="R6449" s="15"/>
    </row>
    <row r="6450" spans="3:18">
      <c r="C6450" s="5"/>
      <c r="R6450" s="15"/>
    </row>
    <row r="6451" spans="3:18">
      <c r="C6451" s="5"/>
      <c r="R6451" s="15"/>
    </row>
    <row r="6452" spans="3:18">
      <c r="C6452" s="5"/>
      <c r="R6452" s="15"/>
    </row>
    <row r="6453" spans="3:18">
      <c r="C6453" s="5"/>
      <c r="R6453" s="15"/>
    </row>
    <row r="6454" spans="3:18">
      <c r="C6454" s="5"/>
      <c r="R6454" s="15"/>
    </row>
    <row r="6455" spans="3:18">
      <c r="C6455" s="5"/>
      <c r="R6455" s="15"/>
    </row>
    <row r="6456" spans="3:18">
      <c r="C6456" s="5"/>
      <c r="R6456" s="15"/>
    </row>
    <row r="6457" spans="3:18">
      <c r="C6457" s="5"/>
      <c r="R6457" s="15"/>
    </row>
    <row r="6458" spans="3:18">
      <c r="C6458" s="5"/>
      <c r="R6458" s="15"/>
    </row>
    <row r="6459" spans="3:18">
      <c r="C6459" s="5"/>
      <c r="R6459" s="15"/>
    </row>
    <row r="6460" spans="3:18">
      <c r="C6460" s="5"/>
      <c r="R6460" s="15"/>
    </row>
    <row r="6461" spans="3:18">
      <c r="C6461" s="5"/>
      <c r="R6461" s="15"/>
    </row>
    <row r="6462" spans="3:18">
      <c r="C6462" s="5"/>
      <c r="R6462" s="15"/>
    </row>
    <row r="6463" spans="3:18">
      <c r="C6463" s="5"/>
      <c r="R6463" s="15"/>
    </row>
    <row r="6464" spans="3:18">
      <c r="C6464" s="5"/>
      <c r="R6464" s="15"/>
    </row>
    <row r="6465" spans="3:18">
      <c r="C6465" s="5"/>
      <c r="R6465" s="15"/>
    </row>
    <row r="6466" spans="3:18">
      <c r="C6466" s="5"/>
      <c r="R6466" s="15"/>
    </row>
    <row r="6467" spans="3:18">
      <c r="C6467" s="5"/>
      <c r="R6467" s="15"/>
    </row>
    <row r="6468" spans="3:18">
      <c r="C6468" s="5"/>
      <c r="R6468" s="15"/>
    </row>
    <row r="6469" spans="3:18">
      <c r="C6469" s="5"/>
      <c r="R6469" s="15"/>
    </row>
    <row r="6470" spans="3:18">
      <c r="C6470" s="5"/>
      <c r="R6470" s="15"/>
    </row>
    <row r="6471" spans="3:18">
      <c r="C6471" s="5"/>
      <c r="R6471" s="15"/>
    </row>
    <row r="6472" spans="3:18">
      <c r="C6472" s="5"/>
      <c r="R6472" s="15"/>
    </row>
    <row r="6473" spans="3:18">
      <c r="C6473" s="5"/>
      <c r="R6473" s="15"/>
    </row>
    <row r="6474" spans="3:18">
      <c r="C6474" s="5"/>
      <c r="R6474" s="15"/>
    </row>
    <row r="6475" spans="3:18">
      <c r="C6475" s="5"/>
      <c r="R6475" s="15"/>
    </row>
    <row r="6476" spans="3:18">
      <c r="C6476" s="5"/>
      <c r="R6476" s="15"/>
    </row>
    <row r="6477" spans="3:18">
      <c r="C6477" s="5"/>
      <c r="R6477" s="15"/>
    </row>
    <row r="6478" spans="3:18">
      <c r="C6478" s="5"/>
      <c r="R6478" s="15"/>
    </row>
    <row r="6479" spans="3:18">
      <c r="C6479" s="5"/>
      <c r="R6479" s="15"/>
    </row>
    <row r="6480" spans="3:18">
      <c r="C6480" s="5"/>
      <c r="R6480" s="15"/>
    </row>
    <row r="6481" spans="3:18">
      <c r="C6481" s="5"/>
      <c r="R6481" s="15"/>
    </row>
    <row r="6482" spans="3:18">
      <c r="C6482" s="5"/>
      <c r="R6482" s="15"/>
    </row>
    <row r="6483" spans="3:18">
      <c r="C6483" s="5"/>
      <c r="R6483" s="15"/>
    </row>
    <row r="6484" spans="3:18">
      <c r="C6484" s="5"/>
      <c r="R6484" s="15"/>
    </row>
    <row r="6485" spans="3:18">
      <c r="C6485" s="5"/>
      <c r="R6485" s="15"/>
    </row>
    <row r="6486" spans="3:18">
      <c r="C6486" s="5"/>
      <c r="R6486" s="15"/>
    </row>
    <row r="6487" spans="3:18">
      <c r="C6487" s="5"/>
      <c r="R6487" s="15"/>
    </row>
    <row r="6488" spans="3:18">
      <c r="C6488" s="5"/>
      <c r="R6488" s="15"/>
    </row>
    <row r="6489" spans="3:18">
      <c r="C6489" s="5"/>
      <c r="R6489" s="15"/>
    </row>
    <row r="6490" spans="3:18">
      <c r="C6490" s="5"/>
      <c r="R6490" s="15"/>
    </row>
    <row r="6491" spans="3:18">
      <c r="C6491" s="5"/>
      <c r="R6491" s="15"/>
    </row>
    <row r="6492" spans="3:18">
      <c r="C6492" s="5"/>
      <c r="R6492" s="15"/>
    </row>
    <row r="6493" spans="3:18">
      <c r="C6493" s="5"/>
      <c r="R6493" s="15"/>
    </row>
    <row r="6494" spans="3:18">
      <c r="C6494" s="5"/>
      <c r="R6494" s="15"/>
    </row>
    <row r="6495" spans="3:18">
      <c r="C6495" s="5"/>
      <c r="R6495" s="15"/>
    </row>
    <row r="6496" spans="3:18">
      <c r="C6496" s="5"/>
      <c r="R6496" s="15"/>
    </row>
    <row r="6497" spans="3:18">
      <c r="C6497" s="5"/>
      <c r="R6497" s="15"/>
    </row>
    <row r="6498" spans="3:18">
      <c r="C6498" s="5"/>
      <c r="R6498" s="15"/>
    </row>
    <row r="6499" spans="3:18">
      <c r="C6499" s="5"/>
      <c r="R6499" s="15"/>
    </row>
    <row r="6500" spans="3:18">
      <c r="C6500" s="5"/>
      <c r="R6500" s="15"/>
    </row>
    <row r="6501" spans="3:18">
      <c r="C6501" s="5"/>
      <c r="R6501" s="15"/>
    </row>
    <row r="6502" spans="3:18">
      <c r="C6502" s="5"/>
      <c r="R6502" s="15"/>
    </row>
    <row r="6503" spans="3:18">
      <c r="C6503" s="5"/>
      <c r="R6503" s="15"/>
    </row>
    <row r="6504" spans="3:18">
      <c r="C6504" s="5"/>
      <c r="R6504" s="15"/>
    </row>
    <row r="6505" spans="3:18">
      <c r="C6505" s="5"/>
      <c r="R6505" s="15"/>
    </row>
    <row r="6506" spans="3:18">
      <c r="C6506" s="5"/>
      <c r="R6506" s="15"/>
    </row>
    <row r="6507" spans="3:18">
      <c r="C6507" s="5"/>
      <c r="R6507" s="15"/>
    </row>
    <row r="6508" spans="3:18">
      <c r="C6508" s="5"/>
      <c r="R6508" s="15"/>
    </row>
    <row r="6509" spans="3:18">
      <c r="C6509" s="5"/>
      <c r="R6509" s="15"/>
    </row>
    <row r="6510" spans="3:18">
      <c r="C6510" s="5"/>
      <c r="R6510" s="15"/>
    </row>
    <row r="6511" spans="3:18">
      <c r="C6511" s="5"/>
      <c r="R6511" s="15"/>
    </row>
    <row r="6512" spans="3:18">
      <c r="C6512" s="5"/>
      <c r="R6512" s="15"/>
    </row>
    <row r="6513" spans="3:18">
      <c r="C6513" s="5"/>
      <c r="R6513" s="15"/>
    </row>
    <row r="6514" spans="3:18">
      <c r="C6514" s="5"/>
      <c r="R6514" s="15"/>
    </row>
    <row r="6515" spans="3:18">
      <c r="C6515" s="5"/>
      <c r="R6515" s="15"/>
    </row>
    <row r="6516" spans="3:18">
      <c r="C6516" s="5"/>
      <c r="R6516" s="15"/>
    </row>
    <row r="6517" spans="3:18">
      <c r="C6517" s="5"/>
      <c r="R6517" s="15"/>
    </row>
    <row r="6518" spans="3:18">
      <c r="C6518" s="5"/>
      <c r="R6518" s="15"/>
    </row>
    <row r="6519" spans="3:18">
      <c r="C6519" s="5"/>
      <c r="R6519" s="15"/>
    </row>
    <row r="6520" spans="3:18">
      <c r="C6520" s="5"/>
      <c r="R6520" s="15"/>
    </row>
    <row r="6521" spans="3:18">
      <c r="C6521" s="5"/>
      <c r="R6521" s="15"/>
    </row>
    <row r="6522" spans="3:18">
      <c r="C6522" s="5"/>
      <c r="R6522" s="15"/>
    </row>
    <row r="6523" spans="3:18">
      <c r="C6523" s="5"/>
      <c r="R6523" s="15"/>
    </row>
    <row r="6524" spans="3:18">
      <c r="C6524" s="5"/>
      <c r="R6524" s="15"/>
    </row>
    <row r="6525" spans="3:18">
      <c r="C6525" s="5"/>
      <c r="R6525" s="15"/>
    </row>
    <row r="6526" spans="3:18">
      <c r="C6526" s="5"/>
      <c r="R6526" s="15"/>
    </row>
    <row r="6527" spans="3:18">
      <c r="C6527" s="5"/>
      <c r="R6527" s="15"/>
    </row>
    <row r="6528" spans="3:18">
      <c r="C6528" s="5"/>
      <c r="R6528" s="15"/>
    </row>
    <row r="6529" spans="3:18">
      <c r="C6529" s="5"/>
      <c r="R6529" s="15"/>
    </row>
    <row r="6530" spans="3:18">
      <c r="C6530" s="5"/>
      <c r="R6530" s="15"/>
    </row>
    <row r="6531" spans="3:18">
      <c r="C6531" s="5"/>
      <c r="R6531" s="15"/>
    </row>
    <row r="6532" spans="3:18">
      <c r="C6532" s="5"/>
      <c r="R6532" s="15"/>
    </row>
    <row r="6533" spans="3:18">
      <c r="C6533" s="5"/>
      <c r="R6533" s="15"/>
    </row>
    <row r="6534" spans="3:18">
      <c r="C6534" s="5"/>
      <c r="R6534" s="15"/>
    </row>
    <row r="6535" spans="3:18">
      <c r="C6535" s="5"/>
      <c r="R6535" s="15"/>
    </row>
    <row r="6536" spans="3:18">
      <c r="C6536" s="5"/>
      <c r="R6536" s="15"/>
    </row>
    <row r="6537" spans="3:18">
      <c r="C6537" s="5"/>
      <c r="R6537" s="15"/>
    </row>
    <row r="6538" spans="3:18">
      <c r="C6538" s="5"/>
      <c r="R6538" s="15"/>
    </row>
    <row r="6539" spans="3:18">
      <c r="C6539" s="5"/>
      <c r="R6539" s="15"/>
    </row>
    <row r="6540" spans="3:18">
      <c r="C6540" s="5"/>
      <c r="R6540" s="15"/>
    </row>
    <row r="6541" spans="3:18">
      <c r="C6541" s="5"/>
      <c r="R6541" s="15"/>
    </row>
    <row r="6542" spans="3:18">
      <c r="C6542" s="5"/>
      <c r="R6542" s="15"/>
    </row>
    <row r="6543" spans="3:18">
      <c r="C6543" s="5"/>
      <c r="R6543" s="15"/>
    </row>
    <row r="6544" spans="3:18">
      <c r="C6544" s="5"/>
      <c r="R6544" s="15"/>
    </row>
    <row r="6545" spans="3:18">
      <c r="C6545" s="5"/>
      <c r="R6545" s="15"/>
    </row>
    <row r="6546" spans="3:18">
      <c r="C6546" s="5"/>
      <c r="R6546" s="15"/>
    </row>
    <row r="6547" spans="3:18">
      <c r="C6547" s="5"/>
      <c r="R6547" s="15"/>
    </row>
    <row r="6548" spans="3:18">
      <c r="C6548" s="5"/>
      <c r="R6548" s="15"/>
    </row>
    <row r="6549" spans="3:18">
      <c r="C6549" s="5"/>
      <c r="R6549" s="15"/>
    </row>
    <row r="6550" spans="3:18">
      <c r="C6550" s="5"/>
      <c r="R6550" s="15"/>
    </row>
    <row r="6551" spans="3:18">
      <c r="C6551" s="5"/>
      <c r="R6551" s="15"/>
    </row>
    <row r="6552" spans="3:18">
      <c r="C6552" s="5"/>
      <c r="R6552" s="15"/>
    </row>
    <row r="6553" spans="3:18">
      <c r="C6553" s="5"/>
      <c r="R6553" s="15"/>
    </row>
    <row r="6554" spans="3:18">
      <c r="C6554" s="5"/>
      <c r="R6554" s="15"/>
    </row>
    <row r="6555" spans="3:18">
      <c r="C6555" s="5"/>
      <c r="R6555" s="15"/>
    </row>
    <row r="6556" spans="3:18">
      <c r="C6556" s="5"/>
      <c r="R6556" s="15"/>
    </row>
    <row r="6557" spans="3:18">
      <c r="C6557" s="5"/>
      <c r="R6557" s="15"/>
    </row>
    <row r="6558" spans="3:18">
      <c r="C6558" s="5"/>
      <c r="R6558" s="15"/>
    </row>
    <row r="6559" spans="3:18">
      <c r="C6559" s="5"/>
      <c r="R6559" s="15"/>
    </row>
    <row r="6560" spans="3:18">
      <c r="C6560" s="5"/>
      <c r="R6560" s="15"/>
    </row>
    <row r="6561" spans="3:18">
      <c r="C6561" s="5"/>
      <c r="R6561" s="15"/>
    </row>
    <row r="6562" spans="3:18">
      <c r="C6562" s="5"/>
      <c r="R6562" s="15"/>
    </row>
    <row r="6563" spans="3:18">
      <c r="C6563" s="5"/>
      <c r="R6563" s="15"/>
    </row>
    <row r="6564" spans="3:18">
      <c r="C6564" s="5"/>
      <c r="R6564" s="15"/>
    </row>
    <row r="6565" spans="3:18">
      <c r="C6565" s="5"/>
      <c r="R6565" s="15"/>
    </row>
    <row r="6566" spans="3:18">
      <c r="C6566" s="5"/>
      <c r="R6566" s="15"/>
    </row>
    <row r="6567" spans="3:18">
      <c r="C6567" s="5"/>
      <c r="R6567" s="15"/>
    </row>
    <row r="6568" spans="3:18">
      <c r="C6568" s="5"/>
      <c r="R6568" s="15"/>
    </row>
    <row r="6569" spans="3:18">
      <c r="C6569" s="5"/>
      <c r="R6569" s="15"/>
    </row>
    <row r="6570" spans="3:18">
      <c r="C6570" s="5"/>
      <c r="R6570" s="15"/>
    </row>
    <row r="6571" spans="3:18">
      <c r="C6571" s="5"/>
      <c r="R6571" s="15"/>
    </row>
    <row r="6572" spans="3:18">
      <c r="C6572" s="5"/>
      <c r="R6572" s="15"/>
    </row>
    <row r="6573" spans="3:18">
      <c r="C6573" s="5"/>
      <c r="R6573" s="15"/>
    </row>
    <row r="6574" spans="3:18">
      <c r="C6574" s="5"/>
      <c r="R6574" s="15"/>
    </row>
    <row r="6575" spans="3:18">
      <c r="C6575" s="5"/>
      <c r="R6575" s="15"/>
    </row>
    <row r="6576" spans="3:18">
      <c r="C6576" s="5"/>
      <c r="R6576" s="15"/>
    </row>
    <row r="6577" spans="3:18">
      <c r="C6577" s="5"/>
      <c r="R6577" s="15"/>
    </row>
    <row r="6578" spans="3:18">
      <c r="C6578" s="5"/>
      <c r="R6578" s="15"/>
    </row>
    <row r="6579" spans="3:18">
      <c r="C6579" s="5"/>
      <c r="R6579" s="15"/>
    </row>
    <row r="6580" spans="3:18">
      <c r="C6580" s="5"/>
      <c r="R6580" s="15"/>
    </row>
    <row r="6581" spans="3:18">
      <c r="C6581" s="5"/>
      <c r="R6581" s="15"/>
    </row>
    <row r="6582" spans="3:18">
      <c r="C6582" s="5"/>
      <c r="R6582" s="15"/>
    </row>
    <row r="6583" spans="3:18">
      <c r="C6583" s="5"/>
      <c r="R6583" s="15"/>
    </row>
    <row r="6584" spans="3:18">
      <c r="C6584" s="5"/>
      <c r="R6584" s="15"/>
    </row>
    <row r="6585" spans="3:18">
      <c r="C6585" s="5"/>
      <c r="R6585" s="15"/>
    </row>
    <row r="6586" spans="3:18">
      <c r="C6586" s="5"/>
      <c r="R6586" s="15"/>
    </row>
    <row r="6587" spans="3:18">
      <c r="C6587" s="5"/>
      <c r="R6587" s="15"/>
    </row>
    <row r="6588" spans="3:18">
      <c r="C6588" s="5"/>
      <c r="R6588" s="15"/>
    </row>
    <row r="6589" spans="3:18">
      <c r="C6589" s="5"/>
      <c r="R6589" s="15"/>
    </row>
    <row r="6590" spans="3:18">
      <c r="C6590" s="5"/>
      <c r="R6590" s="15"/>
    </row>
    <row r="6591" spans="3:18">
      <c r="C6591" s="5"/>
      <c r="R6591" s="15"/>
    </row>
    <row r="6592" spans="3:18">
      <c r="C6592" s="5"/>
      <c r="R6592" s="15"/>
    </row>
    <row r="6593" spans="3:18">
      <c r="C6593" s="5"/>
      <c r="R6593" s="15"/>
    </row>
    <row r="6594" spans="3:18">
      <c r="C6594" s="5"/>
      <c r="R6594" s="15"/>
    </row>
    <row r="6595" spans="3:18">
      <c r="C6595" s="5"/>
      <c r="R6595" s="15"/>
    </row>
    <row r="6596" spans="3:18">
      <c r="C6596" s="5"/>
      <c r="R6596" s="15"/>
    </row>
    <row r="6597" spans="3:18">
      <c r="C6597" s="5"/>
      <c r="R6597" s="15"/>
    </row>
    <row r="6598" spans="3:18">
      <c r="C6598" s="5"/>
      <c r="R6598" s="15"/>
    </row>
    <row r="6599" spans="3:18">
      <c r="C6599" s="5"/>
      <c r="R6599" s="15"/>
    </row>
    <row r="6600" spans="3:18">
      <c r="C6600" s="5"/>
      <c r="R6600" s="15"/>
    </row>
    <row r="6601" spans="3:18">
      <c r="C6601" s="5"/>
      <c r="R6601" s="15"/>
    </row>
    <row r="6602" spans="3:18">
      <c r="C6602" s="5"/>
      <c r="R6602" s="15"/>
    </row>
    <row r="6603" spans="3:18">
      <c r="C6603" s="5"/>
      <c r="R6603" s="15"/>
    </row>
    <row r="6604" spans="3:18">
      <c r="C6604" s="5"/>
      <c r="R6604" s="15"/>
    </row>
    <row r="6605" spans="3:18">
      <c r="C6605" s="5"/>
      <c r="R6605" s="15"/>
    </row>
    <row r="6606" spans="3:18">
      <c r="C6606" s="5"/>
      <c r="R6606" s="15"/>
    </row>
    <row r="6607" spans="3:18">
      <c r="C6607" s="5"/>
      <c r="R6607" s="15"/>
    </row>
    <row r="6608" spans="3:18">
      <c r="C6608" s="5"/>
      <c r="R6608" s="15"/>
    </row>
    <row r="6609" spans="3:18">
      <c r="C6609" s="5"/>
      <c r="R6609" s="15"/>
    </row>
    <row r="6610" spans="3:18">
      <c r="C6610" s="5"/>
      <c r="R6610" s="15"/>
    </row>
    <row r="6611" spans="3:18">
      <c r="C6611" s="5"/>
      <c r="R6611" s="15"/>
    </row>
    <row r="6612" spans="3:18">
      <c r="C6612" s="5"/>
      <c r="R6612" s="15"/>
    </row>
    <row r="6613" spans="3:18">
      <c r="C6613" s="5"/>
      <c r="R6613" s="15"/>
    </row>
    <row r="6614" spans="3:18">
      <c r="C6614" s="5"/>
      <c r="R6614" s="15"/>
    </row>
    <row r="6615" spans="3:18">
      <c r="C6615" s="5"/>
      <c r="R6615" s="15"/>
    </row>
    <row r="6616" spans="3:18">
      <c r="C6616" s="5"/>
      <c r="R6616" s="15"/>
    </row>
    <row r="6617" spans="3:18">
      <c r="C6617" s="5"/>
      <c r="R6617" s="15"/>
    </row>
    <row r="6618" spans="3:18">
      <c r="C6618" s="5"/>
      <c r="R6618" s="15"/>
    </row>
    <row r="6619" spans="3:18">
      <c r="C6619" s="5"/>
      <c r="R6619" s="15"/>
    </row>
    <row r="6620" spans="3:18">
      <c r="C6620" s="5"/>
      <c r="R6620" s="15"/>
    </row>
    <row r="6621" spans="3:18">
      <c r="C6621" s="5"/>
      <c r="R6621" s="15"/>
    </row>
    <row r="6622" spans="3:18">
      <c r="C6622" s="5"/>
      <c r="R6622" s="15"/>
    </row>
    <row r="6623" spans="3:18">
      <c r="C6623" s="5"/>
      <c r="R6623" s="15"/>
    </row>
    <row r="6624" spans="3:18">
      <c r="C6624" s="5"/>
      <c r="R6624" s="15"/>
    </row>
    <row r="6625" spans="3:18">
      <c r="C6625" s="5"/>
      <c r="R6625" s="15"/>
    </row>
    <row r="6626" spans="3:18">
      <c r="C6626" s="5"/>
      <c r="R6626" s="15"/>
    </row>
    <row r="6627" spans="3:18">
      <c r="C6627" s="5"/>
      <c r="R6627" s="15"/>
    </row>
    <row r="6628" spans="3:18">
      <c r="C6628" s="5"/>
      <c r="R6628" s="15"/>
    </row>
    <row r="6629" spans="3:18">
      <c r="C6629" s="5"/>
      <c r="R6629" s="15"/>
    </row>
    <row r="6630" spans="3:18">
      <c r="C6630" s="5"/>
      <c r="R6630" s="15"/>
    </row>
    <row r="6631" spans="3:18">
      <c r="C6631" s="5"/>
      <c r="R6631" s="15"/>
    </row>
    <row r="6632" spans="3:18">
      <c r="C6632" s="5"/>
      <c r="R6632" s="15"/>
    </row>
    <row r="6633" spans="3:18">
      <c r="C6633" s="5"/>
      <c r="R6633" s="15"/>
    </row>
    <row r="6634" spans="3:18">
      <c r="C6634" s="5"/>
      <c r="R6634" s="15"/>
    </row>
    <row r="6635" spans="3:18">
      <c r="C6635" s="5"/>
      <c r="R6635" s="15"/>
    </row>
    <row r="6636" spans="3:18">
      <c r="C6636" s="5"/>
      <c r="R6636" s="15"/>
    </row>
    <row r="6637" spans="3:18">
      <c r="C6637" s="5"/>
      <c r="R6637" s="15"/>
    </row>
    <row r="6638" spans="3:18">
      <c r="C6638" s="5"/>
      <c r="R6638" s="15"/>
    </row>
    <row r="6639" spans="3:18">
      <c r="C6639" s="5"/>
      <c r="R6639" s="15"/>
    </row>
    <row r="6640" spans="3:18">
      <c r="C6640" s="5"/>
      <c r="R6640" s="15"/>
    </row>
    <row r="6641" spans="3:18">
      <c r="C6641" s="5"/>
      <c r="R6641" s="15"/>
    </row>
    <row r="6642" spans="3:18">
      <c r="C6642" s="5"/>
      <c r="R6642" s="15"/>
    </row>
    <row r="6643" spans="3:18">
      <c r="C6643" s="5"/>
      <c r="R6643" s="15"/>
    </row>
    <row r="6644" spans="3:18">
      <c r="C6644" s="5"/>
      <c r="R6644" s="15"/>
    </row>
    <row r="6645" spans="3:18">
      <c r="C6645" s="5"/>
      <c r="R6645" s="15"/>
    </row>
    <row r="6646" spans="3:18">
      <c r="C6646" s="5"/>
      <c r="R6646" s="15"/>
    </row>
    <row r="6647" spans="3:18">
      <c r="C6647" s="5"/>
      <c r="R6647" s="15"/>
    </row>
    <row r="6648" spans="3:18">
      <c r="C6648" s="5"/>
      <c r="R6648" s="15"/>
    </row>
    <row r="6649" spans="3:18">
      <c r="C6649" s="5"/>
      <c r="R6649" s="15"/>
    </row>
    <row r="6650" spans="3:18">
      <c r="C6650" s="5"/>
      <c r="R6650" s="15"/>
    </row>
    <row r="6651" spans="3:18">
      <c r="C6651" s="5"/>
      <c r="R6651" s="15"/>
    </row>
    <row r="6652" spans="3:18">
      <c r="C6652" s="5"/>
      <c r="R6652" s="15"/>
    </row>
    <row r="6653" spans="3:18">
      <c r="C6653" s="5"/>
      <c r="R6653" s="15"/>
    </row>
    <row r="6654" spans="3:18">
      <c r="C6654" s="5"/>
      <c r="R6654" s="15"/>
    </row>
    <row r="6655" spans="3:18">
      <c r="C6655" s="5"/>
      <c r="R6655" s="15"/>
    </row>
    <row r="6656" spans="3:18">
      <c r="C6656" s="5"/>
      <c r="R6656" s="15"/>
    </row>
    <row r="6657" spans="3:18">
      <c r="C6657" s="5"/>
      <c r="R6657" s="15"/>
    </row>
    <row r="6658" spans="3:18">
      <c r="C6658" s="5"/>
      <c r="R6658" s="15"/>
    </row>
    <row r="6659" spans="3:18">
      <c r="C6659" s="5"/>
      <c r="R6659" s="15"/>
    </row>
    <row r="6660" spans="3:18">
      <c r="C6660" s="5"/>
      <c r="R6660" s="15"/>
    </row>
    <row r="6661" spans="3:18">
      <c r="C6661" s="5"/>
      <c r="R6661" s="15"/>
    </row>
    <row r="6662" spans="3:18">
      <c r="C6662" s="5"/>
      <c r="R6662" s="15"/>
    </row>
    <row r="6663" spans="3:18">
      <c r="C6663" s="5"/>
      <c r="R6663" s="15"/>
    </row>
    <row r="6664" spans="3:18">
      <c r="C6664" s="5"/>
      <c r="R6664" s="15"/>
    </row>
    <row r="6665" spans="3:18">
      <c r="C6665" s="5"/>
      <c r="R6665" s="15"/>
    </row>
    <row r="6666" spans="3:18">
      <c r="C6666" s="5"/>
      <c r="R6666" s="15"/>
    </row>
    <row r="6667" spans="3:18">
      <c r="C6667" s="5"/>
      <c r="R6667" s="15"/>
    </row>
    <row r="6668" spans="3:18">
      <c r="C6668" s="5"/>
      <c r="R6668" s="15"/>
    </row>
    <row r="6669" spans="3:18">
      <c r="C6669" s="5"/>
      <c r="R6669" s="15"/>
    </row>
    <row r="6670" spans="3:18">
      <c r="C6670" s="5"/>
      <c r="R6670" s="15"/>
    </row>
    <row r="6671" spans="3:18">
      <c r="C6671" s="5"/>
      <c r="R6671" s="15"/>
    </row>
    <row r="6672" spans="3:18">
      <c r="C6672" s="5"/>
      <c r="R6672" s="15"/>
    </row>
    <row r="6673" spans="3:18">
      <c r="C6673" s="5"/>
      <c r="R6673" s="15"/>
    </row>
    <row r="6674" spans="3:18">
      <c r="C6674" s="5"/>
      <c r="R6674" s="15"/>
    </row>
    <row r="6675" spans="3:18">
      <c r="C6675" s="5"/>
      <c r="R6675" s="15"/>
    </row>
    <row r="6676" spans="3:18">
      <c r="C6676" s="5"/>
      <c r="R6676" s="15"/>
    </row>
    <row r="6677" spans="3:18">
      <c r="C6677" s="5"/>
      <c r="R6677" s="15"/>
    </row>
    <row r="6678" spans="3:18">
      <c r="C6678" s="5"/>
      <c r="R6678" s="15"/>
    </row>
    <row r="6679" spans="3:18">
      <c r="C6679" s="5"/>
      <c r="R6679" s="15"/>
    </row>
    <row r="6680" spans="3:18">
      <c r="C6680" s="5"/>
      <c r="R6680" s="15"/>
    </row>
    <row r="6681" spans="3:18">
      <c r="C6681" s="5"/>
      <c r="R6681" s="15"/>
    </row>
    <row r="6682" spans="3:18">
      <c r="C6682" s="5"/>
      <c r="R6682" s="15"/>
    </row>
    <row r="6683" spans="3:18">
      <c r="C6683" s="5"/>
      <c r="R6683" s="15"/>
    </row>
    <row r="6684" spans="3:18">
      <c r="C6684" s="5"/>
      <c r="R6684" s="15"/>
    </row>
    <row r="6685" spans="3:18">
      <c r="C6685" s="5"/>
      <c r="R6685" s="15"/>
    </row>
    <row r="6686" spans="3:18">
      <c r="C6686" s="5"/>
      <c r="R6686" s="15"/>
    </row>
    <row r="6687" spans="3:18">
      <c r="C6687" s="5"/>
      <c r="R6687" s="15"/>
    </row>
    <row r="6688" spans="3:18">
      <c r="C6688" s="5"/>
      <c r="R6688" s="15"/>
    </row>
    <row r="6689" spans="3:18">
      <c r="C6689" s="5"/>
      <c r="R6689" s="15"/>
    </row>
    <row r="6690" spans="3:18">
      <c r="C6690" s="5"/>
      <c r="R6690" s="15"/>
    </row>
    <row r="6691" spans="3:18">
      <c r="C6691" s="5"/>
      <c r="R6691" s="15"/>
    </row>
    <row r="6692" spans="3:18">
      <c r="C6692" s="5"/>
      <c r="R6692" s="15"/>
    </row>
    <row r="6693" spans="3:18">
      <c r="C6693" s="5"/>
      <c r="R6693" s="15"/>
    </row>
    <row r="6694" spans="3:18">
      <c r="C6694" s="5"/>
      <c r="R6694" s="15"/>
    </row>
    <row r="6695" spans="3:18">
      <c r="C6695" s="5"/>
      <c r="R6695" s="15"/>
    </row>
    <row r="6696" spans="3:18">
      <c r="C6696" s="5"/>
      <c r="R6696" s="15"/>
    </row>
    <row r="6697" spans="3:18">
      <c r="C6697" s="5"/>
      <c r="R6697" s="15"/>
    </row>
    <row r="6698" spans="3:18">
      <c r="C6698" s="5"/>
      <c r="R6698" s="15"/>
    </row>
    <row r="6699" spans="3:18">
      <c r="C6699" s="5"/>
      <c r="R6699" s="15"/>
    </row>
    <row r="6700" spans="3:18">
      <c r="C6700" s="5"/>
      <c r="R6700" s="15"/>
    </row>
    <row r="6701" spans="3:18">
      <c r="C6701" s="5"/>
      <c r="R6701" s="15"/>
    </row>
    <row r="6702" spans="3:18">
      <c r="C6702" s="5"/>
      <c r="R6702" s="15"/>
    </row>
    <row r="6703" spans="3:18">
      <c r="C6703" s="5"/>
      <c r="R6703" s="15"/>
    </row>
    <row r="6704" spans="3:18">
      <c r="C6704" s="5"/>
      <c r="R6704" s="15"/>
    </row>
    <row r="6705" spans="3:18">
      <c r="C6705" s="5"/>
      <c r="R6705" s="15"/>
    </row>
    <row r="6706" spans="3:18">
      <c r="C6706" s="5"/>
      <c r="R6706" s="15"/>
    </row>
    <row r="6707" spans="3:18">
      <c r="C6707" s="5"/>
      <c r="R6707" s="15"/>
    </row>
    <row r="6708" spans="3:18">
      <c r="C6708" s="5"/>
      <c r="R6708" s="15"/>
    </row>
    <row r="6709" spans="3:18">
      <c r="C6709" s="5"/>
      <c r="R6709" s="15"/>
    </row>
    <row r="6710" spans="3:18">
      <c r="C6710" s="5"/>
      <c r="R6710" s="15"/>
    </row>
    <row r="6711" spans="3:18">
      <c r="C6711" s="5"/>
      <c r="R6711" s="15"/>
    </row>
    <row r="6712" spans="3:18">
      <c r="C6712" s="5"/>
      <c r="R6712" s="15"/>
    </row>
    <row r="6713" spans="3:18">
      <c r="C6713" s="5"/>
      <c r="R6713" s="15"/>
    </row>
    <row r="6714" spans="3:18">
      <c r="C6714" s="5"/>
      <c r="R6714" s="15"/>
    </row>
    <row r="6715" spans="3:18">
      <c r="C6715" s="5"/>
      <c r="R6715" s="15"/>
    </row>
    <row r="6716" spans="3:18">
      <c r="C6716" s="5"/>
      <c r="R6716" s="15"/>
    </row>
    <row r="6717" spans="3:18">
      <c r="C6717" s="5"/>
      <c r="R6717" s="15"/>
    </row>
    <row r="6718" spans="3:18">
      <c r="C6718" s="5"/>
      <c r="R6718" s="15"/>
    </row>
    <row r="6719" spans="3:18">
      <c r="C6719" s="5"/>
      <c r="R6719" s="15"/>
    </row>
    <row r="6720" spans="3:18">
      <c r="C6720" s="5"/>
      <c r="R6720" s="15"/>
    </row>
    <row r="6721" spans="3:18">
      <c r="C6721" s="5"/>
      <c r="R6721" s="15"/>
    </row>
    <row r="6722" spans="3:18">
      <c r="C6722" s="5"/>
      <c r="R6722" s="15"/>
    </row>
    <row r="6723" spans="3:18">
      <c r="C6723" s="5"/>
      <c r="R6723" s="15"/>
    </row>
    <row r="6724" spans="3:18">
      <c r="C6724" s="5"/>
      <c r="R6724" s="15"/>
    </row>
    <row r="6725" spans="3:18">
      <c r="C6725" s="5"/>
      <c r="R6725" s="15"/>
    </row>
    <row r="6726" spans="3:18">
      <c r="C6726" s="5"/>
      <c r="R6726" s="15"/>
    </row>
    <row r="6727" spans="3:18">
      <c r="C6727" s="5"/>
      <c r="R6727" s="15"/>
    </row>
    <row r="6728" spans="3:18">
      <c r="C6728" s="5"/>
      <c r="R6728" s="15"/>
    </row>
    <row r="6729" spans="3:18">
      <c r="C6729" s="5"/>
      <c r="R6729" s="15"/>
    </row>
    <row r="6730" spans="3:18">
      <c r="C6730" s="5"/>
      <c r="R6730" s="15"/>
    </row>
    <row r="6731" spans="3:18">
      <c r="C6731" s="5"/>
      <c r="R6731" s="15"/>
    </row>
    <row r="6732" spans="3:18">
      <c r="C6732" s="5"/>
      <c r="R6732" s="15"/>
    </row>
    <row r="6733" spans="3:18">
      <c r="C6733" s="5"/>
      <c r="R6733" s="15"/>
    </row>
    <row r="6734" spans="3:18">
      <c r="C6734" s="5"/>
      <c r="R6734" s="15"/>
    </row>
    <row r="6735" spans="3:18">
      <c r="C6735" s="5"/>
      <c r="R6735" s="15"/>
    </row>
    <row r="6736" spans="3:18">
      <c r="C6736" s="5"/>
      <c r="R6736" s="15"/>
    </row>
    <row r="6737" spans="3:18">
      <c r="C6737" s="5"/>
      <c r="R6737" s="15"/>
    </row>
    <row r="6738" spans="3:18">
      <c r="C6738" s="5"/>
      <c r="R6738" s="15"/>
    </row>
    <row r="6739" spans="3:18">
      <c r="C6739" s="5"/>
      <c r="R6739" s="15"/>
    </row>
    <row r="6740" spans="3:18">
      <c r="C6740" s="5"/>
      <c r="R6740" s="15"/>
    </row>
    <row r="6741" spans="3:18">
      <c r="C6741" s="5"/>
      <c r="R6741" s="15"/>
    </row>
    <row r="6742" spans="3:18">
      <c r="C6742" s="5"/>
      <c r="R6742" s="15"/>
    </row>
    <row r="6743" spans="3:18">
      <c r="C6743" s="5"/>
      <c r="R6743" s="15"/>
    </row>
    <row r="6744" spans="3:18">
      <c r="C6744" s="5"/>
      <c r="R6744" s="15"/>
    </row>
    <row r="6745" spans="3:18">
      <c r="C6745" s="5"/>
      <c r="R6745" s="15"/>
    </row>
    <row r="6746" spans="3:18">
      <c r="C6746" s="5"/>
      <c r="R6746" s="15"/>
    </row>
    <row r="6747" spans="3:18">
      <c r="C6747" s="5"/>
      <c r="R6747" s="15"/>
    </row>
    <row r="6748" spans="3:18">
      <c r="C6748" s="5"/>
      <c r="R6748" s="15"/>
    </row>
    <row r="6749" spans="3:18">
      <c r="C6749" s="5"/>
      <c r="R6749" s="15"/>
    </row>
    <row r="6750" spans="3:18">
      <c r="C6750" s="5"/>
      <c r="R6750" s="15"/>
    </row>
    <row r="6751" spans="3:18">
      <c r="C6751" s="5"/>
      <c r="R6751" s="15"/>
    </row>
    <row r="6752" spans="3:18">
      <c r="C6752" s="5"/>
      <c r="R6752" s="15"/>
    </row>
    <row r="6753" spans="3:18">
      <c r="C6753" s="5"/>
      <c r="R6753" s="15"/>
    </row>
    <row r="6754" spans="3:18">
      <c r="C6754" s="5"/>
      <c r="R6754" s="15"/>
    </row>
    <row r="6755" spans="3:18">
      <c r="C6755" s="5"/>
      <c r="R6755" s="15"/>
    </row>
    <row r="6756" spans="3:18">
      <c r="C6756" s="5"/>
      <c r="R6756" s="15"/>
    </row>
    <row r="6757" spans="3:18">
      <c r="C6757" s="5"/>
      <c r="R6757" s="15"/>
    </row>
    <row r="6758" spans="3:18">
      <c r="C6758" s="5"/>
      <c r="R6758" s="15"/>
    </row>
    <row r="6759" spans="3:18">
      <c r="C6759" s="5"/>
      <c r="R6759" s="15"/>
    </row>
    <row r="6760" spans="3:18">
      <c r="C6760" s="5"/>
      <c r="R6760" s="15"/>
    </row>
    <row r="6761" spans="3:18">
      <c r="C6761" s="5"/>
      <c r="R6761" s="15"/>
    </row>
    <row r="6762" spans="3:18">
      <c r="C6762" s="5"/>
      <c r="R6762" s="15"/>
    </row>
    <row r="6763" spans="3:18">
      <c r="C6763" s="5"/>
      <c r="R6763" s="15"/>
    </row>
    <row r="6764" spans="3:18">
      <c r="C6764" s="5"/>
      <c r="R6764" s="15"/>
    </row>
    <row r="6765" spans="3:18">
      <c r="C6765" s="5"/>
      <c r="R6765" s="15"/>
    </row>
    <row r="6766" spans="3:18">
      <c r="C6766" s="5"/>
      <c r="R6766" s="15"/>
    </row>
    <row r="6767" spans="3:18">
      <c r="C6767" s="5"/>
      <c r="R6767" s="15"/>
    </row>
    <row r="6768" spans="3:18">
      <c r="C6768" s="5"/>
      <c r="R6768" s="15"/>
    </row>
    <row r="6769" spans="3:18">
      <c r="C6769" s="5"/>
      <c r="R6769" s="15"/>
    </row>
    <row r="6770" spans="3:18">
      <c r="C6770" s="5"/>
      <c r="R6770" s="15"/>
    </row>
    <row r="6771" spans="3:18">
      <c r="C6771" s="5"/>
      <c r="R6771" s="15"/>
    </row>
    <row r="6772" spans="3:18">
      <c r="C6772" s="5"/>
      <c r="R6772" s="15"/>
    </row>
    <row r="6773" spans="3:18">
      <c r="C6773" s="5"/>
      <c r="R6773" s="15"/>
    </row>
    <row r="6774" spans="3:18">
      <c r="C6774" s="5"/>
      <c r="R6774" s="15"/>
    </row>
    <row r="6775" spans="3:18">
      <c r="C6775" s="5"/>
      <c r="R6775" s="15"/>
    </row>
    <row r="6776" spans="3:18">
      <c r="C6776" s="5"/>
      <c r="R6776" s="15"/>
    </row>
    <row r="6777" spans="3:18">
      <c r="C6777" s="5"/>
      <c r="R6777" s="15"/>
    </row>
    <row r="6778" spans="3:18">
      <c r="C6778" s="5"/>
      <c r="R6778" s="15"/>
    </row>
    <row r="6779" spans="3:18">
      <c r="C6779" s="5"/>
      <c r="R6779" s="15"/>
    </row>
    <row r="6780" spans="3:18">
      <c r="C6780" s="5"/>
      <c r="R6780" s="15"/>
    </row>
    <row r="6781" spans="3:18">
      <c r="C6781" s="5"/>
      <c r="R6781" s="15"/>
    </row>
    <row r="6782" spans="3:18">
      <c r="C6782" s="5"/>
      <c r="R6782" s="15"/>
    </row>
    <row r="6783" spans="3:18">
      <c r="C6783" s="5"/>
      <c r="R6783" s="15"/>
    </row>
    <row r="6784" spans="3:18">
      <c r="C6784" s="5"/>
      <c r="R6784" s="15"/>
    </row>
    <row r="6785" spans="3:18">
      <c r="C6785" s="5"/>
      <c r="R6785" s="15"/>
    </row>
    <row r="6786" spans="3:18">
      <c r="C6786" s="5"/>
      <c r="R6786" s="15"/>
    </row>
    <row r="6787" spans="3:18">
      <c r="C6787" s="5"/>
      <c r="R6787" s="15"/>
    </row>
    <row r="6788" spans="3:18">
      <c r="C6788" s="5"/>
      <c r="R6788" s="15"/>
    </row>
    <row r="6789" spans="3:18">
      <c r="C6789" s="5"/>
      <c r="R6789" s="15"/>
    </row>
    <row r="6790" spans="3:18">
      <c r="C6790" s="5"/>
      <c r="R6790" s="15"/>
    </row>
    <row r="6791" spans="3:18">
      <c r="C6791" s="5"/>
      <c r="R6791" s="15"/>
    </row>
    <row r="6792" spans="3:18">
      <c r="C6792" s="5"/>
      <c r="R6792" s="15"/>
    </row>
    <row r="6793" spans="3:18">
      <c r="C6793" s="5"/>
      <c r="R6793" s="15"/>
    </row>
    <row r="6794" spans="3:18">
      <c r="C6794" s="5"/>
      <c r="R6794" s="15"/>
    </row>
    <row r="6795" spans="3:18">
      <c r="C6795" s="5"/>
      <c r="R6795" s="15"/>
    </row>
    <row r="6796" spans="3:18">
      <c r="C6796" s="5"/>
      <c r="R6796" s="15"/>
    </row>
    <row r="6797" spans="3:18">
      <c r="C6797" s="5"/>
      <c r="R6797" s="15"/>
    </row>
    <row r="6798" spans="3:18">
      <c r="C6798" s="5"/>
      <c r="R6798" s="15"/>
    </row>
    <row r="6799" spans="3:18">
      <c r="C6799" s="5"/>
      <c r="R6799" s="15"/>
    </row>
    <row r="6800" spans="3:18">
      <c r="C6800" s="5"/>
      <c r="R6800" s="15"/>
    </row>
    <row r="6801" spans="3:18">
      <c r="C6801" s="5"/>
      <c r="R6801" s="15"/>
    </row>
    <row r="6802" spans="3:18">
      <c r="C6802" s="5"/>
      <c r="R6802" s="15"/>
    </row>
    <row r="6803" spans="3:18">
      <c r="C6803" s="5"/>
      <c r="R6803" s="15"/>
    </row>
    <row r="6804" spans="3:18">
      <c r="C6804" s="5"/>
      <c r="R6804" s="15"/>
    </row>
    <row r="6805" spans="3:18">
      <c r="C6805" s="5"/>
      <c r="R6805" s="15"/>
    </row>
    <row r="6806" spans="3:18">
      <c r="C6806" s="5"/>
      <c r="R6806" s="15"/>
    </row>
    <row r="6807" spans="3:18">
      <c r="C6807" s="5"/>
      <c r="R6807" s="15"/>
    </row>
    <row r="6808" spans="3:18">
      <c r="C6808" s="5"/>
      <c r="R6808" s="15"/>
    </row>
    <row r="6809" spans="3:18">
      <c r="C6809" s="5"/>
      <c r="R6809" s="15"/>
    </row>
    <row r="6810" spans="3:18">
      <c r="C6810" s="5"/>
      <c r="R6810" s="15"/>
    </row>
    <row r="6811" spans="3:18">
      <c r="C6811" s="5"/>
      <c r="R6811" s="15"/>
    </row>
    <row r="6812" spans="3:18">
      <c r="C6812" s="5"/>
      <c r="R6812" s="15"/>
    </row>
    <row r="6813" spans="3:18">
      <c r="C6813" s="5"/>
      <c r="R6813" s="15"/>
    </row>
    <row r="6814" spans="3:18">
      <c r="C6814" s="5"/>
      <c r="R6814" s="15"/>
    </row>
    <row r="6815" spans="3:18">
      <c r="C6815" s="5"/>
      <c r="R6815" s="15"/>
    </row>
    <row r="6816" spans="3:18">
      <c r="C6816" s="5"/>
      <c r="R6816" s="15"/>
    </row>
    <row r="6817" spans="3:18">
      <c r="C6817" s="5"/>
      <c r="R6817" s="15"/>
    </row>
    <row r="6818" spans="3:18">
      <c r="C6818" s="5"/>
      <c r="R6818" s="15"/>
    </row>
    <row r="6819" spans="3:18">
      <c r="C6819" s="5"/>
      <c r="R6819" s="15"/>
    </row>
    <row r="6820" spans="3:18">
      <c r="C6820" s="5"/>
      <c r="R6820" s="15"/>
    </row>
    <row r="6821" spans="3:18">
      <c r="C6821" s="5"/>
      <c r="R6821" s="15"/>
    </row>
    <row r="6822" spans="3:18">
      <c r="C6822" s="5"/>
      <c r="R6822" s="15"/>
    </row>
    <row r="6823" spans="3:18">
      <c r="C6823" s="5"/>
      <c r="R6823" s="15"/>
    </row>
    <row r="6824" spans="3:18">
      <c r="C6824" s="5"/>
      <c r="R6824" s="15"/>
    </row>
    <row r="6825" spans="3:18">
      <c r="C6825" s="5"/>
      <c r="R6825" s="15"/>
    </row>
    <row r="6826" spans="3:18">
      <c r="C6826" s="5"/>
      <c r="R6826" s="15"/>
    </row>
    <row r="6827" spans="3:18">
      <c r="C6827" s="5"/>
      <c r="R6827" s="15"/>
    </row>
    <row r="6828" spans="3:18">
      <c r="C6828" s="5"/>
      <c r="R6828" s="15"/>
    </row>
    <row r="6829" spans="3:18">
      <c r="C6829" s="5"/>
      <c r="R6829" s="15"/>
    </row>
    <row r="6830" spans="3:18">
      <c r="C6830" s="5"/>
      <c r="R6830" s="15"/>
    </row>
    <row r="6831" spans="3:18">
      <c r="C6831" s="5"/>
      <c r="R6831" s="15"/>
    </row>
    <row r="6832" spans="3:18">
      <c r="C6832" s="5"/>
      <c r="R6832" s="15"/>
    </row>
    <row r="6833" spans="3:18">
      <c r="C6833" s="5"/>
      <c r="R6833" s="15"/>
    </row>
    <row r="6834" spans="3:18">
      <c r="C6834" s="5"/>
      <c r="R6834" s="15"/>
    </row>
    <row r="6835" spans="3:18">
      <c r="C6835" s="5"/>
      <c r="R6835" s="15"/>
    </row>
    <row r="6836" spans="3:18">
      <c r="C6836" s="5"/>
      <c r="R6836" s="15"/>
    </row>
    <row r="6837" spans="3:18">
      <c r="C6837" s="5"/>
      <c r="R6837" s="15"/>
    </row>
    <row r="6838" spans="3:18">
      <c r="C6838" s="5"/>
      <c r="R6838" s="15"/>
    </row>
    <row r="6839" spans="3:18">
      <c r="C6839" s="5"/>
      <c r="R6839" s="15"/>
    </row>
    <row r="6840" spans="3:18">
      <c r="C6840" s="5"/>
      <c r="R6840" s="15"/>
    </row>
    <row r="6841" spans="3:18">
      <c r="C6841" s="5"/>
      <c r="R6841" s="15"/>
    </row>
    <row r="6842" spans="3:18">
      <c r="C6842" s="5"/>
      <c r="R6842" s="15"/>
    </row>
    <row r="6843" spans="3:18">
      <c r="C6843" s="5"/>
      <c r="R6843" s="15"/>
    </row>
    <row r="6844" spans="3:18">
      <c r="C6844" s="5"/>
      <c r="R6844" s="15"/>
    </row>
    <row r="6845" spans="3:18">
      <c r="C6845" s="5"/>
      <c r="R6845" s="15"/>
    </row>
    <row r="6846" spans="3:18">
      <c r="C6846" s="5"/>
      <c r="R6846" s="15"/>
    </row>
    <row r="6847" spans="3:18">
      <c r="C6847" s="5"/>
      <c r="R6847" s="15"/>
    </row>
    <row r="6848" spans="3:18">
      <c r="C6848" s="5"/>
      <c r="R6848" s="15"/>
    </row>
    <row r="6849" spans="3:18">
      <c r="C6849" s="5"/>
      <c r="R6849" s="15"/>
    </row>
    <row r="6850" spans="3:18">
      <c r="C6850" s="5"/>
      <c r="R6850" s="15"/>
    </row>
    <row r="6851" spans="3:18">
      <c r="C6851" s="5"/>
      <c r="R6851" s="15"/>
    </row>
    <row r="6852" spans="3:18">
      <c r="C6852" s="5"/>
      <c r="R6852" s="15"/>
    </row>
    <row r="6853" spans="3:18">
      <c r="C6853" s="5"/>
      <c r="R6853" s="15"/>
    </row>
    <row r="6854" spans="3:18">
      <c r="C6854" s="5"/>
      <c r="R6854" s="15"/>
    </row>
    <row r="6855" spans="3:18">
      <c r="C6855" s="5"/>
      <c r="R6855" s="15"/>
    </row>
    <row r="6856" spans="3:18">
      <c r="C6856" s="5"/>
      <c r="R6856" s="15"/>
    </row>
    <row r="6857" spans="3:18">
      <c r="C6857" s="5"/>
      <c r="R6857" s="15"/>
    </row>
    <row r="6858" spans="3:18">
      <c r="C6858" s="5"/>
      <c r="R6858" s="15"/>
    </row>
    <row r="6859" spans="3:18">
      <c r="C6859" s="5"/>
      <c r="R6859" s="15"/>
    </row>
    <row r="6860" spans="3:18">
      <c r="C6860" s="5"/>
      <c r="R6860" s="15"/>
    </row>
    <row r="6861" spans="3:18">
      <c r="C6861" s="5"/>
      <c r="R6861" s="15"/>
    </row>
    <row r="6862" spans="3:18">
      <c r="C6862" s="5"/>
      <c r="R6862" s="15"/>
    </row>
    <row r="6863" spans="3:18">
      <c r="C6863" s="5"/>
      <c r="R6863" s="15"/>
    </row>
    <row r="6864" spans="3:18">
      <c r="C6864" s="5"/>
      <c r="R6864" s="15"/>
    </row>
    <row r="6865" spans="3:18">
      <c r="C6865" s="5"/>
      <c r="R6865" s="15"/>
    </row>
    <row r="6866" spans="3:18">
      <c r="C6866" s="5"/>
      <c r="R6866" s="15"/>
    </row>
    <row r="6867" spans="3:18">
      <c r="C6867" s="5"/>
      <c r="R6867" s="15"/>
    </row>
    <row r="6868" spans="3:18">
      <c r="C6868" s="5"/>
      <c r="R6868" s="15"/>
    </row>
    <row r="6869" spans="3:18">
      <c r="C6869" s="5"/>
      <c r="R6869" s="15"/>
    </row>
    <row r="6870" spans="3:18">
      <c r="C6870" s="5"/>
      <c r="R6870" s="15"/>
    </row>
    <row r="6871" spans="3:18">
      <c r="C6871" s="5"/>
      <c r="R6871" s="15"/>
    </row>
    <row r="6872" spans="3:18">
      <c r="C6872" s="5"/>
      <c r="R6872" s="15"/>
    </row>
    <row r="6873" spans="3:18">
      <c r="C6873" s="5"/>
      <c r="R6873" s="15"/>
    </row>
    <row r="6874" spans="3:18">
      <c r="C6874" s="5"/>
      <c r="R6874" s="15"/>
    </row>
    <row r="6875" spans="3:18">
      <c r="C6875" s="5"/>
      <c r="R6875" s="15"/>
    </row>
    <row r="6876" spans="3:18">
      <c r="C6876" s="5"/>
      <c r="R6876" s="15"/>
    </row>
    <row r="6877" spans="3:18">
      <c r="C6877" s="5"/>
      <c r="R6877" s="15"/>
    </row>
    <row r="6878" spans="3:18">
      <c r="C6878" s="5"/>
      <c r="R6878" s="15"/>
    </row>
    <row r="6879" spans="3:18">
      <c r="C6879" s="5"/>
      <c r="R6879" s="15"/>
    </row>
    <row r="6880" spans="3:18">
      <c r="C6880" s="5"/>
      <c r="R6880" s="15"/>
    </row>
    <row r="6881" spans="3:18">
      <c r="C6881" s="5"/>
      <c r="R6881" s="15"/>
    </row>
    <row r="6882" spans="3:18">
      <c r="C6882" s="5"/>
      <c r="R6882" s="15"/>
    </row>
    <row r="6883" spans="3:18">
      <c r="C6883" s="5"/>
      <c r="R6883" s="15"/>
    </row>
    <row r="6884" spans="3:18">
      <c r="C6884" s="5"/>
      <c r="R6884" s="15"/>
    </row>
    <row r="6885" spans="3:18">
      <c r="C6885" s="5"/>
      <c r="R6885" s="15"/>
    </row>
    <row r="6886" spans="3:18">
      <c r="C6886" s="5"/>
      <c r="R6886" s="15"/>
    </row>
    <row r="6887" spans="3:18">
      <c r="C6887" s="5"/>
      <c r="R6887" s="15"/>
    </row>
    <row r="6888" spans="3:18">
      <c r="C6888" s="5"/>
      <c r="R6888" s="15"/>
    </row>
    <row r="6889" spans="3:18">
      <c r="C6889" s="5"/>
      <c r="R6889" s="15"/>
    </row>
    <row r="6890" spans="3:18">
      <c r="C6890" s="5"/>
      <c r="R6890" s="15"/>
    </row>
    <row r="6891" spans="3:18">
      <c r="C6891" s="5"/>
      <c r="R6891" s="15"/>
    </row>
    <row r="6892" spans="3:18">
      <c r="C6892" s="5"/>
      <c r="R6892" s="15"/>
    </row>
    <row r="6893" spans="3:18">
      <c r="C6893" s="5"/>
      <c r="R6893" s="15"/>
    </row>
    <row r="6894" spans="3:18">
      <c r="C6894" s="5"/>
      <c r="R6894" s="15"/>
    </row>
    <row r="6895" spans="3:18">
      <c r="C6895" s="5"/>
      <c r="R6895" s="15"/>
    </row>
    <row r="6896" spans="3:18">
      <c r="C6896" s="5"/>
      <c r="R6896" s="15"/>
    </row>
    <row r="6897" spans="3:18">
      <c r="C6897" s="5"/>
      <c r="R6897" s="15"/>
    </row>
    <row r="6898" spans="3:18">
      <c r="C6898" s="5"/>
      <c r="R6898" s="15"/>
    </row>
    <row r="6899" spans="3:18">
      <c r="C6899" s="5"/>
      <c r="R6899" s="15"/>
    </row>
    <row r="6900" spans="3:18">
      <c r="C6900" s="5"/>
      <c r="R6900" s="15"/>
    </row>
    <row r="6901" spans="3:18">
      <c r="C6901" s="5"/>
      <c r="R6901" s="15"/>
    </row>
    <row r="6902" spans="3:18">
      <c r="C6902" s="5"/>
      <c r="R6902" s="15"/>
    </row>
    <row r="6903" spans="3:18">
      <c r="C6903" s="5"/>
      <c r="R6903" s="15"/>
    </row>
    <row r="6904" spans="3:18">
      <c r="C6904" s="5"/>
      <c r="R6904" s="15"/>
    </row>
    <row r="6905" spans="3:18">
      <c r="C6905" s="5"/>
      <c r="R6905" s="15"/>
    </row>
    <row r="6906" spans="3:18">
      <c r="C6906" s="5"/>
      <c r="R6906" s="15"/>
    </row>
    <row r="6907" spans="3:18">
      <c r="C6907" s="5"/>
      <c r="R6907" s="15"/>
    </row>
    <row r="6908" spans="3:18">
      <c r="C6908" s="5"/>
      <c r="R6908" s="15"/>
    </row>
    <row r="6909" spans="3:18">
      <c r="C6909" s="5"/>
      <c r="R6909" s="15"/>
    </row>
    <row r="6910" spans="3:18">
      <c r="C6910" s="5"/>
      <c r="R6910" s="15"/>
    </row>
    <row r="6911" spans="3:18">
      <c r="C6911" s="5"/>
      <c r="R6911" s="15"/>
    </row>
    <row r="6912" spans="3:18">
      <c r="C6912" s="5"/>
      <c r="R6912" s="15"/>
    </row>
    <row r="6913" spans="3:18">
      <c r="C6913" s="5"/>
      <c r="R6913" s="15"/>
    </row>
    <row r="6914" spans="3:18">
      <c r="C6914" s="5"/>
      <c r="R6914" s="15"/>
    </row>
    <row r="6915" spans="3:18">
      <c r="C6915" s="5"/>
      <c r="R6915" s="15"/>
    </row>
    <row r="6916" spans="3:18">
      <c r="C6916" s="5"/>
      <c r="R6916" s="15"/>
    </row>
    <row r="6917" spans="3:18">
      <c r="C6917" s="5"/>
      <c r="R6917" s="15"/>
    </row>
    <row r="6918" spans="3:18">
      <c r="C6918" s="5"/>
      <c r="R6918" s="15"/>
    </row>
    <row r="6919" spans="3:18">
      <c r="C6919" s="5"/>
      <c r="R6919" s="15"/>
    </row>
    <row r="6920" spans="3:18">
      <c r="C6920" s="5"/>
      <c r="R6920" s="15"/>
    </row>
    <row r="6921" spans="3:18">
      <c r="C6921" s="5"/>
      <c r="R6921" s="15"/>
    </row>
    <row r="6922" spans="3:18">
      <c r="C6922" s="5"/>
      <c r="R6922" s="15"/>
    </row>
    <row r="6923" spans="3:18">
      <c r="C6923" s="5"/>
      <c r="R6923" s="15"/>
    </row>
    <row r="6924" spans="3:18">
      <c r="C6924" s="5"/>
      <c r="R6924" s="15"/>
    </row>
    <row r="6925" spans="3:18">
      <c r="C6925" s="5"/>
      <c r="R6925" s="15"/>
    </row>
    <row r="6926" spans="3:18">
      <c r="C6926" s="5"/>
      <c r="R6926" s="15"/>
    </row>
    <row r="6927" spans="3:18">
      <c r="C6927" s="5"/>
      <c r="R6927" s="15"/>
    </row>
    <row r="6928" spans="3:18">
      <c r="C6928" s="5"/>
      <c r="R6928" s="15"/>
    </row>
    <row r="6929" spans="3:18">
      <c r="C6929" s="5"/>
      <c r="R6929" s="15"/>
    </row>
    <row r="6930" spans="3:18">
      <c r="C6930" s="5"/>
      <c r="R6930" s="15"/>
    </row>
    <row r="6931" spans="3:18">
      <c r="C6931" s="5"/>
      <c r="R6931" s="15"/>
    </row>
    <row r="6932" spans="3:18">
      <c r="C6932" s="5"/>
      <c r="R6932" s="15"/>
    </row>
    <row r="6933" spans="3:18">
      <c r="C6933" s="5"/>
      <c r="R6933" s="15"/>
    </row>
    <row r="6934" spans="3:18">
      <c r="C6934" s="5"/>
      <c r="R6934" s="15"/>
    </row>
    <row r="6935" spans="3:18">
      <c r="C6935" s="5"/>
      <c r="R6935" s="15"/>
    </row>
    <row r="6936" spans="3:18">
      <c r="C6936" s="5"/>
      <c r="R6936" s="15"/>
    </row>
    <row r="6937" spans="3:18">
      <c r="C6937" s="5"/>
      <c r="R6937" s="15"/>
    </row>
    <row r="6938" spans="3:18">
      <c r="C6938" s="5"/>
      <c r="R6938" s="15"/>
    </row>
    <row r="6939" spans="3:18">
      <c r="C6939" s="5"/>
      <c r="R6939" s="15"/>
    </row>
    <row r="6940" spans="3:18">
      <c r="C6940" s="5"/>
      <c r="R6940" s="15"/>
    </row>
    <row r="6941" spans="3:18">
      <c r="C6941" s="5"/>
      <c r="R6941" s="15"/>
    </row>
    <row r="6942" spans="3:18">
      <c r="C6942" s="5"/>
      <c r="R6942" s="15"/>
    </row>
    <row r="6943" spans="3:18">
      <c r="C6943" s="5"/>
      <c r="R6943" s="15"/>
    </row>
    <row r="6944" spans="3:18">
      <c r="C6944" s="5"/>
      <c r="R6944" s="15"/>
    </row>
    <row r="6945" spans="3:18">
      <c r="C6945" s="5"/>
      <c r="R6945" s="15"/>
    </row>
    <row r="6946" spans="3:18">
      <c r="C6946" s="5"/>
      <c r="R6946" s="15"/>
    </row>
    <row r="6947" spans="3:18">
      <c r="C6947" s="5"/>
      <c r="R6947" s="15"/>
    </row>
    <row r="6948" spans="3:18">
      <c r="C6948" s="5"/>
      <c r="R6948" s="15"/>
    </row>
    <row r="6949" spans="3:18">
      <c r="C6949" s="5"/>
      <c r="R6949" s="15"/>
    </row>
    <row r="6950" spans="3:18">
      <c r="C6950" s="5"/>
      <c r="R6950" s="15"/>
    </row>
    <row r="6951" spans="3:18">
      <c r="C6951" s="5"/>
      <c r="R6951" s="15"/>
    </row>
    <row r="6952" spans="3:18">
      <c r="C6952" s="5"/>
      <c r="R6952" s="15"/>
    </row>
    <row r="6953" spans="3:18">
      <c r="C6953" s="5"/>
      <c r="R6953" s="15"/>
    </row>
    <row r="6954" spans="3:18">
      <c r="C6954" s="5"/>
      <c r="R6954" s="15"/>
    </row>
    <row r="6955" spans="3:18">
      <c r="C6955" s="5"/>
      <c r="R6955" s="15"/>
    </row>
    <row r="6956" spans="3:18">
      <c r="C6956" s="5"/>
      <c r="R6956" s="15"/>
    </row>
    <row r="6957" spans="3:18">
      <c r="C6957" s="5"/>
      <c r="R6957" s="15"/>
    </row>
    <row r="6958" spans="3:18">
      <c r="C6958" s="5"/>
      <c r="R6958" s="15"/>
    </row>
    <row r="6959" spans="3:18">
      <c r="C6959" s="5"/>
      <c r="R6959" s="15"/>
    </row>
    <row r="6960" spans="3:18">
      <c r="C6960" s="5"/>
      <c r="R6960" s="15"/>
    </row>
    <row r="6961" spans="3:18">
      <c r="C6961" s="5"/>
      <c r="R6961" s="15"/>
    </row>
    <row r="6962" spans="3:18">
      <c r="C6962" s="5"/>
      <c r="R6962" s="15"/>
    </row>
    <row r="6963" spans="3:18">
      <c r="C6963" s="5"/>
      <c r="R6963" s="15"/>
    </row>
    <row r="6964" spans="3:18">
      <c r="C6964" s="5"/>
      <c r="R6964" s="15"/>
    </row>
    <row r="6965" spans="3:18">
      <c r="C6965" s="5"/>
      <c r="R6965" s="15"/>
    </row>
    <row r="6966" spans="3:18">
      <c r="C6966" s="5"/>
      <c r="R6966" s="15"/>
    </row>
    <row r="6967" spans="3:18">
      <c r="C6967" s="5"/>
      <c r="R6967" s="15"/>
    </row>
    <row r="6968" spans="3:18">
      <c r="C6968" s="5"/>
      <c r="R6968" s="15"/>
    </row>
    <row r="6969" spans="3:18">
      <c r="C6969" s="5"/>
      <c r="R6969" s="15"/>
    </row>
    <row r="6970" spans="3:18">
      <c r="C6970" s="5"/>
      <c r="R6970" s="15"/>
    </row>
    <row r="6971" spans="3:18">
      <c r="C6971" s="5"/>
      <c r="R6971" s="15"/>
    </row>
    <row r="6972" spans="3:18">
      <c r="C6972" s="5"/>
      <c r="R6972" s="15"/>
    </row>
    <row r="6973" spans="3:18">
      <c r="C6973" s="5"/>
      <c r="R6973" s="15"/>
    </row>
    <row r="6974" spans="3:18">
      <c r="C6974" s="5"/>
      <c r="R6974" s="15"/>
    </row>
    <row r="6975" spans="3:18">
      <c r="C6975" s="5"/>
      <c r="R6975" s="15"/>
    </row>
    <row r="6976" spans="3:18">
      <c r="C6976" s="5"/>
      <c r="R6976" s="15"/>
    </row>
    <row r="6977" spans="3:18">
      <c r="C6977" s="5"/>
      <c r="R6977" s="15"/>
    </row>
    <row r="6978" spans="3:18">
      <c r="C6978" s="5"/>
      <c r="R6978" s="15"/>
    </row>
    <row r="6979" spans="3:18">
      <c r="C6979" s="5"/>
      <c r="R6979" s="15"/>
    </row>
    <row r="6980" spans="3:18">
      <c r="C6980" s="5"/>
      <c r="R6980" s="15"/>
    </row>
    <row r="6981" spans="3:18">
      <c r="C6981" s="5"/>
      <c r="R6981" s="15"/>
    </row>
    <row r="6982" spans="3:18">
      <c r="C6982" s="5"/>
      <c r="R6982" s="15"/>
    </row>
    <row r="6983" spans="3:18">
      <c r="C6983" s="5"/>
      <c r="R6983" s="15"/>
    </row>
    <row r="6984" spans="3:18">
      <c r="C6984" s="5"/>
      <c r="R6984" s="15"/>
    </row>
    <row r="6985" spans="3:18">
      <c r="C6985" s="5"/>
      <c r="R6985" s="15"/>
    </row>
    <row r="6986" spans="3:18">
      <c r="C6986" s="5"/>
      <c r="R6986" s="15"/>
    </row>
    <row r="6987" spans="3:18">
      <c r="C6987" s="5"/>
      <c r="R6987" s="15"/>
    </row>
    <row r="6988" spans="3:18">
      <c r="C6988" s="5"/>
      <c r="R6988" s="15"/>
    </row>
    <row r="6989" spans="3:18">
      <c r="C6989" s="5"/>
      <c r="R6989" s="15"/>
    </row>
    <row r="6990" spans="3:18">
      <c r="C6990" s="5"/>
      <c r="R6990" s="15"/>
    </row>
    <row r="6991" spans="3:18">
      <c r="C6991" s="5"/>
      <c r="R6991" s="15"/>
    </row>
    <row r="6992" spans="3:18">
      <c r="C6992" s="5"/>
      <c r="R6992" s="15"/>
    </row>
    <row r="6993" spans="3:18">
      <c r="C6993" s="5"/>
      <c r="R6993" s="15"/>
    </row>
    <row r="6994" spans="3:18">
      <c r="C6994" s="5"/>
      <c r="R6994" s="15"/>
    </row>
    <row r="6995" spans="3:18">
      <c r="C6995" s="5"/>
      <c r="R6995" s="15"/>
    </row>
    <row r="6996" spans="3:18">
      <c r="C6996" s="5"/>
      <c r="R6996" s="15"/>
    </row>
    <row r="6997" spans="3:18">
      <c r="C6997" s="5"/>
      <c r="R6997" s="15"/>
    </row>
    <row r="6998" spans="3:18">
      <c r="C6998" s="5"/>
      <c r="R6998" s="15"/>
    </row>
    <row r="6999" spans="3:18">
      <c r="C6999" s="5"/>
      <c r="R6999" s="15"/>
    </row>
    <row r="7000" spans="3:18">
      <c r="C7000" s="5"/>
      <c r="R7000" s="15"/>
    </row>
    <row r="7001" spans="3:18">
      <c r="C7001" s="5"/>
      <c r="R7001" s="15"/>
    </row>
    <row r="7002" spans="3:18">
      <c r="C7002" s="5"/>
      <c r="R7002" s="15"/>
    </row>
    <row r="7003" spans="3:18">
      <c r="C7003" s="5"/>
      <c r="R7003" s="15"/>
    </row>
    <row r="7004" spans="3:18">
      <c r="C7004" s="5"/>
      <c r="R7004" s="15"/>
    </row>
    <row r="7005" spans="3:18">
      <c r="C7005" s="5"/>
      <c r="R7005" s="15"/>
    </row>
    <row r="7006" spans="3:18">
      <c r="C7006" s="5"/>
      <c r="R7006" s="15"/>
    </row>
    <row r="7007" spans="3:18">
      <c r="C7007" s="5"/>
      <c r="R7007" s="15"/>
    </row>
    <row r="7008" spans="3:18">
      <c r="C7008" s="5"/>
      <c r="R7008" s="15"/>
    </row>
    <row r="7009" spans="3:18">
      <c r="C7009" s="5"/>
      <c r="R7009" s="15"/>
    </row>
    <row r="7010" spans="3:18">
      <c r="C7010" s="5"/>
      <c r="R7010" s="15"/>
    </row>
    <row r="7011" spans="3:18">
      <c r="C7011" s="5"/>
      <c r="R7011" s="15"/>
    </row>
    <row r="7012" spans="3:18">
      <c r="C7012" s="5"/>
      <c r="R7012" s="15"/>
    </row>
    <row r="7013" spans="3:18">
      <c r="C7013" s="5"/>
      <c r="R7013" s="15"/>
    </row>
    <row r="7014" spans="3:18">
      <c r="C7014" s="5"/>
      <c r="R7014" s="15"/>
    </row>
    <row r="7015" spans="3:18">
      <c r="C7015" s="5"/>
      <c r="R7015" s="15"/>
    </row>
    <row r="7016" spans="3:18">
      <c r="C7016" s="5"/>
      <c r="R7016" s="15"/>
    </row>
    <row r="7017" spans="3:18">
      <c r="C7017" s="5"/>
      <c r="R7017" s="15"/>
    </row>
    <row r="7018" spans="3:18">
      <c r="C7018" s="5"/>
      <c r="R7018" s="15"/>
    </row>
    <row r="7019" spans="3:18">
      <c r="C7019" s="5"/>
      <c r="R7019" s="15"/>
    </row>
    <row r="7020" spans="3:18">
      <c r="C7020" s="5"/>
      <c r="R7020" s="15"/>
    </row>
    <row r="7021" spans="3:18">
      <c r="C7021" s="5"/>
      <c r="R7021" s="15"/>
    </row>
    <row r="7022" spans="3:18">
      <c r="C7022" s="5"/>
      <c r="R7022" s="15"/>
    </row>
    <row r="7023" spans="3:18">
      <c r="C7023" s="5"/>
      <c r="R7023" s="15"/>
    </row>
    <row r="7024" spans="3:18">
      <c r="C7024" s="5"/>
      <c r="R7024" s="15"/>
    </row>
    <row r="7025" spans="3:18">
      <c r="C7025" s="5"/>
      <c r="R7025" s="15"/>
    </row>
    <row r="7026" spans="3:18">
      <c r="C7026" s="5"/>
      <c r="R7026" s="15"/>
    </row>
    <row r="7027" spans="3:18">
      <c r="C7027" s="5"/>
      <c r="R7027" s="15"/>
    </row>
    <row r="7028" spans="3:18">
      <c r="C7028" s="5"/>
      <c r="R7028" s="15"/>
    </row>
    <row r="7029" spans="3:18">
      <c r="C7029" s="5"/>
      <c r="R7029" s="15"/>
    </row>
    <row r="7030" spans="3:18">
      <c r="C7030" s="5"/>
      <c r="R7030" s="15"/>
    </row>
    <row r="7031" spans="3:18">
      <c r="C7031" s="5"/>
      <c r="R7031" s="15"/>
    </row>
    <row r="7032" spans="3:18">
      <c r="C7032" s="5"/>
      <c r="R7032" s="15"/>
    </row>
    <row r="7033" spans="3:18">
      <c r="C7033" s="5"/>
      <c r="R7033" s="15"/>
    </row>
    <row r="7034" spans="3:18">
      <c r="C7034" s="5"/>
      <c r="R7034" s="15"/>
    </row>
    <row r="7035" spans="3:18">
      <c r="C7035" s="5"/>
      <c r="R7035" s="15"/>
    </row>
    <row r="7036" spans="3:18">
      <c r="C7036" s="5"/>
      <c r="R7036" s="15"/>
    </row>
    <row r="7037" spans="3:18">
      <c r="C7037" s="5"/>
      <c r="R7037" s="15"/>
    </row>
    <row r="7038" spans="3:18">
      <c r="C7038" s="5"/>
      <c r="R7038" s="15"/>
    </row>
    <row r="7039" spans="3:18">
      <c r="C7039" s="5"/>
      <c r="R7039" s="15"/>
    </row>
    <row r="7040" spans="3:18">
      <c r="C7040" s="5"/>
      <c r="R7040" s="15"/>
    </row>
    <row r="7041" spans="3:18">
      <c r="C7041" s="5"/>
      <c r="R7041" s="15"/>
    </row>
    <row r="7042" spans="3:18">
      <c r="C7042" s="5"/>
      <c r="R7042" s="15"/>
    </row>
    <row r="7043" spans="3:18">
      <c r="C7043" s="5"/>
      <c r="R7043" s="15"/>
    </row>
    <row r="7044" spans="3:18">
      <c r="C7044" s="5"/>
      <c r="R7044" s="15"/>
    </row>
    <row r="7045" spans="3:18">
      <c r="C7045" s="5"/>
      <c r="R7045" s="15"/>
    </row>
    <row r="7046" spans="3:18">
      <c r="C7046" s="5"/>
      <c r="R7046" s="15"/>
    </row>
    <row r="7047" spans="3:18">
      <c r="C7047" s="5"/>
      <c r="R7047" s="15"/>
    </row>
    <row r="7048" spans="3:18">
      <c r="C7048" s="5"/>
      <c r="R7048" s="15"/>
    </row>
    <row r="7049" spans="3:18">
      <c r="C7049" s="5"/>
      <c r="R7049" s="15"/>
    </row>
    <row r="7050" spans="3:18">
      <c r="C7050" s="5"/>
      <c r="R7050" s="15"/>
    </row>
    <row r="7051" spans="3:18">
      <c r="C7051" s="5"/>
      <c r="R7051" s="15"/>
    </row>
    <row r="7052" spans="3:18">
      <c r="C7052" s="5"/>
      <c r="R7052" s="15"/>
    </row>
    <row r="7053" spans="3:18">
      <c r="C7053" s="5"/>
      <c r="R7053" s="15"/>
    </row>
    <row r="7054" spans="3:18">
      <c r="C7054" s="5"/>
      <c r="R7054" s="15"/>
    </row>
    <row r="7055" spans="3:18">
      <c r="C7055" s="5"/>
      <c r="R7055" s="15"/>
    </row>
    <row r="7056" spans="3:18">
      <c r="C7056" s="5"/>
      <c r="R7056" s="15"/>
    </row>
    <row r="7057" spans="3:18">
      <c r="C7057" s="5"/>
      <c r="R7057" s="15"/>
    </row>
    <row r="7058" spans="3:18">
      <c r="C7058" s="5"/>
      <c r="R7058" s="15"/>
    </row>
    <row r="7059" spans="3:18">
      <c r="C7059" s="5"/>
      <c r="R7059" s="15"/>
    </row>
    <row r="7060" spans="3:18">
      <c r="C7060" s="5"/>
      <c r="R7060" s="15"/>
    </row>
    <row r="7061" spans="3:18">
      <c r="C7061" s="5"/>
      <c r="R7061" s="15"/>
    </row>
    <row r="7062" spans="3:18">
      <c r="C7062" s="5"/>
      <c r="R7062" s="15"/>
    </row>
    <row r="7063" spans="3:18">
      <c r="C7063" s="5"/>
      <c r="R7063" s="15"/>
    </row>
    <row r="7064" spans="3:18">
      <c r="C7064" s="5"/>
      <c r="R7064" s="15"/>
    </row>
    <row r="7065" spans="3:18">
      <c r="C7065" s="5"/>
      <c r="R7065" s="15"/>
    </row>
    <row r="7066" spans="3:18">
      <c r="C7066" s="5"/>
      <c r="R7066" s="15"/>
    </row>
    <row r="7067" spans="3:18">
      <c r="C7067" s="5"/>
      <c r="R7067" s="15"/>
    </row>
    <row r="7068" spans="3:18">
      <c r="C7068" s="5"/>
      <c r="R7068" s="15"/>
    </row>
    <row r="7069" spans="3:18">
      <c r="C7069" s="5"/>
      <c r="R7069" s="15"/>
    </row>
    <row r="7070" spans="3:18">
      <c r="C7070" s="5"/>
      <c r="R7070" s="15"/>
    </row>
    <row r="7071" spans="3:18">
      <c r="C7071" s="5"/>
      <c r="R7071" s="15"/>
    </row>
    <row r="7072" spans="3:18">
      <c r="C7072" s="5"/>
      <c r="R7072" s="15"/>
    </row>
    <row r="7073" spans="3:18">
      <c r="C7073" s="5"/>
      <c r="R7073" s="15"/>
    </row>
    <row r="7074" spans="3:18">
      <c r="C7074" s="5"/>
      <c r="R7074" s="15"/>
    </row>
    <row r="7075" spans="3:18">
      <c r="C7075" s="5"/>
      <c r="R7075" s="15"/>
    </row>
    <row r="7076" spans="3:18">
      <c r="C7076" s="5"/>
      <c r="R7076" s="15"/>
    </row>
    <row r="7077" spans="3:18">
      <c r="C7077" s="5"/>
      <c r="R7077" s="15"/>
    </row>
    <row r="7078" spans="3:18">
      <c r="C7078" s="5"/>
      <c r="R7078" s="15"/>
    </row>
    <row r="7079" spans="3:18">
      <c r="C7079" s="5"/>
      <c r="R7079" s="15"/>
    </row>
    <row r="7080" spans="3:18">
      <c r="C7080" s="5"/>
      <c r="R7080" s="15"/>
    </row>
    <row r="7081" spans="3:18">
      <c r="C7081" s="5"/>
      <c r="R7081" s="15"/>
    </row>
    <row r="7082" spans="3:18">
      <c r="C7082" s="5"/>
      <c r="R7082" s="15"/>
    </row>
    <row r="7083" spans="3:18">
      <c r="C7083" s="5"/>
      <c r="R7083" s="15"/>
    </row>
    <row r="7084" spans="3:18">
      <c r="C7084" s="5"/>
      <c r="R7084" s="15"/>
    </row>
    <row r="7085" spans="3:18">
      <c r="C7085" s="5"/>
      <c r="R7085" s="15"/>
    </row>
    <row r="7086" spans="3:18">
      <c r="C7086" s="5"/>
      <c r="R7086" s="15"/>
    </row>
    <row r="7087" spans="3:18">
      <c r="C7087" s="5"/>
      <c r="R7087" s="15"/>
    </row>
    <row r="7088" spans="3:18">
      <c r="C7088" s="5"/>
      <c r="R7088" s="15"/>
    </row>
    <row r="7089" spans="3:18">
      <c r="C7089" s="5"/>
      <c r="R7089" s="15"/>
    </row>
    <row r="7090" spans="3:18">
      <c r="C7090" s="5"/>
      <c r="R7090" s="15"/>
    </row>
    <row r="7091" spans="3:18">
      <c r="C7091" s="5"/>
      <c r="R7091" s="15"/>
    </row>
    <row r="7092" spans="3:18">
      <c r="C7092" s="5"/>
      <c r="R7092" s="15"/>
    </row>
    <row r="7093" spans="3:18">
      <c r="C7093" s="5"/>
      <c r="R7093" s="15"/>
    </row>
    <row r="7094" spans="3:18">
      <c r="C7094" s="5"/>
      <c r="R7094" s="15"/>
    </row>
    <row r="7095" spans="3:18">
      <c r="C7095" s="5"/>
      <c r="R7095" s="15"/>
    </row>
    <row r="7096" spans="3:18">
      <c r="C7096" s="5"/>
      <c r="R7096" s="15"/>
    </row>
    <row r="7097" spans="3:18">
      <c r="C7097" s="5"/>
      <c r="R7097" s="15"/>
    </row>
    <row r="7098" spans="3:18">
      <c r="C7098" s="5"/>
      <c r="R7098" s="15"/>
    </row>
    <row r="7099" spans="3:18">
      <c r="C7099" s="5"/>
      <c r="R7099" s="15"/>
    </row>
    <row r="7100" spans="3:18">
      <c r="C7100" s="5"/>
      <c r="R7100" s="15"/>
    </row>
    <row r="7101" spans="3:18">
      <c r="C7101" s="5"/>
      <c r="R7101" s="15"/>
    </row>
    <row r="7102" spans="3:18">
      <c r="C7102" s="5"/>
      <c r="R7102" s="15"/>
    </row>
    <row r="7103" spans="3:18">
      <c r="C7103" s="5"/>
      <c r="R7103" s="15"/>
    </row>
    <row r="7104" spans="3:18">
      <c r="C7104" s="5"/>
      <c r="R7104" s="15"/>
    </row>
    <row r="7105" spans="3:18">
      <c r="C7105" s="5"/>
      <c r="R7105" s="15"/>
    </row>
    <row r="7106" spans="3:18">
      <c r="C7106" s="5"/>
      <c r="R7106" s="15"/>
    </row>
    <row r="7107" spans="3:18">
      <c r="C7107" s="5"/>
      <c r="R7107" s="15"/>
    </row>
    <row r="7108" spans="3:18">
      <c r="C7108" s="5"/>
      <c r="R7108" s="15"/>
    </row>
    <row r="7109" spans="3:18">
      <c r="C7109" s="5"/>
      <c r="R7109" s="15"/>
    </row>
    <row r="7110" spans="3:18">
      <c r="C7110" s="5"/>
      <c r="R7110" s="15"/>
    </row>
    <row r="7111" spans="3:18">
      <c r="C7111" s="5"/>
      <c r="R7111" s="15"/>
    </row>
    <row r="7112" spans="3:18">
      <c r="C7112" s="5"/>
      <c r="R7112" s="15"/>
    </row>
    <row r="7113" spans="3:18">
      <c r="C7113" s="5"/>
      <c r="R7113" s="15"/>
    </row>
    <row r="7114" spans="3:18">
      <c r="C7114" s="5"/>
      <c r="R7114" s="15"/>
    </row>
    <row r="7115" spans="3:18">
      <c r="C7115" s="5"/>
      <c r="R7115" s="15"/>
    </row>
    <row r="7116" spans="3:18">
      <c r="C7116" s="5"/>
      <c r="R7116" s="15"/>
    </row>
    <row r="7117" spans="3:18">
      <c r="C7117" s="5"/>
      <c r="R7117" s="15"/>
    </row>
    <row r="7118" spans="3:18">
      <c r="C7118" s="5"/>
      <c r="R7118" s="15"/>
    </row>
    <row r="7119" spans="3:18">
      <c r="C7119" s="5"/>
      <c r="R7119" s="15"/>
    </row>
    <row r="7120" spans="3:18">
      <c r="C7120" s="5"/>
      <c r="R7120" s="15"/>
    </row>
    <row r="7121" spans="3:18">
      <c r="C7121" s="5"/>
      <c r="R7121" s="15"/>
    </row>
    <row r="7122" spans="3:18">
      <c r="C7122" s="5"/>
      <c r="R7122" s="15"/>
    </row>
    <row r="7123" spans="3:18">
      <c r="C7123" s="5"/>
      <c r="R7123" s="15"/>
    </row>
    <row r="7124" spans="3:18">
      <c r="C7124" s="5"/>
      <c r="R7124" s="15"/>
    </row>
    <row r="7125" spans="3:18">
      <c r="C7125" s="5"/>
      <c r="R7125" s="15"/>
    </row>
    <row r="7126" spans="3:18">
      <c r="C7126" s="5"/>
      <c r="R7126" s="15"/>
    </row>
    <row r="7127" spans="3:18">
      <c r="C7127" s="5"/>
      <c r="R7127" s="15"/>
    </row>
    <row r="7128" spans="3:18">
      <c r="C7128" s="5"/>
      <c r="R7128" s="15"/>
    </row>
    <row r="7129" spans="3:18">
      <c r="C7129" s="5"/>
      <c r="R7129" s="15"/>
    </row>
    <row r="7130" spans="3:18">
      <c r="C7130" s="5"/>
      <c r="R7130" s="15"/>
    </row>
    <row r="7131" spans="3:18">
      <c r="C7131" s="5"/>
      <c r="R7131" s="15"/>
    </row>
    <row r="7132" spans="3:18">
      <c r="C7132" s="5"/>
      <c r="R7132" s="15"/>
    </row>
    <row r="7133" spans="3:18">
      <c r="C7133" s="5"/>
      <c r="R7133" s="15"/>
    </row>
    <row r="7134" spans="3:18">
      <c r="C7134" s="5"/>
      <c r="R7134" s="15"/>
    </row>
    <row r="7135" spans="3:18">
      <c r="C7135" s="5"/>
      <c r="R7135" s="15"/>
    </row>
    <row r="7136" spans="3:18">
      <c r="C7136" s="5"/>
      <c r="R7136" s="15"/>
    </row>
    <row r="7137" spans="3:18">
      <c r="C7137" s="5"/>
      <c r="R7137" s="15"/>
    </row>
    <row r="7138" spans="3:18">
      <c r="C7138" s="5"/>
      <c r="R7138" s="15"/>
    </row>
    <row r="7139" spans="3:18">
      <c r="C7139" s="5"/>
      <c r="R7139" s="15"/>
    </row>
    <row r="7140" spans="3:18">
      <c r="C7140" s="5"/>
      <c r="R7140" s="15"/>
    </row>
    <row r="7141" spans="3:18">
      <c r="C7141" s="5"/>
      <c r="R7141" s="15"/>
    </row>
    <row r="7142" spans="3:18">
      <c r="C7142" s="5"/>
      <c r="R7142" s="15"/>
    </row>
    <row r="7143" spans="3:18">
      <c r="C7143" s="5"/>
      <c r="R7143" s="15"/>
    </row>
    <row r="7144" spans="3:18">
      <c r="C7144" s="5"/>
      <c r="R7144" s="15"/>
    </row>
    <row r="7145" spans="3:18">
      <c r="C7145" s="5"/>
      <c r="R7145" s="15"/>
    </row>
    <row r="7146" spans="3:18">
      <c r="C7146" s="5"/>
      <c r="R7146" s="15"/>
    </row>
    <row r="7147" spans="3:18">
      <c r="C7147" s="5"/>
      <c r="R7147" s="15"/>
    </row>
    <row r="7148" spans="3:18">
      <c r="C7148" s="5"/>
      <c r="R7148" s="15"/>
    </row>
    <row r="7149" spans="3:18">
      <c r="C7149" s="5"/>
      <c r="R7149" s="15"/>
    </row>
    <row r="7150" spans="3:18">
      <c r="C7150" s="5"/>
      <c r="R7150" s="15"/>
    </row>
    <row r="7151" spans="3:18">
      <c r="C7151" s="5"/>
      <c r="R7151" s="15"/>
    </row>
    <row r="7152" spans="3:18">
      <c r="C7152" s="5"/>
      <c r="R7152" s="15"/>
    </row>
    <row r="7153" spans="3:18">
      <c r="C7153" s="5"/>
      <c r="R7153" s="15"/>
    </row>
    <row r="7154" spans="3:18">
      <c r="C7154" s="5"/>
      <c r="R7154" s="15"/>
    </row>
    <row r="7155" spans="3:18">
      <c r="C7155" s="5"/>
      <c r="R7155" s="15"/>
    </row>
    <row r="7156" spans="3:18">
      <c r="C7156" s="5"/>
      <c r="R7156" s="15"/>
    </row>
    <row r="7157" spans="3:18">
      <c r="C7157" s="5"/>
      <c r="R7157" s="15"/>
    </row>
    <row r="7158" spans="3:18">
      <c r="C7158" s="5"/>
      <c r="R7158" s="15"/>
    </row>
    <row r="7159" spans="3:18">
      <c r="C7159" s="5"/>
      <c r="R7159" s="15"/>
    </row>
    <row r="7160" spans="3:18">
      <c r="C7160" s="5"/>
      <c r="R7160" s="15"/>
    </row>
    <row r="7161" spans="3:18">
      <c r="C7161" s="5"/>
      <c r="R7161" s="15"/>
    </row>
    <row r="7162" spans="3:18">
      <c r="C7162" s="5"/>
      <c r="R7162" s="15"/>
    </row>
    <row r="7163" spans="3:18">
      <c r="C7163" s="5"/>
      <c r="R7163" s="15"/>
    </row>
    <row r="7164" spans="3:18">
      <c r="C7164" s="5"/>
      <c r="R7164" s="15"/>
    </row>
    <row r="7165" spans="3:18">
      <c r="C7165" s="5"/>
      <c r="R7165" s="15"/>
    </row>
    <row r="7166" spans="3:18">
      <c r="C7166" s="5"/>
      <c r="R7166" s="15"/>
    </row>
    <row r="7167" spans="3:18">
      <c r="C7167" s="5"/>
      <c r="R7167" s="15"/>
    </row>
    <row r="7168" spans="3:18">
      <c r="C7168" s="5"/>
      <c r="R7168" s="15"/>
    </row>
    <row r="7169" spans="3:18">
      <c r="C7169" s="5"/>
      <c r="R7169" s="15"/>
    </row>
    <row r="7170" spans="3:18">
      <c r="C7170" s="5"/>
      <c r="R7170" s="15"/>
    </row>
    <row r="7171" spans="3:18">
      <c r="C7171" s="5"/>
      <c r="R7171" s="15"/>
    </row>
    <row r="7172" spans="3:18">
      <c r="C7172" s="5"/>
      <c r="R7172" s="15"/>
    </row>
    <row r="7173" spans="3:18">
      <c r="C7173" s="5"/>
      <c r="R7173" s="15"/>
    </row>
    <row r="7174" spans="3:18">
      <c r="C7174" s="5"/>
      <c r="R7174" s="15"/>
    </row>
    <row r="7175" spans="3:18">
      <c r="C7175" s="5"/>
      <c r="R7175" s="15"/>
    </row>
    <row r="7176" spans="3:18">
      <c r="C7176" s="5"/>
      <c r="R7176" s="15"/>
    </row>
    <row r="7177" spans="3:18">
      <c r="C7177" s="5"/>
      <c r="R7177" s="15"/>
    </row>
    <row r="7178" spans="3:18">
      <c r="C7178" s="5"/>
      <c r="R7178" s="15"/>
    </row>
    <row r="7179" spans="3:18">
      <c r="C7179" s="5"/>
      <c r="R7179" s="15"/>
    </row>
    <row r="7180" spans="3:18">
      <c r="C7180" s="5"/>
      <c r="R7180" s="15"/>
    </row>
    <row r="7181" spans="3:18">
      <c r="C7181" s="5"/>
      <c r="R7181" s="15"/>
    </row>
    <row r="7182" spans="3:18">
      <c r="C7182" s="5"/>
      <c r="R7182" s="15"/>
    </row>
    <row r="7183" spans="3:18">
      <c r="C7183" s="5"/>
      <c r="R7183" s="15"/>
    </row>
    <row r="7184" spans="3:18">
      <c r="C7184" s="5"/>
      <c r="R7184" s="15"/>
    </row>
    <row r="7185" spans="3:18">
      <c r="C7185" s="5"/>
      <c r="R7185" s="15"/>
    </row>
    <row r="7186" spans="3:18">
      <c r="C7186" s="5"/>
      <c r="R7186" s="15"/>
    </row>
    <row r="7187" spans="3:18">
      <c r="C7187" s="5"/>
      <c r="R7187" s="15"/>
    </row>
    <row r="7188" spans="3:18">
      <c r="C7188" s="5"/>
      <c r="R7188" s="15"/>
    </row>
    <row r="7189" spans="3:18">
      <c r="C7189" s="5"/>
      <c r="R7189" s="15"/>
    </row>
    <row r="7190" spans="3:18">
      <c r="C7190" s="5"/>
      <c r="R7190" s="15"/>
    </row>
    <row r="7191" spans="3:18">
      <c r="C7191" s="5"/>
      <c r="R7191" s="15"/>
    </row>
    <row r="7192" spans="3:18">
      <c r="C7192" s="5"/>
      <c r="R7192" s="15"/>
    </row>
    <row r="7193" spans="3:18">
      <c r="C7193" s="5"/>
      <c r="R7193" s="15"/>
    </row>
    <row r="7194" spans="3:18">
      <c r="C7194" s="5"/>
      <c r="R7194" s="15"/>
    </row>
    <row r="7195" spans="3:18">
      <c r="C7195" s="5"/>
      <c r="R7195" s="15"/>
    </row>
    <row r="7196" spans="3:18">
      <c r="C7196" s="5"/>
      <c r="R7196" s="15"/>
    </row>
    <row r="7197" spans="3:18">
      <c r="C7197" s="5"/>
      <c r="R7197" s="15"/>
    </row>
    <row r="7198" spans="3:18">
      <c r="C7198" s="5"/>
      <c r="R7198" s="15"/>
    </row>
    <row r="7199" spans="3:18">
      <c r="C7199" s="5"/>
      <c r="R7199" s="15"/>
    </row>
    <row r="7200" spans="3:18">
      <c r="C7200" s="5"/>
      <c r="R7200" s="15"/>
    </row>
    <row r="7201" spans="3:18">
      <c r="C7201" s="5"/>
      <c r="R7201" s="15"/>
    </row>
    <row r="7202" spans="3:18">
      <c r="C7202" s="5"/>
      <c r="R7202" s="15"/>
    </row>
    <row r="7203" spans="3:18">
      <c r="C7203" s="5"/>
      <c r="R7203" s="15"/>
    </row>
    <row r="7204" spans="3:18">
      <c r="C7204" s="5"/>
      <c r="R7204" s="15"/>
    </row>
    <row r="7205" spans="3:18">
      <c r="C7205" s="5"/>
      <c r="R7205" s="15"/>
    </row>
    <row r="7206" spans="3:18">
      <c r="C7206" s="5"/>
      <c r="R7206" s="15"/>
    </row>
    <row r="7207" spans="3:18">
      <c r="C7207" s="5"/>
      <c r="R7207" s="15"/>
    </row>
    <row r="7208" spans="3:18">
      <c r="C7208" s="5"/>
      <c r="R7208" s="15"/>
    </row>
    <row r="7209" spans="3:18">
      <c r="C7209" s="5"/>
      <c r="R7209" s="15"/>
    </row>
    <row r="7210" spans="3:18">
      <c r="C7210" s="5"/>
      <c r="R7210" s="15"/>
    </row>
    <row r="7211" spans="3:18">
      <c r="C7211" s="5"/>
      <c r="R7211" s="15"/>
    </row>
    <row r="7212" spans="3:18">
      <c r="C7212" s="5"/>
      <c r="R7212" s="15"/>
    </row>
    <row r="7213" spans="3:18">
      <c r="C7213" s="5"/>
      <c r="R7213" s="15"/>
    </row>
    <row r="7214" spans="3:18">
      <c r="C7214" s="5"/>
      <c r="R7214" s="15"/>
    </row>
    <row r="7215" spans="3:18">
      <c r="C7215" s="5"/>
      <c r="R7215" s="15"/>
    </row>
    <row r="7216" spans="3:18">
      <c r="C7216" s="5"/>
      <c r="R7216" s="15"/>
    </row>
    <row r="7217" spans="3:18">
      <c r="C7217" s="5"/>
      <c r="R7217" s="15"/>
    </row>
    <row r="7218" spans="3:18">
      <c r="C7218" s="5"/>
      <c r="R7218" s="15"/>
    </row>
    <row r="7219" spans="3:18">
      <c r="C7219" s="5"/>
      <c r="R7219" s="15"/>
    </row>
    <row r="7220" spans="3:18">
      <c r="C7220" s="5"/>
      <c r="R7220" s="15"/>
    </row>
    <row r="7221" spans="3:18">
      <c r="C7221" s="5"/>
      <c r="R7221" s="15"/>
    </row>
    <row r="7222" spans="3:18">
      <c r="C7222" s="5"/>
      <c r="R7222" s="15"/>
    </row>
    <row r="7223" spans="3:18">
      <c r="C7223" s="5"/>
      <c r="R7223" s="15"/>
    </row>
    <row r="7224" spans="3:18">
      <c r="C7224" s="5"/>
      <c r="R7224" s="15"/>
    </row>
    <row r="7225" spans="3:18">
      <c r="C7225" s="5"/>
      <c r="R7225" s="15"/>
    </row>
    <row r="7226" spans="3:18">
      <c r="C7226" s="5"/>
      <c r="R7226" s="15"/>
    </row>
    <row r="7227" spans="3:18">
      <c r="C7227" s="5"/>
      <c r="R7227" s="15"/>
    </row>
    <row r="7228" spans="3:18">
      <c r="C7228" s="5"/>
      <c r="R7228" s="15"/>
    </row>
    <row r="7229" spans="3:18">
      <c r="C7229" s="5"/>
      <c r="R7229" s="15"/>
    </row>
    <row r="7230" spans="3:18">
      <c r="C7230" s="5"/>
      <c r="R7230" s="15"/>
    </row>
    <row r="7231" spans="3:18">
      <c r="C7231" s="5"/>
      <c r="R7231" s="15"/>
    </row>
    <row r="7232" spans="3:18">
      <c r="C7232" s="5"/>
      <c r="R7232" s="15"/>
    </row>
    <row r="7233" spans="3:18">
      <c r="C7233" s="5"/>
      <c r="R7233" s="15"/>
    </row>
    <row r="7234" spans="3:18">
      <c r="C7234" s="5"/>
      <c r="R7234" s="15"/>
    </row>
    <row r="7235" spans="3:18">
      <c r="C7235" s="5"/>
      <c r="R7235" s="15"/>
    </row>
    <row r="7236" spans="3:18">
      <c r="C7236" s="5"/>
      <c r="R7236" s="15"/>
    </row>
    <row r="7237" spans="3:18">
      <c r="C7237" s="5"/>
      <c r="R7237" s="15"/>
    </row>
    <row r="7238" spans="3:18">
      <c r="C7238" s="5"/>
      <c r="R7238" s="15"/>
    </row>
    <row r="7239" spans="3:18">
      <c r="C7239" s="5"/>
      <c r="R7239" s="15"/>
    </row>
    <row r="7240" spans="3:18">
      <c r="C7240" s="5"/>
      <c r="R7240" s="15"/>
    </row>
    <row r="7241" spans="3:18">
      <c r="C7241" s="5"/>
      <c r="R7241" s="15"/>
    </row>
    <row r="7242" spans="3:18">
      <c r="C7242" s="5"/>
      <c r="R7242" s="15"/>
    </row>
    <row r="7243" spans="3:18">
      <c r="C7243" s="5"/>
      <c r="R7243" s="15"/>
    </row>
    <row r="7244" spans="3:18">
      <c r="C7244" s="5"/>
      <c r="R7244" s="15"/>
    </row>
    <row r="7245" spans="3:18">
      <c r="C7245" s="5"/>
      <c r="R7245" s="15"/>
    </row>
    <row r="7246" spans="3:18">
      <c r="C7246" s="5"/>
      <c r="R7246" s="15"/>
    </row>
    <row r="7247" spans="3:18">
      <c r="C7247" s="5"/>
      <c r="R7247" s="15"/>
    </row>
    <row r="7248" spans="3:18">
      <c r="C7248" s="5"/>
      <c r="R7248" s="15"/>
    </row>
    <row r="7249" spans="3:18">
      <c r="C7249" s="5"/>
      <c r="R7249" s="15"/>
    </row>
    <row r="7250" spans="3:18">
      <c r="C7250" s="5"/>
      <c r="R7250" s="15"/>
    </row>
    <row r="7251" spans="3:18">
      <c r="C7251" s="5"/>
      <c r="R7251" s="15"/>
    </row>
    <row r="7252" spans="3:18">
      <c r="C7252" s="5"/>
      <c r="R7252" s="15"/>
    </row>
    <row r="7253" spans="3:18">
      <c r="C7253" s="5"/>
      <c r="R7253" s="15"/>
    </row>
    <row r="7254" spans="3:18">
      <c r="C7254" s="5"/>
      <c r="R7254" s="15"/>
    </row>
    <row r="7255" spans="3:18">
      <c r="C7255" s="5"/>
      <c r="R7255" s="15"/>
    </row>
    <row r="7256" spans="3:18">
      <c r="C7256" s="5"/>
      <c r="R7256" s="15"/>
    </row>
    <row r="7257" spans="3:18">
      <c r="C7257" s="5"/>
      <c r="R7257" s="15"/>
    </row>
    <row r="7258" spans="3:18">
      <c r="C7258" s="5"/>
      <c r="R7258" s="15"/>
    </row>
    <row r="7259" spans="3:18">
      <c r="C7259" s="5"/>
      <c r="R7259" s="15"/>
    </row>
    <row r="7260" spans="3:18">
      <c r="C7260" s="5"/>
      <c r="R7260" s="15"/>
    </row>
    <row r="7261" spans="3:18">
      <c r="C7261" s="5"/>
      <c r="R7261" s="15"/>
    </row>
    <row r="7262" spans="3:18">
      <c r="C7262" s="5"/>
      <c r="R7262" s="15"/>
    </row>
    <row r="7263" spans="3:18">
      <c r="C7263" s="5"/>
      <c r="R7263" s="15"/>
    </row>
    <row r="7264" spans="3:18">
      <c r="C7264" s="5"/>
      <c r="R7264" s="15"/>
    </row>
    <row r="7265" spans="3:18">
      <c r="C7265" s="5"/>
      <c r="R7265" s="15"/>
    </row>
    <row r="7266" spans="3:18">
      <c r="C7266" s="5"/>
      <c r="R7266" s="15"/>
    </row>
    <row r="7267" spans="3:18">
      <c r="C7267" s="5"/>
      <c r="R7267" s="15"/>
    </row>
    <row r="7268" spans="3:18">
      <c r="C7268" s="5"/>
      <c r="R7268" s="15"/>
    </row>
    <row r="7269" spans="3:18">
      <c r="C7269" s="5"/>
      <c r="R7269" s="15"/>
    </row>
    <row r="7270" spans="3:18">
      <c r="C7270" s="5"/>
      <c r="R7270" s="15"/>
    </row>
    <row r="7271" spans="3:18">
      <c r="C7271" s="5"/>
      <c r="R7271" s="15"/>
    </row>
    <row r="7272" spans="3:18">
      <c r="C7272" s="5"/>
      <c r="R7272" s="15"/>
    </row>
    <row r="7273" spans="3:18">
      <c r="C7273" s="5"/>
      <c r="R7273" s="15"/>
    </row>
    <row r="7274" spans="3:18">
      <c r="C7274" s="5"/>
      <c r="R7274" s="15"/>
    </row>
    <row r="7275" spans="3:18">
      <c r="C7275" s="5"/>
      <c r="R7275" s="15"/>
    </row>
    <row r="7276" spans="3:18">
      <c r="C7276" s="5"/>
      <c r="R7276" s="15"/>
    </row>
    <row r="7277" spans="3:18">
      <c r="C7277" s="5"/>
      <c r="R7277" s="15"/>
    </row>
    <row r="7278" spans="3:18">
      <c r="C7278" s="5"/>
      <c r="R7278" s="15"/>
    </row>
    <row r="7279" spans="3:18">
      <c r="C7279" s="5"/>
      <c r="R7279" s="15"/>
    </row>
    <row r="7280" spans="3:18">
      <c r="C7280" s="5"/>
      <c r="R7280" s="15"/>
    </row>
    <row r="7281" spans="3:18">
      <c r="C7281" s="5"/>
      <c r="R7281" s="15"/>
    </row>
    <row r="7282" spans="3:18">
      <c r="C7282" s="5"/>
      <c r="R7282" s="15"/>
    </row>
    <row r="7283" spans="3:18">
      <c r="C7283" s="5"/>
      <c r="R7283" s="15"/>
    </row>
    <row r="7284" spans="3:18">
      <c r="C7284" s="5"/>
      <c r="R7284" s="15"/>
    </row>
    <row r="7285" spans="3:18">
      <c r="C7285" s="5"/>
      <c r="R7285" s="15"/>
    </row>
    <row r="7286" spans="3:18">
      <c r="C7286" s="5"/>
      <c r="R7286" s="15"/>
    </row>
    <row r="7287" spans="3:18">
      <c r="C7287" s="5"/>
      <c r="R7287" s="15"/>
    </row>
    <row r="7288" spans="3:18">
      <c r="C7288" s="5"/>
      <c r="R7288" s="15"/>
    </row>
    <row r="7289" spans="3:18">
      <c r="C7289" s="5"/>
      <c r="R7289" s="15"/>
    </row>
    <row r="7290" spans="3:18">
      <c r="C7290" s="5"/>
      <c r="R7290" s="15"/>
    </row>
    <row r="7291" spans="3:18">
      <c r="C7291" s="5"/>
      <c r="R7291" s="15"/>
    </row>
    <row r="7292" spans="3:18">
      <c r="C7292" s="5"/>
      <c r="R7292" s="15"/>
    </row>
    <row r="7293" spans="3:18">
      <c r="C7293" s="5"/>
      <c r="R7293" s="15"/>
    </row>
    <row r="7294" spans="3:18">
      <c r="C7294" s="5"/>
      <c r="R7294" s="15"/>
    </row>
    <row r="7295" spans="3:18">
      <c r="C7295" s="5"/>
      <c r="R7295" s="15"/>
    </row>
    <row r="7296" spans="3:18">
      <c r="C7296" s="5"/>
      <c r="R7296" s="15"/>
    </row>
    <row r="7297" spans="3:18">
      <c r="C7297" s="5"/>
      <c r="R7297" s="15"/>
    </row>
    <row r="7298" spans="3:18">
      <c r="C7298" s="5"/>
      <c r="R7298" s="15"/>
    </row>
    <row r="7299" spans="3:18">
      <c r="C7299" s="5"/>
      <c r="R7299" s="15"/>
    </row>
    <row r="7300" spans="3:18">
      <c r="C7300" s="5"/>
      <c r="R7300" s="15"/>
    </row>
    <row r="7301" spans="3:18">
      <c r="C7301" s="5"/>
      <c r="R7301" s="15"/>
    </row>
    <row r="7302" spans="3:18">
      <c r="C7302" s="5"/>
      <c r="R7302" s="15"/>
    </row>
    <row r="7303" spans="3:18">
      <c r="C7303" s="5"/>
      <c r="R7303" s="15"/>
    </row>
    <row r="7304" spans="3:18">
      <c r="C7304" s="5"/>
      <c r="R7304" s="15"/>
    </row>
    <row r="7305" spans="3:18">
      <c r="C7305" s="5"/>
      <c r="R7305" s="15"/>
    </row>
    <row r="7306" spans="3:18">
      <c r="C7306" s="5"/>
      <c r="R7306" s="15"/>
    </row>
    <row r="7307" spans="3:18">
      <c r="C7307" s="5"/>
      <c r="R7307" s="15"/>
    </row>
    <row r="7308" spans="3:18">
      <c r="C7308" s="5"/>
      <c r="R7308" s="15"/>
    </row>
    <row r="7309" spans="3:18">
      <c r="C7309" s="5"/>
      <c r="R7309" s="15"/>
    </row>
    <row r="7310" spans="3:18">
      <c r="C7310" s="5"/>
      <c r="R7310" s="15"/>
    </row>
    <row r="7311" spans="3:18">
      <c r="C7311" s="5"/>
      <c r="R7311" s="15"/>
    </row>
    <row r="7312" spans="3:18">
      <c r="C7312" s="5"/>
      <c r="R7312" s="15"/>
    </row>
    <row r="7313" spans="3:18">
      <c r="C7313" s="5"/>
      <c r="R7313" s="15"/>
    </row>
    <row r="7314" spans="3:18">
      <c r="C7314" s="5"/>
      <c r="R7314" s="15"/>
    </row>
    <row r="7315" spans="3:18">
      <c r="C7315" s="5"/>
      <c r="R7315" s="15"/>
    </row>
    <row r="7316" spans="3:18">
      <c r="C7316" s="5"/>
      <c r="R7316" s="15"/>
    </row>
    <row r="7317" spans="3:18">
      <c r="C7317" s="5"/>
      <c r="R7317" s="15"/>
    </row>
    <row r="7318" spans="3:18">
      <c r="C7318" s="5"/>
      <c r="R7318" s="15"/>
    </row>
    <row r="7319" spans="3:18">
      <c r="C7319" s="5"/>
      <c r="R7319" s="15"/>
    </row>
    <row r="7320" spans="3:18">
      <c r="C7320" s="5"/>
      <c r="R7320" s="15"/>
    </row>
    <row r="7321" spans="3:18">
      <c r="C7321" s="5"/>
      <c r="R7321" s="15"/>
    </row>
    <row r="7322" spans="3:18">
      <c r="C7322" s="5"/>
      <c r="R7322" s="15"/>
    </row>
    <row r="7323" spans="3:18">
      <c r="C7323" s="5"/>
      <c r="R7323" s="15"/>
    </row>
    <row r="7324" spans="3:18">
      <c r="C7324" s="5"/>
      <c r="R7324" s="15"/>
    </row>
    <row r="7325" spans="3:18">
      <c r="C7325" s="5"/>
      <c r="R7325" s="15"/>
    </row>
    <row r="7326" spans="3:18">
      <c r="C7326" s="5"/>
      <c r="R7326" s="15"/>
    </row>
    <row r="7327" spans="3:18">
      <c r="C7327" s="5"/>
      <c r="R7327" s="15"/>
    </row>
    <row r="7328" spans="3:18">
      <c r="C7328" s="5"/>
      <c r="R7328" s="15"/>
    </row>
    <row r="7329" spans="3:18">
      <c r="C7329" s="5"/>
      <c r="R7329" s="15"/>
    </row>
    <row r="7330" spans="3:18">
      <c r="C7330" s="5"/>
      <c r="R7330" s="15"/>
    </row>
    <row r="7331" spans="3:18">
      <c r="C7331" s="5"/>
      <c r="R7331" s="15"/>
    </row>
    <row r="7332" spans="3:18">
      <c r="C7332" s="5"/>
      <c r="R7332" s="15"/>
    </row>
    <row r="7333" spans="3:18">
      <c r="C7333" s="5"/>
      <c r="R7333" s="15"/>
    </row>
    <row r="7334" spans="3:18">
      <c r="C7334" s="5"/>
      <c r="R7334" s="15"/>
    </row>
    <row r="7335" spans="3:18">
      <c r="C7335" s="5"/>
      <c r="R7335" s="15"/>
    </row>
    <row r="7336" spans="3:18">
      <c r="C7336" s="5"/>
      <c r="R7336" s="15"/>
    </row>
    <row r="7337" spans="3:18">
      <c r="C7337" s="5"/>
      <c r="R7337" s="15"/>
    </row>
    <row r="7338" spans="3:18">
      <c r="C7338" s="5"/>
      <c r="R7338" s="15"/>
    </row>
    <row r="7339" spans="3:18">
      <c r="C7339" s="5"/>
      <c r="R7339" s="15"/>
    </row>
    <row r="7340" spans="3:18">
      <c r="C7340" s="5"/>
      <c r="R7340" s="15"/>
    </row>
    <row r="7341" spans="3:18">
      <c r="C7341" s="5"/>
      <c r="R7341" s="15"/>
    </row>
    <row r="7342" spans="3:18">
      <c r="C7342" s="5"/>
      <c r="R7342" s="15"/>
    </row>
    <row r="7343" spans="3:18">
      <c r="C7343" s="5"/>
      <c r="R7343" s="15"/>
    </row>
    <row r="7344" spans="3:18">
      <c r="C7344" s="5"/>
      <c r="R7344" s="15"/>
    </row>
    <row r="7345" spans="3:18">
      <c r="C7345" s="5"/>
      <c r="R7345" s="15"/>
    </row>
    <row r="7346" spans="3:18">
      <c r="C7346" s="5"/>
      <c r="R7346" s="15"/>
    </row>
    <row r="7347" spans="3:18">
      <c r="C7347" s="5"/>
      <c r="R7347" s="15"/>
    </row>
    <row r="7348" spans="3:18">
      <c r="C7348" s="5"/>
      <c r="R7348" s="15"/>
    </row>
    <row r="7349" spans="3:18">
      <c r="C7349" s="5"/>
      <c r="R7349" s="15"/>
    </row>
    <row r="7350" spans="3:18">
      <c r="C7350" s="5"/>
      <c r="R7350" s="15"/>
    </row>
    <row r="7351" spans="3:18">
      <c r="C7351" s="5"/>
      <c r="R7351" s="15"/>
    </row>
    <row r="7352" spans="3:18">
      <c r="C7352" s="5"/>
      <c r="R7352" s="15"/>
    </row>
    <row r="7353" spans="3:18">
      <c r="C7353" s="5"/>
      <c r="R7353" s="15"/>
    </row>
    <row r="7354" spans="3:18">
      <c r="C7354" s="5"/>
      <c r="R7354" s="15"/>
    </row>
    <row r="7355" spans="3:18">
      <c r="C7355" s="5"/>
      <c r="R7355" s="15"/>
    </row>
    <row r="7356" spans="3:18">
      <c r="C7356" s="5"/>
      <c r="R7356" s="15"/>
    </row>
    <row r="7357" spans="3:18">
      <c r="C7357" s="5"/>
      <c r="R7357" s="15"/>
    </row>
    <row r="7358" spans="3:18">
      <c r="C7358" s="5"/>
      <c r="R7358" s="15"/>
    </row>
    <row r="7359" spans="3:18">
      <c r="C7359" s="5"/>
      <c r="R7359" s="15"/>
    </row>
    <row r="7360" spans="3:18">
      <c r="C7360" s="5"/>
      <c r="R7360" s="15"/>
    </row>
    <row r="7361" spans="3:18">
      <c r="C7361" s="5"/>
      <c r="R7361" s="15"/>
    </row>
    <row r="7362" spans="3:18">
      <c r="C7362" s="5"/>
      <c r="R7362" s="15"/>
    </row>
    <row r="7363" spans="3:18">
      <c r="C7363" s="5"/>
      <c r="R7363" s="15"/>
    </row>
    <row r="7364" spans="3:18">
      <c r="C7364" s="5"/>
      <c r="R7364" s="15"/>
    </row>
    <row r="7365" spans="3:18">
      <c r="C7365" s="5"/>
      <c r="R7365" s="15"/>
    </row>
    <row r="7366" spans="3:18">
      <c r="C7366" s="5"/>
      <c r="R7366" s="15"/>
    </row>
    <row r="7367" spans="3:18">
      <c r="C7367" s="5"/>
      <c r="R7367" s="15"/>
    </row>
    <row r="7368" spans="3:18">
      <c r="C7368" s="5"/>
      <c r="R7368" s="15"/>
    </row>
    <row r="7369" spans="3:18">
      <c r="C7369" s="5"/>
      <c r="R7369" s="15"/>
    </row>
    <row r="7370" spans="3:18">
      <c r="C7370" s="5"/>
      <c r="R7370" s="15"/>
    </row>
    <row r="7371" spans="3:18">
      <c r="C7371" s="5"/>
      <c r="R7371" s="15"/>
    </row>
    <row r="7372" spans="3:18">
      <c r="C7372" s="5"/>
      <c r="R7372" s="15"/>
    </row>
    <row r="7373" spans="3:18">
      <c r="C7373" s="5"/>
      <c r="R7373" s="15"/>
    </row>
    <row r="7374" spans="3:18">
      <c r="C7374" s="5"/>
      <c r="R7374" s="15"/>
    </row>
    <row r="7375" spans="3:18">
      <c r="C7375" s="5"/>
      <c r="R7375" s="15"/>
    </row>
    <row r="7376" spans="3:18">
      <c r="C7376" s="5"/>
      <c r="R7376" s="15"/>
    </row>
    <row r="7377" spans="3:18">
      <c r="C7377" s="5"/>
      <c r="R7377" s="15"/>
    </row>
    <row r="7378" spans="3:18">
      <c r="C7378" s="5"/>
      <c r="R7378" s="15"/>
    </row>
    <row r="7379" spans="3:18">
      <c r="C7379" s="5"/>
      <c r="R7379" s="15"/>
    </row>
    <row r="7380" spans="3:18">
      <c r="C7380" s="5"/>
      <c r="R7380" s="15"/>
    </row>
    <row r="7381" spans="3:18">
      <c r="C7381" s="5"/>
      <c r="R7381" s="15"/>
    </row>
    <row r="7382" spans="3:18">
      <c r="C7382" s="5"/>
      <c r="R7382" s="15"/>
    </row>
    <row r="7383" spans="3:18">
      <c r="C7383" s="5"/>
      <c r="R7383" s="15"/>
    </row>
    <row r="7384" spans="3:18">
      <c r="C7384" s="5"/>
      <c r="R7384" s="15"/>
    </row>
    <row r="7385" spans="3:18">
      <c r="C7385" s="5"/>
      <c r="R7385" s="15"/>
    </row>
    <row r="7386" spans="3:18">
      <c r="C7386" s="5"/>
      <c r="R7386" s="15"/>
    </row>
    <row r="7387" spans="3:18">
      <c r="C7387" s="5"/>
      <c r="R7387" s="15"/>
    </row>
    <row r="7388" spans="3:18">
      <c r="C7388" s="5"/>
      <c r="R7388" s="15"/>
    </row>
    <row r="7389" spans="3:18">
      <c r="C7389" s="5"/>
      <c r="R7389" s="15"/>
    </row>
    <row r="7390" spans="3:18">
      <c r="C7390" s="5"/>
      <c r="R7390" s="15"/>
    </row>
    <row r="7391" spans="3:18">
      <c r="C7391" s="5"/>
      <c r="R7391" s="15"/>
    </row>
    <row r="7392" spans="3:18">
      <c r="C7392" s="5"/>
      <c r="R7392" s="15"/>
    </row>
    <row r="7393" spans="3:18">
      <c r="C7393" s="5"/>
      <c r="R7393" s="15"/>
    </row>
    <row r="7394" spans="3:18">
      <c r="C7394" s="5"/>
      <c r="R7394" s="15"/>
    </row>
    <row r="7395" spans="3:18">
      <c r="C7395" s="5"/>
      <c r="R7395" s="15"/>
    </row>
    <row r="7396" spans="3:18">
      <c r="C7396" s="5"/>
      <c r="R7396" s="15"/>
    </row>
    <row r="7397" spans="3:18">
      <c r="C7397" s="5"/>
      <c r="R7397" s="15"/>
    </row>
    <row r="7398" spans="3:18">
      <c r="C7398" s="5"/>
      <c r="R7398" s="15"/>
    </row>
    <row r="7399" spans="3:18">
      <c r="C7399" s="5"/>
      <c r="R7399" s="15"/>
    </row>
    <row r="7400" spans="3:18">
      <c r="C7400" s="5"/>
      <c r="R7400" s="15"/>
    </row>
    <row r="7401" spans="3:18">
      <c r="C7401" s="5"/>
      <c r="R7401" s="15"/>
    </row>
    <row r="7402" spans="3:18">
      <c r="C7402" s="5"/>
      <c r="R7402" s="15"/>
    </row>
    <row r="7403" spans="3:18">
      <c r="C7403" s="5"/>
      <c r="R7403" s="15"/>
    </row>
    <row r="7404" spans="3:18">
      <c r="C7404" s="5"/>
      <c r="R7404" s="15"/>
    </row>
    <row r="7405" spans="3:18">
      <c r="C7405" s="5"/>
      <c r="R7405" s="15"/>
    </row>
    <row r="7406" spans="3:18">
      <c r="C7406" s="5"/>
      <c r="R7406" s="15"/>
    </row>
    <row r="7407" spans="3:18">
      <c r="C7407" s="5"/>
      <c r="R7407" s="15"/>
    </row>
    <row r="7408" spans="3:18">
      <c r="C7408" s="5"/>
      <c r="R7408" s="15"/>
    </row>
    <row r="7409" spans="3:18">
      <c r="C7409" s="5"/>
      <c r="R7409" s="15"/>
    </row>
    <row r="7410" spans="3:18">
      <c r="C7410" s="5"/>
      <c r="R7410" s="15"/>
    </row>
    <row r="7411" spans="3:18">
      <c r="C7411" s="5"/>
      <c r="R7411" s="15"/>
    </row>
    <row r="7412" spans="3:18">
      <c r="C7412" s="5"/>
      <c r="R7412" s="15"/>
    </row>
    <row r="7413" spans="3:18">
      <c r="C7413" s="5"/>
      <c r="R7413" s="15"/>
    </row>
    <row r="7414" spans="3:18">
      <c r="C7414" s="5"/>
      <c r="R7414" s="15"/>
    </row>
    <row r="7415" spans="3:18">
      <c r="C7415" s="5"/>
      <c r="R7415" s="15"/>
    </row>
    <row r="7416" spans="3:18">
      <c r="C7416" s="5"/>
      <c r="R7416" s="15"/>
    </row>
    <row r="7417" spans="3:18">
      <c r="C7417" s="5"/>
      <c r="R7417" s="15"/>
    </row>
    <row r="7418" spans="3:18">
      <c r="C7418" s="5"/>
      <c r="R7418" s="15"/>
    </row>
    <row r="7419" spans="3:18">
      <c r="C7419" s="5"/>
      <c r="R7419" s="15"/>
    </row>
    <row r="7420" spans="3:18">
      <c r="C7420" s="5"/>
      <c r="R7420" s="15"/>
    </row>
    <row r="7421" spans="3:18">
      <c r="C7421" s="5"/>
      <c r="R7421" s="15"/>
    </row>
    <row r="7422" spans="3:18">
      <c r="C7422" s="5"/>
      <c r="R7422" s="15"/>
    </row>
    <row r="7423" spans="3:18">
      <c r="C7423" s="5"/>
      <c r="R7423" s="15"/>
    </row>
    <row r="7424" spans="3:18">
      <c r="C7424" s="5"/>
      <c r="R7424" s="15"/>
    </row>
    <row r="7425" spans="3:18">
      <c r="C7425" s="5"/>
      <c r="R7425" s="15"/>
    </row>
    <row r="7426" spans="3:18">
      <c r="C7426" s="5"/>
      <c r="R7426" s="15"/>
    </row>
    <row r="7427" spans="3:18">
      <c r="C7427" s="5"/>
      <c r="R7427" s="15"/>
    </row>
    <row r="7428" spans="3:18">
      <c r="C7428" s="5"/>
      <c r="R7428" s="15"/>
    </row>
    <row r="7429" spans="3:18">
      <c r="C7429" s="5"/>
      <c r="R7429" s="15"/>
    </row>
    <row r="7430" spans="3:18">
      <c r="C7430" s="5"/>
      <c r="R7430" s="15"/>
    </row>
    <row r="7431" spans="3:18">
      <c r="C7431" s="5"/>
      <c r="R7431" s="15"/>
    </row>
    <row r="7432" spans="3:18">
      <c r="C7432" s="5"/>
      <c r="R7432" s="15"/>
    </row>
    <row r="7433" spans="3:18">
      <c r="C7433" s="5"/>
      <c r="R7433" s="15"/>
    </row>
    <row r="7434" spans="3:18">
      <c r="C7434" s="5"/>
      <c r="R7434" s="15"/>
    </row>
    <row r="7435" spans="3:18">
      <c r="C7435" s="5"/>
      <c r="R7435" s="15"/>
    </row>
    <row r="7436" spans="3:18">
      <c r="C7436" s="5"/>
      <c r="R7436" s="15"/>
    </row>
    <row r="7437" spans="3:18">
      <c r="C7437" s="5"/>
      <c r="R7437" s="15"/>
    </row>
    <row r="7438" spans="3:18">
      <c r="C7438" s="5"/>
      <c r="R7438" s="15"/>
    </row>
    <row r="7439" spans="3:18">
      <c r="C7439" s="5"/>
      <c r="R7439" s="15"/>
    </row>
    <row r="7440" spans="3:18">
      <c r="C7440" s="5"/>
      <c r="R7440" s="15"/>
    </row>
    <row r="7441" spans="3:18">
      <c r="C7441" s="5"/>
      <c r="R7441" s="15"/>
    </row>
    <row r="7442" spans="3:18">
      <c r="C7442" s="5"/>
      <c r="R7442" s="15"/>
    </row>
    <row r="7443" spans="3:18">
      <c r="C7443" s="5"/>
      <c r="R7443" s="15"/>
    </row>
    <row r="7444" spans="3:18">
      <c r="C7444" s="5"/>
      <c r="R7444" s="15"/>
    </row>
    <row r="7445" spans="3:18">
      <c r="C7445" s="5"/>
      <c r="R7445" s="15"/>
    </row>
    <row r="7446" spans="3:18">
      <c r="C7446" s="5"/>
      <c r="R7446" s="15"/>
    </row>
    <row r="7447" spans="3:18">
      <c r="C7447" s="5"/>
      <c r="R7447" s="15"/>
    </row>
    <row r="7448" spans="3:18">
      <c r="C7448" s="5"/>
      <c r="R7448" s="15"/>
    </row>
    <row r="7449" spans="3:18">
      <c r="C7449" s="5"/>
      <c r="R7449" s="15"/>
    </row>
    <row r="7450" spans="3:18">
      <c r="C7450" s="5"/>
      <c r="R7450" s="15"/>
    </row>
    <row r="7451" spans="3:18">
      <c r="C7451" s="5"/>
      <c r="R7451" s="15"/>
    </row>
    <row r="7452" spans="3:18">
      <c r="C7452" s="5"/>
      <c r="R7452" s="15"/>
    </row>
    <row r="7453" spans="3:18">
      <c r="C7453" s="5"/>
      <c r="R7453" s="15"/>
    </row>
    <row r="7454" spans="3:18">
      <c r="C7454" s="5"/>
      <c r="R7454" s="15"/>
    </row>
    <row r="7455" spans="3:18">
      <c r="C7455" s="5"/>
      <c r="R7455" s="15"/>
    </row>
    <row r="7456" spans="3:18">
      <c r="C7456" s="5"/>
      <c r="R7456" s="15"/>
    </row>
    <row r="7457" spans="3:18">
      <c r="C7457" s="5"/>
      <c r="R7457" s="15"/>
    </row>
    <row r="7458" spans="3:18">
      <c r="C7458" s="5"/>
      <c r="R7458" s="15"/>
    </row>
    <row r="7459" spans="3:18">
      <c r="C7459" s="5"/>
      <c r="R7459" s="15"/>
    </row>
    <row r="7460" spans="3:18">
      <c r="C7460" s="5"/>
      <c r="R7460" s="15"/>
    </row>
    <row r="7461" spans="3:18">
      <c r="C7461" s="5"/>
      <c r="R7461" s="15"/>
    </row>
    <row r="7462" spans="3:18">
      <c r="C7462" s="5"/>
      <c r="R7462" s="15"/>
    </row>
    <row r="7463" spans="3:18">
      <c r="C7463" s="5"/>
      <c r="R7463" s="15"/>
    </row>
    <row r="7464" spans="3:18">
      <c r="C7464" s="5"/>
      <c r="R7464" s="15"/>
    </row>
    <row r="7465" spans="3:18">
      <c r="C7465" s="5"/>
      <c r="R7465" s="15"/>
    </row>
    <row r="7466" spans="3:18">
      <c r="C7466" s="5"/>
      <c r="R7466" s="15"/>
    </row>
    <row r="7467" spans="3:18">
      <c r="C7467" s="5"/>
      <c r="R7467" s="15"/>
    </row>
    <row r="7468" spans="3:18">
      <c r="C7468" s="5"/>
      <c r="R7468" s="15"/>
    </row>
    <row r="7469" spans="3:18">
      <c r="C7469" s="5"/>
      <c r="R7469" s="15"/>
    </row>
    <row r="7470" spans="3:18">
      <c r="C7470" s="5"/>
      <c r="R7470" s="15"/>
    </row>
    <row r="7471" spans="3:18">
      <c r="C7471" s="5"/>
      <c r="R7471" s="15"/>
    </row>
    <row r="7472" spans="3:18">
      <c r="C7472" s="5"/>
      <c r="R7472" s="15"/>
    </row>
    <row r="7473" spans="3:18">
      <c r="C7473" s="5"/>
      <c r="R7473" s="15"/>
    </row>
    <row r="7474" spans="3:18">
      <c r="C7474" s="5"/>
      <c r="R7474" s="15"/>
    </row>
    <row r="7475" spans="3:18">
      <c r="C7475" s="5"/>
      <c r="R7475" s="15"/>
    </row>
    <row r="7476" spans="3:18">
      <c r="C7476" s="5"/>
      <c r="R7476" s="15"/>
    </row>
    <row r="7477" spans="3:18">
      <c r="C7477" s="5"/>
      <c r="R7477" s="15"/>
    </row>
    <row r="7478" spans="3:18">
      <c r="C7478" s="5"/>
      <c r="R7478" s="15"/>
    </row>
    <row r="7479" spans="3:18">
      <c r="C7479" s="5"/>
      <c r="R7479" s="15"/>
    </row>
    <row r="7480" spans="3:18">
      <c r="C7480" s="5"/>
      <c r="R7480" s="15"/>
    </row>
    <row r="7481" spans="3:18">
      <c r="C7481" s="5"/>
      <c r="R7481" s="15"/>
    </row>
    <row r="7482" spans="3:18">
      <c r="C7482" s="5"/>
      <c r="R7482" s="15"/>
    </row>
    <row r="7483" spans="3:18">
      <c r="C7483" s="5"/>
      <c r="R7483" s="15"/>
    </row>
    <row r="7484" spans="3:18">
      <c r="C7484" s="5"/>
      <c r="R7484" s="15"/>
    </row>
    <row r="7485" spans="3:18">
      <c r="C7485" s="5"/>
      <c r="R7485" s="15"/>
    </row>
    <row r="7486" spans="3:18">
      <c r="C7486" s="5"/>
      <c r="R7486" s="15"/>
    </row>
    <row r="7487" spans="3:18">
      <c r="C7487" s="5"/>
      <c r="R7487" s="15"/>
    </row>
    <row r="7488" spans="3:18">
      <c r="C7488" s="5"/>
      <c r="R7488" s="15"/>
    </row>
    <row r="7489" spans="3:18">
      <c r="C7489" s="5"/>
      <c r="R7489" s="15"/>
    </row>
    <row r="7490" spans="3:18">
      <c r="C7490" s="5"/>
      <c r="R7490" s="15"/>
    </row>
    <row r="7491" spans="3:18">
      <c r="C7491" s="5"/>
      <c r="R7491" s="15"/>
    </row>
    <row r="7492" spans="3:18">
      <c r="C7492" s="5"/>
      <c r="R7492" s="15"/>
    </row>
    <row r="7493" spans="3:18">
      <c r="C7493" s="5"/>
      <c r="R7493" s="15"/>
    </row>
    <row r="7494" spans="3:18">
      <c r="C7494" s="5"/>
      <c r="R7494" s="15"/>
    </row>
    <row r="7495" spans="3:18">
      <c r="C7495" s="5"/>
      <c r="R7495" s="15"/>
    </row>
    <row r="7496" spans="3:18">
      <c r="C7496" s="5"/>
      <c r="R7496" s="15"/>
    </row>
    <row r="7497" spans="3:18">
      <c r="C7497" s="5"/>
      <c r="R7497" s="15"/>
    </row>
    <row r="7498" spans="3:18">
      <c r="C7498" s="5"/>
      <c r="R7498" s="15"/>
    </row>
    <row r="7499" spans="3:18">
      <c r="C7499" s="5"/>
      <c r="R7499" s="15"/>
    </row>
    <row r="7500" spans="3:18">
      <c r="C7500" s="5"/>
      <c r="R7500" s="15"/>
    </row>
    <row r="7501" spans="3:18">
      <c r="C7501" s="5"/>
      <c r="R7501" s="15"/>
    </row>
    <row r="7502" spans="3:18">
      <c r="C7502" s="5"/>
      <c r="R7502" s="15"/>
    </row>
    <row r="7503" spans="3:18">
      <c r="C7503" s="5"/>
      <c r="R7503" s="15"/>
    </row>
    <row r="7504" spans="3:18">
      <c r="C7504" s="5"/>
      <c r="R7504" s="15"/>
    </row>
    <row r="7505" spans="3:18">
      <c r="C7505" s="5"/>
      <c r="R7505" s="15"/>
    </row>
    <row r="7506" spans="3:18">
      <c r="C7506" s="5"/>
      <c r="R7506" s="15"/>
    </row>
    <row r="7507" spans="3:18">
      <c r="C7507" s="5"/>
      <c r="R7507" s="15"/>
    </row>
    <row r="7508" spans="3:18">
      <c r="C7508" s="5"/>
      <c r="R7508" s="15"/>
    </row>
    <row r="7509" spans="3:18">
      <c r="C7509" s="5"/>
      <c r="R7509" s="15"/>
    </row>
    <row r="7510" spans="3:18">
      <c r="C7510" s="5"/>
      <c r="R7510" s="15"/>
    </row>
    <row r="7511" spans="3:18">
      <c r="C7511" s="5"/>
      <c r="R7511" s="15"/>
    </row>
    <row r="7512" spans="3:18">
      <c r="C7512" s="5"/>
      <c r="R7512" s="15"/>
    </row>
    <row r="7513" spans="3:18">
      <c r="C7513" s="5"/>
      <c r="R7513" s="15"/>
    </row>
    <row r="7514" spans="3:18">
      <c r="C7514" s="5"/>
      <c r="R7514" s="15"/>
    </row>
    <row r="7515" spans="3:18">
      <c r="C7515" s="5"/>
      <c r="R7515" s="15"/>
    </row>
    <row r="7516" spans="3:18">
      <c r="C7516" s="5"/>
      <c r="R7516" s="15"/>
    </row>
    <row r="7517" spans="3:18">
      <c r="C7517" s="5"/>
      <c r="R7517" s="15"/>
    </row>
    <row r="7518" spans="3:18">
      <c r="C7518" s="5"/>
      <c r="R7518" s="15"/>
    </row>
    <row r="7519" spans="3:18">
      <c r="C7519" s="5"/>
      <c r="R7519" s="15"/>
    </row>
    <row r="7520" spans="3:18">
      <c r="C7520" s="5"/>
      <c r="R7520" s="15"/>
    </row>
    <row r="7521" spans="3:18">
      <c r="C7521" s="5"/>
      <c r="R7521" s="15"/>
    </row>
    <row r="7522" spans="3:18">
      <c r="C7522" s="5"/>
      <c r="R7522" s="15"/>
    </row>
    <row r="7523" spans="3:18">
      <c r="C7523" s="5"/>
      <c r="R7523" s="15"/>
    </row>
    <row r="7524" spans="3:18">
      <c r="C7524" s="5"/>
      <c r="R7524" s="15"/>
    </row>
    <row r="7525" spans="3:18">
      <c r="C7525" s="5"/>
      <c r="R7525" s="15"/>
    </row>
    <row r="7526" spans="3:18">
      <c r="C7526" s="5"/>
      <c r="R7526" s="15"/>
    </row>
    <row r="7527" spans="3:18">
      <c r="C7527" s="5"/>
      <c r="R7527" s="15"/>
    </row>
    <row r="7528" spans="3:18">
      <c r="C7528" s="5"/>
      <c r="R7528" s="15"/>
    </row>
    <row r="7529" spans="3:18">
      <c r="C7529" s="5"/>
      <c r="R7529" s="15"/>
    </row>
    <row r="7530" spans="3:18">
      <c r="C7530" s="5"/>
      <c r="R7530" s="15"/>
    </row>
    <row r="7531" spans="3:18">
      <c r="C7531" s="5"/>
      <c r="R7531" s="15"/>
    </row>
    <row r="7532" spans="3:18">
      <c r="C7532" s="5"/>
      <c r="R7532" s="15"/>
    </row>
    <row r="7533" spans="3:18">
      <c r="C7533" s="5"/>
      <c r="R7533" s="15"/>
    </row>
    <row r="7534" spans="3:18">
      <c r="C7534" s="5"/>
      <c r="R7534" s="15"/>
    </row>
    <row r="7535" spans="3:18">
      <c r="C7535" s="5"/>
      <c r="R7535" s="15"/>
    </row>
    <row r="7536" spans="3:18">
      <c r="C7536" s="5"/>
      <c r="R7536" s="15"/>
    </row>
    <row r="7537" spans="3:18">
      <c r="C7537" s="5"/>
      <c r="R7537" s="15"/>
    </row>
    <row r="7538" spans="3:18">
      <c r="C7538" s="5"/>
      <c r="R7538" s="15"/>
    </row>
    <row r="7539" spans="3:18">
      <c r="C7539" s="5"/>
      <c r="R7539" s="15"/>
    </row>
    <row r="7540" spans="3:18">
      <c r="C7540" s="5"/>
      <c r="R7540" s="15"/>
    </row>
    <row r="7541" spans="3:18">
      <c r="C7541" s="5"/>
      <c r="R7541" s="15"/>
    </row>
    <row r="7542" spans="3:18">
      <c r="C7542" s="5"/>
      <c r="R7542" s="15"/>
    </row>
    <row r="7543" spans="3:18">
      <c r="C7543" s="5"/>
      <c r="R7543" s="15"/>
    </row>
    <row r="7544" spans="3:18">
      <c r="C7544" s="5"/>
      <c r="R7544" s="15"/>
    </row>
    <row r="7545" spans="3:18">
      <c r="C7545" s="5"/>
      <c r="R7545" s="15"/>
    </row>
    <row r="7546" spans="3:18">
      <c r="C7546" s="5"/>
      <c r="R7546" s="15"/>
    </row>
    <row r="7547" spans="3:18">
      <c r="C7547" s="5"/>
      <c r="R7547" s="15"/>
    </row>
    <row r="7548" spans="3:18">
      <c r="C7548" s="5"/>
      <c r="R7548" s="15"/>
    </row>
    <row r="7549" spans="3:18">
      <c r="C7549" s="5"/>
      <c r="R7549" s="15"/>
    </row>
    <row r="7550" spans="3:18">
      <c r="C7550" s="5"/>
      <c r="R7550" s="15"/>
    </row>
    <row r="7551" spans="3:18">
      <c r="C7551" s="5"/>
      <c r="R7551" s="15"/>
    </row>
    <row r="7552" spans="3:18">
      <c r="C7552" s="5"/>
      <c r="R7552" s="15"/>
    </row>
    <row r="7553" spans="3:18">
      <c r="C7553" s="5"/>
      <c r="R7553" s="15"/>
    </row>
    <row r="7554" spans="3:18">
      <c r="C7554" s="5"/>
      <c r="R7554" s="15"/>
    </row>
    <row r="7555" spans="3:18">
      <c r="C7555" s="5"/>
      <c r="R7555" s="15"/>
    </row>
    <row r="7556" spans="3:18">
      <c r="C7556" s="5"/>
      <c r="R7556" s="15"/>
    </row>
    <row r="7557" spans="3:18">
      <c r="C7557" s="5"/>
      <c r="R7557" s="15"/>
    </row>
    <row r="7558" spans="3:18">
      <c r="C7558" s="5"/>
      <c r="R7558" s="15"/>
    </row>
    <row r="7559" spans="3:18">
      <c r="C7559" s="5"/>
      <c r="R7559" s="15"/>
    </row>
    <row r="7560" spans="3:18">
      <c r="C7560" s="5"/>
      <c r="R7560" s="15"/>
    </row>
    <row r="7561" spans="3:18">
      <c r="C7561" s="5"/>
      <c r="R7561" s="15"/>
    </row>
    <row r="7562" spans="3:18">
      <c r="C7562" s="5"/>
      <c r="R7562" s="15"/>
    </row>
    <row r="7563" spans="3:18">
      <c r="C7563" s="5"/>
      <c r="R7563" s="15"/>
    </row>
    <row r="7564" spans="3:18">
      <c r="C7564" s="5"/>
      <c r="R7564" s="15"/>
    </row>
    <row r="7565" spans="3:18">
      <c r="C7565" s="5"/>
      <c r="R7565" s="15"/>
    </row>
    <row r="7566" spans="3:18">
      <c r="C7566" s="5"/>
      <c r="R7566" s="15"/>
    </row>
    <row r="7567" spans="3:18">
      <c r="C7567" s="5"/>
      <c r="R7567" s="15"/>
    </row>
    <row r="7568" spans="3:18">
      <c r="C7568" s="5"/>
      <c r="R7568" s="15"/>
    </row>
    <row r="7569" spans="3:18">
      <c r="C7569" s="5"/>
      <c r="R7569" s="15"/>
    </row>
    <row r="7570" spans="3:18">
      <c r="C7570" s="5"/>
      <c r="R7570" s="15"/>
    </row>
    <row r="7571" spans="3:18">
      <c r="C7571" s="5"/>
      <c r="R7571" s="15"/>
    </row>
    <row r="7572" spans="3:18">
      <c r="C7572" s="5"/>
      <c r="R7572" s="15"/>
    </row>
    <row r="7573" spans="3:18">
      <c r="C7573" s="5"/>
      <c r="R7573" s="15"/>
    </row>
    <row r="7574" spans="3:18">
      <c r="C7574" s="5"/>
      <c r="R7574" s="15"/>
    </row>
    <row r="7575" spans="3:18">
      <c r="C7575" s="5"/>
      <c r="R7575" s="15"/>
    </row>
    <row r="7576" spans="3:18">
      <c r="C7576" s="5"/>
      <c r="R7576" s="15"/>
    </row>
    <row r="7577" spans="3:18">
      <c r="C7577" s="5"/>
      <c r="R7577" s="15"/>
    </row>
    <row r="7578" spans="3:18">
      <c r="C7578" s="5"/>
      <c r="R7578" s="15"/>
    </row>
    <row r="7579" spans="3:18">
      <c r="C7579" s="5"/>
      <c r="R7579" s="15"/>
    </row>
    <row r="7580" spans="3:18">
      <c r="C7580" s="5"/>
      <c r="R7580" s="15"/>
    </row>
    <row r="7581" spans="3:18">
      <c r="C7581" s="5"/>
      <c r="R7581" s="15"/>
    </row>
    <row r="7582" spans="3:18">
      <c r="C7582" s="5"/>
      <c r="R7582" s="15"/>
    </row>
    <row r="7583" spans="3:18">
      <c r="C7583" s="5"/>
      <c r="R7583" s="15"/>
    </row>
    <row r="7584" spans="3:18">
      <c r="C7584" s="5"/>
      <c r="R7584" s="15"/>
    </row>
    <row r="7585" spans="3:18">
      <c r="C7585" s="5"/>
      <c r="R7585" s="15"/>
    </row>
    <row r="7586" spans="3:18">
      <c r="C7586" s="5"/>
      <c r="R7586" s="15"/>
    </row>
    <row r="7587" spans="3:18">
      <c r="C7587" s="5"/>
      <c r="R7587" s="15"/>
    </row>
    <row r="7588" spans="3:18">
      <c r="C7588" s="5"/>
      <c r="R7588" s="15"/>
    </row>
    <row r="7589" spans="3:18">
      <c r="C7589" s="5"/>
      <c r="R7589" s="15"/>
    </row>
    <row r="7590" spans="3:18">
      <c r="C7590" s="5"/>
      <c r="R7590" s="15"/>
    </row>
    <row r="7591" spans="3:18">
      <c r="C7591" s="5"/>
      <c r="R7591" s="15"/>
    </row>
    <row r="7592" spans="3:18">
      <c r="C7592" s="5"/>
      <c r="R7592" s="15"/>
    </row>
    <row r="7593" spans="3:18">
      <c r="C7593" s="5"/>
      <c r="R7593" s="15"/>
    </row>
    <row r="7594" spans="3:18">
      <c r="C7594" s="5"/>
      <c r="R7594" s="15"/>
    </row>
    <row r="7595" spans="3:18">
      <c r="C7595" s="5"/>
      <c r="R7595" s="15"/>
    </row>
    <row r="7596" spans="3:18">
      <c r="C7596" s="5"/>
      <c r="R7596" s="15"/>
    </row>
    <row r="7597" spans="3:18">
      <c r="C7597" s="5"/>
      <c r="R7597" s="15"/>
    </row>
    <row r="7598" spans="3:18">
      <c r="C7598" s="5"/>
      <c r="R7598" s="15"/>
    </row>
    <row r="7599" spans="3:18">
      <c r="C7599" s="5"/>
      <c r="R7599" s="15"/>
    </row>
    <row r="7600" spans="3:18">
      <c r="C7600" s="5"/>
      <c r="R7600" s="15"/>
    </row>
    <row r="7601" spans="3:18">
      <c r="C7601" s="5"/>
      <c r="R7601" s="15"/>
    </row>
    <row r="7602" spans="3:18">
      <c r="C7602" s="5"/>
      <c r="R7602" s="15"/>
    </row>
    <row r="7603" spans="3:18">
      <c r="C7603" s="5"/>
      <c r="R7603" s="15"/>
    </row>
    <row r="7604" spans="3:18">
      <c r="C7604" s="5"/>
      <c r="R7604" s="15"/>
    </row>
    <row r="7605" spans="3:18">
      <c r="C7605" s="5"/>
      <c r="R7605" s="15"/>
    </row>
    <row r="7606" spans="3:18">
      <c r="C7606" s="5"/>
      <c r="R7606" s="15"/>
    </row>
    <row r="7607" spans="3:18">
      <c r="C7607" s="5"/>
      <c r="R7607" s="15"/>
    </row>
    <row r="7608" spans="3:18">
      <c r="C7608" s="5"/>
      <c r="R7608" s="15"/>
    </row>
    <row r="7609" spans="3:18">
      <c r="C7609" s="5"/>
      <c r="R7609" s="15"/>
    </row>
    <row r="7610" spans="3:18">
      <c r="C7610" s="5"/>
      <c r="R7610" s="15"/>
    </row>
    <row r="7611" spans="3:18">
      <c r="C7611" s="5"/>
      <c r="R7611" s="15"/>
    </row>
    <row r="7612" spans="3:18">
      <c r="C7612" s="5"/>
      <c r="R7612" s="15"/>
    </row>
    <row r="7613" spans="3:18">
      <c r="C7613" s="5"/>
      <c r="R7613" s="15"/>
    </row>
    <row r="7614" spans="3:18">
      <c r="C7614" s="5"/>
      <c r="R7614" s="15"/>
    </row>
    <row r="7615" spans="3:18">
      <c r="C7615" s="5"/>
      <c r="R7615" s="15"/>
    </row>
    <row r="7616" spans="3:18">
      <c r="C7616" s="5"/>
      <c r="R7616" s="15"/>
    </row>
    <row r="7617" spans="3:18">
      <c r="C7617" s="5"/>
      <c r="R7617" s="15"/>
    </row>
    <row r="7618" spans="3:18">
      <c r="C7618" s="5"/>
      <c r="R7618" s="15"/>
    </row>
    <row r="7619" spans="3:18">
      <c r="C7619" s="5"/>
      <c r="R7619" s="15"/>
    </row>
    <row r="7620" spans="3:18">
      <c r="C7620" s="5"/>
      <c r="R7620" s="15"/>
    </row>
    <row r="7621" spans="3:18">
      <c r="C7621" s="5"/>
      <c r="R7621" s="15"/>
    </row>
    <row r="7622" spans="3:18">
      <c r="C7622" s="5"/>
      <c r="R7622" s="15"/>
    </row>
    <row r="7623" spans="3:18">
      <c r="C7623" s="5"/>
      <c r="R7623" s="15"/>
    </row>
    <row r="7624" spans="3:18">
      <c r="C7624" s="5"/>
      <c r="R7624" s="15"/>
    </row>
    <row r="7625" spans="3:18">
      <c r="C7625" s="5"/>
      <c r="R7625" s="15"/>
    </row>
    <row r="7626" spans="3:18">
      <c r="C7626" s="5"/>
      <c r="R7626" s="15"/>
    </row>
    <row r="7627" spans="3:18">
      <c r="C7627" s="5"/>
      <c r="R7627" s="15"/>
    </row>
    <row r="7628" spans="3:18">
      <c r="C7628" s="5"/>
      <c r="R7628" s="15"/>
    </row>
    <row r="7629" spans="3:18">
      <c r="C7629" s="5"/>
      <c r="R7629" s="15"/>
    </row>
    <row r="7630" spans="3:18">
      <c r="C7630" s="5"/>
      <c r="R7630" s="15"/>
    </row>
    <row r="7631" spans="3:18">
      <c r="C7631" s="5"/>
      <c r="R7631" s="15"/>
    </row>
    <row r="7632" spans="3:18">
      <c r="C7632" s="5"/>
      <c r="R7632" s="15"/>
    </row>
    <row r="7633" spans="3:18">
      <c r="C7633" s="5"/>
      <c r="R7633" s="15"/>
    </row>
    <row r="7634" spans="3:18">
      <c r="C7634" s="5"/>
      <c r="R7634" s="15"/>
    </row>
    <row r="7635" spans="3:18">
      <c r="C7635" s="5"/>
      <c r="R7635" s="15"/>
    </row>
    <row r="7636" spans="3:18">
      <c r="C7636" s="5"/>
      <c r="R7636" s="15"/>
    </row>
    <row r="7637" spans="3:18">
      <c r="C7637" s="5"/>
      <c r="R7637" s="15"/>
    </row>
    <row r="7638" spans="3:18">
      <c r="C7638" s="5"/>
      <c r="R7638" s="15"/>
    </row>
    <row r="7639" spans="3:18">
      <c r="C7639" s="5"/>
      <c r="R7639" s="15"/>
    </row>
    <row r="7640" spans="3:18">
      <c r="C7640" s="5"/>
      <c r="R7640" s="15"/>
    </row>
    <row r="7641" spans="3:18">
      <c r="C7641" s="5"/>
      <c r="R7641" s="15"/>
    </row>
    <row r="7642" spans="3:18">
      <c r="C7642" s="5"/>
      <c r="R7642" s="15"/>
    </row>
    <row r="7643" spans="3:18">
      <c r="C7643" s="5"/>
      <c r="R7643" s="15"/>
    </row>
    <row r="7644" spans="3:18">
      <c r="C7644" s="5"/>
      <c r="R7644" s="15"/>
    </row>
    <row r="7645" spans="3:18">
      <c r="C7645" s="5"/>
      <c r="R7645" s="15"/>
    </row>
    <row r="7646" spans="3:18">
      <c r="C7646" s="5"/>
      <c r="R7646" s="15"/>
    </row>
    <row r="7647" spans="3:18">
      <c r="C7647" s="5"/>
      <c r="R7647" s="15"/>
    </row>
    <row r="7648" spans="3:18">
      <c r="C7648" s="5"/>
      <c r="R7648" s="15"/>
    </row>
    <row r="7649" spans="3:18">
      <c r="C7649" s="5"/>
      <c r="R7649" s="15"/>
    </row>
    <row r="7650" spans="3:18">
      <c r="C7650" s="5"/>
      <c r="R7650" s="15"/>
    </row>
    <row r="7651" spans="3:18">
      <c r="C7651" s="5"/>
      <c r="R7651" s="15"/>
    </row>
    <row r="7652" spans="3:18">
      <c r="C7652" s="5"/>
      <c r="R7652" s="15"/>
    </row>
    <row r="7653" spans="3:18">
      <c r="C7653" s="5"/>
      <c r="R7653" s="15"/>
    </row>
    <row r="7654" spans="3:18">
      <c r="C7654" s="5"/>
      <c r="R7654" s="15"/>
    </row>
    <row r="7655" spans="3:18">
      <c r="C7655" s="5"/>
      <c r="R7655" s="15"/>
    </row>
    <row r="7656" spans="3:18">
      <c r="C7656" s="5"/>
      <c r="R7656" s="15"/>
    </row>
    <row r="7657" spans="3:18">
      <c r="C7657" s="5"/>
      <c r="R7657" s="15"/>
    </row>
    <row r="7658" spans="3:18">
      <c r="C7658" s="5"/>
      <c r="R7658" s="15"/>
    </row>
    <row r="7659" spans="3:18">
      <c r="C7659" s="5"/>
      <c r="R7659" s="15"/>
    </row>
    <row r="7660" spans="3:18">
      <c r="C7660" s="5"/>
      <c r="R7660" s="15"/>
    </row>
    <row r="7661" spans="3:18">
      <c r="C7661" s="5"/>
      <c r="R7661" s="15"/>
    </row>
    <row r="7662" spans="3:18">
      <c r="C7662" s="5"/>
      <c r="R7662" s="15"/>
    </row>
    <row r="7663" spans="3:18">
      <c r="C7663" s="5"/>
      <c r="R7663" s="15"/>
    </row>
    <row r="7664" spans="3:18">
      <c r="C7664" s="5"/>
      <c r="R7664" s="15"/>
    </row>
    <row r="7665" spans="3:18">
      <c r="C7665" s="5"/>
      <c r="R7665" s="15"/>
    </row>
    <row r="7666" spans="3:18">
      <c r="C7666" s="5"/>
      <c r="R7666" s="15"/>
    </row>
    <row r="7667" spans="3:18">
      <c r="C7667" s="5"/>
      <c r="R7667" s="15"/>
    </row>
    <row r="7668" spans="3:18">
      <c r="C7668" s="5"/>
    </row>
    <row r="7669" spans="3:18">
      <c r="C7669" s="5"/>
    </row>
    <row r="7670" spans="3:18">
      <c r="C7670" s="5"/>
    </row>
    <row r="7671" spans="3:18">
      <c r="C7671" s="5"/>
    </row>
    <row r="7672" spans="3:18">
      <c r="C7672" s="5"/>
    </row>
    <row r="7673" spans="3:18">
      <c r="C7673" s="5"/>
    </row>
    <row r="7674" spans="3:18">
      <c r="C7674" s="5"/>
    </row>
    <row r="7675" spans="3:18">
      <c r="C7675" s="5"/>
    </row>
    <row r="7676" spans="3:18">
      <c r="C7676" s="5"/>
    </row>
    <row r="7677" spans="3:18">
      <c r="C7677" s="5"/>
    </row>
    <row r="7678" spans="3:18">
      <c r="C7678" s="5"/>
    </row>
    <row r="7679" spans="3:18">
      <c r="C7679" s="5"/>
    </row>
    <row r="7680" spans="3:18">
      <c r="C7680" s="5"/>
    </row>
    <row r="7681" spans="3:3">
      <c r="C7681" s="5"/>
    </row>
    <row r="7682" spans="3:3">
      <c r="C7682" s="5"/>
    </row>
    <row r="7683" spans="3:3">
      <c r="C7683" s="5"/>
    </row>
    <row r="7684" spans="3:3">
      <c r="C7684" s="5"/>
    </row>
    <row r="7685" spans="3:3">
      <c r="C7685" s="5"/>
    </row>
    <row r="7686" spans="3:3">
      <c r="C7686" s="5"/>
    </row>
    <row r="7687" spans="3:3">
      <c r="C7687" s="5"/>
    </row>
    <row r="7688" spans="3:3">
      <c r="C7688" s="5"/>
    </row>
    <row r="7689" spans="3:3">
      <c r="C7689" s="5"/>
    </row>
    <row r="7690" spans="3:3">
      <c r="C7690" s="5"/>
    </row>
    <row r="7691" spans="3:3">
      <c r="C7691" s="5"/>
    </row>
    <row r="7692" spans="3:3">
      <c r="C7692" s="5"/>
    </row>
    <row r="7693" spans="3:3">
      <c r="C7693" s="5"/>
    </row>
    <row r="7694" spans="3:3">
      <c r="C7694" s="5"/>
    </row>
    <row r="7695" spans="3:3">
      <c r="C7695" s="5"/>
    </row>
    <row r="7696" spans="3:3">
      <c r="C7696" s="5"/>
    </row>
    <row r="7697" spans="3:3">
      <c r="C7697" s="5"/>
    </row>
    <row r="7698" spans="3:3">
      <c r="C7698" s="5"/>
    </row>
    <row r="7699" spans="3:3">
      <c r="C7699" s="5"/>
    </row>
    <row r="7700" spans="3:3">
      <c r="C7700" s="5"/>
    </row>
    <row r="7701" spans="3:3">
      <c r="C7701" s="5"/>
    </row>
    <row r="7702" spans="3:3">
      <c r="C7702" s="5"/>
    </row>
    <row r="7703" spans="3:3">
      <c r="C7703" s="5"/>
    </row>
    <row r="7704" spans="3:3">
      <c r="C7704" s="5"/>
    </row>
    <row r="7705" spans="3:3">
      <c r="C7705" s="5"/>
    </row>
    <row r="7706" spans="3:3">
      <c r="C7706" s="5"/>
    </row>
    <row r="7707" spans="3:3">
      <c r="C7707" s="5"/>
    </row>
    <row r="7708" spans="3:3">
      <c r="C7708" s="5"/>
    </row>
    <row r="7709" spans="3:3">
      <c r="C7709" s="5"/>
    </row>
    <row r="7710" spans="3:3">
      <c r="C7710" s="5"/>
    </row>
    <row r="7711" spans="3:3">
      <c r="C7711" s="5"/>
    </row>
    <row r="7712" spans="3:3">
      <c r="C7712" s="5"/>
    </row>
    <row r="7713" spans="3:3">
      <c r="C7713" s="5"/>
    </row>
    <row r="7714" spans="3:3">
      <c r="C7714" s="5"/>
    </row>
    <row r="7715" spans="3:3">
      <c r="C7715" s="5"/>
    </row>
    <row r="7716" spans="3:3">
      <c r="C7716" s="5"/>
    </row>
    <row r="7717" spans="3:3">
      <c r="C7717" s="5"/>
    </row>
    <row r="7718" spans="3:3">
      <c r="C7718" s="5"/>
    </row>
    <row r="7719" spans="3:3">
      <c r="C7719" s="5"/>
    </row>
    <row r="7720" spans="3:3">
      <c r="C7720" s="5"/>
    </row>
    <row r="7721" spans="3:3">
      <c r="C7721" s="5"/>
    </row>
    <row r="7722" spans="3:3">
      <c r="C7722" s="5"/>
    </row>
    <row r="7723" spans="3:3">
      <c r="C7723" s="5"/>
    </row>
    <row r="7724" spans="3:3">
      <c r="C7724" s="5"/>
    </row>
    <row r="7725" spans="3:3">
      <c r="C7725" s="5"/>
    </row>
    <row r="7726" spans="3:3">
      <c r="C7726" s="5"/>
    </row>
    <row r="7727" spans="3:3">
      <c r="C7727" s="5"/>
    </row>
    <row r="7728" spans="3:3">
      <c r="C7728" s="5"/>
    </row>
    <row r="7729" spans="3:3">
      <c r="C7729" s="5"/>
    </row>
    <row r="7730" spans="3:3">
      <c r="C7730" s="5"/>
    </row>
    <row r="7731" spans="3:3">
      <c r="C7731" s="5"/>
    </row>
    <row r="7732" spans="3:3">
      <c r="C7732" s="5"/>
    </row>
    <row r="7733" spans="3:3">
      <c r="C7733" s="5"/>
    </row>
    <row r="7734" spans="3:3">
      <c r="C7734" s="5"/>
    </row>
    <row r="7735" spans="3:3">
      <c r="C7735" s="5"/>
    </row>
    <row r="7736" spans="3:3">
      <c r="C7736" s="5"/>
    </row>
    <row r="7737" spans="3:3">
      <c r="C7737" s="5"/>
    </row>
    <row r="7738" spans="3:3">
      <c r="C7738" s="5"/>
    </row>
    <row r="7739" spans="3:3">
      <c r="C7739" s="5"/>
    </row>
    <row r="7740" spans="3:3">
      <c r="C7740" s="5"/>
    </row>
    <row r="7741" spans="3:3">
      <c r="C7741" s="5"/>
    </row>
    <row r="7742" spans="3:3">
      <c r="C7742" s="5"/>
    </row>
    <row r="7743" spans="3:3">
      <c r="C7743" s="5"/>
    </row>
    <row r="7744" spans="3:3">
      <c r="C7744" s="5"/>
    </row>
    <row r="7745" spans="3:3">
      <c r="C7745" s="5"/>
    </row>
    <row r="7746" spans="3:3">
      <c r="C7746" s="5"/>
    </row>
    <row r="7747" spans="3:3">
      <c r="C7747" s="5"/>
    </row>
    <row r="7748" spans="3:3">
      <c r="C7748" s="5"/>
    </row>
    <row r="7749" spans="3:3">
      <c r="C7749" s="5"/>
    </row>
    <row r="7750" spans="3:3">
      <c r="C7750" s="5"/>
    </row>
    <row r="7751" spans="3:3">
      <c r="C7751" s="5"/>
    </row>
    <row r="7752" spans="3:3">
      <c r="C7752" s="5"/>
    </row>
    <row r="7753" spans="3:3">
      <c r="C7753" s="5"/>
    </row>
    <row r="7754" spans="3:3">
      <c r="C7754" s="5"/>
    </row>
    <row r="7755" spans="3:3">
      <c r="C7755" s="5"/>
    </row>
    <row r="7756" spans="3:3">
      <c r="C7756" s="5"/>
    </row>
    <row r="7757" spans="3:3">
      <c r="C7757" s="5"/>
    </row>
    <row r="7758" spans="3:3">
      <c r="C7758" s="5"/>
    </row>
    <row r="7759" spans="3:3">
      <c r="C7759" s="5"/>
    </row>
    <row r="7760" spans="3:3">
      <c r="C7760" s="5"/>
    </row>
    <row r="7761" spans="3:3">
      <c r="C7761" s="5"/>
    </row>
    <row r="7762" spans="3:3">
      <c r="C7762" s="5"/>
    </row>
    <row r="7763" spans="3:3">
      <c r="C7763" s="5"/>
    </row>
    <row r="7764" spans="3:3">
      <c r="C7764" s="5"/>
    </row>
    <row r="7765" spans="3:3">
      <c r="C7765" s="5"/>
    </row>
    <row r="7766" spans="3:3">
      <c r="C7766" s="5"/>
    </row>
    <row r="7767" spans="3:3">
      <c r="C7767" s="5"/>
    </row>
    <row r="7768" spans="3:3">
      <c r="C7768" s="5"/>
    </row>
    <row r="7769" spans="3:3">
      <c r="C7769" s="5"/>
    </row>
    <row r="7770" spans="3:3">
      <c r="C7770" s="5"/>
    </row>
    <row r="7771" spans="3:3">
      <c r="C7771" s="5"/>
    </row>
    <row r="7772" spans="3:3">
      <c r="C7772" s="5"/>
    </row>
    <row r="7773" spans="3:3">
      <c r="C7773" s="5"/>
    </row>
    <row r="7774" spans="3:3">
      <c r="C7774" s="5"/>
    </row>
    <row r="7775" spans="3:3">
      <c r="C7775" s="5"/>
    </row>
    <row r="7776" spans="3:3">
      <c r="C7776" s="5"/>
    </row>
    <row r="7777" spans="3:3">
      <c r="C7777" s="5"/>
    </row>
    <row r="7778" spans="3:3">
      <c r="C7778" s="5"/>
    </row>
    <row r="7779" spans="3:3">
      <c r="C7779" s="5"/>
    </row>
    <row r="7780" spans="3:3">
      <c r="C7780" s="5"/>
    </row>
    <row r="7781" spans="3:3">
      <c r="C7781" s="5"/>
    </row>
    <row r="7782" spans="3:3">
      <c r="C7782" s="5"/>
    </row>
    <row r="7783" spans="3:3">
      <c r="C7783" s="5"/>
    </row>
    <row r="7784" spans="3:3">
      <c r="C7784" s="5"/>
    </row>
    <row r="7785" spans="3:3">
      <c r="C7785" s="5"/>
    </row>
    <row r="7786" spans="3:3">
      <c r="C7786" s="5"/>
    </row>
    <row r="7787" spans="3:3">
      <c r="C7787" s="5"/>
    </row>
    <row r="7788" spans="3:3">
      <c r="C7788" s="5"/>
    </row>
    <row r="7789" spans="3:3">
      <c r="C7789" s="5"/>
    </row>
    <row r="7790" spans="3:3">
      <c r="C7790" s="5"/>
    </row>
    <row r="7791" spans="3:3">
      <c r="C7791" s="5"/>
    </row>
    <row r="7792" spans="3:3">
      <c r="C7792" s="5"/>
    </row>
    <row r="7793" spans="3:3">
      <c r="C7793" s="5"/>
    </row>
    <row r="7794" spans="3:3">
      <c r="C7794" s="5"/>
    </row>
    <row r="7795" spans="3:3">
      <c r="C7795" s="5"/>
    </row>
    <row r="7796" spans="3:3">
      <c r="C7796" s="5"/>
    </row>
    <row r="7797" spans="3:3">
      <c r="C7797" s="5"/>
    </row>
    <row r="7798" spans="3:3">
      <c r="C7798" s="5"/>
    </row>
    <row r="7799" spans="3:3">
      <c r="C7799" s="5"/>
    </row>
    <row r="7800" spans="3:3">
      <c r="C7800" s="5"/>
    </row>
    <row r="7801" spans="3:3">
      <c r="C7801" s="5"/>
    </row>
    <row r="7802" spans="3:3">
      <c r="C7802" s="5"/>
    </row>
    <row r="7803" spans="3:3">
      <c r="C7803" s="5"/>
    </row>
    <row r="7804" spans="3:3">
      <c r="C7804" s="5"/>
    </row>
    <row r="7805" spans="3:3">
      <c r="C7805" s="5"/>
    </row>
    <row r="7806" spans="3:3">
      <c r="C7806" s="5"/>
    </row>
    <row r="7807" spans="3:3">
      <c r="C7807" s="5"/>
    </row>
    <row r="7808" spans="3:3">
      <c r="C7808" s="5"/>
    </row>
    <row r="7809" spans="3:3">
      <c r="C7809" s="5"/>
    </row>
    <row r="7810" spans="3:3">
      <c r="C7810" s="5"/>
    </row>
    <row r="7811" spans="3:3">
      <c r="C7811" s="5"/>
    </row>
    <row r="7812" spans="3:3">
      <c r="C7812" s="5"/>
    </row>
    <row r="7813" spans="3:3">
      <c r="C7813" s="5"/>
    </row>
    <row r="7814" spans="3:3">
      <c r="C7814" s="5"/>
    </row>
    <row r="7815" spans="3:3">
      <c r="C7815" s="5"/>
    </row>
    <row r="7816" spans="3:3">
      <c r="C7816" s="5"/>
    </row>
    <row r="7817" spans="3:3">
      <c r="C7817" s="5"/>
    </row>
    <row r="7818" spans="3:3">
      <c r="C7818" s="5"/>
    </row>
    <row r="7819" spans="3:3">
      <c r="C7819" s="5"/>
    </row>
    <row r="7820" spans="3:3">
      <c r="C7820" s="5"/>
    </row>
    <row r="7821" spans="3:3">
      <c r="C7821" s="5"/>
    </row>
    <row r="7822" spans="3:3">
      <c r="C7822" s="5"/>
    </row>
    <row r="7823" spans="3:3">
      <c r="C7823" s="5"/>
    </row>
    <row r="7824" spans="3:3">
      <c r="C7824" s="5"/>
    </row>
    <row r="7825" spans="3:3">
      <c r="C7825" s="5"/>
    </row>
    <row r="7826" spans="3:3">
      <c r="C7826" s="5"/>
    </row>
    <row r="7827" spans="3:3">
      <c r="C7827" s="5"/>
    </row>
    <row r="7828" spans="3:3">
      <c r="C7828" s="5"/>
    </row>
    <row r="7829" spans="3:3">
      <c r="C7829" s="5"/>
    </row>
    <row r="7830" spans="3:3">
      <c r="C7830" s="5"/>
    </row>
    <row r="7831" spans="3:3">
      <c r="C7831" s="5"/>
    </row>
    <row r="7832" spans="3:3">
      <c r="C7832" s="5"/>
    </row>
    <row r="7833" spans="3:3">
      <c r="C7833" s="5"/>
    </row>
    <row r="7834" spans="3:3">
      <c r="C7834" s="5"/>
    </row>
    <row r="7835" spans="3:3">
      <c r="C7835" s="5"/>
    </row>
    <row r="7836" spans="3:3">
      <c r="C7836" s="5"/>
    </row>
    <row r="7837" spans="3:3">
      <c r="C7837" s="5"/>
    </row>
    <row r="7838" spans="3:3">
      <c r="C7838" s="5"/>
    </row>
    <row r="7839" spans="3:3">
      <c r="C7839" s="5"/>
    </row>
    <row r="7840" spans="3:3">
      <c r="C7840" s="5"/>
    </row>
    <row r="7841" spans="3:3">
      <c r="C7841" s="5"/>
    </row>
    <row r="7842" spans="3:3">
      <c r="C7842" s="5"/>
    </row>
    <row r="7843" spans="3:3">
      <c r="C7843" s="5"/>
    </row>
    <row r="7844" spans="3:3">
      <c r="C7844" s="5"/>
    </row>
    <row r="7845" spans="3:3">
      <c r="C7845" s="5"/>
    </row>
    <row r="7846" spans="3:3">
      <c r="C7846" s="5"/>
    </row>
    <row r="7847" spans="3:3">
      <c r="C7847" s="5"/>
    </row>
    <row r="7848" spans="3:3">
      <c r="C7848" s="5"/>
    </row>
    <row r="7849" spans="3:3">
      <c r="C7849" s="5"/>
    </row>
    <row r="7850" spans="3:3">
      <c r="C7850" s="5"/>
    </row>
    <row r="7851" spans="3:3">
      <c r="C7851" s="5"/>
    </row>
    <row r="7852" spans="3:3">
      <c r="C7852" s="5"/>
    </row>
    <row r="7853" spans="3:3">
      <c r="C7853" s="5"/>
    </row>
    <row r="7854" spans="3:3">
      <c r="C7854" s="5"/>
    </row>
    <row r="7855" spans="3:3">
      <c r="C7855" s="5"/>
    </row>
    <row r="7856" spans="3:3">
      <c r="C7856" s="5"/>
    </row>
    <row r="7857" spans="3:3">
      <c r="C7857" s="5"/>
    </row>
    <row r="7858" spans="3:3">
      <c r="C7858" s="5"/>
    </row>
    <row r="7859" spans="3:3">
      <c r="C7859" s="5"/>
    </row>
    <row r="7860" spans="3:3">
      <c r="C7860" s="5"/>
    </row>
    <row r="7861" spans="3:3">
      <c r="C7861" s="5"/>
    </row>
    <row r="7862" spans="3:3">
      <c r="C7862" s="5"/>
    </row>
    <row r="7863" spans="3:3">
      <c r="C7863" s="5"/>
    </row>
    <row r="7864" spans="3:3">
      <c r="C7864" s="5"/>
    </row>
    <row r="7865" spans="3:3">
      <c r="C7865" s="5"/>
    </row>
    <row r="7866" spans="3:3">
      <c r="C7866" s="5"/>
    </row>
    <row r="7867" spans="3:3">
      <c r="C7867" s="5"/>
    </row>
    <row r="7868" spans="3:3">
      <c r="C7868" s="5"/>
    </row>
    <row r="7869" spans="3:3">
      <c r="C7869" s="5"/>
    </row>
    <row r="7870" spans="3:3">
      <c r="C7870" s="5"/>
    </row>
    <row r="7871" spans="3:3">
      <c r="C7871" s="5"/>
    </row>
    <row r="7872" spans="3:3">
      <c r="C7872" s="5"/>
    </row>
    <row r="7873" spans="3:3">
      <c r="C7873" s="5"/>
    </row>
    <row r="7874" spans="3:3">
      <c r="C7874" s="5"/>
    </row>
    <row r="7875" spans="3:3">
      <c r="C7875" s="5"/>
    </row>
    <row r="7876" spans="3:3">
      <c r="C7876" s="5"/>
    </row>
    <row r="7877" spans="3:3">
      <c r="C7877" s="5"/>
    </row>
    <row r="7878" spans="3:3">
      <c r="C7878" s="5"/>
    </row>
    <row r="7879" spans="3:3">
      <c r="C7879" s="5"/>
    </row>
    <row r="7880" spans="3:3">
      <c r="C7880" s="5"/>
    </row>
    <row r="7881" spans="3:3">
      <c r="C7881" s="5"/>
    </row>
    <row r="7882" spans="3:3">
      <c r="C7882" s="5"/>
    </row>
    <row r="7883" spans="3:3">
      <c r="C7883" s="5"/>
    </row>
    <row r="7884" spans="3:3">
      <c r="C7884" s="5"/>
    </row>
    <row r="7885" spans="3:3">
      <c r="C7885" s="5"/>
    </row>
    <row r="7886" spans="3:3">
      <c r="C7886" s="5"/>
    </row>
    <row r="7887" spans="3:3">
      <c r="C7887" s="5"/>
    </row>
    <row r="7888" spans="3:3">
      <c r="C7888" s="5"/>
    </row>
    <row r="7889" spans="3:3">
      <c r="C7889" s="5"/>
    </row>
    <row r="7890" spans="3:3">
      <c r="C7890" s="5"/>
    </row>
    <row r="7891" spans="3:3">
      <c r="C7891" s="5"/>
    </row>
    <row r="7892" spans="3:3">
      <c r="C7892" s="5"/>
    </row>
    <row r="7893" spans="3:3">
      <c r="C7893" s="5"/>
    </row>
    <row r="7894" spans="3:3">
      <c r="C7894" s="5"/>
    </row>
    <row r="7895" spans="3:3">
      <c r="C7895" s="5"/>
    </row>
    <row r="7896" spans="3:3">
      <c r="C7896" s="5"/>
    </row>
    <row r="7897" spans="3:3">
      <c r="C7897" s="5"/>
    </row>
    <row r="7898" spans="3:3">
      <c r="C7898" s="5"/>
    </row>
    <row r="7899" spans="3:3">
      <c r="C7899" s="5"/>
    </row>
    <row r="7900" spans="3:3">
      <c r="C7900" s="5"/>
    </row>
    <row r="7901" spans="3:3">
      <c r="C7901" s="5"/>
    </row>
    <row r="7902" spans="3:3">
      <c r="C7902" s="5"/>
    </row>
    <row r="7903" spans="3:3">
      <c r="C7903" s="5"/>
    </row>
    <row r="7904" spans="3:3">
      <c r="C7904" s="5"/>
    </row>
    <row r="7905" spans="3:3">
      <c r="C7905" s="5"/>
    </row>
    <row r="7906" spans="3:3">
      <c r="C7906" s="5"/>
    </row>
    <row r="7907" spans="3:3">
      <c r="C7907" s="5"/>
    </row>
    <row r="7908" spans="3:3">
      <c r="C7908" s="5"/>
    </row>
    <row r="7909" spans="3:3">
      <c r="C7909" s="5"/>
    </row>
    <row r="7910" spans="3:3">
      <c r="C7910" s="5"/>
    </row>
    <row r="7911" spans="3:3">
      <c r="C7911" s="5"/>
    </row>
    <row r="7912" spans="3:3">
      <c r="C7912" s="5"/>
    </row>
    <row r="7913" spans="3:3">
      <c r="C7913" s="5"/>
    </row>
    <row r="7914" spans="3:3">
      <c r="C7914" s="5"/>
    </row>
    <row r="7915" spans="3:3">
      <c r="C7915" s="5"/>
    </row>
    <row r="7916" spans="3:3">
      <c r="C7916" s="5"/>
    </row>
    <row r="7917" spans="3:3">
      <c r="C7917" s="5"/>
    </row>
    <row r="7918" spans="3:3">
      <c r="C7918" s="5"/>
    </row>
    <row r="7919" spans="3:3">
      <c r="C7919" s="5"/>
    </row>
    <row r="7920" spans="3:3">
      <c r="C7920" s="5"/>
    </row>
    <row r="7921" spans="3:3">
      <c r="C7921" s="5"/>
    </row>
    <row r="7922" spans="3:3">
      <c r="C7922" s="5"/>
    </row>
    <row r="7923" spans="3:3">
      <c r="C7923" s="5"/>
    </row>
    <row r="7924" spans="3:3">
      <c r="C7924" s="5"/>
    </row>
    <row r="7925" spans="3:3">
      <c r="C7925" s="5"/>
    </row>
    <row r="7926" spans="3:3">
      <c r="C7926" s="5"/>
    </row>
    <row r="7927" spans="3:3">
      <c r="C7927" s="5"/>
    </row>
    <row r="7928" spans="3:3">
      <c r="C7928" s="5"/>
    </row>
    <row r="7929" spans="3:3">
      <c r="C7929" s="5"/>
    </row>
    <row r="7930" spans="3:3">
      <c r="C7930" s="5"/>
    </row>
    <row r="7931" spans="3:3">
      <c r="C7931" s="5"/>
    </row>
    <row r="7932" spans="3:3">
      <c r="C7932" s="5"/>
    </row>
    <row r="7933" spans="3:3">
      <c r="C7933" s="5"/>
    </row>
    <row r="7934" spans="3:3">
      <c r="C7934" s="5"/>
    </row>
    <row r="7935" spans="3:3">
      <c r="C7935" s="5"/>
    </row>
    <row r="7936" spans="3:3">
      <c r="C7936" s="5"/>
    </row>
    <row r="7937" spans="3:3">
      <c r="C7937" s="5"/>
    </row>
    <row r="7938" spans="3:3">
      <c r="C7938" s="5"/>
    </row>
    <row r="7939" spans="3:3">
      <c r="C7939" s="5"/>
    </row>
    <row r="7940" spans="3:3">
      <c r="C7940" s="5"/>
    </row>
    <row r="7941" spans="3:3">
      <c r="C7941" s="5"/>
    </row>
    <row r="7942" spans="3:3">
      <c r="C7942" s="5"/>
    </row>
    <row r="7943" spans="3:3">
      <c r="C7943" s="5"/>
    </row>
    <row r="7944" spans="3:3">
      <c r="C7944" s="5"/>
    </row>
    <row r="7945" spans="3:3">
      <c r="C7945" s="5"/>
    </row>
    <row r="7946" spans="3:3">
      <c r="C7946" s="5"/>
    </row>
    <row r="7947" spans="3:3">
      <c r="C7947" s="5"/>
    </row>
    <row r="7948" spans="3:3">
      <c r="C7948" s="5"/>
    </row>
    <row r="7949" spans="3:3">
      <c r="C7949" s="5"/>
    </row>
    <row r="7950" spans="3:3">
      <c r="C7950" s="5"/>
    </row>
    <row r="7951" spans="3:3">
      <c r="C7951" s="5"/>
    </row>
    <row r="7952" spans="3:3">
      <c r="C7952" s="5"/>
    </row>
    <row r="7953" spans="3:3">
      <c r="C7953" s="5"/>
    </row>
    <row r="7954" spans="3:3">
      <c r="C7954" s="5"/>
    </row>
    <row r="7955" spans="3:3">
      <c r="C7955" s="5"/>
    </row>
    <row r="7956" spans="3:3">
      <c r="C7956" s="5"/>
    </row>
    <row r="7957" spans="3:3">
      <c r="C7957" s="5"/>
    </row>
    <row r="7958" spans="3:3">
      <c r="C7958" s="5"/>
    </row>
    <row r="7959" spans="3:3">
      <c r="C7959" s="5"/>
    </row>
    <row r="7960" spans="3:3">
      <c r="C7960" s="5"/>
    </row>
    <row r="7961" spans="3:3">
      <c r="C7961" s="5"/>
    </row>
    <row r="7962" spans="3:3">
      <c r="C7962" s="5"/>
    </row>
    <row r="7963" spans="3:3">
      <c r="C7963" s="5"/>
    </row>
    <row r="7964" spans="3:3">
      <c r="C7964" s="5"/>
    </row>
    <row r="7965" spans="3:3">
      <c r="C7965" s="5"/>
    </row>
    <row r="7966" spans="3:3">
      <c r="C7966" s="5"/>
    </row>
    <row r="7967" spans="3:3">
      <c r="C7967" s="5"/>
    </row>
    <row r="7968" spans="3:3">
      <c r="C7968" s="5"/>
    </row>
    <row r="7969" spans="3:3">
      <c r="C7969" s="5"/>
    </row>
    <row r="7970" spans="3:3">
      <c r="C7970" s="5"/>
    </row>
    <row r="7971" spans="3:3">
      <c r="C7971" s="5"/>
    </row>
    <row r="7972" spans="3:3">
      <c r="C7972" s="5"/>
    </row>
    <row r="7973" spans="3:3">
      <c r="C7973" s="5"/>
    </row>
    <row r="7974" spans="3:3">
      <c r="C7974" s="5"/>
    </row>
    <row r="7975" spans="3:3">
      <c r="C7975" s="5"/>
    </row>
    <row r="7976" spans="3:3">
      <c r="C7976" s="5"/>
    </row>
    <row r="7977" spans="3:3">
      <c r="C7977" s="5"/>
    </row>
    <row r="7978" spans="3:3">
      <c r="C7978" s="5"/>
    </row>
    <row r="7979" spans="3:3">
      <c r="C7979" s="5"/>
    </row>
    <row r="7980" spans="3:3">
      <c r="C7980" s="5"/>
    </row>
    <row r="7981" spans="3:3">
      <c r="C7981" s="5"/>
    </row>
    <row r="7982" spans="3:3">
      <c r="C7982" s="5"/>
    </row>
    <row r="7983" spans="3:3">
      <c r="C7983" s="5"/>
    </row>
    <row r="7984" spans="3:3">
      <c r="C7984" s="5"/>
    </row>
    <row r="7985" spans="3:3">
      <c r="C7985" s="5"/>
    </row>
    <row r="7986" spans="3:3">
      <c r="C7986" s="5"/>
    </row>
    <row r="7987" spans="3:3">
      <c r="C7987" s="5"/>
    </row>
    <row r="7988" spans="3:3">
      <c r="C7988" s="5"/>
    </row>
    <row r="7989" spans="3:3">
      <c r="C7989" s="5"/>
    </row>
    <row r="7990" spans="3:3">
      <c r="C7990" s="5"/>
    </row>
    <row r="7991" spans="3:3">
      <c r="C7991" s="5"/>
    </row>
    <row r="7992" spans="3:3">
      <c r="C7992" s="5"/>
    </row>
    <row r="7993" spans="3:3">
      <c r="C7993" s="5"/>
    </row>
    <row r="7994" spans="3:3">
      <c r="C7994" s="5"/>
    </row>
    <row r="7995" spans="3:3">
      <c r="C7995" s="5"/>
    </row>
    <row r="7996" spans="3:3">
      <c r="C7996" s="5"/>
    </row>
    <row r="7997" spans="3:3">
      <c r="C7997" s="5"/>
    </row>
    <row r="7998" spans="3:3">
      <c r="C7998" s="5"/>
    </row>
    <row r="7999" spans="3:3">
      <c r="C7999" s="5"/>
    </row>
    <row r="8000" spans="3:3">
      <c r="C8000" s="5"/>
    </row>
    <row r="8001" spans="3:3">
      <c r="C8001" s="5"/>
    </row>
    <row r="8002" spans="3:3">
      <c r="C8002" s="5"/>
    </row>
    <row r="8003" spans="3:3">
      <c r="C8003" s="5"/>
    </row>
    <row r="8004" spans="3:3">
      <c r="C8004" s="5"/>
    </row>
    <row r="8005" spans="3:3">
      <c r="C8005" s="5"/>
    </row>
    <row r="8006" spans="3:3">
      <c r="C8006" s="5"/>
    </row>
    <row r="8007" spans="3:3">
      <c r="C8007" s="5"/>
    </row>
    <row r="8008" spans="3:3">
      <c r="C8008" s="5"/>
    </row>
    <row r="8009" spans="3:3">
      <c r="C8009" s="5"/>
    </row>
    <row r="8010" spans="3:3">
      <c r="C8010" s="5"/>
    </row>
    <row r="8011" spans="3:3">
      <c r="C8011" s="5"/>
    </row>
    <row r="8012" spans="3:3">
      <c r="C8012" s="5"/>
    </row>
    <row r="8013" spans="3:3">
      <c r="C8013" s="5"/>
    </row>
    <row r="8014" spans="3:3">
      <c r="C8014" s="5"/>
    </row>
    <row r="8015" spans="3:3">
      <c r="C8015" s="5"/>
    </row>
    <row r="8016" spans="3:3">
      <c r="C8016" s="5"/>
    </row>
    <row r="8017" spans="3:3">
      <c r="C8017" s="5"/>
    </row>
    <row r="8018" spans="3:3">
      <c r="C8018" s="5"/>
    </row>
    <row r="8019" spans="3:3">
      <c r="C8019" s="5"/>
    </row>
    <row r="8020" spans="3:3">
      <c r="C8020" s="5"/>
    </row>
    <row r="8021" spans="3:3">
      <c r="C8021" s="5"/>
    </row>
    <row r="8022" spans="3:3">
      <c r="C8022" s="5"/>
    </row>
    <row r="8023" spans="3:3">
      <c r="C8023" s="5"/>
    </row>
    <row r="8024" spans="3:3">
      <c r="C8024" s="5"/>
    </row>
    <row r="8025" spans="3:3">
      <c r="C8025" s="5"/>
    </row>
    <row r="8026" spans="3:3">
      <c r="C8026" s="5"/>
    </row>
    <row r="8027" spans="3:3">
      <c r="C8027" s="5"/>
    </row>
    <row r="8028" spans="3:3">
      <c r="C8028" s="5"/>
    </row>
    <row r="8029" spans="3:3">
      <c r="C8029" s="5"/>
    </row>
    <row r="8030" spans="3:3">
      <c r="C8030" s="5"/>
    </row>
    <row r="8031" spans="3:3">
      <c r="C8031" s="5"/>
    </row>
    <row r="8032" spans="3:3">
      <c r="C8032" s="5"/>
    </row>
    <row r="8033" spans="3:3">
      <c r="C8033" s="5"/>
    </row>
    <row r="8034" spans="3:3">
      <c r="C8034" s="5"/>
    </row>
    <row r="8035" spans="3:3">
      <c r="C8035" s="5"/>
    </row>
    <row r="8036" spans="3:3">
      <c r="C8036" s="5"/>
    </row>
    <row r="8037" spans="3:3">
      <c r="C8037" s="5"/>
    </row>
    <row r="8038" spans="3:3">
      <c r="C8038" s="5"/>
    </row>
    <row r="8039" spans="3:3">
      <c r="C8039" s="5"/>
    </row>
    <row r="8040" spans="3:3">
      <c r="C8040" s="5"/>
    </row>
    <row r="8041" spans="3:3">
      <c r="C8041" s="5"/>
    </row>
    <row r="8042" spans="3:3">
      <c r="C8042" s="5"/>
    </row>
    <row r="8043" spans="3:3">
      <c r="C8043" s="5"/>
    </row>
    <row r="8044" spans="3:3">
      <c r="C8044" s="5"/>
    </row>
    <row r="8045" spans="3:3">
      <c r="C8045" s="5"/>
    </row>
    <row r="8046" spans="3:3">
      <c r="C8046" s="5"/>
    </row>
    <row r="8047" spans="3:3">
      <c r="C8047" s="5"/>
    </row>
    <row r="8048" spans="3:3">
      <c r="C8048" s="5"/>
    </row>
    <row r="8049" spans="3:3">
      <c r="C8049" s="5"/>
    </row>
    <row r="8050" spans="3:3">
      <c r="C8050" s="5"/>
    </row>
    <row r="8051" spans="3:3">
      <c r="C8051" s="5"/>
    </row>
    <row r="8052" spans="3:3">
      <c r="C8052" s="5"/>
    </row>
    <row r="8053" spans="3:3">
      <c r="C8053" s="5"/>
    </row>
    <row r="8054" spans="3:3">
      <c r="C8054" s="5"/>
    </row>
    <row r="8055" spans="3:3">
      <c r="C8055" s="5"/>
    </row>
    <row r="8056" spans="3:3">
      <c r="C8056" s="5"/>
    </row>
    <row r="8057" spans="3:3">
      <c r="C8057" s="5"/>
    </row>
    <row r="8058" spans="3:3">
      <c r="C8058" s="5"/>
    </row>
    <row r="8059" spans="3:3">
      <c r="C8059" s="5"/>
    </row>
    <row r="8060" spans="3:3">
      <c r="C8060" s="5"/>
    </row>
    <row r="8061" spans="3:3">
      <c r="C8061" s="5"/>
    </row>
    <row r="8062" spans="3:3">
      <c r="C8062" s="5"/>
    </row>
    <row r="8063" spans="3:3">
      <c r="C8063" s="5"/>
    </row>
    <row r="8064" spans="3:3">
      <c r="C8064" s="5"/>
    </row>
    <row r="8065" spans="3:3">
      <c r="C8065" s="5"/>
    </row>
    <row r="8066" spans="3:3">
      <c r="C8066" s="5"/>
    </row>
    <row r="8067" spans="3:3">
      <c r="C8067" s="5"/>
    </row>
    <row r="8068" spans="3:3">
      <c r="C8068" s="5"/>
    </row>
    <row r="8069" spans="3:3">
      <c r="C8069" s="5"/>
    </row>
    <row r="8070" spans="3:3">
      <c r="C8070" s="5"/>
    </row>
    <row r="8071" spans="3:3">
      <c r="C8071" s="5"/>
    </row>
    <row r="8072" spans="3:3">
      <c r="C8072" s="5"/>
    </row>
    <row r="8073" spans="3:3">
      <c r="C8073" s="5"/>
    </row>
    <row r="8074" spans="3:3">
      <c r="C8074" s="5"/>
    </row>
    <row r="8075" spans="3:3">
      <c r="C8075" s="5"/>
    </row>
    <row r="8076" spans="3:3">
      <c r="C8076" s="5"/>
    </row>
    <row r="8077" spans="3:3">
      <c r="C8077" s="5"/>
    </row>
    <row r="8078" spans="3:3">
      <c r="C8078" s="5"/>
    </row>
    <row r="8079" spans="3:3">
      <c r="C8079" s="5"/>
    </row>
    <row r="8080" spans="3:3">
      <c r="C8080" s="5"/>
    </row>
    <row r="8081" spans="3:3">
      <c r="C8081" s="5"/>
    </row>
    <row r="8082" spans="3:3">
      <c r="C8082" s="5"/>
    </row>
    <row r="8083" spans="3:3">
      <c r="C8083" s="5"/>
    </row>
    <row r="8084" spans="3:3">
      <c r="C8084" s="5"/>
    </row>
    <row r="8085" spans="3:3">
      <c r="C8085" s="5"/>
    </row>
    <row r="8086" spans="3:3">
      <c r="C8086" s="5"/>
    </row>
    <row r="8087" spans="3:3">
      <c r="C8087" s="5"/>
    </row>
    <row r="8088" spans="3:3">
      <c r="C8088" s="5"/>
    </row>
    <row r="8089" spans="3:3">
      <c r="C8089" s="5"/>
    </row>
    <row r="8090" spans="3:3">
      <c r="C8090" s="5"/>
    </row>
    <row r="8091" spans="3:3">
      <c r="C8091" s="5"/>
    </row>
    <row r="8092" spans="3:3">
      <c r="C8092" s="5"/>
    </row>
    <row r="8093" spans="3:3">
      <c r="C8093" s="5"/>
    </row>
    <row r="8094" spans="3:3">
      <c r="C8094" s="5"/>
    </row>
    <row r="8095" spans="3:3">
      <c r="C8095" s="5"/>
    </row>
    <row r="8096" spans="3:3">
      <c r="C8096" s="5"/>
    </row>
    <row r="8097" spans="3:3">
      <c r="C8097" s="5"/>
    </row>
    <row r="8098" spans="3:3">
      <c r="C8098" s="5"/>
    </row>
    <row r="8099" spans="3:3">
      <c r="C8099" s="5"/>
    </row>
    <row r="8100" spans="3:3">
      <c r="C8100" s="5"/>
    </row>
    <row r="8101" spans="3:3">
      <c r="C8101" s="5"/>
    </row>
    <row r="8102" spans="3:3">
      <c r="C8102" s="5"/>
    </row>
    <row r="8103" spans="3:3">
      <c r="C8103" s="5"/>
    </row>
    <row r="8104" spans="3:3">
      <c r="C8104" s="5"/>
    </row>
    <row r="8105" spans="3:3">
      <c r="C8105" s="5"/>
    </row>
    <row r="8106" spans="3:3">
      <c r="C8106" s="5"/>
    </row>
    <row r="8107" spans="3:3">
      <c r="C8107" s="5"/>
    </row>
    <row r="8108" spans="3:3">
      <c r="C8108" s="5"/>
    </row>
    <row r="8109" spans="3:3">
      <c r="C8109" s="5"/>
    </row>
    <row r="8110" spans="3:3">
      <c r="C8110" s="5"/>
    </row>
    <row r="8111" spans="3:3">
      <c r="C8111" s="5"/>
    </row>
    <row r="8112" spans="3:3">
      <c r="C8112" s="5"/>
    </row>
    <row r="8113" spans="3:3">
      <c r="C8113" s="5"/>
    </row>
    <row r="8114" spans="3:3">
      <c r="C8114" s="5"/>
    </row>
    <row r="8115" spans="3:3">
      <c r="C8115" s="5"/>
    </row>
    <row r="8116" spans="3:3">
      <c r="C8116" s="5"/>
    </row>
    <row r="8117" spans="3:3">
      <c r="C8117" s="5"/>
    </row>
    <row r="8118" spans="3:3">
      <c r="C8118" s="5"/>
    </row>
    <row r="8119" spans="3:3">
      <c r="C8119" s="5"/>
    </row>
    <row r="8120" spans="3:3">
      <c r="C8120" s="5"/>
    </row>
    <row r="8121" spans="3:3">
      <c r="C8121" s="5"/>
    </row>
    <row r="8122" spans="3:3">
      <c r="C8122" s="5"/>
    </row>
    <row r="8123" spans="3:3">
      <c r="C8123" s="5"/>
    </row>
    <row r="8124" spans="3:3">
      <c r="C8124" s="5"/>
    </row>
    <row r="8125" spans="3:3">
      <c r="C8125" s="5"/>
    </row>
    <row r="8126" spans="3:3">
      <c r="C8126" s="5"/>
    </row>
    <row r="8127" spans="3:3">
      <c r="C8127" s="5"/>
    </row>
    <row r="8128" spans="3:3">
      <c r="C8128" s="5"/>
    </row>
    <row r="8129" spans="3:3">
      <c r="C8129" s="5"/>
    </row>
    <row r="8130" spans="3:3">
      <c r="C8130" s="5"/>
    </row>
    <row r="8131" spans="3:3">
      <c r="C8131" s="5"/>
    </row>
    <row r="8132" spans="3:3">
      <c r="C8132" s="5"/>
    </row>
    <row r="8133" spans="3:3">
      <c r="C8133" s="5"/>
    </row>
    <row r="8134" spans="3:3">
      <c r="C8134" s="5"/>
    </row>
    <row r="8135" spans="3:3">
      <c r="C8135" s="5"/>
    </row>
    <row r="8136" spans="3:3">
      <c r="C8136" s="5"/>
    </row>
    <row r="8137" spans="3:3">
      <c r="C8137" s="5"/>
    </row>
    <row r="8138" spans="3:3">
      <c r="C8138" s="5"/>
    </row>
    <row r="8139" spans="3:3">
      <c r="C8139" s="5"/>
    </row>
    <row r="8140" spans="3:3">
      <c r="C8140" s="5"/>
    </row>
    <row r="8141" spans="3:3">
      <c r="C8141" s="5"/>
    </row>
    <row r="8142" spans="3:3">
      <c r="C8142" s="5"/>
    </row>
    <row r="8143" spans="3:3">
      <c r="C8143" s="5"/>
    </row>
    <row r="8144" spans="3:3">
      <c r="C8144" s="5"/>
    </row>
    <row r="8145" spans="3:3">
      <c r="C8145" s="5"/>
    </row>
    <row r="8146" spans="3:3">
      <c r="C8146" s="5"/>
    </row>
    <row r="8147" spans="3:3">
      <c r="C8147" s="5"/>
    </row>
    <row r="8148" spans="3:3">
      <c r="C8148" s="5"/>
    </row>
    <row r="8149" spans="3:3">
      <c r="C8149" s="5"/>
    </row>
    <row r="8150" spans="3:3">
      <c r="C8150" s="5"/>
    </row>
    <row r="8151" spans="3:3">
      <c r="C8151" s="5"/>
    </row>
    <row r="8152" spans="3:3">
      <c r="C8152" s="5"/>
    </row>
    <row r="8153" spans="3:3">
      <c r="C8153" s="5"/>
    </row>
    <row r="8154" spans="3:3">
      <c r="C8154" s="5"/>
    </row>
    <row r="8155" spans="3:3">
      <c r="C8155" s="5"/>
    </row>
    <row r="8156" spans="3:3">
      <c r="C8156" s="5"/>
    </row>
    <row r="8157" spans="3:3">
      <c r="C8157" s="5"/>
    </row>
    <row r="8158" spans="3:3">
      <c r="C8158" s="5"/>
    </row>
    <row r="8159" spans="3:3">
      <c r="C8159" s="5"/>
    </row>
    <row r="8160" spans="3:3">
      <c r="C8160" s="5"/>
    </row>
    <row r="8161" spans="3:3">
      <c r="C8161" s="5"/>
    </row>
    <row r="8162" spans="3:3">
      <c r="C8162" s="5"/>
    </row>
    <row r="8163" spans="3:3">
      <c r="C8163" s="5"/>
    </row>
    <row r="8164" spans="3:3">
      <c r="C8164" s="5"/>
    </row>
    <row r="8165" spans="3:3">
      <c r="C8165" s="5"/>
    </row>
    <row r="8166" spans="3:3">
      <c r="C8166" s="5"/>
    </row>
    <row r="8167" spans="3:3">
      <c r="C8167" s="5"/>
    </row>
    <row r="8168" spans="3:3">
      <c r="C8168" s="5"/>
    </row>
    <row r="8169" spans="3:3">
      <c r="C8169" s="5"/>
    </row>
    <row r="8170" spans="3:3">
      <c r="C8170" s="5"/>
    </row>
    <row r="8171" spans="3:3">
      <c r="C8171" s="5"/>
    </row>
    <row r="8172" spans="3:3">
      <c r="C8172" s="5"/>
    </row>
    <row r="8173" spans="3:3">
      <c r="C8173" s="5"/>
    </row>
    <row r="8174" spans="3:3">
      <c r="C8174" s="5"/>
    </row>
    <row r="8175" spans="3:3">
      <c r="C8175" s="5"/>
    </row>
    <row r="8176" spans="3:3">
      <c r="C8176" s="5"/>
    </row>
    <row r="8177" spans="3:3">
      <c r="C8177" s="5"/>
    </row>
    <row r="8178" spans="3:3">
      <c r="C8178" s="5"/>
    </row>
    <row r="8179" spans="3:3">
      <c r="C8179" s="5"/>
    </row>
    <row r="8180" spans="3:3">
      <c r="C8180" s="5"/>
    </row>
    <row r="8181" spans="3:3">
      <c r="C8181" s="5"/>
    </row>
    <row r="8182" spans="3:3">
      <c r="C8182" s="5"/>
    </row>
    <row r="8183" spans="3:3">
      <c r="C8183" s="5"/>
    </row>
    <row r="8184" spans="3:3">
      <c r="C8184" s="5"/>
    </row>
    <row r="8185" spans="3:3">
      <c r="C8185" s="5"/>
    </row>
    <row r="8186" spans="3:3">
      <c r="C8186" s="5"/>
    </row>
    <row r="8187" spans="3:3">
      <c r="C8187" s="5"/>
    </row>
    <row r="8188" spans="3:3">
      <c r="C8188" s="5"/>
    </row>
    <row r="8189" spans="3:3">
      <c r="C8189" s="5"/>
    </row>
    <row r="8190" spans="3:3">
      <c r="C8190" s="5"/>
    </row>
    <row r="8191" spans="3:3">
      <c r="C8191" s="5"/>
    </row>
    <row r="8192" spans="3:3">
      <c r="C8192" s="5"/>
    </row>
    <row r="8193" spans="3:3">
      <c r="C8193" s="5"/>
    </row>
    <row r="8194" spans="3:3">
      <c r="C8194" s="5"/>
    </row>
    <row r="8195" spans="3:3">
      <c r="C8195" s="5"/>
    </row>
    <row r="8196" spans="3:3">
      <c r="C8196" s="5"/>
    </row>
    <row r="8197" spans="3:3">
      <c r="C8197" s="5"/>
    </row>
    <row r="8198" spans="3:3">
      <c r="C8198" s="5"/>
    </row>
    <row r="8199" spans="3:3">
      <c r="C8199" s="5"/>
    </row>
    <row r="8200" spans="3:3">
      <c r="C8200" s="5"/>
    </row>
    <row r="8201" spans="3:3">
      <c r="C8201" s="5"/>
    </row>
    <row r="8202" spans="3:3">
      <c r="C8202" s="5"/>
    </row>
    <row r="8203" spans="3:3">
      <c r="C8203" s="5"/>
    </row>
    <row r="8204" spans="3:3">
      <c r="C8204" s="5"/>
    </row>
    <row r="8205" spans="3:3">
      <c r="C8205" s="5"/>
    </row>
    <row r="8206" spans="3:3">
      <c r="C8206" s="5"/>
    </row>
    <row r="8207" spans="3:3">
      <c r="C8207" s="5"/>
    </row>
    <row r="8208" spans="3:3">
      <c r="C8208" s="5"/>
    </row>
    <row r="8209" spans="3:3">
      <c r="C8209" s="5"/>
    </row>
    <row r="8210" spans="3:3">
      <c r="C8210" s="5"/>
    </row>
    <row r="8211" spans="3:3">
      <c r="C8211" s="5"/>
    </row>
    <row r="8212" spans="3:3">
      <c r="C8212" s="5"/>
    </row>
    <row r="8213" spans="3:3">
      <c r="C8213" s="5"/>
    </row>
    <row r="8214" spans="3:3">
      <c r="C8214" s="5"/>
    </row>
    <row r="8215" spans="3:3">
      <c r="C8215" s="5"/>
    </row>
    <row r="8216" spans="3:3">
      <c r="C8216" s="5"/>
    </row>
    <row r="8217" spans="3:3">
      <c r="C8217" s="5"/>
    </row>
    <row r="8218" spans="3:3">
      <c r="C8218" s="5"/>
    </row>
    <row r="8219" spans="3:3">
      <c r="C8219" s="5"/>
    </row>
    <row r="8220" spans="3:3">
      <c r="C8220" s="5"/>
    </row>
    <row r="8221" spans="3:3">
      <c r="C8221" s="5"/>
    </row>
    <row r="8222" spans="3:3">
      <c r="C8222" s="5"/>
    </row>
    <row r="8223" spans="3:3">
      <c r="C8223" s="5"/>
    </row>
    <row r="8224" spans="3:3">
      <c r="C8224" s="5"/>
    </row>
    <row r="8225" spans="3:3">
      <c r="C8225" s="5"/>
    </row>
    <row r="8226" spans="3:3">
      <c r="C8226" s="5"/>
    </row>
    <row r="8227" spans="3:3">
      <c r="C8227" s="5"/>
    </row>
    <row r="8228" spans="3:3">
      <c r="C8228" s="5"/>
    </row>
    <row r="8229" spans="3:3">
      <c r="C8229" s="5"/>
    </row>
    <row r="8230" spans="3:3">
      <c r="C8230" s="5"/>
    </row>
    <row r="8231" spans="3:3">
      <c r="C8231" s="5"/>
    </row>
    <row r="8232" spans="3:3">
      <c r="C8232" s="5"/>
    </row>
    <row r="8233" spans="3:3">
      <c r="C8233" s="5"/>
    </row>
    <row r="8234" spans="3:3">
      <c r="C8234" s="5"/>
    </row>
    <row r="8235" spans="3:3">
      <c r="C8235" s="5"/>
    </row>
    <row r="8236" spans="3:3">
      <c r="C8236" s="5"/>
    </row>
    <row r="8237" spans="3:3">
      <c r="C8237" s="5"/>
    </row>
    <row r="8238" spans="3:3">
      <c r="C8238" s="5"/>
    </row>
    <row r="8239" spans="3:3">
      <c r="C8239" s="5"/>
    </row>
    <row r="8240" spans="3:3">
      <c r="C8240" s="5"/>
    </row>
    <row r="8241" spans="3:3">
      <c r="C8241" s="5"/>
    </row>
    <row r="8242" spans="3:3">
      <c r="C8242" s="5"/>
    </row>
    <row r="8243" spans="3:3">
      <c r="C8243" s="5"/>
    </row>
    <row r="8244" spans="3:3">
      <c r="C8244" s="5"/>
    </row>
    <row r="8245" spans="3:3">
      <c r="C8245" s="5"/>
    </row>
    <row r="8246" spans="3:3">
      <c r="C8246" s="5"/>
    </row>
    <row r="8247" spans="3:3">
      <c r="C8247" s="5"/>
    </row>
    <row r="8248" spans="3:3">
      <c r="C8248" s="5"/>
    </row>
    <row r="8249" spans="3:3">
      <c r="C8249" s="5"/>
    </row>
    <row r="8250" spans="3:3">
      <c r="C8250" s="5"/>
    </row>
    <row r="8251" spans="3:3">
      <c r="C8251" s="5"/>
    </row>
    <row r="8252" spans="3:3">
      <c r="C8252" s="5"/>
    </row>
    <row r="8253" spans="3:3">
      <c r="C8253" s="5"/>
    </row>
    <row r="8254" spans="3:3">
      <c r="C8254" s="5"/>
    </row>
    <row r="8255" spans="3:3">
      <c r="C8255" s="5"/>
    </row>
    <row r="8256" spans="3:3">
      <c r="C8256" s="5"/>
    </row>
    <row r="8257" spans="3:3">
      <c r="C8257" s="5"/>
    </row>
    <row r="8258" spans="3:3">
      <c r="C8258" s="5"/>
    </row>
    <row r="8259" spans="3:3">
      <c r="C8259" s="5"/>
    </row>
    <row r="8260" spans="3:3">
      <c r="C8260" s="5"/>
    </row>
    <row r="8261" spans="3:3">
      <c r="C8261" s="5"/>
    </row>
    <row r="8262" spans="3:3">
      <c r="C8262" s="5"/>
    </row>
    <row r="8263" spans="3:3">
      <c r="C8263" s="5"/>
    </row>
    <row r="8264" spans="3:3">
      <c r="C8264" s="5"/>
    </row>
    <row r="8265" spans="3:3">
      <c r="C8265" s="5"/>
    </row>
    <row r="8266" spans="3:3">
      <c r="C8266" s="5"/>
    </row>
    <row r="8267" spans="3:3">
      <c r="C8267" s="5"/>
    </row>
    <row r="8268" spans="3:3">
      <c r="C8268" s="5"/>
    </row>
    <row r="8269" spans="3:3">
      <c r="C8269" s="5"/>
    </row>
    <row r="8270" spans="3:3">
      <c r="C8270" s="5"/>
    </row>
    <row r="8271" spans="3:3">
      <c r="C8271" s="5"/>
    </row>
    <row r="8272" spans="3:3">
      <c r="C8272" s="5"/>
    </row>
    <row r="8273" spans="3:3">
      <c r="C8273" s="5"/>
    </row>
    <row r="8274" spans="3:3">
      <c r="C8274" s="5"/>
    </row>
    <row r="8275" spans="3:3">
      <c r="C8275" s="5"/>
    </row>
    <row r="8276" spans="3:3">
      <c r="C8276" s="5"/>
    </row>
    <row r="8277" spans="3:3">
      <c r="C8277" s="5"/>
    </row>
    <row r="8278" spans="3:3">
      <c r="C8278" s="5"/>
    </row>
    <row r="8279" spans="3:3">
      <c r="C8279" s="5"/>
    </row>
    <row r="8280" spans="3:3">
      <c r="C8280" s="5"/>
    </row>
    <row r="8281" spans="3:3">
      <c r="C8281" s="5"/>
    </row>
    <row r="8282" spans="3:3">
      <c r="C8282" s="5"/>
    </row>
    <row r="8283" spans="3:3">
      <c r="C8283" s="5"/>
    </row>
    <row r="8284" spans="3:3">
      <c r="C8284" s="5"/>
    </row>
  </sheetData>
  <sheetProtection algorithmName="SHA-512" hashValue="QgOOqmZ12p2A5vtwdMZ6PipuiLIGA7bUArznmpLM4+EUGYg7nxxJGVV6exfUiTH3pxZd5IJkYG7alWY5Ij202Q==" saltValue="LCpOkAmOnDHKQPWn121aBg==" spinCount="100000" sheet="1" objects="1" scenarios="1" formatCells="0" formatColumns="0" formatRows="0"/>
  <protectedRanges>
    <protectedRange sqref="A3:Q7525 S3:XFD7525 R3:R7667" name="HOT LIST 2"/>
    <protectedRange sqref="A3:Q3 C4:C8284 S3:Z3 R3:R7667" name="Leads List 1_1"/>
    <protectedRange sqref="A4:B4908 AA3:XFD3 D4:Q4908 S4:XFD4908" name="HOT LIST"/>
  </protectedRanges>
  <mergeCells count="1">
    <mergeCell ref="A1:Z1"/>
  </mergeCells>
  <conditionalFormatting sqref="R3:R7667">
    <cfRule type="cellIs" dxfId="587" priority="5" operator="lessThan">
      <formula>0.8001</formula>
    </cfRule>
    <cfRule type="cellIs" dxfId="586" priority="6" operator="between">
      <formula>0.89</formula>
      <formula>1</formula>
    </cfRule>
  </conditionalFormatting>
  <conditionalFormatting sqref="X3">
    <cfRule type="containsText" dxfId="585" priority="3" operator="containsText" text="FRU">
      <formula>NOT(ISERROR(SEARCH("FRU",X3)))</formula>
    </cfRule>
    <cfRule type="containsText" dxfId="584" priority="4" operator="containsText" text="LT">
      <formula>NOT(ISERROR(SEARCH("LT",X3)))</formula>
    </cfRule>
  </conditionalFormatting>
  <conditionalFormatting sqref="A3:Z3 R4:R7667">
    <cfRule type="expression" dxfId="583" priority="2">
      <formula>$C3="***NEW***"</formula>
    </cfRule>
  </conditionalFormatting>
  <conditionalFormatting sqref="C5:C8284">
    <cfRule type="expression" dxfId="582" priority="1">
      <formula>$C5="***NEW***"</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xr:uid="{957E0AD4-6B22-4236-9AD2-E176448A3207}">
          <x14:formula1>
            <xm:f>WCL!$C$64:$C$70</xm:f>
          </x14:formula1>
          <xm:sqref>C3:C8284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12C84-F320-4C40-AE5E-97691A4518F0}">
  <sheetPr codeName="Sheet16">
    <tabColor rgb="FFFF0000"/>
  </sheetPr>
  <dimension ref="A1:AJ36"/>
  <sheetViews>
    <sheetView zoomScale="85" zoomScaleNormal="85" workbookViewId="0">
      <selection activeCell="K21" sqref="K21:K35"/>
    </sheetView>
  </sheetViews>
  <sheetFormatPr defaultRowHeight="15" outlineLevelRow="1" outlineLevelCol="1"/>
  <cols>
    <col min="1" max="1" width="13" style="19" customWidth="1"/>
    <col min="2" max="2" width="13" customWidth="1"/>
    <col min="3" max="3" width="2.28515625" customWidth="1"/>
    <col min="4" max="4" width="9.140625" customWidth="1" outlineLevel="1"/>
    <col min="5" max="5" width="11.140625" customWidth="1" outlineLevel="1"/>
    <col min="6" max="6" width="12.28515625" customWidth="1" outlineLevel="1"/>
    <col min="7" max="7" width="2.28515625" customWidth="1"/>
    <col min="8" max="8" width="9.140625" customWidth="1" outlineLevel="1"/>
    <col min="9" max="9" width="11.140625" customWidth="1" outlineLevel="1"/>
    <col min="10" max="10" width="12.28515625" customWidth="1" outlineLevel="1"/>
    <col min="11" max="11" width="2.28515625" customWidth="1"/>
    <col min="12" max="12" width="9.140625" customWidth="1" outlineLevel="1"/>
    <col min="13" max="13" width="11.140625" customWidth="1" outlineLevel="1"/>
    <col min="14" max="14" width="12.28515625" customWidth="1" outlineLevel="1"/>
    <col min="15" max="15" width="2.28515625" customWidth="1"/>
    <col min="16" max="16" width="9.140625" customWidth="1" outlineLevel="1"/>
    <col min="17" max="17" width="11.140625" customWidth="1" outlineLevel="1"/>
    <col min="18" max="18" width="12.28515625" customWidth="1" outlineLevel="1"/>
    <col min="19" max="19" width="2.42578125" customWidth="1"/>
    <col min="20" max="21" width="10.5703125" hidden="1" customWidth="1" outlineLevel="1"/>
    <col min="22" max="22" width="12.28515625" hidden="1" customWidth="1" outlineLevel="1"/>
    <col min="23" max="23" width="2.42578125" customWidth="1" collapsed="1"/>
    <col min="24" max="25" width="10.5703125" hidden="1" customWidth="1" outlineLevel="1"/>
    <col min="26" max="26" width="12.28515625" hidden="1" customWidth="1" outlineLevel="1"/>
    <col min="27" max="27" width="2.42578125" customWidth="1" collapsed="1"/>
    <col min="28" max="29" width="10.5703125" hidden="1" customWidth="1" outlineLevel="1"/>
    <col min="30" max="30" width="12.28515625" hidden="1" customWidth="1" outlineLevel="1"/>
    <col min="31" max="31" width="2.85546875" customWidth="1" collapsed="1"/>
    <col min="32" max="32" width="11.140625" hidden="1" customWidth="1" outlineLevel="1"/>
    <col min="33" max="34" width="0" hidden="1" customWidth="1" outlineLevel="1"/>
    <col min="35" max="35" width="29.140625" hidden="1" customWidth="1" outlineLevel="1"/>
    <col min="36" max="36" width="8.85546875" collapsed="1"/>
  </cols>
  <sheetData>
    <row r="1" spans="1:35" ht="36.950000000000003" customHeight="1" thickBot="1">
      <c r="A1" s="628" t="s">
        <v>118</v>
      </c>
      <c r="B1" s="629"/>
      <c r="C1" s="629"/>
      <c r="D1" s="629"/>
      <c r="E1" s="629"/>
      <c r="F1" s="629"/>
      <c r="G1" s="629"/>
      <c r="H1" s="629"/>
      <c r="I1" s="629"/>
      <c r="J1" s="629"/>
      <c r="K1" s="629"/>
      <c r="L1" s="629"/>
      <c r="M1" s="629"/>
      <c r="N1" s="629"/>
      <c r="O1" s="629"/>
      <c r="P1" s="629"/>
      <c r="Q1" s="629"/>
      <c r="R1" s="629"/>
      <c r="S1" s="629"/>
      <c r="T1" s="629"/>
      <c r="U1" s="629"/>
      <c r="V1" s="629"/>
      <c r="W1" s="629"/>
      <c r="X1" s="629"/>
      <c r="Y1" s="629"/>
      <c r="Z1" s="629"/>
      <c r="AA1" s="629"/>
      <c r="AB1" s="629"/>
      <c r="AC1" s="629"/>
      <c r="AD1" s="629"/>
      <c r="AE1" s="630"/>
      <c r="AF1" s="631"/>
      <c r="AG1" s="625"/>
    </row>
    <row r="2" spans="1:35" ht="18.75">
      <c r="A2" s="618">
        <v>2023</v>
      </c>
      <c r="B2" s="619"/>
      <c r="C2" s="619"/>
      <c r="D2" s="619"/>
      <c r="E2" s="619"/>
      <c r="F2" s="619"/>
      <c r="G2" s="619"/>
      <c r="H2" s="619"/>
      <c r="I2" s="619"/>
      <c r="J2" s="619"/>
      <c r="K2" s="619"/>
      <c r="L2" s="619"/>
      <c r="M2" s="619"/>
      <c r="N2" s="619"/>
      <c r="O2" s="619"/>
      <c r="P2" s="619"/>
      <c r="Q2" s="619"/>
      <c r="R2" s="619"/>
      <c r="S2" s="619"/>
      <c r="T2" s="619"/>
      <c r="U2" s="619"/>
      <c r="V2" s="619"/>
      <c r="W2" s="619"/>
      <c r="X2" s="619"/>
      <c r="Y2" s="619"/>
      <c r="Z2" s="619"/>
      <c r="AA2" s="619"/>
      <c r="AB2" s="619"/>
      <c r="AC2" s="619"/>
      <c r="AD2" s="619"/>
      <c r="AE2" s="620"/>
      <c r="AF2" s="621"/>
      <c r="AG2" s="625"/>
    </row>
    <row r="3" spans="1:35" ht="18.95" customHeight="1" outlineLevel="1">
      <c r="A3" s="624" t="s">
        <v>89</v>
      </c>
      <c r="B3" s="626" t="s">
        <v>119</v>
      </c>
      <c r="C3" s="614"/>
      <c r="D3" s="615" t="s">
        <v>120</v>
      </c>
      <c r="E3" s="615"/>
      <c r="F3" s="615"/>
      <c r="G3" s="615"/>
      <c r="H3" s="615"/>
      <c r="I3" s="615"/>
      <c r="J3" s="615"/>
      <c r="K3" s="615"/>
      <c r="L3" s="615"/>
      <c r="M3" s="615"/>
      <c r="N3" s="615"/>
      <c r="O3" s="615"/>
      <c r="P3" s="615"/>
      <c r="Q3" s="615"/>
      <c r="R3" s="615"/>
      <c r="S3" s="614"/>
      <c r="T3" s="613" t="s">
        <v>121</v>
      </c>
      <c r="U3" s="613"/>
      <c r="V3" s="613"/>
      <c r="W3" s="614"/>
      <c r="X3" s="616" t="s">
        <v>29</v>
      </c>
      <c r="Y3" s="616"/>
      <c r="Z3" s="616"/>
      <c r="AA3" s="614"/>
      <c r="AB3" s="622" t="s">
        <v>28</v>
      </c>
      <c r="AC3" s="622"/>
      <c r="AD3" s="622"/>
      <c r="AE3" s="614"/>
      <c r="AF3" s="627" t="s">
        <v>122</v>
      </c>
      <c r="AG3" s="493"/>
      <c r="AI3" t="s">
        <v>123</v>
      </c>
    </row>
    <row r="4" spans="1:35" ht="18.95" customHeight="1" outlineLevel="1">
      <c r="A4" s="624"/>
      <c r="B4" s="626"/>
      <c r="C4" s="614"/>
      <c r="D4" s="615" t="s">
        <v>122</v>
      </c>
      <c r="E4" s="615"/>
      <c r="F4" s="615"/>
      <c r="G4" s="614"/>
      <c r="H4" s="616" t="s">
        <v>124</v>
      </c>
      <c r="I4" s="616"/>
      <c r="J4" s="616"/>
      <c r="K4" s="614"/>
      <c r="L4" s="617" t="s">
        <v>125</v>
      </c>
      <c r="M4" s="617"/>
      <c r="N4" s="617"/>
      <c r="O4" s="614"/>
      <c r="P4" s="613" t="s">
        <v>126</v>
      </c>
      <c r="Q4" s="613"/>
      <c r="R4" s="613"/>
      <c r="S4" s="614"/>
      <c r="T4" s="139"/>
      <c r="U4" s="139"/>
      <c r="V4" s="139"/>
      <c r="W4" s="614"/>
      <c r="X4" s="138"/>
      <c r="Y4" s="138"/>
      <c r="Z4" s="138"/>
      <c r="AA4" s="614"/>
      <c r="AB4" s="140"/>
      <c r="AC4" s="140"/>
      <c r="AD4" s="140"/>
      <c r="AE4" s="614"/>
      <c r="AF4" s="627"/>
      <c r="AG4" s="493"/>
    </row>
    <row r="5" spans="1:35" ht="18.95" customHeight="1" outlineLevel="1">
      <c r="A5" s="141" t="s">
        <v>127</v>
      </c>
      <c r="B5" s="626"/>
      <c r="C5" s="614"/>
      <c r="D5" s="142" t="s">
        <v>128</v>
      </c>
      <c r="E5" s="142" t="s">
        <v>129</v>
      </c>
      <c r="F5" s="142" t="s">
        <v>130</v>
      </c>
      <c r="G5" s="614"/>
      <c r="H5" s="143" t="s">
        <v>128</v>
      </c>
      <c r="I5" s="143" t="s">
        <v>129</v>
      </c>
      <c r="J5" s="143" t="s">
        <v>130</v>
      </c>
      <c r="K5" s="614"/>
      <c r="L5" s="144" t="s">
        <v>128</v>
      </c>
      <c r="M5" s="144" t="s">
        <v>129</v>
      </c>
      <c r="N5" s="144" t="s">
        <v>130</v>
      </c>
      <c r="O5" s="614"/>
      <c r="P5" s="145" t="s">
        <v>128</v>
      </c>
      <c r="Q5" s="145" t="s">
        <v>129</v>
      </c>
      <c r="R5" s="145" t="s">
        <v>130</v>
      </c>
      <c r="S5" s="614"/>
      <c r="T5" s="145" t="s">
        <v>128</v>
      </c>
      <c r="U5" s="145" t="s">
        <v>129</v>
      </c>
      <c r="V5" s="145" t="s">
        <v>130</v>
      </c>
      <c r="W5" s="614"/>
      <c r="X5" s="143" t="s">
        <v>128</v>
      </c>
      <c r="Y5" s="143" t="s">
        <v>129</v>
      </c>
      <c r="Z5" s="143" t="s">
        <v>130</v>
      </c>
      <c r="AA5" s="614"/>
      <c r="AB5" s="146" t="s">
        <v>128</v>
      </c>
      <c r="AC5" s="146" t="s">
        <v>129</v>
      </c>
      <c r="AD5" s="146" t="s">
        <v>130</v>
      </c>
      <c r="AE5" s="614"/>
      <c r="AF5" s="627"/>
      <c r="AG5" s="493"/>
      <c r="AI5" t="s">
        <v>131</v>
      </c>
    </row>
    <row r="6" spans="1:35" ht="14.45" customHeight="1" outlineLevel="1">
      <c r="A6" s="147" t="s">
        <v>132</v>
      </c>
      <c r="B6" s="148"/>
      <c r="C6" s="614"/>
      <c r="D6" s="148">
        <f t="shared" ref="D6:D17" si="0">IFERROR(F6/E6,0)</f>
        <v>0</v>
      </c>
      <c r="E6" s="97">
        <f>COUNTIFS(LEADS!$B$24:$B$10012, "&gt;=" &amp; "01/01/2023", LEADS!$B$24:$B$10012, "&lt;=" &amp; "01/31/2023")</f>
        <v>0</v>
      </c>
      <c r="F6" s="148">
        <f>SUMIFS(LEADS!$Y$24:$Y$10012, LEADS!$B$24:$B$10012, "&gt;=" &amp; "1/01/2023", LEADS!$B$24:$B$10012, "&lt;=" &amp; "1/31/2023")</f>
        <v>0</v>
      </c>
      <c r="G6" s="614"/>
      <c r="H6" s="148">
        <f t="shared" ref="H6:H17" si="1">IFERROR(J6/I6,0)</f>
        <v>0</v>
      </c>
      <c r="I6" s="97">
        <f>COUNTIFS(LEADS!$B$24:$B$10012, "&gt;=" &amp; "01/01/2023", LEADS!$B$24:$B$10012, "&lt;=" &amp; "01/31/2023", LEADS!$X$24:$X$10012, "FRU")</f>
        <v>0</v>
      </c>
      <c r="J6" s="148">
        <f>SUMIFS(LEADS!$Y$24:$Y$10012, LEADS!$B$24:$B$10012, "&gt;=" &amp; "1/01/2023", LEADS!$B$24:$B$10012, "&lt;=" &amp; "1/31/2023", LEADS!$X$24:$X$10012, "FRU")</f>
        <v>0</v>
      </c>
      <c r="K6" s="614"/>
      <c r="L6" s="148">
        <f t="shared" ref="L6:L17" si="2">IFERROR(N6/M6,0)</f>
        <v>0</v>
      </c>
      <c r="M6" s="97">
        <f>COUNTIFS(LEADS!$B$24:$B$10012, "&gt;=" &amp; "01/01/2023", LEADS!$B$24:$B$10012, "&lt;=" &amp; "01/31/2023", LEADS!$X$24:$X$10012, "LP")</f>
        <v>0</v>
      </c>
      <c r="N6" s="148">
        <f>SUMIFS(LEADS!$Y$24:$Y$10012, LEADS!$B$24:$B$10012, "&gt;=" &amp; "1/01/2023", LEADS!$B$24:$B$10012, "&lt;=" &amp; "1/31/2023", LEADS!$X$24:$X$10012, "LP")</f>
        <v>0</v>
      </c>
      <c r="O6" s="614"/>
      <c r="P6" s="148">
        <f t="shared" ref="P6:P17" si="3">IFERROR(R6/Q6,0)</f>
        <v>0</v>
      </c>
      <c r="Q6" s="97">
        <f>COUNTIFS(LEADS!$B$24:$B$10012, "&gt;=" &amp; "01/01/2023", LEADS!$B$24:$B$10012, "&lt;=" &amp; "01/31/2023", LEADS!$X$24:$X$10012, "LT")</f>
        <v>0</v>
      </c>
      <c r="R6" s="148">
        <f>SUMIFS(LEADS!$Y$24:$Y$10012, LEADS!$B$24:$B$10012, "&gt;=" &amp; "1/01/2023", LEADS!$B$24:$B$10012, "&lt;=" &amp; "1/31/2023", LEADS!$X$24:$X$10012, "LT")</f>
        <v>0</v>
      </c>
      <c r="S6" s="614"/>
      <c r="T6" s="148">
        <f>IFERROR(V6/U6,0)</f>
        <v>0</v>
      </c>
      <c r="U6" s="98">
        <v>0</v>
      </c>
      <c r="V6" s="148">
        <v>0</v>
      </c>
      <c r="W6" s="614"/>
      <c r="X6" s="148">
        <f>IFERROR(Z6/Y6,0)</f>
        <v>0</v>
      </c>
      <c r="Y6" s="98">
        <v>0</v>
      </c>
      <c r="Z6" s="148">
        <v>0</v>
      </c>
      <c r="AA6" s="614"/>
      <c r="AB6" s="148">
        <f>IFERROR(AD6/AC6,0)</f>
        <v>0</v>
      </c>
      <c r="AC6" s="98">
        <v>0</v>
      </c>
      <c r="AD6" s="148">
        <v>0</v>
      </c>
      <c r="AE6" s="614"/>
      <c r="AF6" s="148">
        <f>SUM(F6)</f>
        <v>0</v>
      </c>
      <c r="AG6" s="493"/>
      <c r="AI6" t="s">
        <v>133</v>
      </c>
    </row>
    <row r="7" spans="1:35" ht="14.45" customHeight="1" outlineLevel="1">
      <c r="A7" s="147" t="s">
        <v>134</v>
      </c>
      <c r="B7" s="148"/>
      <c r="C7" s="614"/>
      <c r="D7" s="148">
        <f t="shared" si="0"/>
        <v>0</v>
      </c>
      <c r="E7" s="97">
        <f>COUNTIFS(LEADS!$B$24:$B$10012, "&gt;=" &amp; "02/01/2023", LEADS!$B$24:$B$10012, "&lt;=" &amp; "02/28/2023")</f>
        <v>0</v>
      </c>
      <c r="F7" s="148">
        <f>SUMIFS(LEADS!$Y$24:$Y$10012, LEADS!$B$24:$B$10012, "&gt;=" &amp; "2/01/2023", LEADS!$B$24:$B$10012, "&lt;=" &amp; "2/28/2023")</f>
        <v>0</v>
      </c>
      <c r="G7" s="614"/>
      <c r="H7" s="148">
        <f t="shared" si="1"/>
        <v>0</v>
      </c>
      <c r="I7" s="97">
        <f>COUNTIFS(LEADS!$B$24:$B$10012, "&gt;=" &amp; "02/01/2023", LEADS!$B$24:$B$10012, "&lt;=" &amp; "02/28/2023", LEADS!$X$24:$X$10012, "FRU")</f>
        <v>0</v>
      </c>
      <c r="J7" s="148">
        <f>SUMIFS(LEADS!$Y$24:$Y$10012, LEADS!$B$24:$B$10012, "&gt;=" &amp; "2/01/2023", LEADS!$B$24:$B$10012, "&lt;=" &amp; "2/28/2023", LEADS!$X$24:$X$10012, "FRU")</f>
        <v>0</v>
      </c>
      <c r="K7" s="614"/>
      <c r="L7" s="148">
        <f t="shared" si="2"/>
        <v>0</v>
      </c>
      <c r="M7" s="97">
        <f>COUNTIFS(LEADS!$B$24:$B$10012, "&gt;=" &amp; "02/01/2023", LEADS!$B$24:$B$10012, "&lt;=" &amp; "02/28/2023", LEADS!$X$24:$X$10012, "LP")</f>
        <v>0</v>
      </c>
      <c r="N7" s="148">
        <f>SUMIFS(LEADS!$Y$24:$Y$10012, LEADS!$B$24:$B$10012, "&gt;=" &amp; "2/01/2023", LEADS!$B$24:$B$10012, "&lt;=" &amp; "2/28/2023", LEADS!$X$24:$X$10012, "LP")</f>
        <v>0</v>
      </c>
      <c r="O7" s="614"/>
      <c r="P7" s="148">
        <f t="shared" si="3"/>
        <v>0</v>
      </c>
      <c r="Q7" s="97">
        <f>COUNTIFS(LEADS!$B$24:$B$10012, "&gt;=" &amp; "02/01/2023", LEADS!$B$24:$B$10012, "&lt;=" &amp; "02/28/2023", LEADS!$X$24:$X$10012, "LT")</f>
        <v>0</v>
      </c>
      <c r="R7" s="148">
        <f>SUMIFS(LEADS!$Y$24:$Y$10012, LEADS!$B$24:$B$10012, "&gt;=" &amp; "2/01/2023", LEADS!$B$24:$B$10012, "&lt;=" &amp; "2/28/2023", LEADS!$X$24:$X$10012, "LT")</f>
        <v>0</v>
      </c>
      <c r="S7" s="614"/>
      <c r="T7" s="148">
        <f t="shared" ref="T7:T17" si="4">IFERROR(V7/U7,0)</f>
        <v>0</v>
      </c>
      <c r="U7" s="98">
        <v>0</v>
      </c>
      <c r="V7" s="148">
        <v>0</v>
      </c>
      <c r="W7" s="614"/>
      <c r="X7" s="148">
        <f t="shared" ref="X7:X17" si="5">IFERROR(Z7/Y7,0)</f>
        <v>0</v>
      </c>
      <c r="Y7" s="98">
        <v>0</v>
      </c>
      <c r="Z7" s="148">
        <v>0</v>
      </c>
      <c r="AA7" s="614"/>
      <c r="AB7" s="148">
        <f t="shared" ref="AB7:AB17" si="6">IFERROR(AD7/AC7,0)</f>
        <v>0</v>
      </c>
      <c r="AC7" s="98">
        <v>0</v>
      </c>
      <c r="AD7" s="148">
        <v>0</v>
      </c>
      <c r="AE7" s="614"/>
      <c r="AF7" s="148">
        <f>SUM(F7)</f>
        <v>0</v>
      </c>
      <c r="AG7" s="493"/>
    </row>
    <row r="8" spans="1:35" ht="14.45" customHeight="1" outlineLevel="1">
      <c r="A8" s="147" t="s">
        <v>135</v>
      </c>
      <c r="B8" s="148"/>
      <c r="C8" s="614"/>
      <c r="D8" s="148">
        <f t="shared" si="0"/>
        <v>0</v>
      </c>
      <c r="E8" s="97">
        <f>COUNTIFS(LEADS!$B$24:$B$10012, "&gt;=" &amp; "03/01/2023", LEADS!$B$24:$B$10012, "&lt;=" &amp; "03/31/2023")</f>
        <v>0</v>
      </c>
      <c r="F8" s="148">
        <f>SUMIFS(LEADS!$Y$24:$Y$10012, LEADS!$B$24:$B$10012, "&gt;=" &amp; "3/01/2023", LEADS!$B$24:$B$10012, "&lt;=" &amp; "3/31/2023")</f>
        <v>0</v>
      </c>
      <c r="G8" s="614"/>
      <c r="H8" s="148">
        <f t="shared" si="1"/>
        <v>0</v>
      </c>
      <c r="I8" s="97">
        <f>COUNTIFS(LEADS!$B$24:$B$10012, "&gt;=" &amp; "03/01/2023", LEADS!$B$24:$B$10012, "&lt;=" &amp; "03/31/2023", LEADS!$X$24:$X$10012, "FRU")</f>
        <v>0</v>
      </c>
      <c r="J8" s="148">
        <f>SUMIFS(LEADS!$Y$24:$Y$10012, LEADS!$B$24:$B$10012, "&gt;=" &amp; "3/01/2023", LEADS!$B$24:$B$10012, "&lt;=" &amp; "3/31/2023", LEADS!$X$24:$X$10012, "FRU")</f>
        <v>0</v>
      </c>
      <c r="K8" s="614"/>
      <c r="L8" s="148">
        <f t="shared" si="2"/>
        <v>0</v>
      </c>
      <c r="M8" s="97">
        <f>COUNTIFS(LEADS!$B$24:$B$10012, "&gt;=" &amp; "03/01/2023", LEADS!$B$24:$B$10012, "&lt;=" &amp; "03/31/2023", LEADS!$X$24:$X$10012, "LP")</f>
        <v>0</v>
      </c>
      <c r="N8" s="148">
        <f>SUMIFS(LEADS!$Y$24:$Y$10012, LEADS!$B$24:$B$10012, "&gt;=" &amp; "3/01/2023", LEADS!$B$24:$B$10012, "&lt;=" &amp; "3/31/2023", LEADS!$X$24:$X$10012, "LP")</f>
        <v>0</v>
      </c>
      <c r="O8" s="614"/>
      <c r="P8" s="148">
        <f t="shared" si="3"/>
        <v>0</v>
      </c>
      <c r="Q8" s="97">
        <f>COUNTIFS(LEADS!$B$24:$B$10012, "&gt;=" &amp; "03/01/2023", LEADS!$B$24:$B$10012, "&lt;=" &amp; "03/31/2023", LEADS!$X$24:$X$10012, "LT")</f>
        <v>0</v>
      </c>
      <c r="R8" s="148">
        <f>SUMIFS(LEADS!$Y$24:$Y$10012, LEADS!$B$24:$B$10012, "&gt;=" &amp; "3/01/2023", LEADS!$B$24:$B$10012, "&lt;=" &amp; "3/31/2023", LEADS!$X$24:$X$10012, "LT")</f>
        <v>0</v>
      </c>
      <c r="S8" s="614"/>
      <c r="T8" s="148">
        <f t="shared" si="4"/>
        <v>0</v>
      </c>
      <c r="U8" s="98">
        <v>0</v>
      </c>
      <c r="V8" s="148">
        <v>0</v>
      </c>
      <c r="W8" s="614"/>
      <c r="X8" s="148">
        <f t="shared" si="5"/>
        <v>0</v>
      </c>
      <c r="Y8" s="98">
        <v>0</v>
      </c>
      <c r="Z8" s="148">
        <v>0</v>
      </c>
      <c r="AA8" s="614"/>
      <c r="AB8" s="148">
        <f t="shared" si="6"/>
        <v>0</v>
      </c>
      <c r="AC8" s="98">
        <v>0</v>
      </c>
      <c r="AD8" s="148">
        <v>0</v>
      </c>
      <c r="AE8" s="614"/>
      <c r="AF8" s="148">
        <f t="shared" ref="AF8:AF17" si="7">SUM(F8)</f>
        <v>0</v>
      </c>
      <c r="AG8" s="493"/>
    </row>
    <row r="9" spans="1:35" ht="14.45" customHeight="1" outlineLevel="1">
      <c r="A9" s="147" t="s">
        <v>136</v>
      </c>
      <c r="B9" s="148"/>
      <c r="C9" s="614"/>
      <c r="D9" s="148">
        <f t="shared" si="0"/>
        <v>0</v>
      </c>
      <c r="E9" s="97">
        <f>COUNTIFS(LEADS!$B$24:$B$10012, "&gt;=" &amp; "04/01/2023", LEADS!$B$24:$B$10012, "&lt;=" &amp; "04/30/2023")</f>
        <v>0</v>
      </c>
      <c r="F9" s="148">
        <f>SUMIFS(LEADS!$Y$24:$Y$10012, LEADS!$B$24:$B$10012, "&gt;=" &amp; "4/01/2023", LEADS!$B$24:$B$10012, "&lt;=" &amp; "4/30/2023")</f>
        <v>0</v>
      </c>
      <c r="G9" s="614"/>
      <c r="H9" s="148">
        <f t="shared" si="1"/>
        <v>0</v>
      </c>
      <c r="I9" s="97">
        <f>COUNTIFS(LEADS!$B$24:$B$10012, "&gt;=" &amp; "04/01/2023", LEADS!$B$24:$B$10012, "&lt;=" &amp; "04/30/2023", LEADS!$X$24:$X$10012, "FRU")</f>
        <v>0</v>
      </c>
      <c r="J9" s="148">
        <f>SUMIFS(LEADS!$Y$24:$Y$10012, LEADS!$B$24:$B$10012, "&gt;=" &amp; "4/01/2023", LEADS!$B$24:$B$10012, "&lt;=" &amp; "4/30/2023", LEADS!$X$24:$X$10012, "FRU")</f>
        <v>0</v>
      </c>
      <c r="K9" s="614"/>
      <c r="L9" s="148">
        <f t="shared" si="2"/>
        <v>0</v>
      </c>
      <c r="M9" s="97">
        <f>COUNTIFS(LEADS!$B$24:$B$10012, "&gt;=" &amp; "04/01/2023", LEADS!$B$24:$B$10012, "&lt;=" &amp; "04/30/2023", LEADS!$X$24:$X$10012, "LP")</f>
        <v>0</v>
      </c>
      <c r="N9" s="148">
        <f>SUMIFS(LEADS!$Y$24:$Y$10012, LEADS!$B$24:$B$10012, "&gt;=" &amp; "4/01/2023", LEADS!$B$24:$B$10012, "&lt;=" &amp; "4/30/2023", LEADS!$X$24:$X$10012, "LP")</f>
        <v>0</v>
      </c>
      <c r="O9" s="614"/>
      <c r="P9" s="148">
        <f t="shared" si="3"/>
        <v>0</v>
      </c>
      <c r="Q9" s="97">
        <f>COUNTIFS(LEADS!$B$24:$B$10012, "&gt;=" &amp; "04/01/2023", LEADS!$B$24:$B$10012, "&lt;=" &amp; "04/30/2023", LEADS!$X$24:$X$10012, "LT")</f>
        <v>0</v>
      </c>
      <c r="R9" s="148">
        <f>SUMIFS(LEADS!$Y$24:$Y$10012, LEADS!$B$24:$B$10012, "&gt;=" &amp; "4/01/2023", LEADS!$B$24:$B$10012, "&lt;=" &amp; "4/30/2023", LEADS!$X$24:$X$10012, "LT")</f>
        <v>0</v>
      </c>
      <c r="S9" s="614"/>
      <c r="T9" s="148">
        <f t="shared" si="4"/>
        <v>0</v>
      </c>
      <c r="U9" s="98">
        <v>0</v>
      </c>
      <c r="V9" s="148">
        <v>0</v>
      </c>
      <c r="W9" s="614"/>
      <c r="X9" s="148">
        <f t="shared" si="5"/>
        <v>0</v>
      </c>
      <c r="Y9" s="98">
        <v>0</v>
      </c>
      <c r="Z9" s="148">
        <v>0</v>
      </c>
      <c r="AA9" s="614"/>
      <c r="AB9" s="148">
        <f t="shared" si="6"/>
        <v>0</v>
      </c>
      <c r="AC9" s="98">
        <v>0</v>
      </c>
      <c r="AD9" s="148">
        <v>0</v>
      </c>
      <c r="AE9" s="614"/>
      <c r="AF9" s="148">
        <f t="shared" si="7"/>
        <v>0</v>
      </c>
      <c r="AG9" s="493"/>
    </row>
    <row r="10" spans="1:35" ht="14.45" customHeight="1" outlineLevel="1">
      <c r="A10" s="147" t="s">
        <v>137</v>
      </c>
      <c r="B10" s="148"/>
      <c r="C10" s="614"/>
      <c r="D10" s="148">
        <f t="shared" si="0"/>
        <v>0</v>
      </c>
      <c r="E10" s="97">
        <f>COUNTIFS(LEADS!$B$24:$B$10012, "&gt;=" &amp; "05/01/2023", LEADS!$B$24:$B$10012, "&lt;=" &amp; "5/31/2023")</f>
        <v>0</v>
      </c>
      <c r="F10" s="148">
        <f>SUMIFS(LEADS!$Y$24:$Y$10012, LEADS!$B$24:$B$10012, "&gt;=" &amp; "5/01/2023", LEADS!$B$24:$B$10012, "&lt;=" &amp; "5/31/2023")</f>
        <v>0</v>
      </c>
      <c r="G10" s="614"/>
      <c r="H10" s="148">
        <f t="shared" si="1"/>
        <v>0</v>
      </c>
      <c r="I10" s="97">
        <f>COUNTIFS(LEADS!$B$24:$B$10012, "&gt;=" &amp; "05/01/2023", LEADS!$B$24:$B$10012, "&lt;=" &amp; "5/31/2023", LEADS!$X$24:$X$10012, "FRU")</f>
        <v>0</v>
      </c>
      <c r="J10" s="148">
        <f>SUMIFS(LEADS!$Y$24:$Y$10012, LEADS!$B$24:$B$10012, "&gt;=" &amp; "5/01/2023", LEADS!$B$24:$B$10012, "&lt;=" &amp; "5/31/2023", LEADS!$X$24:$X$10012, "FRU")</f>
        <v>0</v>
      </c>
      <c r="K10" s="614"/>
      <c r="L10" s="148">
        <f t="shared" si="2"/>
        <v>0</v>
      </c>
      <c r="M10" s="97">
        <f>COUNTIFS(LEADS!$B$24:$B$10012, "&gt;=" &amp; "05/01/2023", LEADS!$B$24:$B$10012, "&lt;=" &amp; "5/31/2023", LEADS!$X$24:$X$10012, "LP")</f>
        <v>0</v>
      </c>
      <c r="N10" s="148">
        <f>SUMIFS(LEADS!$Y$24:$Y$10012, LEADS!$B$24:$B$10012, "&gt;=" &amp; "5/01/2023", LEADS!$B$24:$B$10012, "&lt;=" &amp; "5/31/2023", LEADS!$X$24:$X$10012, "LP")</f>
        <v>0</v>
      </c>
      <c r="O10" s="614"/>
      <c r="P10" s="148">
        <f t="shared" si="3"/>
        <v>0</v>
      </c>
      <c r="Q10" s="97">
        <f>COUNTIFS(LEADS!$B$24:$B$10012, "&gt;=" &amp; "05/01/2023", LEADS!$B$24:$B$10012, "&lt;=" &amp; "5/31/2023", LEADS!$X$24:$X$10012, "LT")</f>
        <v>0</v>
      </c>
      <c r="R10" s="148">
        <f>SUMIFS(LEADS!$Y$24:$Y$10012, LEADS!$B$24:$B$10012, "&gt;=" &amp; "5/01/2023", LEADS!$B$24:$B$10012, "&lt;=" &amp; "5/31/2023", LEADS!$X$24:$X$10012, "LT")</f>
        <v>0</v>
      </c>
      <c r="S10" s="614"/>
      <c r="T10" s="148">
        <f t="shared" si="4"/>
        <v>0</v>
      </c>
      <c r="U10" s="98">
        <v>0</v>
      </c>
      <c r="V10" s="148">
        <v>0</v>
      </c>
      <c r="W10" s="614"/>
      <c r="X10" s="148">
        <f t="shared" si="5"/>
        <v>0</v>
      </c>
      <c r="Y10" s="98">
        <v>0</v>
      </c>
      <c r="Z10" s="148">
        <v>0</v>
      </c>
      <c r="AA10" s="614"/>
      <c r="AB10" s="148">
        <f t="shared" si="6"/>
        <v>0</v>
      </c>
      <c r="AC10" s="98">
        <v>0</v>
      </c>
      <c r="AD10" s="148">
        <v>0</v>
      </c>
      <c r="AE10" s="614"/>
      <c r="AF10" s="148">
        <f t="shared" si="7"/>
        <v>0</v>
      </c>
      <c r="AG10" s="493"/>
    </row>
    <row r="11" spans="1:35" ht="14.45" customHeight="1" outlineLevel="1">
      <c r="A11" s="147" t="s">
        <v>138</v>
      </c>
      <c r="B11" s="148"/>
      <c r="C11" s="614"/>
      <c r="D11" s="148">
        <f t="shared" si="0"/>
        <v>0</v>
      </c>
      <c r="E11" s="97">
        <f>COUNTIFS(LEADS!$B$24:$B$10012, "&gt;=" &amp; "06/01/2023", LEADS!$B$24:$B$10012, "&lt;=" &amp; "06/30/2023")</f>
        <v>0</v>
      </c>
      <c r="F11" s="148">
        <f>SUMIFS(LEADS!$Y$24:$Y$10012, LEADS!$B$24:$B$10012, "&gt;=" &amp; "6/01/2023", LEADS!$B$24:$B$10012, "&lt;=" &amp; "6/30/2023")</f>
        <v>0</v>
      </c>
      <c r="G11" s="614"/>
      <c r="H11" s="148">
        <f t="shared" si="1"/>
        <v>0</v>
      </c>
      <c r="I11" s="97">
        <f>COUNTIFS(LEADS!$B$24:$B$10012, "&gt;=" &amp; "06/01/2023", LEADS!$B$24:$B$10012, "&lt;=" &amp; "06/30/2023", LEADS!$X$24:$X$10012, "FRU")</f>
        <v>0</v>
      </c>
      <c r="J11" s="148">
        <f>SUMIFS(LEADS!$Y$24:$Y$10012, LEADS!$B$24:$B$10012, "&gt;=" &amp; "6/01/2023", LEADS!$B$24:$B$10012, "&lt;=" &amp; "6/30/2023", LEADS!$X$24:$X$10012, "FRU")</f>
        <v>0</v>
      </c>
      <c r="K11" s="614"/>
      <c r="L11" s="148">
        <f t="shared" si="2"/>
        <v>0</v>
      </c>
      <c r="M11" s="97">
        <f>COUNTIFS(LEADS!$B$24:$B$10012, "&gt;=" &amp; "06/01/2023", LEADS!$B$24:$B$10012, "&lt;=" &amp; "06/30/2023", LEADS!$X$24:$X$10012, "LP")</f>
        <v>0</v>
      </c>
      <c r="N11" s="148">
        <f>SUMIFS(LEADS!$Y$24:$Y$10012, LEADS!$B$24:$B$10012, "&gt;=" &amp; "6/01/2023", LEADS!$B$24:$B$10012, "&lt;=" &amp; "6/30/2023", LEADS!$X$24:$X$10012, "LP")</f>
        <v>0</v>
      </c>
      <c r="O11" s="614"/>
      <c r="P11" s="148">
        <f t="shared" ca="1" si="3"/>
        <v>0</v>
      </c>
      <c r="Q11" s="97">
        <f>COUNTIFS(LEADS!$B$24:$B$10012, "&gt;=" &amp; "06/01/2023", LEADS!$B$24:$B$10012, "&lt;=" &amp; "06/30/2023", LEADS!$X$24:$X$10012, "LT")</f>
        <v>0</v>
      </c>
      <c r="R11" s="148">
        <f ca="1">SUMIFS(LEADS!AB24:AB10012, LEADS!E24:E10012, "&gt;=" &amp; "6/01/2023", LEADS!E24:E10012, "&lt;=" &amp; "6/30/2023", LEADS!$X$24:$X$10012, "LT")</f>
        <v>0</v>
      </c>
      <c r="S11" s="614"/>
      <c r="T11" s="148">
        <f t="shared" si="4"/>
        <v>0</v>
      </c>
      <c r="U11" s="98">
        <v>0</v>
      </c>
      <c r="V11" s="148">
        <v>0</v>
      </c>
      <c r="W11" s="614"/>
      <c r="X11" s="148">
        <f t="shared" si="5"/>
        <v>0</v>
      </c>
      <c r="Y11" s="98">
        <v>0</v>
      </c>
      <c r="Z11" s="148">
        <v>0</v>
      </c>
      <c r="AA11" s="614"/>
      <c r="AB11" s="148">
        <f t="shared" si="6"/>
        <v>0</v>
      </c>
      <c r="AC11" s="98">
        <v>0</v>
      </c>
      <c r="AD11" s="148">
        <v>0</v>
      </c>
      <c r="AE11" s="614"/>
      <c r="AF11" s="148">
        <f t="shared" si="7"/>
        <v>0</v>
      </c>
      <c r="AG11" s="493"/>
    </row>
    <row r="12" spans="1:35" ht="14.85" customHeight="1" outlineLevel="1">
      <c r="A12" s="147" t="s">
        <v>139</v>
      </c>
      <c r="B12" s="148"/>
      <c r="C12" s="614"/>
      <c r="D12" s="148">
        <f t="shared" si="0"/>
        <v>0</v>
      </c>
      <c r="E12" s="97">
        <f>COUNTIFS(LEADS!$B$24:$B$10012, "&gt;=" &amp; "07/01/2023", LEADS!$B$24:$B$10012, "&lt;=" &amp; "07/31/2023")</f>
        <v>0</v>
      </c>
      <c r="F12" s="148">
        <f>SUMIFS(LEADS!$Y$24:$Y$10012, LEADS!$B$24:$B$10012, "&gt;=" &amp; "7/01/2023", LEADS!$B$24:$B$10012, "&lt;=" &amp; "7/31/2023")</f>
        <v>0</v>
      </c>
      <c r="G12" s="614"/>
      <c r="H12" s="148">
        <f t="shared" si="1"/>
        <v>0</v>
      </c>
      <c r="I12" s="97">
        <f>COUNTIFS(LEADS!$B$24:$B$10012, "&gt;=" &amp; "07/01/2023", LEADS!$B$24:$B$10012, "&lt;=" &amp; "07/31/2023", LEADS!$X$24:$X$10012, "FRU")</f>
        <v>0</v>
      </c>
      <c r="J12" s="148">
        <f>SUMIFS(LEADS!$Y$24:$Y$10012, LEADS!$B$24:$B$10012, "&gt;=" &amp; "7/01/2023", LEADS!$B$24:$B$10012, "&lt;=" &amp; "7/31/2023", LEADS!$X$24:$X$10012, "FRU")</f>
        <v>0</v>
      </c>
      <c r="K12" s="614"/>
      <c r="L12" s="148">
        <f t="shared" si="2"/>
        <v>0</v>
      </c>
      <c r="M12" s="97">
        <f>COUNTIFS(LEADS!$B$24:$B$10012, "&gt;=" &amp; "07/01/2023", LEADS!$B$24:$B$10012, "&lt;=" &amp; "07/31/2023", LEADS!$X$24:$X$10012, "LP")</f>
        <v>0</v>
      </c>
      <c r="N12" s="148">
        <f>SUMIFS(LEADS!$Y$24:$Y$10012, LEADS!$B$24:$B$10012, "&gt;=" &amp; "7/01/2023", LEADS!$B$24:$B$10012, "&lt;=" &amp; "7/31/2023", LEADS!$X$24:$X$10012, "LP")</f>
        <v>0</v>
      </c>
      <c r="O12" s="614"/>
      <c r="P12" s="148">
        <f t="shared" ca="1" si="3"/>
        <v>0</v>
      </c>
      <c r="Q12" s="97">
        <f>COUNTIFS(LEADS!$B$24:$B$10012, "&gt;=" &amp; "07/01/2023", LEADS!$B$24:$B$10012, "&lt;=" &amp; "07/31/2023", LEADS!$X$24:$X$10012, "LT")</f>
        <v>0</v>
      </c>
      <c r="R12" s="148">
        <f ca="1">SUMIFS(LEADS!AB24:AB10012, LEADS!E24:E10012, "&gt;=" &amp; "7/01/2023", LEADS!E24:E10012, "&lt;=" &amp; "7/31/2023", LEADS!$X$24:$X$10012, "LT")</f>
        <v>0</v>
      </c>
      <c r="S12" s="614"/>
      <c r="T12" s="148">
        <f t="shared" si="4"/>
        <v>0</v>
      </c>
      <c r="U12" s="98">
        <v>0</v>
      </c>
      <c r="V12" s="148">
        <v>0</v>
      </c>
      <c r="W12" s="614"/>
      <c r="X12" s="148">
        <f t="shared" si="5"/>
        <v>0</v>
      </c>
      <c r="Y12" s="98">
        <v>0</v>
      </c>
      <c r="Z12" s="148">
        <v>0</v>
      </c>
      <c r="AA12" s="614"/>
      <c r="AB12" s="148">
        <f t="shared" si="6"/>
        <v>0</v>
      </c>
      <c r="AC12" s="98">
        <v>0</v>
      </c>
      <c r="AD12" s="148">
        <v>0</v>
      </c>
      <c r="AE12" s="614"/>
      <c r="AF12" s="148">
        <f t="shared" si="7"/>
        <v>0</v>
      </c>
      <c r="AG12" s="493"/>
    </row>
    <row r="13" spans="1:35" outlineLevel="1">
      <c r="A13" s="147" t="s">
        <v>140</v>
      </c>
      <c r="B13" s="148"/>
      <c r="C13" s="614"/>
      <c r="D13" s="148">
        <f t="shared" si="0"/>
        <v>0</v>
      </c>
      <c r="E13" s="97">
        <f>COUNTIFS(LEADS!$B$24:$B$10012, "&gt;=" &amp; "08/01/2023", LEADS!$B$24:$B$10012, "&lt;=" &amp; "08/31/2023")</f>
        <v>0</v>
      </c>
      <c r="F13" s="148">
        <f>SUMIFS(LEADS!$Y$24:$Y$10012, LEADS!$B$24:$B$10012, "&gt;=" &amp; "8/01/2023", LEADS!$B$24:$B$10012, "&lt;=" &amp; "8/31/2023")</f>
        <v>0</v>
      </c>
      <c r="G13" s="614"/>
      <c r="H13" s="148">
        <f t="shared" si="1"/>
        <v>0</v>
      </c>
      <c r="I13" s="97">
        <f>COUNTIFS(LEADS!$B$24:$B$10012, "&gt;=" &amp; "08/01/2023", LEADS!$B$24:$B$10012, "&lt;=" &amp; "08/31/2023", LEADS!$X$24:$X$10012, "FRU")</f>
        <v>0</v>
      </c>
      <c r="J13" s="148">
        <f>SUMIFS(LEADS!$Y$24:$Y$10012, LEADS!$B$24:$B$10012, "&gt;=" &amp; "8/01/2023", LEADS!$B$24:$B$10012, "&lt;=" &amp; "8/31/2023", LEADS!$X$24:$X$10012, "FRU")</f>
        <v>0</v>
      </c>
      <c r="K13" s="614"/>
      <c r="L13" s="148">
        <f t="shared" si="2"/>
        <v>0</v>
      </c>
      <c r="M13" s="97">
        <f>COUNTIFS(LEADS!$B$24:$B$10012, "&gt;=" &amp; "08/01/2023", LEADS!$B$24:$B$10012, "&lt;=" &amp; "08/31/2023", LEADS!$X$24:$X$10012, "LP")</f>
        <v>0</v>
      </c>
      <c r="N13" s="148">
        <f>SUMIFS(LEADS!$Y$24:$Y$10012, LEADS!$B$24:$B$10012, "&gt;=" &amp; "8/01/2023", LEADS!$B$24:$B$10012, "&lt;=" &amp; "8/31/2023", LEADS!$X$24:$X$10012, "LP")</f>
        <v>0</v>
      </c>
      <c r="O13" s="614"/>
      <c r="P13" s="148">
        <f t="shared" si="3"/>
        <v>0</v>
      </c>
      <c r="Q13" s="97">
        <f>COUNTIFS(LEADS!$B$24:$B$10012, "&gt;=" &amp; "08/01/2023", LEADS!$B$24:$B$10012, "&lt;=" &amp; "08/31/2023", LEADS!$X$24:$X$10012, "LT")</f>
        <v>0</v>
      </c>
      <c r="R13" s="148">
        <f>SUMIFS(LEADS!$Y$24:$Y$10012, LEADS!$B$24:$B$10012, "&gt;=" &amp; "8/01/2023", LEADS!$B$24:$B$10012, "&lt;=" &amp; "8/31/2023", LEADS!$X$24:$X$10012, "LT")</f>
        <v>0</v>
      </c>
      <c r="S13" s="614"/>
      <c r="T13" s="148">
        <f t="shared" si="4"/>
        <v>0</v>
      </c>
      <c r="U13" s="98">
        <v>0</v>
      </c>
      <c r="V13" s="148">
        <v>0</v>
      </c>
      <c r="W13" s="614"/>
      <c r="X13" s="148">
        <f t="shared" si="5"/>
        <v>0</v>
      </c>
      <c r="Y13" s="98">
        <v>0</v>
      </c>
      <c r="Z13" s="148">
        <v>0</v>
      </c>
      <c r="AA13" s="614"/>
      <c r="AB13" s="148">
        <f t="shared" si="6"/>
        <v>0</v>
      </c>
      <c r="AC13" s="98">
        <v>0</v>
      </c>
      <c r="AD13" s="148">
        <v>0</v>
      </c>
      <c r="AE13" s="614"/>
      <c r="AF13" s="148">
        <f t="shared" si="7"/>
        <v>0</v>
      </c>
      <c r="AG13" s="493"/>
    </row>
    <row r="14" spans="1:35" outlineLevel="1">
      <c r="A14" s="147" t="s">
        <v>141</v>
      </c>
      <c r="B14" s="148"/>
      <c r="C14" s="614"/>
      <c r="D14" s="148">
        <f t="shared" si="0"/>
        <v>27</v>
      </c>
      <c r="E14" s="97">
        <f>COUNTIFS(LEADS!$B$24:$B$10012, "&gt;=" &amp; "09/01/2023", LEADS!$B$24:$B$10012, "&lt;=" &amp; "09/30/2023")</f>
        <v>20</v>
      </c>
      <c r="F14" s="148">
        <f>SUMIFS(LEADS!$Y$24:$Y$10012, LEADS!$B$24:$B$10012, "&gt;=" &amp; "9/01/2023", LEADS!$B$24:$B$10012, "&lt;=" &amp; "9/30/2023")</f>
        <v>540</v>
      </c>
      <c r="G14" s="614"/>
      <c r="H14" s="148">
        <f t="shared" si="1"/>
        <v>27</v>
      </c>
      <c r="I14" s="97">
        <f>COUNTIFS(LEADS!$B$24:$B$10012, "&gt;=" &amp; "09/01/2023", LEADS!$B$24:$B$10012, "&lt;=" &amp; "09/30/2023", LEADS!$X$24:$X$10012, "FRU")</f>
        <v>20</v>
      </c>
      <c r="J14" s="148">
        <f>SUMIFS(LEADS!$Y$24:$Y$10012, LEADS!$B$24:$B$10012, "&gt;=" &amp; "9/01/2023", LEADS!$B$24:$B$10012, "&lt;=" &amp; "9/30/2023", LEADS!$X$24:$X$10012, "FRU")</f>
        <v>540</v>
      </c>
      <c r="K14" s="614"/>
      <c r="L14" s="148">
        <f t="shared" si="2"/>
        <v>0</v>
      </c>
      <c r="M14" s="97">
        <f>COUNTIFS(LEADS!$B$24:$B$10012, "&gt;=" &amp; "09/01/2023", LEADS!$B$24:$B$10012, "&lt;=" &amp; "09/30/2023", LEADS!$X$24:$X$10012, "LP")</f>
        <v>0</v>
      </c>
      <c r="N14" s="148">
        <f>SUMIFS(LEADS!$Y$24:$Y$10012, LEADS!$B$24:$B$10012, "&gt;=" &amp; "9/01/2023", LEADS!$B$24:$B$10012, "&lt;=" &amp; "9/30/2023", LEADS!$X$24:$X$10012, "LP")</f>
        <v>0</v>
      </c>
      <c r="O14" s="614"/>
      <c r="P14" s="148">
        <f t="shared" si="3"/>
        <v>0</v>
      </c>
      <c r="Q14" s="97">
        <f>COUNTIFS(LEADS!$B$24:$B$10012, "&gt;=" &amp; "09/01/2023", LEADS!$B$24:$B$10012, "&lt;=" &amp; "09/30/2023", LEADS!$X$24:$X$10012, "LT")</f>
        <v>0</v>
      </c>
      <c r="R14" s="148">
        <f>SUMIFS(LEADS!$Y$24:$Y$10012, LEADS!$B$24:$B$10012, "&gt;=" &amp; "9/01/2023", LEADS!$B$24:$B$10012, "&lt;=" &amp; "9/30/2023", LEADS!$X$24:$X$10012, "LT")</f>
        <v>0</v>
      </c>
      <c r="S14" s="614"/>
      <c r="T14" s="148">
        <f t="shared" si="4"/>
        <v>0</v>
      </c>
      <c r="U14" s="98">
        <v>0</v>
      </c>
      <c r="V14" s="148">
        <v>0</v>
      </c>
      <c r="W14" s="614"/>
      <c r="X14" s="148">
        <f t="shared" si="5"/>
        <v>0</v>
      </c>
      <c r="Y14" s="98">
        <v>0</v>
      </c>
      <c r="Z14" s="148">
        <v>0</v>
      </c>
      <c r="AA14" s="614"/>
      <c r="AB14" s="148">
        <f t="shared" si="6"/>
        <v>0</v>
      </c>
      <c r="AC14" s="98">
        <v>0</v>
      </c>
      <c r="AD14" s="148">
        <v>0</v>
      </c>
      <c r="AE14" s="614"/>
      <c r="AF14" s="148">
        <f t="shared" si="7"/>
        <v>540</v>
      </c>
      <c r="AG14" s="493"/>
    </row>
    <row r="15" spans="1:35" outlineLevel="1">
      <c r="A15" s="147" t="s">
        <v>142</v>
      </c>
      <c r="B15" s="148"/>
      <c r="C15" s="614"/>
      <c r="D15" s="148">
        <f t="shared" si="0"/>
        <v>0</v>
      </c>
      <c r="E15" s="97">
        <f>COUNTIFS(LEADS!$B$24:$B$10012, "&gt;=" &amp; "10/01/2023", LEADS!$B$24:$B$10012, "&lt;=" &amp; "10/31/2023")</f>
        <v>0</v>
      </c>
      <c r="F15" s="148">
        <f>SUMIFS(LEADS!$Y$24:$Y$10012, LEADS!$B$24:$B$10012, "&gt;=" &amp; "10/01/2023", LEADS!$B$24:$B$10012, "&lt;=" &amp; "10/31/2023")</f>
        <v>0</v>
      </c>
      <c r="G15" s="614"/>
      <c r="H15" s="148">
        <f t="shared" si="1"/>
        <v>0</v>
      </c>
      <c r="I15" s="97">
        <f>COUNTIFS(LEADS!$B$24:$B$10012, "&gt;=" &amp; "10/01/2023", LEADS!$B$24:$B$10012, "&lt;=" &amp; "10/31/2023", LEADS!$X$24:$X$10012, "FRU")</f>
        <v>0</v>
      </c>
      <c r="J15" s="148">
        <f>SUMIFS(LEADS!$Y$24:$Y$10012, LEADS!$B$24:$B$10012, "&gt;=" &amp; "10/01/2023", LEADS!$B$24:$B$10012, "&lt;=" &amp; "10/31/2023", LEADS!$X$24:$X$10012, "FRU")</f>
        <v>0</v>
      </c>
      <c r="K15" s="614"/>
      <c r="L15" s="148">
        <f t="shared" si="2"/>
        <v>0</v>
      </c>
      <c r="M15" s="97">
        <f>COUNTIFS(LEADS!$B$24:$B$10012, "&gt;=" &amp; "10/01/2023", LEADS!$B$24:$B$10012, "&lt;=" &amp; "10/31/2023", LEADS!$X$24:$X$10012, "LP")</f>
        <v>0</v>
      </c>
      <c r="N15" s="148">
        <f>SUMIFS(LEADS!$Y$24:$Y$10012, LEADS!$B$24:$B$10012, "&gt;=" &amp; "10/01/2023", LEADS!$B$24:$B$10012, "&lt;=" &amp; "10/31/2023", LEADS!$X$24:$X$10012, "LP")</f>
        <v>0</v>
      </c>
      <c r="O15" s="614"/>
      <c r="P15" s="148">
        <f t="shared" si="3"/>
        <v>0</v>
      </c>
      <c r="Q15" s="97">
        <f>COUNTIFS(LEADS!$B$24:$B$10012, "&gt;=" &amp; "10/01/2023", LEADS!$B$24:$B$10012, "&lt;=" &amp; "10/31/2023", LEADS!$X$24:$X$10012, "LT")</f>
        <v>0</v>
      </c>
      <c r="R15" s="148">
        <f>SUMIFS(LEADS!$Y$24:$Y$10012, LEADS!$B$24:$B$10012, "&gt;=" &amp; "10/01/2023", LEADS!$B$24:$B$10012, "&lt;=" &amp; "10/31/2023", LEADS!$X$24:$X$10012, "LT")</f>
        <v>0</v>
      </c>
      <c r="S15" s="614"/>
      <c r="T15" s="148">
        <f t="shared" si="4"/>
        <v>0</v>
      </c>
      <c r="U15" s="98">
        <v>0</v>
      </c>
      <c r="V15" s="148">
        <v>0</v>
      </c>
      <c r="W15" s="614"/>
      <c r="X15" s="148">
        <f t="shared" si="5"/>
        <v>0</v>
      </c>
      <c r="Y15" s="98">
        <v>0</v>
      </c>
      <c r="Z15" s="148">
        <v>0</v>
      </c>
      <c r="AA15" s="614"/>
      <c r="AB15" s="148">
        <f t="shared" si="6"/>
        <v>0</v>
      </c>
      <c r="AC15" s="98">
        <v>0</v>
      </c>
      <c r="AD15" s="148">
        <v>0</v>
      </c>
      <c r="AE15" s="614"/>
      <c r="AF15" s="148">
        <f t="shared" si="7"/>
        <v>0</v>
      </c>
      <c r="AG15" s="493"/>
    </row>
    <row r="16" spans="1:35" outlineLevel="1">
      <c r="A16" s="147" t="s">
        <v>143</v>
      </c>
      <c r="B16" s="148"/>
      <c r="C16" s="614"/>
      <c r="D16" s="148">
        <f t="shared" si="0"/>
        <v>0</v>
      </c>
      <c r="E16" s="97">
        <f>COUNTIFS(LEADS!$B$24:$B$10012, "&gt;=" &amp; "11/01/2023", LEADS!$B$24:$B$10012, "&lt;=" &amp; "11/30/2023")</f>
        <v>0</v>
      </c>
      <c r="F16" s="148">
        <f>SUMIFS(LEADS!$Y$24:$Y$10012, LEADS!$B$24:$B$10012, "&gt;=" &amp; "11/01/2023", LEADS!$B$24:$B$10012, "&lt;=" &amp; "11/30/2023")</f>
        <v>0</v>
      </c>
      <c r="G16" s="614"/>
      <c r="H16" s="148">
        <f t="shared" si="1"/>
        <v>0</v>
      </c>
      <c r="I16" s="97">
        <f>COUNTIFS(LEADS!$B$24:$B$10012, "&gt;=" &amp; "11/01/2023", LEADS!$B$24:$B$10012, "&lt;=" &amp; "11/30/2023", LEADS!$X$24:$X$10012, "FRU")</f>
        <v>0</v>
      </c>
      <c r="J16" s="148">
        <f>SUMIFS(LEADS!$Y$24:$Y$10012, LEADS!$B$24:$B$10012, "&gt;=" &amp; "11/01/2023", LEADS!$B$24:$B$10012, "&lt;=" &amp; "11/30/2023", LEADS!$X$24:$X$10012, "FRU")</f>
        <v>0</v>
      </c>
      <c r="K16" s="614"/>
      <c r="L16" s="148">
        <f t="shared" si="2"/>
        <v>0</v>
      </c>
      <c r="M16" s="97">
        <f>COUNTIFS(LEADS!$B$24:$B$10012, "&gt;=" &amp; "11/01/2023", LEADS!$B$24:$B$10012, "&lt;=" &amp; "11/30/2023", LEADS!$X$24:$X$10012, "LP")</f>
        <v>0</v>
      </c>
      <c r="N16" s="148">
        <f>SUMIFS(LEADS!$Y$24:$Y$10012, LEADS!$B$24:$B$10012, "&gt;=" &amp; "11/01/2023", LEADS!$B$24:$B$10012, "&lt;=" &amp; "11/30/2023", LEADS!$X$24:$X$10012, "LP")</f>
        <v>0</v>
      </c>
      <c r="O16" s="614"/>
      <c r="P16" s="148">
        <f t="shared" si="3"/>
        <v>0</v>
      </c>
      <c r="Q16" s="97">
        <f>COUNTIFS(LEADS!$B$24:$B$10012, "&gt;=" &amp; "11/01/2023", LEADS!$B$24:$B$10012, "&lt;=" &amp; "11/30/2023", LEADS!$X$24:$X$10012, "LT")</f>
        <v>0</v>
      </c>
      <c r="R16" s="148">
        <f>SUMIFS(LEADS!$Y$24:$Y$10012, LEADS!$B$24:$B$10012, "&gt;=" &amp; "11/01/2023", LEADS!$B$24:$B$10012, "&lt;=" &amp; "11/30/2023", LEADS!$X$24:$X$10012, "LT")</f>
        <v>0</v>
      </c>
      <c r="S16" s="614"/>
      <c r="T16" s="148">
        <f t="shared" si="4"/>
        <v>0</v>
      </c>
      <c r="U16" s="98">
        <v>0</v>
      </c>
      <c r="V16" s="148">
        <v>0</v>
      </c>
      <c r="W16" s="614"/>
      <c r="X16" s="148">
        <f t="shared" si="5"/>
        <v>0</v>
      </c>
      <c r="Y16" s="98">
        <v>0</v>
      </c>
      <c r="Z16" s="148">
        <v>0</v>
      </c>
      <c r="AA16" s="614"/>
      <c r="AB16" s="148">
        <f t="shared" si="6"/>
        <v>0</v>
      </c>
      <c r="AC16" s="98">
        <v>0</v>
      </c>
      <c r="AD16" s="148">
        <v>0</v>
      </c>
      <c r="AE16" s="614"/>
      <c r="AF16" s="148">
        <f t="shared" si="7"/>
        <v>0</v>
      </c>
      <c r="AG16" s="493"/>
    </row>
    <row r="17" spans="1:33" outlineLevel="1">
      <c r="A17" s="147" t="s">
        <v>144</v>
      </c>
      <c r="B17" s="148"/>
      <c r="C17" s="614"/>
      <c r="D17" s="148">
        <f t="shared" si="0"/>
        <v>0</v>
      </c>
      <c r="E17" s="97">
        <f>COUNTIFS(LEADS!$B$24:$B$10012, "&gt;=" &amp; "12/01/2023", LEADS!$B$24:$B$10012, "&lt;=" &amp; "12/31/2023")</f>
        <v>0</v>
      </c>
      <c r="F17" s="148">
        <f>SUMIFS(LEADS!$Y$24:$Y$10012, LEADS!$B$24:$B$10012, "&gt;=" &amp; "12/01/2023", LEADS!$B$24:$B$10012, "&lt;=" &amp; "12/31/2023")</f>
        <v>0</v>
      </c>
      <c r="G17" s="614"/>
      <c r="H17" s="148">
        <f t="shared" si="1"/>
        <v>0</v>
      </c>
      <c r="I17" s="97">
        <f>COUNTIFS(LEADS!$B$24:$B$10012, "&gt;=" &amp; "12/01/2023", LEADS!$B$24:$B$10012, "&lt;=" &amp; "12/31/2023", LEADS!$X$24:$X$10012, "FRU")</f>
        <v>0</v>
      </c>
      <c r="J17" s="148">
        <f>SUMIFS(LEADS!$Y$24:$Y$10012, LEADS!$B$24:$B$10012, "&gt;=" &amp; "12/01/2023", LEADS!$B$24:$B$10012, "&lt;=" &amp; "12/31/2023", LEADS!$X$24:$X$10012, "FRU")</f>
        <v>0</v>
      </c>
      <c r="K17" s="614"/>
      <c r="L17" s="148">
        <f t="shared" si="2"/>
        <v>0</v>
      </c>
      <c r="M17" s="97">
        <f>COUNTIFS(LEADS!$B$24:$B$10012, "&gt;=" &amp; "12/01/2023", LEADS!$B$24:$B$10012, "&lt;=" &amp; "12/31/2023", LEADS!$X$24:$X$10012, "LP")</f>
        <v>0</v>
      </c>
      <c r="N17" s="148">
        <f>SUMIFS(LEADS!$Y$24:$Y$10012, LEADS!$B$24:$B$10012, "&gt;=" &amp; "12/01/2023", LEADS!$B$24:$B$10012, "&lt;=" &amp; "12/31/2023", LEADS!$X$24:$X$10012, "LP")</f>
        <v>0</v>
      </c>
      <c r="O17" s="614"/>
      <c r="P17" s="148">
        <f t="shared" si="3"/>
        <v>0</v>
      </c>
      <c r="Q17" s="97">
        <f>COUNTIFS(LEADS!$B$24:$B$10012, "&gt;=" &amp; "12/01/2023", LEADS!$B$24:$B$10012, "&lt;=" &amp; "12/31/2023", LEADS!$X$24:$X$10012, "LT")</f>
        <v>0</v>
      </c>
      <c r="R17" s="148">
        <f>SUMIFS(LEADS!$Y$24:$Y$10012, LEADS!$B$24:$B$10012, "&gt;=" &amp; "12/01/2023", LEADS!$B$24:$B$10012, "&lt;=" &amp; "12/31/2023", LEADS!$X$24:$X$10012, "LT")</f>
        <v>0</v>
      </c>
      <c r="S17" s="614"/>
      <c r="T17" s="148">
        <f t="shared" si="4"/>
        <v>0</v>
      </c>
      <c r="U17" s="98">
        <v>0</v>
      </c>
      <c r="V17" s="148">
        <v>0</v>
      </c>
      <c r="W17" s="614"/>
      <c r="X17" s="148">
        <f t="shared" si="5"/>
        <v>0</v>
      </c>
      <c r="Y17" s="98">
        <v>0</v>
      </c>
      <c r="Z17" s="148">
        <v>0</v>
      </c>
      <c r="AA17" s="614"/>
      <c r="AB17" s="148">
        <f t="shared" si="6"/>
        <v>0</v>
      </c>
      <c r="AC17" s="98">
        <v>0</v>
      </c>
      <c r="AD17" s="148">
        <v>0</v>
      </c>
      <c r="AE17" s="614"/>
      <c r="AF17" s="148">
        <f t="shared" si="7"/>
        <v>0</v>
      </c>
      <c r="AG17" s="493"/>
    </row>
    <row r="18" spans="1:33" ht="35.1" customHeight="1" outlineLevel="1">
      <c r="A18" s="149" t="s">
        <v>122</v>
      </c>
      <c r="B18" s="150">
        <f>SUM(B6:B17)</f>
        <v>0</v>
      </c>
      <c r="C18" s="614"/>
      <c r="D18" s="151">
        <f>AVERAGE(D6:D17)</f>
        <v>2.25</v>
      </c>
      <c r="E18" s="142">
        <f>SUM(E6:E17)</f>
        <v>20</v>
      </c>
      <c r="F18" s="151">
        <f>SUM(F6:F17)</f>
        <v>540</v>
      </c>
      <c r="G18" s="614"/>
      <c r="H18" s="152">
        <f>AVERAGE(H6:H17)</f>
        <v>2.25</v>
      </c>
      <c r="I18" s="143">
        <f>SUM(I6:I17)</f>
        <v>20</v>
      </c>
      <c r="J18" s="152">
        <f>SUM(J6:J17)</f>
        <v>540</v>
      </c>
      <c r="K18" s="614"/>
      <c r="L18" s="153">
        <f>AVERAGE(L6:L17)</f>
        <v>0</v>
      </c>
      <c r="M18" s="144">
        <f>SUM(M6:M17)</f>
        <v>0</v>
      </c>
      <c r="N18" s="153">
        <f>SUM(N6:N17)</f>
        <v>0</v>
      </c>
      <c r="O18" s="614"/>
      <c r="P18" s="154">
        <f ca="1">AVERAGE(P6:P17)</f>
        <v>0</v>
      </c>
      <c r="Q18" s="145">
        <f>SUM(Q6:Q17)</f>
        <v>0</v>
      </c>
      <c r="R18" s="154">
        <f ca="1">SUM(R6:R17)</f>
        <v>0</v>
      </c>
      <c r="S18" s="614"/>
      <c r="T18" s="154">
        <f>AVERAGE(T6:T17)</f>
        <v>0</v>
      </c>
      <c r="U18" s="145">
        <f>SUM(U6:U17)</f>
        <v>0</v>
      </c>
      <c r="V18" s="154">
        <f>SUM(V6:V17)</f>
        <v>0</v>
      </c>
      <c r="W18" s="614"/>
      <c r="X18" s="152">
        <f>AVERAGE(X6:X17)</f>
        <v>0</v>
      </c>
      <c r="Y18" s="143">
        <f>SUM(Y6:Y17)</f>
        <v>0</v>
      </c>
      <c r="Z18" s="152">
        <f>SUM(Z6:Z17)</f>
        <v>0</v>
      </c>
      <c r="AA18" s="614"/>
      <c r="AB18" s="153">
        <f>AVERAGE(AB6:AB17)</f>
        <v>0</v>
      </c>
      <c r="AC18" s="144">
        <f>SUM(AC6:AC17)</f>
        <v>0</v>
      </c>
      <c r="AD18" s="153">
        <f>SUM(AD6:AD17)</f>
        <v>0</v>
      </c>
      <c r="AE18" s="614"/>
      <c r="AF18" s="155">
        <f>SUM(AF6:AF17)</f>
        <v>540</v>
      </c>
      <c r="AG18" s="493"/>
    </row>
    <row r="19" spans="1:33" ht="18.75">
      <c r="A19" s="623">
        <v>2024</v>
      </c>
      <c r="B19" s="623"/>
      <c r="C19" s="623"/>
      <c r="D19" s="623"/>
      <c r="E19" s="623"/>
      <c r="F19" s="623"/>
      <c r="G19" s="623"/>
      <c r="H19" s="623"/>
      <c r="I19" s="623"/>
      <c r="J19" s="623"/>
      <c r="K19" s="623"/>
      <c r="L19" s="623"/>
      <c r="M19" s="623"/>
      <c r="N19" s="623"/>
      <c r="O19" s="623"/>
      <c r="P19" s="623"/>
      <c r="Q19" s="623"/>
      <c r="R19" s="623"/>
      <c r="S19" s="623"/>
      <c r="T19" s="623"/>
      <c r="U19" s="623"/>
      <c r="V19" s="623"/>
      <c r="W19" s="623"/>
      <c r="X19" s="623"/>
      <c r="Y19" s="623"/>
      <c r="Z19" s="623"/>
      <c r="AA19" s="623"/>
      <c r="AB19" s="623"/>
      <c r="AC19" s="623"/>
      <c r="AD19" s="623"/>
      <c r="AE19" s="623"/>
      <c r="AF19" s="623"/>
      <c r="AG19" s="493"/>
    </row>
    <row r="20" spans="1:33" ht="18.600000000000001" customHeight="1" outlineLevel="1">
      <c r="A20" s="624" t="s">
        <v>89</v>
      </c>
      <c r="B20" s="626" t="s">
        <v>119</v>
      </c>
      <c r="C20" s="614"/>
      <c r="D20" s="615" t="s">
        <v>120</v>
      </c>
      <c r="E20" s="615"/>
      <c r="F20" s="615"/>
      <c r="G20" s="615"/>
      <c r="H20" s="615"/>
      <c r="I20" s="615"/>
      <c r="J20" s="615"/>
      <c r="K20" s="615"/>
      <c r="L20" s="615"/>
      <c r="M20" s="615"/>
      <c r="N20" s="615"/>
      <c r="O20" s="615"/>
      <c r="P20" s="615"/>
      <c r="Q20" s="615"/>
      <c r="R20" s="615"/>
      <c r="S20" s="614"/>
      <c r="T20" s="613" t="s">
        <v>121</v>
      </c>
      <c r="U20" s="613"/>
      <c r="V20" s="613"/>
      <c r="W20" s="614"/>
      <c r="X20" s="616" t="s">
        <v>29</v>
      </c>
      <c r="Y20" s="616"/>
      <c r="Z20" s="616"/>
      <c r="AA20" s="614"/>
      <c r="AB20" s="622" t="s">
        <v>28</v>
      </c>
      <c r="AC20" s="622"/>
      <c r="AD20" s="622"/>
      <c r="AE20" s="614"/>
      <c r="AF20" s="627" t="s">
        <v>122</v>
      </c>
      <c r="AG20" s="493"/>
    </row>
    <row r="21" spans="1:33" ht="18.600000000000001" customHeight="1" outlineLevel="1">
      <c r="A21" s="624"/>
      <c r="B21" s="626"/>
      <c r="C21" s="614"/>
      <c r="D21" s="615" t="s">
        <v>122</v>
      </c>
      <c r="E21" s="615"/>
      <c r="F21" s="615"/>
      <c r="G21" s="156"/>
      <c r="H21" s="616" t="s">
        <v>124</v>
      </c>
      <c r="I21" s="616"/>
      <c r="J21" s="616"/>
      <c r="K21" s="614"/>
      <c r="L21" s="617" t="s">
        <v>125</v>
      </c>
      <c r="M21" s="617"/>
      <c r="N21" s="617"/>
      <c r="O21" s="614"/>
      <c r="P21" s="613" t="s">
        <v>126</v>
      </c>
      <c r="Q21" s="613"/>
      <c r="R21" s="613"/>
      <c r="S21" s="614"/>
      <c r="T21" s="139"/>
      <c r="U21" s="139"/>
      <c r="V21" s="139"/>
      <c r="W21" s="614"/>
      <c r="X21" s="138"/>
      <c r="Y21" s="138"/>
      <c r="Z21" s="138"/>
      <c r="AA21" s="614"/>
      <c r="AB21" s="140"/>
      <c r="AC21" s="140"/>
      <c r="AD21" s="140"/>
      <c r="AE21" s="614"/>
      <c r="AF21" s="627"/>
      <c r="AG21" s="493"/>
    </row>
    <row r="22" spans="1:33" ht="18.75" outlineLevel="1">
      <c r="A22" s="141" t="s">
        <v>127</v>
      </c>
      <c r="B22" s="626"/>
      <c r="C22" s="614"/>
      <c r="D22" s="142" t="s">
        <v>128</v>
      </c>
      <c r="E22" s="142" t="s">
        <v>129</v>
      </c>
      <c r="F22" s="142" t="s">
        <v>130</v>
      </c>
      <c r="G22" s="156"/>
      <c r="H22" s="143" t="s">
        <v>128</v>
      </c>
      <c r="I22" s="143" t="s">
        <v>129</v>
      </c>
      <c r="J22" s="143" t="s">
        <v>145</v>
      </c>
      <c r="K22" s="614"/>
      <c r="L22" s="144" t="s">
        <v>128</v>
      </c>
      <c r="M22" s="144" t="s">
        <v>129</v>
      </c>
      <c r="N22" s="144" t="s">
        <v>125</v>
      </c>
      <c r="O22" s="614"/>
      <c r="P22" s="145" t="s">
        <v>128</v>
      </c>
      <c r="Q22" s="145" t="s">
        <v>129</v>
      </c>
      <c r="R22" s="145" t="s">
        <v>126</v>
      </c>
      <c r="S22" s="614"/>
      <c r="T22" s="145" t="s">
        <v>128</v>
      </c>
      <c r="U22" s="145" t="s">
        <v>129</v>
      </c>
      <c r="V22" s="145" t="s">
        <v>130</v>
      </c>
      <c r="W22" s="614"/>
      <c r="X22" s="143" t="s">
        <v>128</v>
      </c>
      <c r="Y22" s="143" t="s">
        <v>129</v>
      </c>
      <c r="Z22" s="143" t="s">
        <v>130</v>
      </c>
      <c r="AA22" s="614"/>
      <c r="AB22" s="146" t="s">
        <v>128</v>
      </c>
      <c r="AC22" s="146" t="s">
        <v>129</v>
      </c>
      <c r="AD22" s="146" t="s">
        <v>130</v>
      </c>
      <c r="AE22" s="614"/>
      <c r="AF22" s="627"/>
      <c r="AG22" s="493"/>
    </row>
    <row r="23" spans="1:33" ht="14.45" customHeight="1" outlineLevel="1">
      <c r="A23" s="147" t="s">
        <v>132</v>
      </c>
      <c r="B23" s="148"/>
      <c r="C23" s="614"/>
      <c r="D23" s="148">
        <f t="shared" ref="D23:D34" si="8">IFERROR(F23/E23,0)</f>
        <v>0</v>
      </c>
      <c r="E23" s="97">
        <f>COUNTIFS(LEADS!$B$24:$B$10012, "&gt;=" &amp; "01/01/2024", LEADS!$B$24:$B$10012, "&lt;=" &amp; "01/31/2024")</f>
        <v>0</v>
      </c>
      <c r="F23" s="148">
        <f>SUMIFS(LEADS!$Y$24:$Y$10012, LEADS!$B$24:$B$10012, "&gt;=" &amp; "1/01/2024", LEADS!$B$24:$B$10012, "&lt;=" &amp; "1/31/2024")</f>
        <v>0</v>
      </c>
      <c r="G23" s="156"/>
      <c r="H23" s="148">
        <f t="shared" ref="H23:H34" si="9">IFERROR(J23/I23,0)</f>
        <v>0</v>
      </c>
      <c r="I23" s="97">
        <f>COUNTIFS(LEADS!$B$24:$B$10012, "&gt;=" &amp; "01/01/2024", LEADS!$B$24:$B$10012, "&lt;=" &amp; "01/31/2024", LEADS!$X$24:$X$10012, "FRU")</f>
        <v>0</v>
      </c>
      <c r="J23" s="148">
        <f>SUMIFS(LEADS!$Y$24:$Y$10012, LEADS!$B$24:$B$10012, "&gt;=" &amp; "1/01/2024", LEADS!$B$24:$B$10012, "&lt;=" &amp; "1/31/2024", LEADS!$X$24:$X$10012, "FRU")</f>
        <v>0</v>
      </c>
      <c r="K23" s="614"/>
      <c r="L23" s="148">
        <f t="shared" ref="L23:L34" si="10">IFERROR(N23/M23,0)</f>
        <v>0</v>
      </c>
      <c r="M23" s="97">
        <f>COUNTIFS(LEADS!$B$24:$B$10012, "&gt;=" &amp; "01/01/2024", LEADS!$B$24:$B$10012, "&lt;=" &amp; "01/31/2024", LEADS!$X$24:$X$10012, "LP")</f>
        <v>0</v>
      </c>
      <c r="N23" s="148">
        <f>SUMIFS(LEADS!$Y$24:$Y$10012, LEADS!$B$24:$B$10012, "&gt;=" &amp; "1/01/2024", LEADS!$B$24:$B$10012, "&lt;=" &amp; "1/31/2024", LEADS!$X$24:$X$10012, "LP")</f>
        <v>0</v>
      </c>
      <c r="O23" s="614"/>
      <c r="P23" s="148">
        <f t="shared" ref="P23:P34" si="11">IFERROR(R23/Q23,0)</f>
        <v>0</v>
      </c>
      <c r="Q23" s="97">
        <f>COUNTIFS(LEADS!$B$24:$B$10012, "&gt;=" &amp; "01/01/2024", LEADS!$B$24:$B$10012, "&lt;=" &amp; "01/31/2024", LEADS!$X$24:$X$10012, "LT")</f>
        <v>0</v>
      </c>
      <c r="R23" s="148">
        <f>SUMIFS(LEADS!$Y$24:$Y$10012, LEADS!$B$24:$B$10012, "&gt;=" &amp; "1/01/2024", LEADS!$B$24:$B$10012, "&lt;=" &amp; "1/31/2024", LEADS!$X$24:$X$10012, "LT")</f>
        <v>0</v>
      </c>
      <c r="S23" s="614"/>
      <c r="T23" s="148">
        <f t="shared" ref="T23:T34" si="12">IFERROR(V23/U23,0)</f>
        <v>0</v>
      </c>
      <c r="U23" s="98">
        <v>0</v>
      </c>
      <c r="V23" s="148">
        <v>0</v>
      </c>
      <c r="W23" s="614"/>
      <c r="X23" s="148">
        <f>IFERROR(Z23/Y23,0)</f>
        <v>0</v>
      </c>
      <c r="Y23" s="98">
        <v>0</v>
      </c>
      <c r="Z23" s="148">
        <v>0</v>
      </c>
      <c r="AA23" s="614"/>
      <c r="AB23" s="148">
        <f>IFERROR(AD23/AC23,0)</f>
        <v>0</v>
      </c>
      <c r="AC23" s="98">
        <v>0</v>
      </c>
      <c r="AD23" s="148">
        <v>0</v>
      </c>
      <c r="AE23" s="614"/>
      <c r="AF23" s="148">
        <f t="shared" ref="AF23:AF34" si="13">SUM(F23)</f>
        <v>0</v>
      </c>
      <c r="AG23" s="493"/>
    </row>
    <row r="24" spans="1:33" ht="14.45" customHeight="1" outlineLevel="1">
      <c r="A24" s="147" t="s">
        <v>134</v>
      </c>
      <c r="B24" s="148"/>
      <c r="C24" s="614"/>
      <c r="D24" s="148">
        <f t="shared" si="8"/>
        <v>0</v>
      </c>
      <c r="E24" s="97">
        <f>COUNTIFS(LEADS!$B$24:$B$10012, "&gt;=" &amp; "02/01/2024", LEADS!$B$24:$B$10012, "&lt;=" &amp; "02/28/2024")</f>
        <v>0</v>
      </c>
      <c r="F24" s="148">
        <f>SUMIFS(LEADS!$Y$24:$Y$10012, LEADS!$B$24:$B$10012, "&gt;=" &amp; "2/01/2024", LEADS!$B$24:$B$10012, "&lt;=" &amp; "2/28/2024")</f>
        <v>0</v>
      </c>
      <c r="G24" s="156"/>
      <c r="H24" s="148">
        <f t="shared" si="9"/>
        <v>0</v>
      </c>
      <c r="I24" s="97">
        <f>COUNTIFS(LEADS!$B$24:$B$10012, "&gt;=" &amp; "02/01/2024", LEADS!$B$24:$B$10012, "&lt;=" &amp; "02/28/2024", LEADS!$X$24:$X$10012, "FRU")</f>
        <v>0</v>
      </c>
      <c r="J24" s="148">
        <f>SUMIFS(LEADS!$Y$24:$Y$10012, LEADS!$B$24:$B$10012, "&gt;=" &amp; "2/01/2024", LEADS!$B$24:$B$10012, "&lt;=" &amp; "2/28/2024", LEADS!$X$24:$X$10012, "FRU")</f>
        <v>0</v>
      </c>
      <c r="K24" s="614"/>
      <c r="L24" s="148">
        <f t="shared" si="10"/>
        <v>0</v>
      </c>
      <c r="M24" s="97">
        <f>COUNTIFS(LEADS!$B$24:$B$10012, "&gt;=" &amp; "02/01/2024", LEADS!$B$24:$B$10012, "&lt;=" &amp; "02/28/2024", LEADS!$X$24:$X$10012, "LP")</f>
        <v>0</v>
      </c>
      <c r="N24" s="148">
        <f>SUMIFS(LEADS!$Y$24:$Y$10012, LEADS!$B$24:$B$10012, "&gt;=" &amp; "2/01/2024", LEADS!$B$24:$B$10012, "&lt;=" &amp; "2/28/2024", LEADS!$X$24:$X$10012, "LP")</f>
        <v>0</v>
      </c>
      <c r="O24" s="614"/>
      <c r="P24" s="148">
        <f t="shared" si="11"/>
        <v>0</v>
      </c>
      <c r="Q24" s="97">
        <f>COUNTIFS(LEADS!$B$24:$B$10012, "&gt;=" &amp; "02/01/2024", LEADS!$B$24:$B$10012, "&lt;=" &amp; "02/28/2024", LEADS!$X$24:$X$10012, "LT")</f>
        <v>0</v>
      </c>
      <c r="R24" s="148">
        <f>SUMIFS(LEADS!$Y$24:$Y$10012, LEADS!$B$24:$B$10012, "&gt;=" &amp; "2/01/2024", LEADS!$B$24:$B$10012, "&lt;=" &amp; "2/28/2024", LEADS!$X$24:$X$10012, "LT")</f>
        <v>0</v>
      </c>
      <c r="S24" s="614"/>
      <c r="T24" s="148">
        <f t="shared" si="12"/>
        <v>0</v>
      </c>
      <c r="U24" s="98">
        <v>0</v>
      </c>
      <c r="V24" s="148">
        <v>0</v>
      </c>
      <c r="W24" s="614"/>
      <c r="X24" s="148">
        <f t="shared" ref="X24:X34" si="14">IFERROR(Z24/Y24,0)</f>
        <v>0</v>
      </c>
      <c r="Y24" s="98">
        <v>0</v>
      </c>
      <c r="Z24" s="148">
        <v>0</v>
      </c>
      <c r="AA24" s="614"/>
      <c r="AB24" s="148">
        <f t="shared" ref="AB24:AB34" si="15">IFERROR(AD24/AC24,0)</f>
        <v>0</v>
      </c>
      <c r="AC24" s="98">
        <v>0</v>
      </c>
      <c r="AD24" s="148">
        <v>0</v>
      </c>
      <c r="AE24" s="614"/>
      <c r="AF24" s="148">
        <f t="shared" si="13"/>
        <v>0</v>
      </c>
      <c r="AG24" s="493"/>
    </row>
    <row r="25" spans="1:33" ht="14.45" customHeight="1" outlineLevel="1">
      <c r="A25" s="147" t="s">
        <v>135</v>
      </c>
      <c r="B25" s="148"/>
      <c r="C25" s="614"/>
      <c r="D25" s="148">
        <f t="shared" si="8"/>
        <v>0</v>
      </c>
      <c r="E25" s="97">
        <f>COUNTIFS(LEADS!$B$24:$B$10012, "&gt;=" &amp; "03/01/2024", LEADS!$B$24:$B$10012, "&lt;=" &amp; "03/31/2024")</f>
        <v>0</v>
      </c>
      <c r="F25" s="148">
        <f>SUMIFS(LEADS!$Y$24:$Y$10012, LEADS!$B$24:$B$10012, "&gt;=" &amp; "3/01/2024", LEADS!$B$24:$B$10012, "&lt;=" &amp; "3/31/2024")</f>
        <v>0</v>
      </c>
      <c r="G25" s="156"/>
      <c r="H25" s="148">
        <f t="shared" si="9"/>
        <v>0</v>
      </c>
      <c r="I25" s="97">
        <f>COUNTIFS(LEADS!$B$24:$B$10012, "&gt;=" &amp; "03/01/2024", LEADS!$B$24:$B$10012, "&lt;=" &amp; "03/31/2024", LEADS!$X$24:$X$10012, "FRU")</f>
        <v>0</v>
      </c>
      <c r="J25" s="148">
        <f>SUMIFS(LEADS!$Y$24:$Y$10012, LEADS!$B$24:$B$10012, "&gt;=" &amp; "3/01/2024", LEADS!$B$24:$B$10012, "&lt;=" &amp; "3/31/2024", LEADS!$X$24:$X$10012, "FRU")</f>
        <v>0</v>
      </c>
      <c r="K25" s="614"/>
      <c r="L25" s="148">
        <f t="shared" si="10"/>
        <v>0</v>
      </c>
      <c r="M25" s="97">
        <f>COUNTIFS(LEADS!$B$24:$B$10012, "&gt;=" &amp; "03/01/2024", LEADS!$B$24:$B$10012, "&lt;=" &amp; "03/31/2024", LEADS!$X$24:$X$10012, "LP")</f>
        <v>0</v>
      </c>
      <c r="N25" s="148">
        <f>SUMIFS(LEADS!$Y$24:$Y$10012, LEADS!$B$24:$B$10012, "&gt;=" &amp; "3/01/2024", LEADS!$B$24:$B$10012, "&lt;=" &amp; "3/31/2024", LEADS!$X$24:$X$10012, "LP")</f>
        <v>0</v>
      </c>
      <c r="O25" s="614"/>
      <c r="P25" s="148">
        <f t="shared" si="11"/>
        <v>0</v>
      </c>
      <c r="Q25" s="97">
        <f>COUNTIFS(LEADS!$B$24:$B$10012, "&gt;=" &amp; "03/01/2024", LEADS!$B$24:$B$10012, "&lt;=" &amp; "03/31/2024", LEADS!$X$24:$X$10012, "LT")</f>
        <v>0</v>
      </c>
      <c r="R25" s="148">
        <f>SUMIFS(LEADS!$Y$24:$Y$10012, LEADS!$B$24:$B$10012, "&gt;=" &amp; "3/01/2024", LEADS!$B$24:$B$10012, "&lt;=" &amp; "3/31/2024", LEADS!$X$24:$X$10012, "LT")</f>
        <v>0</v>
      </c>
      <c r="S25" s="614"/>
      <c r="T25" s="148">
        <f t="shared" si="12"/>
        <v>0</v>
      </c>
      <c r="U25" s="98">
        <v>0</v>
      </c>
      <c r="V25" s="148">
        <v>0</v>
      </c>
      <c r="W25" s="614"/>
      <c r="X25" s="148">
        <f t="shared" si="14"/>
        <v>0</v>
      </c>
      <c r="Y25" s="98">
        <v>0</v>
      </c>
      <c r="Z25" s="148">
        <v>0</v>
      </c>
      <c r="AA25" s="614"/>
      <c r="AB25" s="148">
        <f t="shared" si="15"/>
        <v>0</v>
      </c>
      <c r="AC25" s="98">
        <v>0</v>
      </c>
      <c r="AD25" s="148">
        <v>0</v>
      </c>
      <c r="AE25" s="614"/>
      <c r="AF25" s="148">
        <f t="shared" si="13"/>
        <v>0</v>
      </c>
      <c r="AG25" s="493"/>
    </row>
    <row r="26" spans="1:33" ht="14.45" customHeight="1" outlineLevel="1">
      <c r="A26" s="147" t="s">
        <v>136</v>
      </c>
      <c r="B26" s="148"/>
      <c r="C26" s="614"/>
      <c r="D26" s="148">
        <f t="shared" si="8"/>
        <v>0</v>
      </c>
      <c r="E26" s="97">
        <f>COUNTIFS(LEADS!$B$24:$B$10012, "&gt;=" &amp; "04/01/2024", LEADS!$B$24:$B$10012, "&lt;=" &amp; "04/30/2024")</f>
        <v>0</v>
      </c>
      <c r="F26" s="148">
        <f>SUMIFS(LEADS!$Y$24:$Y$10012, LEADS!$B$24:$B$10012, "&gt;=" &amp; "4/01/2024", LEADS!$B$24:$B$10012, "&lt;=" &amp; "4/30/2024")</f>
        <v>0</v>
      </c>
      <c r="G26" s="156"/>
      <c r="H26" s="148">
        <f t="shared" si="9"/>
        <v>0</v>
      </c>
      <c r="I26" s="97">
        <f>COUNTIFS(LEADS!$B$24:$B$10012, "&gt;=" &amp; "04/01/2024", LEADS!$B$24:$B$10012, "&lt;=" &amp; "04/30/2024", LEADS!$X$24:$X$10012, "FRU")</f>
        <v>0</v>
      </c>
      <c r="J26" s="148">
        <f>SUMIFS(LEADS!$Y$24:$Y$10012, LEADS!$B$24:$B$10012, "&gt;=" &amp; "4/01/2024", LEADS!$B$24:$B$10012, "&lt;=" &amp; "4/30/2024", LEADS!$X$24:$X$10012, "FRU")</f>
        <v>0</v>
      </c>
      <c r="K26" s="614"/>
      <c r="L26" s="148">
        <f t="shared" si="10"/>
        <v>0</v>
      </c>
      <c r="M26" s="97">
        <f>COUNTIFS(LEADS!$B$24:$B$10012, "&gt;=" &amp; "04/01/2024", LEADS!$B$24:$B$10012, "&lt;=" &amp; "04/30/2024", LEADS!$X$24:$X$10012, "LP")</f>
        <v>0</v>
      </c>
      <c r="N26" s="148">
        <f>SUMIFS(LEADS!$Y$24:$Y$10012, LEADS!$B$24:$B$10012, "&gt;=" &amp; "4/01/2024", LEADS!$B$24:$B$10012, "&lt;=" &amp; "4/30/2024", LEADS!$X$24:$X$10012, "LP")</f>
        <v>0</v>
      </c>
      <c r="O26" s="614"/>
      <c r="P26" s="148">
        <f t="shared" si="11"/>
        <v>0</v>
      </c>
      <c r="Q26" s="97">
        <f>COUNTIFS(LEADS!$B$24:$B$10012, "&gt;=" &amp; "04/01/2024", LEADS!$B$24:$B$10012, "&lt;=" &amp; "04/30/2024", LEADS!$X$24:$X$10012, "LT")</f>
        <v>0</v>
      </c>
      <c r="R26" s="148">
        <f>SUMIFS(LEADS!$Y$24:$Y$10012, LEADS!$B$24:$B$10012, "&gt;=" &amp; "4/01/2024", LEADS!$B$24:$B$10012, "&lt;=" &amp; "4/30/2024", LEADS!$X$24:$X$10012, "LT")</f>
        <v>0</v>
      </c>
      <c r="S26" s="614"/>
      <c r="T26" s="148">
        <f t="shared" si="12"/>
        <v>0</v>
      </c>
      <c r="U26" s="98">
        <v>0</v>
      </c>
      <c r="V26" s="148">
        <v>0</v>
      </c>
      <c r="W26" s="614"/>
      <c r="X26" s="148">
        <f t="shared" si="14"/>
        <v>0</v>
      </c>
      <c r="Y26" s="98">
        <v>0</v>
      </c>
      <c r="Z26" s="148">
        <v>0</v>
      </c>
      <c r="AA26" s="614"/>
      <c r="AB26" s="148">
        <f t="shared" si="15"/>
        <v>0</v>
      </c>
      <c r="AC26" s="98">
        <v>0</v>
      </c>
      <c r="AD26" s="148">
        <v>0</v>
      </c>
      <c r="AE26" s="614"/>
      <c r="AF26" s="148">
        <f t="shared" si="13"/>
        <v>0</v>
      </c>
      <c r="AG26" s="493"/>
    </row>
    <row r="27" spans="1:33" ht="14.45" customHeight="1" outlineLevel="1">
      <c r="A27" s="147" t="s">
        <v>137</v>
      </c>
      <c r="B27" s="148"/>
      <c r="C27" s="614"/>
      <c r="D27" s="148">
        <f t="shared" si="8"/>
        <v>0</v>
      </c>
      <c r="E27" s="97">
        <f>COUNTIFS(LEADS!$B$24:$B$10012, "&gt;=" &amp; "05/01/2024", LEADS!$B$24:$B$10012, "&lt;=" &amp; "5/31/2024")</f>
        <v>0</v>
      </c>
      <c r="F27" s="148">
        <f>SUMIFS(LEADS!$Y$24:$Y$10012, LEADS!$B$24:$B$10012, "&gt;=" &amp; "5/01/2024", LEADS!$B$24:$B$10012, "&lt;=" &amp; "5/31/2024")</f>
        <v>0</v>
      </c>
      <c r="G27" s="156"/>
      <c r="H27" s="148">
        <f t="shared" si="9"/>
        <v>0</v>
      </c>
      <c r="I27" s="97">
        <f>COUNTIFS(LEADS!$B$24:$B$10012, "&gt;=" &amp; "05/01/2024", LEADS!$B$24:$B$10012, "&lt;=" &amp; "5/31/2024", LEADS!$X$24:$X$10012, "FRU")</f>
        <v>0</v>
      </c>
      <c r="J27" s="148">
        <f>SUMIFS(LEADS!$Y$24:$Y$10012, LEADS!$B$24:$B$10012, "&gt;=" &amp; "5/01/2024", LEADS!$B$24:$B$10012, "&lt;=" &amp; "5/31/2024", LEADS!$X$24:$X$10012, "FRU")</f>
        <v>0</v>
      </c>
      <c r="K27" s="614"/>
      <c r="L27" s="148">
        <f t="shared" si="10"/>
        <v>0</v>
      </c>
      <c r="M27" s="97">
        <f>COUNTIFS(LEADS!$B$24:$B$10012, "&gt;=" &amp; "05/01/2024", LEADS!$B$24:$B$10012, "&lt;=" &amp; "5/31/2024", LEADS!$X$24:$X$10012, "LP")</f>
        <v>0</v>
      </c>
      <c r="N27" s="148">
        <f>SUMIFS(LEADS!$Y$24:$Y$10012, LEADS!$B$24:$B$10012, "&gt;=" &amp; "5/01/2024", LEADS!$B$24:$B$10012, "&lt;=" &amp; "5/31/2024", LEADS!$X$24:$X$10012, "LP")</f>
        <v>0</v>
      </c>
      <c r="O27" s="614"/>
      <c r="P27" s="148">
        <f t="shared" si="11"/>
        <v>0</v>
      </c>
      <c r="Q27" s="97">
        <f>COUNTIFS(LEADS!$B$24:$B$10012, "&gt;=" &amp; "05/01/2024", LEADS!$B$24:$B$10012, "&lt;=" &amp; "5/31/2024", LEADS!$X$24:$X$10012, "LT")</f>
        <v>0</v>
      </c>
      <c r="R27" s="148">
        <f>SUMIFS(LEADS!$Y$24:$Y$10012, LEADS!$B$24:$B$10012, "&gt;=" &amp; "5/01/2024", LEADS!$B$24:$B$10012, "&lt;=" &amp; "5/31/2024", LEADS!$X$24:$X$10012, "LT")</f>
        <v>0</v>
      </c>
      <c r="S27" s="614"/>
      <c r="T27" s="148">
        <f t="shared" si="12"/>
        <v>0</v>
      </c>
      <c r="U27" s="98">
        <v>0</v>
      </c>
      <c r="V27" s="148">
        <v>0</v>
      </c>
      <c r="W27" s="614"/>
      <c r="X27" s="148">
        <f t="shared" si="14"/>
        <v>0</v>
      </c>
      <c r="Y27" s="98">
        <v>0</v>
      </c>
      <c r="Z27" s="148">
        <v>0</v>
      </c>
      <c r="AA27" s="614"/>
      <c r="AB27" s="148">
        <f t="shared" si="15"/>
        <v>0</v>
      </c>
      <c r="AC27" s="98">
        <v>0</v>
      </c>
      <c r="AD27" s="148">
        <v>0</v>
      </c>
      <c r="AE27" s="614"/>
      <c r="AF27" s="148">
        <f t="shared" si="13"/>
        <v>0</v>
      </c>
      <c r="AG27" s="493"/>
    </row>
    <row r="28" spans="1:33" ht="14.45" customHeight="1" outlineLevel="1">
      <c r="A28" s="147" t="s">
        <v>138</v>
      </c>
      <c r="B28" s="148"/>
      <c r="C28" s="614"/>
      <c r="D28" s="148">
        <f t="shared" si="8"/>
        <v>0</v>
      </c>
      <c r="E28" s="97">
        <f>COUNTIFS(LEADS!$B$24:$B$10012, "&gt;=" &amp; "06/01/2024", LEADS!$B$24:$B$10012, "&lt;=" &amp; "06/30/2024")</f>
        <v>0</v>
      </c>
      <c r="F28" s="148">
        <f>SUMIFS(LEADS!$Y$24:$Y$10012, LEADS!$B$24:$B$10012, "&gt;=" &amp; "6/01/2024", LEADS!$B$24:$B$10012, "&lt;=" &amp; "6/30/2024")</f>
        <v>0</v>
      </c>
      <c r="G28" s="156"/>
      <c r="H28" s="148">
        <f t="shared" si="9"/>
        <v>0</v>
      </c>
      <c r="I28" s="97">
        <f>COUNTIFS(LEADS!$B$24:$B$10012, "&gt;=" &amp; "06/01/2024", LEADS!$B$24:$B$10012, "&lt;=" &amp; "06/30/2024", LEADS!$X$24:$X$10012, "FRU")</f>
        <v>0</v>
      </c>
      <c r="J28" s="148">
        <f>SUMIFS(LEADS!$Y$24:$Y$10012, LEADS!$B$24:$B$10012, "&gt;=" &amp; "6/01/2024", LEADS!$B$24:$B$10012, "&lt;=" &amp; "6/30/2024", LEADS!$X$24:$X$10012, "FRU")</f>
        <v>0</v>
      </c>
      <c r="K28" s="614"/>
      <c r="L28" s="148">
        <f t="shared" si="10"/>
        <v>0</v>
      </c>
      <c r="M28" s="97">
        <f>COUNTIFS(LEADS!$B$24:$B$10012, "&gt;=" &amp; "06/01/2024", LEADS!$B$24:$B$10012, "&lt;=" &amp; "06/30/2024", LEADS!$X$24:$X$10012, "LP")</f>
        <v>0</v>
      </c>
      <c r="N28" s="148">
        <f>SUMIFS(LEADS!$Y$24:$Y$10012, LEADS!$B$24:$B$10012, "&gt;=" &amp; "6/01/2024", LEADS!$B$24:$B$10012, "&lt;=" &amp; "6/30/2024", LEADS!$X$24:$X$10012, "LP")</f>
        <v>0</v>
      </c>
      <c r="O28" s="614"/>
      <c r="P28" s="148">
        <f t="shared" ca="1" si="11"/>
        <v>0</v>
      </c>
      <c r="Q28" s="97">
        <f>COUNTIFS(LEADS!$B$24:$B$10012, "&gt;=" &amp; "06/01/2024", LEADS!$B$24:$B$10012, "&lt;=" &amp; "06/30/2024", LEADS!$X$24:$X$10012, "LT")</f>
        <v>0</v>
      </c>
      <c r="R28" s="148">
        <f ca="1">SUMIFS(LEADS!AB40:AB10028, LEADS!E40:E10028, "&gt;=" &amp; "6/01/2024", LEADS!E40:E10028, "&lt;=" &amp; "6/30/2024", LEADS!$X$24:$X$10012, "LT")</f>
        <v>0</v>
      </c>
      <c r="S28" s="614"/>
      <c r="T28" s="148">
        <f t="shared" si="12"/>
        <v>0</v>
      </c>
      <c r="U28" s="98">
        <v>0</v>
      </c>
      <c r="V28" s="148">
        <v>0</v>
      </c>
      <c r="W28" s="614"/>
      <c r="X28" s="148">
        <f t="shared" si="14"/>
        <v>0</v>
      </c>
      <c r="Y28" s="98">
        <v>0</v>
      </c>
      <c r="Z28" s="148">
        <v>0</v>
      </c>
      <c r="AA28" s="614"/>
      <c r="AB28" s="148">
        <f t="shared" si="15"/>
        <v>0</v>
      </c>
      <c r="AC28" s="98">
        <v>0</v>
      </c>
      <c r="AD28" s="148">
        <v>0</v>
      </c>
      <c r="AE28" s="614"/>
      <c r="AF28" s="148">
        <f t="shared" si="13"/>
        <v>0</v>
      </c>
      <c r="AG28" s="493"/>
    </row>
    <row r="29" spans="1:33" ht="14.45" customHeight="1" outlineLevel="1">
      <c r="A29" s="147" t="s">
        <v>139</v>
      </c>
      <c r="B29" s="148"/>
      <c r="C29" s="614"/>
      <c r="D29" s="148">
        <f t="shared" si="8"/>
        <v>0</v>
      </c>
      <c r="E29" s="97">
        <f>COUNTIFS(LEADS!$B$24:$B$10012, "&gt;=" &amp; "07/01/2024", LEADS!$B$24:$B$10012, "&lt;=" &amp; "07/31/2024")</f>
        <v>0</v>
      </c>
      <c r="F29" s="148">
        <f>SUMIFS(LEADS!$Y$24:$Y$10012, LEADS!$B$24:$B$10012, "&gt;=" &amp; "7/01/2024", LEADS!$B$24:$B$10012, "&lt;=" &amp; "7/31/2024")</f>
        <v>0</v>
      </c>
      <c r="G29" s="156"/>
      <c r="H29" s="148">
        <f t="shared" si="9"/>
        <v>0</v>
      </c>
      <c r="I29" s="97">
        <f>COUNTIFS(LEADS!$B$24:$B$10012, "&gt;=" &amp; "07/01/2024", LEADS!$B$24:$B$10012, "&lt;=" &amp; "07/31/2024", LEADS!$X$24:$X$10012, "FRU")</f>
        <v>0</v>
      </c>
      <c r="J29" s="148">
        <f>SUMIFS(LEADS!$Y$24:$Y$10012, LEADS!$B$24:$B$10012, "&gt;=" &amp; "7/01/2024", LEADS!$B$24:$B$10012, "&lt;=" &amp; "7/31/2024", LEADS!$X$24:$X$10012, "FRU")</f>
        <v>0</v>
      </c>
      <c r="K29" s="614"/>
      <c r="L29" s="148">
        <f t="shared" si="10"/>
        <v>0</v>
      </c>
      <c r="M29" s="97">
        <f>COUNTIFS(LEADS!$B$24:$B$10012, "&gt;=" &amp; "07/01/2024", LEADS!$B$24:$B$10012, "&lt;=" &amp; "07/31/2024", LEADS!$X$24:$X$10012, "LP")</f>
        <v>0</v>
      </c>
      <c r="N29" s="148">
        <f>SUMIFS(LEADS!$Y$24:$Y$10012, LEADS!$B$24:$B$10012, "&gt;=" &amp; "7/01/2024", LEADS!$B$24:$B$10012, "&lt;=" &amp; "7/31/2024", LEADS!$X$24:$X$10012, "LP")</f>
        <v>0</v>
      </c>
      <c r="O29" s="614"/>
      <c r="P29" s="148">
        <f t="shared" ca="1" si="11"/>
        <v>0</v>
      </c>
      <c r="Q29" s="97">
        <f>COUNTIFS(LEADS!$B$24:$B$10012, "&gt;=" &amp; "07/01/2024", LEADS!$B$24:$B$10012, "&lt;=" &amp; "07/31/2024", LEADS!$X$24:$X$10012, "LT")</f>
        <v>0</v>
      </c>
      <c r="R29" s="148">
        <f ca="1">SUMIFS(LEADS!AB40:AB10028, LEADS!E40:E10028, "&gt;=" &amp; "7/01/2024", LEADS!E40:E10028, "&lt;=" &amp; "7/31/2024", LEADS!$X$24:$X$10012, "LT")</f>
        <v>0</v>
      </c>
      <c r="S29" s="614"/>
      <c r="T29" s="148">
        <f t="shared" si="12"/>
        <v>0</v>
      </c>
      <c r="U29" s="98">
        <v>0</v>
      </c>
      <c r="V29" s="148">
        <v>0</v>
      </c>
      <c r="W29" s="614"/>
      <c r="X29" s="148">
        <f t="shared" si="14"/>
        <v>0</v>
      </c>
      <c r="Y29" s="98">
        <v>0</v>
      </c>
      <c r="Z29" s="148">
        <v>0</v>
      </c>
      <c r="AA29" s="614"/>
      <c r="AB29" s="148">
        <f t="shared" si="15"/>
        <v>0</v>
      </c>
      <c r="AC29" s="98">
        <v>0</v>
      </c>
      <c r="AD29" s="148">
        <v>0</v>
      </c>
      <c r="AE29" s="614"/>
      <c r="AF29" s="148">
        <f t="shared" si="13"/>
        <v>0</v>
      </c>
      <c r="AG29" s="493"/>
    </row>
    <row r="30" spans="1:33" ht="14.45" customHeight="1" outlineLevel="1">
      <c r="A30" s="147" t="s">
        <v>140</v>
      </c>
      <c r="B30" s="148"/>
      <c r="C30" s="614"/>
      <c r="D30" s="148">
        <f t="shared" si="8"/>
        <v>0</v>
      </c>
      <c r="E30" s="97">
        <f>COUNTIFS(LEADS!$B$24:$B$10012, "&gt;=" &amp; "08/01/2024", LEADS!$B$24:$B$10012, "&lt;=" &amp; "08/31/2024")</f>
        <v>0</v>
      </c>
      <c r="F30" s="148">
        <f>SUMIFS(LEADS!$Y$24:$Y$10012, LEADS!$B$24:$B$10012, "&gt;=" &amp; "8/01/2024", LEADS!$B$24:$B$10012, "&lt;=" &amp; "8/31/2024")</f>
        <v>0</v>
      </c>
      <c r="G30" s="156"/>
      <c r="H30" s="148">
        <f t="shared" si="9"/>
        <v>0</v>
      </c>
      <c r="I30" s="97">
        <f>COUNTIFS(LEADS!$B$24:$B$10012, "&gt;=" &amp; "08/01/2024", LEADS!$B$24:$B$10012, "&lt;=" &amp; "08/31/2024", LEADS!$X$24:$X$10012, "FRU")</f>
        <v>0</v>
      </c>
      <c r="J30" s="148">
        <f>SUMIFS(LEADS!$Y$24:$Y$10012, LEADS!$B$24:$B$10012, "&gt;=" &amp; "8/01/2024", LEADS!$B$24:$B$10012, "&lt;=" &amp; "8/31/2024", LEADS!$X$24:$X$10012, "FRU")</f>
        <v>0</v>
      </c>
      <c r="K30" s="614"/>
      <c r="L30" s="148">
        <f t="shared" si="10"/>
        <v>0</v>
      </c>
      <c r="M30" s="97">
        <f>COUNTIFS(LEADS!$B$24:$B$10012, "&gt;=" &amp; "08/01/2024", LEADS!$B$24:$B$10012, "&lt;=" &amp; "08/31/2024", LEADS!$X$24:$X$10012, "LP")</f>
        <v>0</v>
      </c>
      <c r="N30" s="148">
        <f>SUMIFS(LEADS!$Y$24:$Y$10012, LEADS!$B$24:$B$10012, "&gt;=" &amp; "8/01/2024", LEADS!$B$24:$B$10012, "&lt;=" &amp; "8/31/2024", LEADS!$X$24:$X$10012, "LP")</f>
        <v>0</v>
      </c>
      <c r="O30" s="614"/>
      <c r="P30" s="148">
        <f t="shared" si="11"/>
        <v>0</v>
      </c>
      <c r="Q30" s="97">
        <f>COUNTIFS(LEADS!$B$24:$B$10012, "&gt;=" &amp; "08/01/2024", LEADS!$B$24:$B$10012, "&lt;=" &amp; "08/31/2024", LEADS!$X$24:$X$10012, "LT")</f>
        <v>0</v>
      </c>
      <c r="R30" s="148">
        <f>SUMIFS(LEADS!$Y$24:$Y$10012, LEADS!$B$24:$B$10012, "&gt;=" &amp; "8/01/2024", LEADS!$B$24:$B$10012, "&lt;=" &amp; "8/31/2024", LEADS!$X$24:$X$10012, "LT")</f>
        <v>0</v>
      </c>
      <c r="S30" s="614"/>
      <c r="T30" s="148">
        <f t="shared" si="12"/>
        <v>0</v>
      </c>
      <c r="U30" s="98">
        <v>0</v>
      </c>
      <c r="V30" s="148">
        <v>0</v>
      </c>
      <c r="W30" s="614"/>
      <c r="X30" s="148">
        <f t="shared" si="14"/>
        <v>0</v>
      </c>
      <c r="Y30" s="98">
        <v>0</v>
      </c>
      <c r="Z30" s="148">
        <v>0</v>
      </c>
      <c r="AA30" s="614"/>
      <c r="AB30" s="148">
        <f t="shared" si="15"/>
        <v>0</v>
      </c>
      <c r="AC30" s="98">
        <v>0</v>
      </c>
      <c r="AD30" s="148">
        <v>0</v>
      </c>
      <c r="AE30" s="614"/>
      <c r="AF30" s="148">
        <f t="shared" si="13"/>
        <v>0</v>
      </c>
      <c r="AG30" s="493"/>
    </row>
    <row r="31" spans="1:33" ht="14.45" customHeight="1" outlineLevel="1">
      <c r="A31" s="147" t="s">
        <v>141</v>
      </c>
      <c r="B31" s="148"/>
      <c r="C31" s="614"/>
      <c r="D31" s="148">
        <f t="shared" si="8"/>
        <v>0</v>
      </c>
      <c r="E31" s="97">
        <f>COUNTIFS(LEADS!$B$24:$B$10012, "&gt;=" &amp; "09/01/2024", LEADS!$B$24:$B$10012, "&lt;=" &amp; "09/30/2024")</f>
        <v>0</v>
      </c>
      <c r="F31" s="148">
        <f>SUMIFS(LEADS!$Y$24:$Y$10012, LEADS!$B$24:$B$10012, "&gt;=" &amp; "9/01/2024", LEADS!$B$24:$B$10012, "&lt;=" &amp; "9/30/2024")</f>
        <v>0</v>
      </c>
      <c r="G31" s="156"/>
      <c r="H31" s="148">
        <f t="shared" si="9"/>
        <v>0</v>
      </c>
      <c r="I31" s="97">
        <f>COUNTIFS(LEADS!$B$24:$B$10012, "&gt;=" &amp; "09/01/2024", LEADS!$B$24:$B$10012, "&lt;=" &amp; "09/30/2024", LEADS!$X$24:$X$10012, "FRU")</f>
        <v>0</v>
      </c>
      <c r="J31" s="148">
        <f>SUMIFS(LEADS!$Y$24:$Y$10012, LEADS!$B$24:$B$10012, "&gt;=" &amp; "9/01/2024", LEADS!$B$24:$B$10012, "&lt;=" &amp; "9/30/2024", LEADS!$X$24:$X$10012, "FRU")</f>
        <v>0</v>
      </c>
      <c r="K31" s="614"/>
      <c r="L31" s="148">
        <f t="shared" si="10"/>
        <v>0</v>
      </c>
      <c r="M31" s="97">
        <f>COUNTIFS(LEADS!$B$24:$B$10012, "&gt;=" &amp; "09/01/2024", LEADS!$B$24:$B$10012, "&lt;=" &amp; "09/30/2024", LEADS!$X$24:$X$10012, "LP")</f>
        <v>0</v>
      </c>
      <c r="N31" s="148">
        <f>SUMIFS(LEADS!$Y$24:$Y$10012, LEADS!$B$24:$B$10012, "&gt;=" &amp; "9/01/2024", LEADS!$B$24:$B$10012, "&lt;=" &amp; "9/30/2024", LEADS!$X$24:$X$10012, "LP")</f>
        <v>0</v>
      </c>
      <c r="O31" s="614"/>
      <c r="P31" s="148">
        <f t="shared" si="11"/>
        <v>0</v>
      </c>
      <c r="Q31" s="97">
        <f>COUNTIFS(LEADS!$B$24:$B$10012, "&gt;=" &amp; "09/01/2024", LEADS!$B$24:$B$10012, "&lt;=" &amp; "09/30/2024", LEADS!$X$24:$X$10012, "LT")</f>
        <v>0</v>
      </c>
      <c r="R31" s="148">
        <f>SUMIFS(LEADS!$Y$24:$Y$10012, LEADS!$B$24:$B$10012, "&gt;=" &amp; "9/01/2024", LEADS!$B$24:$B$10012, "&lt;=" &amp; "9/30/2024", LEADS!$X$24:$X$10012, "LT")</f>
        <v>0</v>
      </c>
      <c r="S31" s="614"/>
      <c r="T31" s="148">
        <f t="shared" si="12"/>
        <v>0</v>
      </c>
      <c r="U31" s="98">
        <v>0</v>
      </c>
      <c r="V31" s="148">
        <v>0</v>
      </c>
      <c r="W31" s="614"/>
      <c r="X31" s="148">
        <f t="shared" si="14"/>
        <v>0</v>
      </c>
      <c r="Y31" s="98">
        <v>0</v>
      </c>
      <c r="Z31" s="148">
        <v>0</v>
      </c>
      <c r="AA31" s="614"/>
      <c r="AB31" s="148">
        <f t="shared" si="15"/>
        <v>0</v>
      </c>
      <c r="AC31" s="98">
        <v>0</v>
      </c>
      <c r="AD31" s="148">
        <v>0</v>
      </c>
      <c r="AE31" s="614"/>
      <c r="AF31" s="148">
        <f t="shared" si="13"/>
        <v>0</v>
      </c>
      <c r="AG31" s="493"/>
    </row>
    <row r="32" spans="1:33" ht="14.45" customHeight="1" outlineLevel="1">
      <c r="A32" s="147" t="s">
        <v>142</v>
      </c>
      <c r="B32" s="148"/>
      <c r="C32" s="614"/>
      <c r="D32" s="148">
        <f t="shared" si="8"/>
        <v>0</v>
      </c>
      <c r="E32" s="97">
        <f>COUNTIFS(LEADS!$B$24:$B$10012, "&gt;=" &amp; "10/01/2024", LEADS!$B$24:$B$10012, "&lt;=" &amp; "10/31/2024")</f>
        <v>0</v>
      </c>
      <c r="F32" s="148">
        <f>SUMIFS(LEADS!$Y$24:$Y$10012, LEADS!$B$24:$B$10012, "&gt;=" &amp; "10/01/2024", LEADS!$B$24:$B$10012, "&lt;=" &amp; "10/31/2024")</f>
        <v>0</v>
      </c>
      <c r="G32" s="156"/>
      <c r="H32" s="148">
        <f t="shared" si="9"/>
        <v>0</v>
      </c>
      <c r="I32" s="97">
        <f>COUNTIFS(LEADS!$B$24:$B$10012, "&gt;=" &amp; "10/01/2024", LEADS!$B$24:$B$10012, "&lt;=" &amp; "10/31/2024", LEADS!$X$24:$X$10012, "FRU")</f>
        <v>0</v>
      </c>
      <c r="J32" s="148">
        <f>SUMIFS(LEADS!$Y$24:$Y$10012, LEADS!$B$24:$B$10012, "&gt;=" &amp; "10/01/2024", LEADS!$B$24:$B$10012, "&lt;=" &amp; "10/31/2024", LEADS!$X$24:$X$10012, "FRU")</f>
        <v>0</v>
      </c>
      <c r="K32" s="614"/>
      <c r="L32" s="148">
        <f t="shared" si="10"/>
        <v>0</v>
      </c>
      <c r="M32" s="97">
        <f>COUNTIFS(LEADS!$B$24:$B$10012, "&gt;=" &amp; "10/01/2024", LEADS!$B$24:$B$10012, "&lt;=" &amp; "10/31/2024", LEADS!$X$24:$X$10012, "LP")</f>
        <v>0</v>
      </c>
      <c r="N32" s="148">
        <f>SUMIFS(LEADS!$Y$24:$Y$10012, LEADS!$B$24:$B$10012, "&gt;=" &amp; "10/01/2024", LEADS!$B$24:$B$10012, "&lt;=" &amp; "10/31/2024", LEADS!$X$24:$X$10012, "LP")</f>
        <v>0</v>
      </c>
      <c r="O32" s="614"/>
      <c r="P32" s="148">
        <f t="shared" si="11"/>
        <v>0</v>
      </c>
      <c r="Q32" s="97">
        <f>COUNTIFS(LEADS!$B$24:$B$10012, "&gt;=" &amp; "10/01/2024", LEADS!$B$24:$B$10012, "&lt;=" &amp; "10/31/2024", LEADS!$X$24:$X$10012, "LT")</f>
        <v>0</v>
      </c>
      <c r="R32" s="148">
        <f>SUMIFS(LEADS!$Y$24:$Y$10012, LEADS!$B$24:$B$10012, "&gt;=" &amp; "10/01/2024", LEADS!$B$24:$B$10012, "&lt;=" &amp; "10/31/2024", LEADS!$X$24:$X$10012, "LT")</f>
        <v>0</v>
      </c>
      <c r="S32" s="614"/>
      <c r="T32" s="148">
        <f t="shared" si="12"/>
        <v>0</v>
      </c>
      <c r="U32" s="98">
        <v>0</v>
      </c>
      <c r="V32" s="148">
        <v>0</v>
      </c>
      <c r="W32" s="614"/>
      <c r="X32" s="148">
        <f t="shared" si="14"/>
        <v>0</v>
      </c>
      <c r="Y32" s="98">
        <v>0</v>
      </c>
      <c r="Z32" s="148">
        <v>0</v>
      </c>
      <c r="AA32" s="614"/>
      <c r="AB32" s="148">
        <f t="shared" si="15"/>
        <v>0</v>
      </c>
      <c r="AC32" s="98">
        <v>0</v>
      </c>
      <c r="AD32" s="148">
        <v>0</v>
      </c>
      <c r="AE32" s="614"/>
      <c r="AF32" s="148">
        <f t="shared" si="13"/>
        <v>0</v>
      </c>
      <c r="AG32" s="493"/>
    </row>
    <row r="33" spans="1:33" ht="14.85" customHeight="1" outlineLevel="1">
      <c r="A33" s="147" t="s">
        <v>143</v>
      </c>
      <c r="B33" s="148"/>
      <c r="C33" s="614"/>
      <c r="D33" s="148">
        <f t="shared" si="8"/>
        <v>0</v>
      </c>
      <c r="E33" s="97">
        <f>COUNTIFS(LEADS!$B$24:$B$10012, "&gt;=" &amp; "11/01/2024", LEADS!$B$24:$B$10012, "&lt;=" &amp; "11/30/2024")</f>
        <v>0</v>
      </c>
      <c r="F33" s="148">
        <f>SUMIFS(LEADS!$Y$24:$Y$10012, LEADS!$B$24:$B$10012, "&gt;=" &amp; "11/01/2024", LEADS!$B$24:$B$10012, "&lt;=" &amp; "11/30/2024")</f>
        <v>0</v>
      </c>
      <c r="G33" s="156"/>
      <c r="H33" s="148">
        <f t="shared" si="9"/>
        <v>0</v>
      </c>
      <c r="I33" s="97">
        <f>COUNTIFS(LEADS!$B$24:$B$10012, "&gt;=" &amp; "11/01/2024", LEADS!$B$24:$B$10012, "&lt;=" &amp; "11/30/2024", LEADS!$X$24:$X$10012, "FRU")</f>
        <v>0</v>
      </c>
      <c r="J33" s="148">
        <f>SUMIFS(LEADS!$Y$24:$Y$10012, LEADS!$B$24:$B$10012, "&gt;=" &amp; "11/01/2024", LEADS!$B$24:$B$10012, "&lt;=" &amp; "11/30/2024", LEADS!$X$24:$X$10012, "FRU")</f>
        <v>0</v>
      </c>
      <c r="K33" s="614"/>
      <c r="L33" s="148">
        <f t="shared" si="10"/>
        <v>0</v>
      </c>
      <c r="M33" s="97">
        <f>COUNTIFS(LEADS!$B$24:$B$10012, "&gt;=" &amp; "11/01/2024", LEADS!$B$24:$B$10012, "&lt;=" &amp; "11/30/2024", LEADS!$X$24:$X$10012, "LP")</f>
        <v>0</v>
      </c>
      <c r="N33" s="148">
        <f>SUMIFS(LEADS!$Y$24:$Y$10012, LEADS!$B$24:$B$10012, "&gt;=" &amp; "11/01/2024", LEADS!$B$24:$B$10012, "&lt;=" &amp; "11/30/2024", LEADS!$X$24:$X$10012, "LP")</f>
        <v>0</v>
      </c>
      <c r="O33" s="614"/>
      <c r="P33" s="148">
        <f t="shared" si="11"/>
        <v>0</v>
      </c>
      <c r="Q33" s="97">
        <f>COUNTIFS(LEADS!$B$24:$B$10012, "&gt;=" &amp; "11/01/2024", LEADS!$B$24:$B$10012, "&lt;=" &amp; "11/30/2024", LEADS!$X$24:$X$10012, "LT")</f>
        <v>0</v>
      </c>
      <c r="R33" s="148">
        <f>SUMIFS(LEADS!$Y$24:$Y$10012, LEADS!$B$24:$B$10012, "&gt;=" &amp; "11/01/2024", LEADS!$B$24:$B$10012, "&lt;=" &amp; "11/30/2024", LEADS!$X$24:$X$10012, "LT")</f>
        <v>0</v>
      </c>
      <c r="S33" s="614"/>
      <c r="T33" s="148">
        <f t="shared" si="12"/>
        <v>0</v>
      </c>
      <c r="U33" s="98">
        <v>0</v>
      </c>
      <c r="V33" s="148">
        <v>0</v>
      </c>
      <c r="W33" s="614"/>
      <c r="X33" s="148">
        <f t="shared" si="14"/>
        <v>0</v>
      </c>
      <c r="Y33" s="98">
        <v>0</v>
      </c>
      <c r="Z33" s="148">
        <v>0</v>
      </c>
      <c r="AA33" s="614"/>
      <c r="AB33" s="148">
        <f t="shared" si="15"/>
        <v>0</v>
      </c>
      <c r="AC33" s="98">
        <v>0</v>
      </c>
      <c r="AD33" s="148">
        <v>0</v>
      </c>
      <c r="AE33" s="614"/>
      <c r="AF33" s="148">
        <f t="shared" si="13"/>
        <v>0</v>
      </c>
      <c r="AG33" s="493"/>
    </row>
    <row r="34" spans="1:33" ht="14.85" customHeight="1" outlineLevel="1">
      <c r="A34" s="147" t="s">
        <v>144</v>
      </c>
      <c r="B34" s="148"/>
      <c r="C34" s="614"/>
      <c r="D34" s="148">
        <f t="shared" si="8"/>
        <v>0</v>
      </c>
      <c r="E34" s="97">
        <f>COUNTIFS(LEADS!$B$24:$B$10012, "&gt;=" &amp; "12/01/2024", LEADS!$B$24:$B$10012, "&lt;=" &amp; "12/31/2024")</f>
        <v>0</v>
      </c>
      <c r="F34" s="148">
        <f>SUMIFS(LEADS!$Y$24:$Y$10012, LEADS!$B$24:$B$10012, "&gt;=" &amp; "12/01/2024", LEADS!$B$24:$B$10012, "&lt;=" &amp; "12/31/2024")</f>
        <v>0</v>
      </c>
      <c r="G34" s="156"/>
      <c r="H34" s="148">
        <f t="shared" si="9"/>
        <v>0</v>
      </c>
      <c r="I34" s="97">
        <f>COUNTIFS(LEADS!$B$24:$B$10012, "&gt;=" &amp; "12/01/2024", LEADS!$B$24:$B$10012, "&lt;=" &amp; "12/31/2024", LEADS!$X$24:$X$10012, "FRU")</f>
        <v>0</v>
      </c>
      <c r="J34" s="148">
        <f>SUMIFS(LEADS!$Y$24:$Y$10012, LEADS!$B$24:$B$10012, "&gt;=" &amp; "12/01/2024", LEADS!$B$24:$B$10012, "&lt;=" &amp; "12/31/2024", LEADS!$X$24:$X$10012, "FRU")</f>
        <v>0</v>
      </c>
      <c r="K34" s="614"/>
      <c r="L34" s="148">
        <f t="shared" si="10"/>
        <v>0</v>
      </c>
      <c r="M34" s="97">
        <f>COUNTIFS(LEADS!$B$24:$B$10012, "&gt;=" &amp; "12/01/2024", LEADS!$B$24:$B$10012, "&lt;=" &amp; "12/31/2024", LEADS!$X$24:$X$10012, "LP")</f>
        <v>0</v>
      </c>
      <c r="N34" s="148">
        <f>SUMIFS(LEADS!$Y$24:$Y$10012, LEADS!$B$24:$B$10012, "&gt;=" &amp; "12/01/2024", LEADS!$B$24:$B$10012, "&lt;=" &amp; "12/31/2024", LEADS!$X$24:$X$10012, "LP")</f>
        <v>0</v>
      </c>
      <c r="O34" s="614"/>
      <c r="P34" s="148">
        <f t="shared" si="11"/>
        <v>0</v>
      </c>
      <c r="Q34" s="97">
        <f>COUNTIFS(LEADS!$B$24:$B$10012, "&gt;=" &amp; "12/01/2024", LEADS!$B$24:$B$10012, "&lt;=" &amp; "12/31/2024", LEADS!$X$24:$X$10012, "LT")</f>
        <v>0</v>
      </c>
      <c r="R34" s="148">
        <f>SUMIFS(LEADS!$Y$24:$Y$10012, LEADS!$B$24:$B$10012, "&gt;=" &amp; "12/01/2024", LEADS!$B$24:$B$10012, "&lt;=" &amp; "12/31/2024", LEADS!$X$24:$X$10012, "LT")</f>
        <v>0</v>
      </c>
      <c r="S34" s="614"/>
      <c r="T34" s="148">
        <f t="shared" si="12"/>
        <v>0</v>
      </c>
      <c r="U34" s="98">
        <v>0</v>
      </c>
      <c r="V34" s="148">
        <v>0</v>
      </c>
      <c r="W34" s="614"/>
      <c r="X34" s="148">
        <f t="shared" si="14"/>
        <v>0</v>
      </c>
      <c r="Y34" s="98">
        <v>0</v>
      </c>
      <c r="Z34" s="148">
        <v>0</v>
      </c>
      <c r="AA34" s="614"/>
      <c r="AB34" s="148">
        <f t="shared" si="15"/>
        <v>0</v>
      </c>
      <c r="AC34" s="98">
        <v>0</v>
      </c>
      <c r="AD34" s="148">
        <v>0</v>
      </c>
      <c r="AE34" s="614"/>
      <c r="AF34" s="148">
        <f t="shared" si="13"/>
        <v>0</v>
      </c>
      <c r="AG34" s="493"/>
    </row>
    <row r="35" spans="1:33" ht="32.450000000000003" customHeight="1" outlineLevel="1">
      <c r="A35" s="149" t="s">
        <v>122</v>
      </c>
      <c r="B35" s="150">
        <f>SUM(B23:B34)</f>
        <v>0</v>
      </c>
      <c r="C35" s="614"/>
      <c r="D35" s="151">
        <f>AVERAGE(D23:D34)</f>
        <v>0</v>
      </c>
      <c r="E35" s="142">
        <f>SUM(E23:E34)</f>
        <v>0</v>
      </c>
      <c r="F35" s="151">
        <f>SUM(F23:F34)</f>
        <v>0</v>
      </c>
      <c r="G35" s="156"/>
      <c r="H35" s="152">
        <f>AVERAGE(H23:H34)</f>
        <v>0</v>
      </c>
      <c r="I35" s="143">
        <f>SUM(I23:I34)</f>
        <v>0</v>
      </c>
      <c r="J35" s="152">
        <f>SUM(J23:J34)</f>
        <v>0</v>
      </c>
      <c r="K35" s="614"/>
      <c r="L35" s="153">
        <f>AVERAGE(L23:L34)</f>
        <v>0</v>
      </c>
      <c r="M35" s="144">
        <f>SUM(M23:M34)</f>
        <v>0</v>
      </c>
      <c r="N35" s="153">
        <f>SUM(N23:N34)</f>
        <v>0</v>
      </c>
      <c r="O35" s="614"/>
      <c r="P35" s="154">
        <f ca="1">AVERAGE(P23:P34)</f>
        <v>0</v>
      </c>
      <c r="Q35" s="145">
        <f>SUM(Q23:Q34)</f>
        <v>0</v>
      </c>
      <c r="R35" s="154">
        <f ca="1">SUM(R23:R34)</f>
        <v>0</v>
      </c>
      <c r="S35" s="614"/>
      <c r="T35" s="154">
        <f>AVERAGE(T23:T34)</f>
        <v>0</v>
      </c>
      <c r="U35" s="145">
        <f>SUM(U23:U34)</f>
        <v>0</v>
      </c>
      <c r="V35" s="154">
        <f>SUM(V23:V34)</f>
        <v>0</v>
      </c>
      <c r="W35" s="614"/>
      <c r="X35" s="152">
        <f>AVERAGE(X23:X34)</f>
        <v>0</v>
      </c>
      <c r="Y35" s="143">
        <f>SUM(Y23:Y34)</f>
        <v>0</v>
      </c>
      <c r="Z35" s="152">
        <f>SUM(Z23:Z34)</f>
        <v>0</v>
      </c>
      <c r="AA35" s="614"/>
      <c r="AB35" s="153">
        <f>AVERAGE(AB23:AB34)</f>
        <v>0</v>
      </c>
      <c r="AC35" s="144">
        <f>SUM(AC23:AC34)</f>
        <v>0</v>
      </c>
      <c r="AD35" s="153">
        <f>SUM(AD23:AD34)</f>
        <v>0</v>
      </c>
      <c r="AE35" s="614"/>
      <c r="AF35" s="155">
        <f ca="1">SUM(F35:AD35)</f>
        <v>0</v>
      </c>
      <c r="AG35" s="493"/>
    </row>
    <row r="36" spans="1:33" ht="39.6" customHeight="1">
      <c r="A36" s="493"/>
      <c r="B36" s="493"/>
      <c r="C36" s="493"/>
      <c r="D36" s="493"/>
      <c r="E36" s="493"/>
      <c r="F36" s="493"/>
      <c r="G36" s="493"/>
      <c r="H36" s="493"/>
      <c r="I36" s="493"/>
      <c r="J36" s="493"/>
      <c r="K36" s="493"/>
      <c r="L36" s="493"/>
      <c r="M36" s="493"/>
      <c r="N36" s="493"/>
      <c r="O36" s="493"/>
      <c r="P36" s="493"/>
      <c r="Q36" s="493"/>
      <c r="R36" s="493"/>
      <c r="S36" s="493"/>
      <c r="T36" s="493"/>
      <c r="U36" s="493"/>
      <c r="V36" s="493"/>
      <c r="W36" s="493"/>
      <c r="X36" s="493"/>
      <c r="Y36" s="493"/>
      <c r="Z36" s="493"/>
      <c r="AA36" s="493"/>
      <c r="AB36" s="493"/>
      <c r="AC36" s="493"/>
      <c r="AD36" s="493"/>
      <c r="AE36" s="493"/>
      <c r="AF36" s="493"/>
      <c r="AG36" s="493"/>
    </row>
  </sheetData>
  <sheetProtection algorithmName="SHA-512" hashValue="iHrLwwAaCP5vb4enUxhRWJ9+G6YIe4dFhMhHJ8xTiRREUpAVeCHc2sjkRj4obr9XgkKG5zObTGORedGQzpJN0A==" saltValue="cU2RfWXvYtgUagnGlE97eg==" spinCount="100000" sheet="1" objects="1" scenarios="1"/>
  <protectedRanges>
    <protectedRange sqref="B6:B17 B23:B34" name="Marketing Budget"/>
  </protectedRanges>
  <mergeCells count="42">
    <mergeCell ref="AG1:AG35"/>
    <mergeCell ref="A36:AG36"/>
    <mergeCell ref="AE3:AE18"/>
    <mergeCell ref="AE20:AE35"/>
    <mergeCell ref="C3:C18"/>
    <mergeCell ref="C20:C35"/>
    <mergeCell ref="B3:B5"/>
    <mergeCell ref="B20:B22"/>
    <mergeCell ref="AF3:AF5"/>
    <mergeCell ref="AF20:AF22"/>
    <mergeCell ref="S3:S18"/>
    <mergeCell ref="S20:S35"/>
    <mergeCell ref="AB3:AD3"/>
    <mergeCell ref="W3:W18"/>
    <mergeCell ref="AA3:AA18"/>
    <mergeCell ref="A1:AF1"/>
    <mergeCell ref="A2:AF2"/>
    <mergeCell ref="AB20:AD20"/>
    <mergeCell ref="X20:Z20"/>
    <mergeCell ref="T20:V20"/>
    <mergeCell ref="A19:AF19"/>
    <mergeCell ref="T3:V3"/>
    <mergeCell ref="X3:Z3"/>
    <mergeCell ref="W20:W35"/>
    <mergeCell ref="AA20:AA35"/>
    <mergeCell ref="D3:R3"/>
    <mergeCell ref="D20:R20"/>
    <mergeCell ref="H4:J4"/>
    <mergeCell ref="D4:F4"/>
    <mergeCell ref="L4:N4"/>
    <mergeCell ref="A3:A4"/>
    <mergeCell ref="A20:A21"/>
    <mergeCell ref="P4:R4"/>
    <mergeCell ref="O4:O18"/>
    <mergeCell ref="K4:K18"/>
    <mergeCell ref="G4:G18"/>
    <mergeCell ref="D21:F21"/>
    <mergeCell ref="H21:J21"/>
    <mergeCell ref="L21:N21"/>
    <mergeCell ref="P21:R21"/>
    <mergeCell ref="K21:K35"/>
    <mergeCell ref="O21:O35"/>
  </mergeCells>
  <pageMargins left="0.7" right="0.7" top="0.75" bottom="0.75" header="0.3" footer="0.3"/>
  <pageSetup paperSize="3" orientation="landscape" r:id="rId1"/>
  <ignoredErrors>
    <ignoredError sqref="T35 T18 X18 AB18 X35 AB35 D18 D35 F7 H18 H35 L35 L18 P18 P35" formula="1"/>
  </ignoredError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708A4-B8BD-4C1F-BB76-10BFD30AAE20}">
  <sheetPr codeName="Sheet10">
    <tabColor rgb="FF92D050"/>
  </sheetPr>
  <dimension ref="A1:AO93"/>
  <sheetViews>
    <sheetView view="pageLayout" topLeftCell="A5" zoomScale="70" zoomScaleNormal="100" zoomScaleSheetLayoutView="85" zoomScalePageLayoutView="70" workbookViewId="0">
      <selection activeCell="AK1" sqref="AK1:AO51"/>
    </sheetView>
  </sheetViews>
  <sheetFormatPr defaultColWidth="8.85546875" defaultRowHeight="15" outlineLevelCol="1"/>
  <cols>
    <col min="1" max="1" width="15.7109375" style="90" customWidth="1"/>
    <col min="2" max="2" width="9.42578125" style="90" customWidth="1"/>
    <col min="3" max="4" width="5.140625" style="90" customWidth="1"/>
    <col min="5" max="5" width="9.42578125" style="90" customWidth="1"/>
    <col min="6" max="9" width="9.5703125" style="90" customWidth="1"/>
    <col min="10" max="11" width="4.42578125" style="90" customWidth="1"/>
    <col min="12" max="12" width="9.5703125" style="90" customWidth="1"/>
    <col min="13" max="14" width="8.140625" style="78" customWidth="1"/>
    <col min="15" max="23" width="9.42578125" style="78" customWidth="1"/>
    <col min="24" max="34" width="8.85546875" hidden="1" customWidth="1" outlineLevel="1"/>
    <col min="35" max="35" width="8.85546875" collapsed="1"/>
    <col min="36" max="36" width="20" customWidth="1"/>
    <col min="38" max="38" width="13.28515625" customWidth="1"/>
    <col min="39" max="39" width="19" customWidth="1"/>
    <col min="40" max="40" width="10.5703125" customWidth="1"/>
    <col min="41" max="41" width="16.42578125" customWidth="1"/>
  </cols>
  <sheetData>
    <row r="1" spans="1:41" ht="15.2" customHeight="1">
      <c r="A1" s="84"/>
      <c r="B1" s="84"/>
      <c r="C1" s="84"/>
      <c r="D1" s="84"/>
      <c r="E1" s="84"/>
      <c r="F1" s="84"/>
      <c r="G1" s="656" t="str">
        <f>START!D11</f>
        <v>Ellis Andersen | Branch Manager</v>
      </c>
      <c r="H1" s="657"/>
      <c r="I1" s="657"/>
      <c r="J1" s="657"/>
      <c r="K1" s="657"/>
      <c r="L1" s="660"/>
      <c r="M1" s="715" t="s">
        <v>146</v>
      </c>
      <c r="N1" s="716"/>
      <c r="O1" s="716"/>
      <c r="P1" s="716"/>
      <c r="Q1" s="716"/>
      <c r="R1" s="716"/>
      <c r="S1" s="716"/>
      <c r="T1" s="716"/>
      <c r="U1" s="716"/>
      <c r="V1" s="716"/>
      <c r="W1" s="717"/>
      <c r="X1" s="732" t="s">
        <v>147</v>
      </c>
      <c r="Y1" s="732"/>
      <c r="Z1" s="732"/>
      <c r="AA1" s="732"/>
      <c r="AB1" s="732"/>
      <c r="AC1" s="732"/>
      <c r="AD1" s="732"/>
      <c r="AE1" s="732"/>
      <c r="AF1" s="732"/>
      <c r="AG1" s="732"/>
      <c r="AH1" s="733"/>
      <c r="AI1" s="529" t="s">
        <v>148</v>
      </c>
      <c r="AJ1" s="531"/>
      <c r="AK1" s="787"/>
      <c r="AL1" s="787"/>
      <c r="AM1" s="787"/>
      <c r="AN1" s="787"/>
      <c r="AO1" s="787"/>
    </row>
    <row r="2" spans="1:41" ht="15.2" customHeight="1" thickBot="1">
      <c r="A2" s="84"/>
      <c r="B2" s="84"/>
      <c r="C2" s="84"/>
      <c r="D2" s="84"/>
      <c r="E2" s="84"/>
      <c r="F2" s="84"/>
      <c r="G2" s="658"/>
      <c r="H2" s="659"/>
      <c r="I2" s="659"/>
      <c r="J2" s="659"/>
      <c r="K2" s="659"/>
      <c r="L2" s="661"/>
      <c r="M2" s="718"/>
      <c r="N2" s="719"/>
      <c r="O2" s="720"/>
      <c r="P2" s="720"/>
      <c r="Q2" s="720"/>
      <c r="R2" s="720"/>
      <c r="S2" s="720"/>
      <c r="T2" s="720"/>
      <c r="U2" s="720"/>
      <c r="V2" s="720"/>
      <c r="W2" s="721"/>
      <c r="X2" s="734"/>
      <c r="Y2" s="734"/>
      <c r="Z2" s="734"/>
      <c r="AA2" s="734"/>
      <c r="AB2" s="734"/>
      <c r="AC2" s="734"/>
      <c r="AD2" s="734"/>
      <c r="AE2" s="734"/>
      <c r="AF2" s="734"/>
      <c r="AG2" s="734"/>
      <c r="AH2" s="735"/>
      <c r="AI2" s="532"/>
      <c r="AJ2" s="534"/>
      <c r="AK2" s="787"/>
      <c r="AL2" s="787"/>
      <c r="AM2" s="787"/>
      <c r="AN2" s="787"/>
      <c r="AO2" s="787"/>
    </row>
    <row r="3" spans="1:41" ht="15.2" customHeight="1">
      <c r="A3" s="84"/>
      <c r="B3" s="84"/>
      <c r="C3" s="84"/>
      <c r="D3" s="84"/>
      <c r="E3" s="84"/>
      <c r="F3" s="84"/>
      <c r="G3" s="666" t="str">
        <f>START!D13</f>
        <v>Direct/Fax: (949) 892-1736</v>
      </c>
      <c r="H3" s="667"/>
      <c r="I3" s="667"/>
      <c r="J3" s="667"/>
      <c r="K3" s="667"/>
      <c r="L3" s="668"/>
      <c r="M3" s="730" t="s">
        <v>149</v>
      </c>
      <c r="N3" s="731"/>
      <c r="O3" s="724" t="str">
        <f>X3&amp;" "&amp;Y3&amp;""&amp;X4&amp;" "&amp;Y4&amp;" "&amp;Z4&amp;" "&amp;AH4&amp;" "&amp;X5</f>
        <v xml:space="preserve">Hi Matthew, this is Ellis Andersen :blush: with West Capital Lending. I just received your inquiry to take about $740000 :moneybag: of equity from your home. I know you're shopping for the best deal so I will check with our most competitive lenders within our Broker Network. </v>
      </c>
      <c r="P3" s="724"/>
      <c r="Q3" s="724"/>
      <c r="R3" s="724"/>
      <c r="S3" s="724"/>
      <c r="T3" s="724"/>
      <c r="U3" s="724"/>
      <c r="V3" s="724"/>
      <c r="W3" s="725"/>
      <c r="X3" t="s">
        <v>150</v>
      </c>
      <c r="Y3" s="722" t="str">
        <f>LEADS!D3</f>
        <v>Matthew</v>
      </c>
      <c r="Z3" s="722"/>
      <c r="AA3" s="722"/>
      <c r="AG3" t="s">
        <v>151</v>
      </c>
      <c r="AI3" s="737" t="s">
        <v>152</v>
      </c>
      <c r="AJ3" s="739" t="s">
        <v>49</v>
      </c>
      <c r="AK3" s="787"/>
      <c r="AL3" s="787"/>
      <c r="AM3" s="787"/>
      <c r="AN3" s="787"/>
      <c r="AO3" s="787"/>
    </row>
    <row r="4" spans="1:41" ht="15.2" customHeight="1" thickBot="1">
      <c r="A4" s="84"/>
      <c r="B4" s="84"/>
      <c r="C4" s="84"/>
      <c r="D4" s="84"/>
      <c r="E4" s="84"/>
      <c r="F4" s="84"/>
      <c r="G4" s="666" t="str">
        <f>START!D14</f>
        <v>Email: eandersen@westcapitallending.com</v>
      </c>
      <c r="H4" s="667"/>
      <c r="I4" s="667"/>
      <c r="J4" s="667"/>
      <c r="K4" s="667"/>
      <c r="L4" s="668"/>
      <c r="M4" s="662"/>
      <c r="N4" s="663"/>
      <c r="O4" s="726"/>
      <c r="P4" s="726"/>
      <c r="Q4" s="726"/>
      <c r="R4" s="726"/>
      <c r="S4" s="726"/>
      <c r="T4" s="726"/>
      <c r="U4" s="726"/>
      <c r="V4" s="726"/>
      <c r="W4" s="727"/>
      <c r="X4" t="s">
        <v>153</v>
      </c>
      <c r="Y4" t="str">
        <f>START!E23</f>
        <v>Ellis Andersen</v>
      </c>
      <c r="Z4" s="736" t="s">
        <v>154</v>
      </c>
      <c r="AA4" s="736"/>
      <c r="AB4" s="736"/>
      <c r="AC4" s="736"/>
      <c r="AD4" s="736"/>
      <c r="AE4" s="736"/>
      <c r="AF4" s="736"/>
      <c r="AG4">
        <f>F35</f>
        <v>740000</v>
      </c>
      <c r="AH4" t="str">
        <f>AG3&amp;""&amp;AG4</f>
        <v>$740000</v>
      </c>
      <c r="AI4" s="738"/>
      <c r="AJ4" s="740"/>
      <c r="AK4" s="787"/>
      <c r="AL4" s="787"/>
      <c r="AM4" s="787"/>
      <c r="AN4" s="787"/>
      <c r="AO4" s="787"/>
    </row>
    <row r="5" spans="1:41" ht="15.2" customHeight="1">
      <c r="A5" s="84"/>
      <c r="B5" s="84"/>
      <c r="C5" s="84"/>
      <c r="D5" s="84"/>
      <c r="E5" s="84"/>
      <c r="F5" s="84"/>
      <c r="G5" s="666" t="str">
        <f>START!D15</f>
        <v>34 Executive Park Ste 180, Irvine, CA 92614</v>
      </c>
      <c r="H5" s="667"/>
      <c r="I5" s="667"/>
      <c r="J5" s="667"/>
      <c r="K5" s="667"/>
      <c r="L5" s="668"/>
      <c r="M5" s="662"/>
      <c r="N5" s="663"/>
      <c r="O5" s="726" t="s">
        <v>155</v>
      </c>
      <c r="P5" s="726"/>
      <c r="Q5" s="726"/>
      <c r="R5" s="726"/>
      <c r="S5" s="726"/>
      <c r="T5" s="726"/>
      <c r="U5" s="726"/>
      <c r="V5" s="726"/>
      <c r="W5" s="727"/>
      <c r="X5" s="723" t="s">
        <v>156</v>
      </c>
      <c r="Y5" s="723"/>
      <c r="Z5" s="723"/>
      <c r="AA5" s="723"/>
      <c r="AB5" s="723"/>
      <c r="AC5" s="723"/>
      <c r="AD5" s="723"/>
      <c r="AE5" s="723"/>
      <c r="AF5" s="723"/>
      <c r="AG5" s="723"/>
      <c r="AH5" s="723"/>
      <c r="AI5" s="737" t="s">
        <v>157</v>
      </c>
      <c r="AJ5" s="739" t="s">
        <v>158</v>
      </c>
      <c r="AK5" s="787"/>
      <c r="AL5" s="787"/>
      <c r="AM5" s="787"/>
      <c r="AN5" s="787"/>
      <c r="AO5" s="787"/>
    </row>
    <row r="6" spans="1:41" ht="15.2" customHeight="1" thickBot="1">
      <c r="A6" s="84"/>
      <c r="B6" s="84"/>
      <c r="C6" s="84"/>
      <c r="D6" s="84"/>
      <c r="E6" s="84"/>
      <c r="F6" s="84"/>
      <c r="G6" s="666" t="str">
        <f>START!D16</f>
        <v>NMLS 1912260 | NMLS 02196940</v>
      </c>
      <c r="H6" s="667"/>
      <c r="I6" s="667"/>
      <c r="J6" s="667"/>
      <c r="K6" s="667"/>
      <c r="L6" s="668"/>
      <c r="M6" s="662"/>
      <c r="N6" s="663"/>
      <c r="O6" s="726" t="str">
        <f>X8&amp;" "&amp;AC8</f>
        <v>This is your current address: 15244 W Auburn Ave, Denver, CO, 80228</v>
      </c>
      <c r="P6" s="726"/>
      <c r="Q6" s="726"/>
      <c r="R6" s="726"/>
      <c r="S6" s="726"/>
      <c r="T6" s="726"/>
      <c r="U6" s="726"/>
      <c r="V6" s="726"/>
      <c r="W6" s="727"/>
      <c r="X6" s="723"/>
      <c r="Y6" s="723"/>
      <c r="Z6" s="723"/>
      <c r="AA6" s="723"/>
      <c r="AB6" s="723"/>
      <c r="AC6" s="723"/>
      <c r="AD6" s="723"/>
      <c r="AE6" s="723"/>
      <c r="AF6" s="723"/>
      <c r="AG6" s="723"/>
      <c r="AH6" s="723"/>
      <c r="AI6" s="738"/>
      <c r="AJ6" s="740"/>
      <c r="AK6" s="787"/>
      <c r="AL6" s="787"/>
      <c r="AM6" s="787"/>
      <c r="AN6" s="787"/>
      <c r="AO6" s="787"/>
    </row>
    <row r="7" spans="1:41" ht="15.2" customHeight="1" thickBot="1">
      <c r="A7" s="84"/>
      <c r="B7" s="84"/>
      <c r="C7" s="84"/>
      <c r="D7" s="84"/>
      <c r="E7" s="84"/>
      <c r="F7" s="84"/>
      <c r="G7" s="674" t="str">
        <f>START!D17</f>
        <v>Website: www.westcapitallending.com</v>
      </c>
      <c r="H7" s="675"/>
      <c r="I7" s="675"/>
      <c r="J7" s="675"/>
      <c r="K7" s="675"/>
      <c r="L7" s="676"/>
      <c r="M7" s="662"/>
      <c r="N7" s="663"/>
      <c r="O7" s="726" t="str">
        <f>X9&amp;" "&amp;AE9&amp;""&amp;AD9</f>
        <v>Home Value is: $1200000</v>
      </c>
      <c r="P7" s="726"/>
      <c r="Q7" s="726"/>
      <c r="R7" s="726"/>
      <c r="S7" s="726"/>
      <c r="T7" s="726"/>
      <c r="U7" s="726"/>
      <c r="V7" s="726"/>
      <c r="W7" s="727"/>
      <c r="X7" s="722" t="s">
        <v>155</v>
      </c>
      <c r="Y7" s="722"/>
      <c r="Z7" s="722"/>
      <c r="AA7" s="722"/>
      <c r="AB7" s="19"/>
      <c r="AC7" s="19"/>
      <c r="AD7" s="19"/>
      <c r="AE7" s="19"/>
      <c r="AF7" s="19"/>
      <c r="AG7" s="19"/>
      <c r="AH7" s="19"/>
      <c r="AI7" s="741" t="s">
        <v>159</v>
      </c>
      <c r="AJ7" s="743">
        <v>7.3749999999999996E-2</v>
      </c>
      <c r="AK7" s="787"/>
      <c r="AL7" s="787"/>
      <c r="AM7" s="787"/>
      <c r="AN7" s="787"/>
      <c r="AO7" s="787"/>
    </row>
    <row r="8" spans="1:41" ht="15.2" customHeight="1" thickBot="1">
      <c r="A8" s="84"/>
      <c r="B8" s="84"/>
      <c r="C8" s="84"/>
      <c r="D8" s="84"/>
      <c r="E8" s="84"/>
      <c r="H8" s="84"/>
      <c r="I8" s="84"/>
      <c r="J8" s="84"/>
      <c r="K8" s="84"/>
      <c r="L8" s="84"/>
      <c r="M8" s="662"/>
      <c r="N8" s="663"/>
      <c r="O8" s="726" t="str">
        <f>X10&amp;" "&amp;AE10&amp;""&amp;AD10</f>
        <v>Your Current First Mortgage Balance is: $340000</v>
      </c>
      <c r="P8" s="726"/>
      <c r="Q8" s="726"/>
      <c r="R8" s="726"/>
      <c r="S8" s="726"/>
      <c r="T8" s="726"/>
      <c r="U8" s="726"/>
      <c r="V8" s="726"/>
      <c r="W8" s="727"/>
      <c r="X8" s="722" t="s">
        <v>160</v>
      </c>
      <c r="Y8" s="722"/>
      <c r="Z8" s="722"/>
      <c r="AA8" s="722"/>
      <c r="AB8" s="19"/>
      <c r="AC8" s="19" t="str">
        <f>LEADS!I3</f>
        <v>15244 W Auburn Ave, Denver, CO, 80228</v>
      </c>
      <c r="AD8" s="19"/>
      <c r="AE8" s="19"/>
      <c r="AF8" s="19"/>
      <c r="AG8" s="19"/>
      <c r="AH8" s="19"/>
      <c r="AI8" s="742"/>
      <c r="AJ8" s="744"/>
      <c r="AK8" s="787"/>
      <c r="AL8" s="787"/>
      <c r="AM8" s="787"/>
      <c r="AN8" s="787"/>
      <c r="AO8" s="787"/>
    </row>
    <row r="9" spans="1:41" ht="15.2" customHeight="1">
      <c r="A9" s="85" t="s">
        <v>67</v>
      </c>
      <c r="B9" s="800">
        <f ca="1">TODAY()</f>
        <v>45196</v>
      </c>
      <c r="C9" s="801"/>
      <c r="D9" s="801"/>
      <c r="E9" s="801"/>
      <c r="F9" s="802"/>
      <c r="G9" s="677" t="s">
        <v>161</v>
      </c>
      <c r="H9" s="678"/>
      <c r="I9" s="678"/>
      <c r="J9" s="678"/>
      <c r="K9" s="678"/>
      <c r="L9" s="679"/>
      <c r="M9" s="662"/>
      <c r="N9" s="663"/>
      <c r="O9" s="726" t="str">
        <f>X11&amp;" "&amp;AE11&amp;""&amp;AD11</f>
        <v>Your Desired Cash Out is: $740000</v>
      </c>
      <c r="P9" s="726"/>
      <c r="Q9" s="726"/>
      <c r="R9" s="726"/>
      <c r="S9" s="726"/>
      <c r="T9" s="726"/>
      <c r="U9" s="726"/>
      <c r="V9" s="726"/>
      <c r="W9" s="727"/>
      <c r="X9" s="722" t="s">
        <v>162</v>
      </c>
      <c r="Y9" s="722"/>
      <c r="Z9" s="722"/>
      <c r="AA9" s="722"/>
      <c r="AB9" s="19"/>
      <c r="AC9" s="19"/>
      <c r="AD9" s="19">
        <f>I13</f>
        <v>1200000</v>
      </c>
      <c r="AE9" s="19" t="s">
        <v>151</v>
      </c>
      <c r="AF9" s="19" t="str">
        <f>START!E24</f>
        <v>[Ellis w/ West Capital Lending]</v>
      </c>
      <c r="AG9" s="19"/>
      <c r="AH9" s="19"/>
      <c r="AI9" s="747" t="s">
        <v>163</v>
      </c>
      <c r="AJ9" s="743">
        <f>RATE(AG40,-B33,(B23-B31),0)*12</f>
        <v>7.5947874150020661E-2</v>
      </c>
      <c r="AK9" s="787"/>
      <c r="AL9" s="787"/>
      <c r="AM9" s="787"/>
      <c r="AN9" s="787"/>
      <c r="AO9" s="787"/>
    </row>
    <row r="10" spans="1:41" ht="15.2" customHeight="1" thickBot="1">
      <c r="A10" s="86" t="s">
        <v>164</v>
      </c>
      <c r="B10" s="797" t="str">
        <f>LEADS!D3&amp;" "&amp;LEADS!E3</f>
        <v>Matthew Pasiuk</v>
      </c>
      <c r="C10" s="798"/>
      <c r="D10" s="798"/>
      <c r="E10" s="798"/>
      <c r="F10" s="799"/>
      <c r="G10" s="680"/>
      <c r="H10" s="681"/>
      <c r="I10" s="681"/>
      <c r="J10" s="681"/>
      <c r="K10" s="681"/>
      <c r="L10" s="682"/>
      <c r="M10" s="662"/>
      <c r="N10" s="663"/>
      <c r="O10" s="726" t="s">
        <v>165</v>
      </c>
      <c r="P10" s="726"/>
      <c r="Q10" s="726"/>
      <c r="R10" s="726"/>
      <c r="S10" s="726"/>
      <c r="T10" s="726"/>
      <c r="U10" s="726"/>
      <c r="V10" s="726"/>
      <c r="W10" s="727"/>
      <c r="X10" s="722" t="s">
        <v>166</v>
      </c>
      <c r="Y10" s="722"/>
      <c r="Z10" s="722"/>
      <c r="AA10" s="722"/>
      <c r="AB10" s="19"/>
      <c r="AC10" s="19"/>
      <c r="AD10" s="19">
        <f>B21</f>
        <v>340000</v>
      </c>
      <c r="AE10" s="19" t="s">
        <v>151</v>
      </c>
      <c r="AF10" s="19"/>
      <c r="AG10" s="19"/>
      <c r="AH10" s="19"/>
      <c r="AI10" s="742"/>
      <c r="AJ10" s="744"/>
      <c r="AK10" s="787"/>
      <c r="AL10" s="787"/>
      <c r="AM10" s="787"/>
      <c r="AN10" s="787"/>
      <c r="AO10" s="787"/>
    </row>
    <row r="11" spans="1:41" ht="15.2" customHeight="1">
      <c r="A11" s="87" t="s">
        <v>167</v>
      </c>
      <c r="B11" s="690" t="str">
        <f>LEADS!$G$3</f>
        <v>mattpasiuk@gmail.com</v>
      </c>
      <c r="C11" s="691"/>
      <c r="D11" s="691"/>
      <c r="E11" s="691"/>
      <c r="F11" s="692"/>
      <c r="G11" s="683" t="str">
        <f>LEADS!$I$3</f>
        <v>15244 W Auburn Ave, Denver, CO, 80228</v>
      </c>
      <c r="H11" s="639"/>
      <c r="I11" s="639"/>
      <c r="J11" s="639"/>
      <c r="K11" s="639"/>
      <c r="L11" s="641"/>
      <c r="M11" s="662"/>
      <c r="N11" s="663"/>
      <c r="O11" s="726" t="s">
        <v>168</v>
      </c>
      <c r="P11" s="726"/>
      <c r="Q11" s="726"/>
      <c r="R11" s="726"/>
      <c r="S11" s="726"/>
      <c r="T11" s="726"/>
      <c r="U11" s="726"/>
      <c r="V11" s="726"/>
      <c r="W11" s="727"/>
      <c r="X11" s="722" t="s">
        <v>169</v>
      </c>
      <c r="Y11" s="722"/>
      <c r="Z11" s="722"/>
      <c r="AA11" s="722"/>
      <c r="AB11" s="19"/>
      <c r="AC11" s="19"/>
      <c r="AD11" s="19">
        <f>B35</f>
        <v>740000</v>
      </c>
      <c r="AE11" s="19" t="s">
        <v>151</v>
      </c>
      <c r="AF11" s="19"/>
      <c r="AG11" s="19"/>
      <c r="AH11" s="19"/>
      <c r="AI11" s="741" t="s">
        <v>170</v>
      </c>
      <c r="AJ11" s="745">
        <f>((B21+B13)*0.019)+3000</f>
        <v>23520</v>
      </c>
      <c r="AK11" s="787"/>
      <c r="AL11" s="787"/>
      <c r="AM11" s="787"/>
      <c r="AN11" s="787"/>
      <c r="AO11" s="787"/>
    </row>
    <row r="12" spans="1:41" ht="15.2" customHeight="1" thickBot="1">
      <c r="A12" s="87" t="s">
        <v>171</v>
      </c>
      <c r="B12" s="690" t="str">
        <f>LEADS!$F$3</f>
        <v>(720)788-0594</v>
      </c>
      <c r="C12" s="691"/>
      <c r="D12" s="691"/>
      <c r="E12" s="691"/>
      <c r="F12" s="692"/>
      <c r="G12" s="684"/>
      <c r="H12" s="640"/>
      <c r="I12" s="640"/>
      <c r="J12" s="640"/>
      <c r="K12" s="640"/>
      <c r="L12" s="642"/>
      <c r="M12" s="662"/>
      <c r="N12" s="663"/>
      <c r="O12" s="726" t="s">
        <v>172</v>
      </c>
      <c r="P12" s="726"/>
      <c r="Q12" s="726"/>
      <c r="R12" s="726"/>
      <c r="S12" s="726"/>
      <c r="T12" s="726"/>
      <c r="U12" s="726"/>
      <c r="V12" s="726"/>
      <c r="W12" s="727"/>
      <c r="X12" s="723" t="s">
        <v>173</v>
      </c>
      <c r="Y12" s="723"/>
      <c r="Z12" s="723"/>
      <c r="AA12" s="723"/>
      <c r="AB12" s="723"/>
      <c r="AC12" s="723"/>
      <c r="AD12" s="723"/>
      <c r="AE12" s="723"/>
      <c r="AF12" s="723"/>
      <c r="AG12" s="723"/>
      <c r="AH12" s="723"/>
      <c r="AI12" s="742"/>
      <c r="AJ12" s="746"/>
      <c r="AK12" s="787"/>
      <c r="AL12" s="787"/>
      <c r="AM12" s="787"/>
      <c r="AN12" s="787"/>
      <c r="AO12" s="787"/>
    </row>
    <row r="13" spans="1:41" ht="15.2" customHeight="1" thickBot="1">
      <c r="A13" s="88" t="s">
        <v>174</v>
      </c>
      <c r="B13" s="669">
        <f>LEADS!$P$3</f>
        <v>740000</v>
      </c>
      <c r="C13" s="670"/>
      <c r="D13" s="670"/>
      <c r="E13" s="670"/>
      <c r="F13" s="671"/>
      <c r="G13" s="685" t="s">
        <v>175</v>
      </c>
      <c r="H13" s="686"/>
      <c r="I13" s="687">
        <f>LEADS!$L$3</f>
        <v>1200000</v>
      </c>
      <c r="J13" s="688"/>
      <c r="K13" s="688"/>
      <c r="L13" s="689"/>
      <c r="M13" s="662"/>
      <c r="N13" s="663"/>
      <c r="O13" s="726"/>
      <c r="P13" s="726"/>
      <c r="Q13" s="726"/>
      <c r="R13" s="726"/>
      <c r="S13" s="726"/>
      <c r="T13" s="726"/>
      <c r="U13" s="726"/>
      <c r="V13" s="726"/>
      <c r="W13" s="727"/>
      <c r="X13" s="723"/>
      <c r="Y13" s="723"/>
      <c r="Z13" s="723"/>
      <c r="AA13" s="723"/>
      <c r="AB13" s="723"/>
      <c r="AC13" s="723"/>
      <c r="AD13" s="723"/>
      <c r="AE13" s="723"/>
      <c r="AF13" s="723"/>
      <c r="AG13" s="723"/>
      <c r="AH13" s="723"/>
      <c r="AI13" s="748" t="s">
        <v>176</v>
      </c>
      <c r="AJ13" s="743">
        <v>7.7499999999999999E-2</v>
      </c>
      <c r="AK13" s="787"/>
      <c r="AL13" s="787"/>
      <c r="AM13" s="787"/>
      <c r="AN13" s="787"/>
      <c r="AO13" s="787"/>
    </row>
    <row r="14" spans="1:41" ht="15.2" customHeight="1" thickBot="1">
      <c r="A14" s="89"/>
      <c r="B14" s="92"/>
      <c r="C14" s="89"/>
      <c r="D14" s="89"/>
      <c r="E14" s="89"/>
      <c r="F14" s="89"/>
      <c r="G14" s="89"/>
      <c r="H14" s="89"/>
      <c r="I14" s="89"/>
      <c r="J14" s="89"/>
      <c r="K14" s="89"/>
      <c r="L14" s="93"/>
      <c r="M14" s="662"/>
      <c r="N14" s="663"/>
      <c r="O14" s="728" t="s">
        <v>177</v>
      </c>
      <c r="P14" s="728"/>
      <c r="Q14" s="728"/>
      <c r="R14" s="728"/>
      <c r="S14" s="728"/>
      <c r="T14" s="728"/>
      <c r="U14" s="728"/>
      <c r="V14" s="728"/>
      <c r="W14" s="729"/>
      <c r="X14" s="723" t="s">
        <v>178</v>
      </c>
      <c r="Y14" s="723"/>
      <c r="Z14" s="723"/>
      <c r="AA14" s="723"/>
      <c r="AB14" s="723"/>
      <c r="AC14" s="723"/>
      <c r="AD14" s="723"/>
      <c r="AE14" s="723"/>
      <c r="AF14" s="723"/>
      <c r="AG14" s="723"/>
      <c r="AH14" s="723"/>
      <c r="AI14" s="749"/>
      <c r="AJ14" s="744"/>
      <c r="AK14" s="787"/>
      <c r="AL14" s="787"/>
      <c r="AM14" s="787"/>
      <c r="AN14" s="787"/>
      <c r="AO14" s="787"/>
    </row>
    <row r="15" spans="1:41" ht="15.2" customHeight="1">
      <c r="A15" s="637" t="s">
        <v>179</v>
      </c>
      <c r="B15" s="656" t="s">
        <v>180</v>
      </c>
      <c r="C15" s="657"/>
      <c r="D15" s="657"/>
      <c r="E15" s="657"/>
      <c r="F15" s="656" t="s">
        <v>181</v>
      </c>
      <c r="G15" s="657"/>
      <c r="H15" s="660"/>
      <c r="I15" s="657" t="s">
        <v>182</v>
      </c>
      <c r="J15" s="657"/>
      <c r="K15" s="657"/>
      <c r="L15" s="660"/>
      <c r="M15" s="662" t="s">
        <v>42</v>
      </c>
      <c r="N15" s="663"/>
      <c r="O15" s="724" t="str">
        <f>Y3&amp;" "&amp;X12&amp;" "&amp;AF9</f>
        <v>Matthew , I just wanted to follow up with you did you get the text above :point_up_2: -  [Ellis w/ West Capital Lending]</v>
      </c>
      <c r="P15" s="724"/>
      <c r="Q15" s="724"/>
      <c r="R15" s="724"/>
      <c r="S15" s="724"/>
      <c r="T15" s="724"/>
      <c r="U15" s="724"/>
      <c r="V15" s="724"/>
      <c r="W15" s="725"/>
      <c r="X15" s="723"/>
      <c r="Y15" s="723"/>
      <c r="Z15" s="723"/>
      <c r="AA15" s="723"/>
      <c r="AB15" s="723"/>
      <c r="AC15" s="723"/>
      <c r="AD15" s="723"/>
      <c r="AE15" s="723"/>
      <c r="AF15" s="723"/>
      <c r="AG15" s="723"/>
      <c r="AH15" s="723"/>
      <c r="AI15" s="748" t="s">
        <v>163</v>
      </c>
      <c r="AJ15" s="743">
        <f>RATE(AG41,-D33,(D23-D31),0)*12</f>
        <v>7.9748792306465963E-2</v>
      </c>
      <c r="AK15" s="787"/>
      <c r="AL15" s="787"/>
      <c r="AM15" s="787"/>
      <c r="AN15" s="787"/>
      <c r="AO15" s="787"/>
    </row>
    <row r="16" spans="1:41" ht="15.2" customHeight="1" thickBot="1">
      <c r="A16" s="638"/>
      <c r="B16" s="658"/>
      <c r="C16" s="659"/>
      <c r="D16" s="659"/>
      <c r="E16" s="659"/>
      <c r="F16" s="658"/>
      <c r="G16" s="659"/>
      <c r="H16" s="661"/>
      <c r="I16" s="659"/>
      <c r="J16" s="659"/>
      <c r="K16" s="659"/>
      <c r="L16" s="661"/>
      <c r="M16" s="662"/>
      <c r="N16" s="663"/>
      <c r="O16" s="728"/>
      <c r="P16" s="728"/>
      <c r="Q16" s="728"/>
      <c r="R16" s="728"/>
      <c r="S16" s="728"/>
      <c r="T16" s="728"/>
      <c r="U16" s="728"/>
      <c r="V16" s="728"/>
      <c r="W16" s="729"/>
      <c r="X16" s="723" t="s">
        <v>183</v>
      </c>
      <c r="Y16" s="723"/>
      <c r="Z16" s="723"/>
      <c r="AA16" s="723"/>
      <c r="AB16" s="723"/>
      <c r="AC16" s="723"/>
      <c r="AD16" s="723"/>
      <c r="AE16" s="723"/>
      <c r="AF16" s="723"/>
      <c r="AG16" s="723"/>
      <c r="AH16" s="723"/>
      <c r="AI16" s="749"/>
      <c r="AJ16" s="744"/>
      <c r="AK16" s="787"/>
      <c r="AL16" s="787"/>
      <c r="AM16" s="787"/>
      <c r="AN16" s="787"/>
      <c r="AO16" s="787"/>
    </row>
    <row r="17" spans="1:41" ht="15.2" customHeight="1">
      <c r="A17" s="635" t="s">
        <v>113</v>
      </c>
      <c r="B17" s="672" t="str">
        <f>AJ3</f>
        <v>Conventional</v>
      </c>
      <c r="C17" s="673"/>
      <c r="D17" s="673"/>
      <c r="E17" s="673"/>
      <c r="F17" s="697" t="s">
        <v>184</v>
      </c>
      <c r="G17" s="698"/>
      <c r="H17" s="699"/>
      <c r="I17" s="698" t="s">
        <v>185</v>
      </c>
      <c r="J17" s="698"/>
      <c r="K17" s="698"/>
      <c r="L17" s="699"/>
      <c r="M17" s="662" t="s">
        <v>186</v>
      </c>
      <c r="N17" s="663"/>
      <c r="O17" s="632" t="str">
        <f>$Y$3&amp;""&amp;X14&amp;" "&amp;AF9</f>
        <v>Matthew, Great News! The Market took a heavy dip today :chart_with_downwards_trend: if you are at all still interested, now would be a great time to lock in your rate. :lock: [Ellis w/ West Capital Lending]</v>
      </c>
      <c r="P17" s="633"/>
      <c r="Q17" s="633"/>
      <c r="R17" s="633"/>
      <c r="S17" s="633"/>
      <c r="T17" s="633"/>
      <c r="U17" s="633"/>
      <c r="V17" s="633"/>
      <c r="W17" s="634"/>
      <c r="X17" s="723"/>
      <c r="Y17" s="723"/>
      <c r="Z17" s="723"/>
      <c r="AA17" s="723"/>
      <c r="AB17" s="723"/>
      <c r="AC17" s="723"/>
      <c r="AD17" s="723"/>
      <c r="AE17" s="723"/>
      <c r="AF17" s="723"/>
      <c r="AG17" s="723"/>
      <c r="AH17" s="723"/>
      <c r="AI17" s="748" t="s">
        <v>187</v>
      </c>
      <c r="AJ17" s="745">
        <f>((B21+B13)*0.011)+3000</f>
        <v>14880</v>
      </c>
      <c r="AK17" s="787"/>
      <c r="AL17" s="787"/>
      <c r="AM17" s="787"/>
      <c r="AN17" s="787"/>
      <c r="AO17" s="787"/>
    </row>
    <row r="18" spans="1:41" ht="15.2" customHeight="1" thickBot="1">
      <c r="A18" s="636"/>
      <c r="B18" s="672"/>
      <c r="C18" s="673"/>
      <c r="D18" s="673"/>
      <c r="E18" s="673"/>
      <c r="F18" s="697"/>
      <c r="G18" s="698"/>
      <c r="H18" s="699"/>
      <c r="I18" s="698"/>
      <c r="J18" s="698"/>
      <c r="K18" s="698"/>
      <c r="L18" s="699"/>
      <c r="M18" s="662"/>
      <c r="N18" s="663"/>
      <c r="O18" s="632"/>
      <c r="P18" s="633"/>
      <c r="Q18" s="633"/>
      <c r="R18" s="633"/>
      <c r="S18" s="633"/>
      <c r="T18" s="633"/>
      <c r="U18" s="633"/>
      <c r="V18" s="633"/>
      <c r="W18" s="634"/>
      <c r="X18" s="723" t="s">
        <v>188</v>
      </c>
      <c r="Y18" s="723"/>
      <c r="Z18" s="723"/>
      <c r="AA18" s="723"/>
      <c r="AB18" s="723"/>
      <c r="AC18" s="723"/>
      <c r="AD18" s="723"/>
      <c r="AE18" s="723"/>
      <c r="AF18" s="723"/>
      <c r="AG18" s="723"/>
      <c r="AH18" s="723"/>
      <c r="AI18" s="749"/>
      <c r="AJ18" s="746"/>
      <c r="AK18" s="787"/>
      <c r="AL18" s="787"/>
      <c r="AM18" s="787"/>
      <c r="AN18" s="787"/>
      <c r="AO18" s="787"/>
    </row>
    <row r="19" spans="1:41" ht="15.2" customHeight="1">
      <c r="A19" s="636" t="s">
        <v>189</v>
      </c>
      <c r="B19" s="708" t="s">
        <v>190</v>
      </c>
      <c r="C19" s="693"/>
      <c r="D19" s="693"/>
      <c r="E19" s="693"/>
      <c r="F19" s="708" t="s">
        <v>79</v>
      </c>
      <c r="G19" s="693"/>
      <c r="H19" s="694"/>
      <c r="I19" s="693" t="s">
        <v>79</v>
      </c>
      <c r="J19" s="693"/>
      <c r="K19" s="693"/>
      <c r="L19" s="694"/>
      <c r="M19" s="662"/>
      <c r="N19" s="663"/>
      <c r="O19" s="632"/>
      <c r="P19" s="633"/>
      <c r="Q19" s="633"/>
      <c r="R19" s="633"/>
      <c r="S19" s="633"/>
      <c r="T19" s="633"/>
      <c r="U19" s="633"/>
      <c r="V19" s="633"/>
      <c r="W19" s="634"/>
      <c r="X19" s="723"/>
      <c r="Y19" s="723"/>
      <c r="Z19" s="723"/>
      <c r="AA19" s="723"/>
      <c r="AB19" s="723"/>
      <c r="AC19" s="723"/>
      <c r="AD19" s="723"/>
      <c r="AE19" s="723"/>
      <c r="AF19" s="723"/>
      <c r="AG19" s="723"/>
      <c r="AH19" s="723"/>
      <c r="AI19" s="529" t="s">
        <v>181</v>
      </c>
      <c r="AJ19" s="531"/>
      <c r="AK19" s="787"/>
      <c r="AL19" s="787"/>
      <c r="AM19" s="787"/>
      <c r="AN19" s="787"/>
      <c r="AO19" s="787"/>
    </row>
    <row r="20" spans="1:41" ht="15.2" customHeight="1" thickBot="1">
      <c r="A20" s="636"/>
      <c r="B20" s="708"/>
      <c r="C20" s="693"/>
      <c r="D20" s="693"/>
      <c r="E20" s="693"/>
      <c r="F20" s="708"/>
      <c r="G20" s="693"/>
      <c r="H20" s="694"/>
      <c r="I20" s="693"/>
      <c r="J20" s="693"/>
      <c r="K20" s="693"/>
      <c r="L20" s="694"/>
      <c r="M20" s="662" t="s">
        <v>191</v>
      </c>
      <c r="N20" s="663"/>
      <c r="O20" s="632" t="str">
        <f>$Y$3&amp;""&amp;X16&amp;" "&amp;AF9</f>
        <v>Matthew, If the quote I sent you was not what you were looking for I can send you additional options? Did you want to look at a Line of Credit :credit_card: or an Equity Loan :moneybag: instead? [Ellis w/ West Capital Lending]</v>
      </c>
      <c r="P20" s="633"/>
      <c r="Q20" s="633"/>
      <c r="R20" s="633"/>
      <c r="S20" s="633"/>
      <c r="T20" s="633"/>
      <c r="U20" s="633"/>
      <c r="V20" s="633"/>
      <c r="W20" s="634"/>
      <c r="X20" s="723" t="s">
        <v>192</v>
      </c>
      <c r="Y20" s="723"/>
      <c r="Z20" s="723"/>
      <c r="AA20" s="723"/>
      <c r="AB20" s="723"/>
      <c r="AC20" s="723"/>
      <c r="AD20" s="723"/>
      <c r="AE20" s="723"/>
      <c r="AF20" s="723"/>
      <c r="AG20" s="723"/>
      <c r="AH20" s="723"/>
      <c r="AI20" s="532"/>
      <c r="AJ20" s="534"/>
      <c r="AK20" s="787"/>
      <c r="AL20" s="787"/>
      <c r="AM20" s="787"/>
      <c r="AN20" s="787"/>
      <c r="AO20" s="787"/>
    </row>
    <row r="21" spans="1:41" ht="15.2" customHeight="1">
      <c r="A21" s="636" t="s">
        <v>104</v>
      </c>
      <c r="B21" s="700">
        <f>LEADS!M3</f>
        <v>340000</v>
      </c>
      <c r="C21" s="695"/>
      <c r="D21" s="695"/>
      <c r="E21" s="695"/>
      <c r="F21" s="700">
        <f>LEADS!M3</f>
        <v>340000</v>
      </c>
      <c r="G21" s="695"/>
      <c r="H21" s="696"/>
      <c r="I21" s="695">
        <f>LEADS!M3</f>
        <v>340000</v>
      </c>
      <c r="J21" s="695"/>
      <c r="K21" s="695"/>
      <c r="L21" s="696"/>
      <c r="M21" s="662"/>
      <c r="N21" s="663"/>
      <c r="O21" s="632"/>
      <c r="P21" s="633"/>
      <c r="Q21" s="633"/>
      <c r="R21" s="633"/>
      <c r="S21" s="633"/>
      <c r="T21" s="633"/>
      <c r="U21" s="633"/>
      <c r="V21" s="633"/>
      <c r="W21" s="634"/>
      <c r="X21" s="723"/>
      <c r="Y21" s="723"/>
      <c r="Z21" s="723"/>
      <c r="AA21" s="723"/>
      <c r="AB21" s="723"/>
      <c r="AC21" s="723"/>
      <c r="AD21" s="723"/>
      <c r="AE21" s="723"/>
      <c r="AF21" s="723"/>
      <c r="AG21" s="723"/>
      <c r="AH21" s="723"/>
      <c r="AI21" s="750" t="s">
        <v>193</v>
      </c>
      <c r="AJ21" s="739" t="s">
        <v>194</v>
      </c>
      <c r="AK21" s="787"/>
      <c r="AL21" s="787"/>
      <c r="AM21" s="787"/>
      <c r="AN21" s="787"/>
      <c r="AO21" s="787"/>
    </row>
    <row r="22" spans="1:41" ht="15.2" customHeight="1" thickBot="1">
      <c r="A22" s="636"/>
      <c r="B22" s="700"/>
      <c r="C22" s="695"/>
      <c r="D22" s="695"/>
      <c r="E22" s="695"/>
      <c r="F22" s="700"/>
      <c r="G22" s="695"/>
      <c r="H22" s="696"/>
      <c r="I22" s="695"/>
      <c r="J22" s="695"/>
      <c r="K22" s="695"/>
      <c r="L22" s="696"/>
      <c r="M22" s="662"/>
      <c r="N22" s="663"/>
      <c r="O22" s="632"/>
      <c r="P22" s="633"/>
      <c r="Q22" s="633"/>
      <c r="R22" s="633"/>
      <c r="S22" s="633"/>
      <c r="T22" s="633"/>
      <c r="U22" s="633"/>
      <c r="V22" s="633"/>
      <c r="W22" s="634"/>
      <c r="X22" s="723" t="s">
        <v>195</v>
      </c>
      <c r="Y22" s="723"/>
      <c r="Z22" s="723"/>
      <c r="AA22" s="723"/>
      <c r="AB22" s="723"/>
      <c r="AC22" s="723"/>
      <c r="AD22" s="723"/>
      <c r="AE22" s="723"/>
      <c r="AF22" s="723"/>
      <c r="AG22" s="723"/>
      <c r="AH22" s="723"/>
      <c r="AI22" s="751"/>
      <c r="AJ22" s="740"/>
      <c r="AK22" s="787"/>
      <c r="AL22" s="787"/>
      <c r="AM22" s="787"/>
      <c r="AN22" s="787"/>
      <c r="AO22" s="787"/>
    </row>
    <row r="23" spans="1:41" ht="15.2" customHeight="1">
      <c r="A23" s="636" t="s">
        <v>106</v>
      </c>
      <c r="B23" s="648">
        <f>B13+B21+B31</f>
        <v>1103520</v>
      </c>
      <c r="C23" s="649"/>
      <c r="D23" s="648">
        <f>B13+B21+D31</f>
        <v>1094880</v>
      </c>
      <c r="E23" s="652"/>
      <c r="F23" s="648">
        <f>B13+F31</f>
        <v>764200</v>
      </c>
      <c r="G23" s="649"/>
      <c r="H23" s="652"/>
      <c r="I23" s="648">
        <f>B13+I31</f>
        <v>761094.9</v>
      </c>
      <c r="J23" s="649"/>
      <c r="K23" s="649"/>
      <c r="L23" s="652"/>
      <c r="M23" s="662" t="s">
        <v>196</v>
      </c>
      <c r="N23" s="663"/>
      <c r="O23" s="632" t="str">
        <f>$Y$3&amp;""&amp;X18&amp;" "&amp;AF9</f>
        <v>Matthew, just wanted to follow up with you did you get the text above :point_up_2:  [Ellis w/ West Capital Lending]</v>
      </c>
      <c r="P23" s="633"/>
      <c r="Q23" s="633"/>
      <c r="R23" s="633"/>
      <c r="S23" s="633"/>
      <c r="T23" s="633"/>
      <c r="U23" s="633"/>
      <c r="V23" s="633"/>
      <c r="W23" s="634"/>
      <c r="X23" s="723"/>
      <c r="Y23" s="723"/>
      <c r="Z23" s="723"/>
      <c r="AA23" s="723"/>
      <c r="AB23" s="723"/>
      <c r="AC23" s="723"/>
      <c r="AD23" s="723"/>
      <c r="AE23" s="723"/>
      <c r="AF23" s="723"/>
      <c r="AG23" s="723"/>
      <c r="AH23" s="723"/>
      <c r="AI23" s="750" t="s">
        <v>197</v>
      </c>
      <c r="AJ23" s="743">
        <v>0.10299999999999999</v>
      </c>
      <c r="AK23" s="787"/>
      <c r="AL23" s="787"/>
      <c r="AM23" s="787"/>
      <c r="AN23" s="787"/>
      <c r="AO23" s="787"/>
    </row>
    <row r="24" spans="1:41" ht="15.2" customHeight="1" thickBot="1">
      <c r="A24" s="636"/>
      <c r="B24" s="650"/>
      <c r="C24" s="651"/>
      <c r="D24" s="650"/>
      <c r="E24" s="653"/>
      <c r="F24" s="650"/>
      <c r="G24" s="651"/>
      <c r="H24" s="653"/>
      <c r="I24" s="650"/>
      <c r="J24" s="651"/>
      <c r="K24" s="651"/>
      <c r="L24" s="653"/>
      <c r="M24" s="662"/>
      <c r="N24" s="663"/>
      <c r="O24" s="632"/>
      <c r="P24" s="633"/>
      <c r="Q24" s="633"/>
      <c r="R24" s="633"/>
      <c r="S24" s="633"/>
      <c r="T24" s="633"/>
      <c r="U24" s="633"/>
      <c r="V24" s="633"/>
      <c r="W24" s="634"/>
      <c r="X24" s="723" t="s">
        <v>198</v>
      </c>
      <c r="Y24" s="723"/>
      <c r="Z24" s="723" t="s">
        <v>199</v>
      </c>
      <c r="AA24" s="723"/>
      <c r="AB24" s="723"/>
      <c r="AC24" s="723"/>
      <c r="AD24" s="723"/>
      <c r="AE24" s="723"/>
      <c r="AF24" s="723"/>
      <c r="AG24" s="723"/>
      <c r="AH24" s="723"/>
      <c r="AI24" s="751"/>
      <c r="AJ24" s="744"/>
      <c r="AK24" s="787"/>
      <c r="AL24" s="787"/>
      <c r="AM24" s="787"/>
      <c r="AN24" s="787"/>
      <c r="AO24" s="787"/>
    </row>
    <row r="25" spans="1:41" ht="15.2" customHeight="1">
      <c r="A25" s="709" t="s">
        <v>157</v>
      </c>
      <c r="B25" s="711" t="str">
        <f>AJ5</f>
        <v>30 Year Fixed</v>
      </c>
      <c r="C25" s="712"/>
      <c r="D25" s="712"/>
      <c r="E25" s="712"/>
      <c r="F25" s="683" t="s">
        <v>200</v>
      </c>
      <c r="G25" s="639"/>
      <c r="H25" s="641"/>
      <c r="I25" s="639" t="str">
        <f>AJ31</f>
        <v>20 Year Fixed</v>
      </c>
      <c r="J25" s="639"/>
      <c r="K25" s="639" t="str">
        <f>AJ39</f>
        <v>10 Year Fixed</v>
      </c>
      <c r="L25" s="641"/>
      <c r="M25" s="662" t="s">
        <v>201</v>
      </c>
      <c r="N25" s="663"/>
      <c r="O25" s="632" t="str">
        <f>$Y$3&amp;""&amp;X20&amp;" "&amp;AF9</f>
        <v>Matthew, I know you may already be in process with another lender. :bank: Are you satisified with rate and service? :blush: :pensive: [Ellis w/ West Capital Lending]</v>
      </c>
      <c r="P25" s="633"/>
      <c r="Q25" s="633"/>
      <c r="R25" s="633"/>
      <c r="S25" s="633"/>
      <c r="T25" s="633"/>
      <c r="U25" s="633"/>
      <c r="V25" s="633"/>
      <c r="W25" s="634"/>
      <c r="X25" s="723"/>
      <c r="Y25" s="723"/>
      <c r="Z25" s="723"/>
      <c r="AA25" s="723"/>
      <c r="AB25" s="723"/>
      <c r="AC25" s="723"/>
      <c r="AD25" s="723"/>
      <c r="AE25" s="723"/>
      <c r="AF25" s="723"/>
      <c r="AG25" s="723"/>
      <c r="AH25" s="723"/>
      <c r="AI25" s="750" t="s">
        <v>163</v>
      </c>
      <c r="AJ25" s="743">
        <v>0.10632999999999999</v>
      </c>
      <c r="AK25" s="787"/>
      <c r="AL25" s="787"/>
      <c r="AM25" s="787"/>
      <c r="AN25" s="787"/>
      <c r="AO25" s="787"/>
    </row>
    <row r="26" spans="1:41" ht="15.2" customHeight="1" thickBot="1">
      <c r="A26" s="710"/>
      <c r="B26" s="713"/>
      <c r="C26" s="714"/>
      <c r="D26" s="714"/>
      <c r="E26" s="714"/>
      <c r="F26" s="684"/>
      <c r="G26" s="640"/>
      <c r="H26" s="642"/>
      <c r="I26" s="640"/>
      <c r="J26" s="640"/>
      <c r="K26" s="640"/>
      <c r="L26" s="642"/>
      <c r="M26" s="662"/>
      <c r="N26" s="663"/>
      <c r="O26" s="632"/>
      <c r="P26" s="633"/>
      <c r="Q26" s="633"/>
      <c r="R26" s="633"/>
      <c r="S26" s="633"/>
      <c r="T26" s="633"/>
      <c r="U26" s="633"/>
      <c r="V26" s="633"/>
      <c r="W26" s="634"/>
      <c r="X26" s="723" t="s">
        <v>202</v>
      </c>
      <c r="Y26" s="723"/>
      <c r="Z26" s="723"/>
      <c r="AA26" s="723"/>
      <c r="AB26" s="723"/>
      <c r="AC26" s="723"/>
      <c r="AD26" s="723"/>
      <c r="AE26" s="723"/>
      <c r="AF26" s="723"/>
      <c r="AG26" s="723"/>
      <c r="AH26" s="723"/>
      <c r="AI26" s="751"/>
      <c r="AJ26" s="744"/>
      <c r="AK26" s="787"/>
      <c r="AL26" s="787"/>
      <c r="AM26" s="787"/>
      <c r="AN26" s="787"/>
      <c r="AO26" s="787"/>
    </row>
    <row r="27" spans="1:41" ht="15.2" customHeight="1">
      <c r="A27" s="707" t="s">
        <v>203</v>
      </c>
      <c r="B27" s="646">
        <f>AJ7</f>
        <v>7.3749999999999996E-2</v>
      </c>
      <c r="C27" s="643"/>
      <c r="D27" s="644">
        <f>AJ13</f>
        <v>7.7499999999999999E-2</v>
      </c>
      <c r="E27" s="645"/>
      <c r="F27" s="646">
        <f>AJ23</f>
        <v>0.10299999999999999</v>
      </c>
      <c r="G27" s="643"/>
      <c r="H27" s="647"/>
      <c r="I27" s="643">
        <f>AJ33</f>
        <v>9.1249999999999998E-2</v>
      </c>
      <c r="J27" s="643"/>
      <c r="K27" s="644">
        <f>AJ41</f>
        <v>9.2499999999999999E-2</v>
      </c>
      <c r="L27" s="645"/>
      <c r="M27" s="662" t="s">
        <v>204</v>
      </c>
      <c r="N27" s="663"/>
      <c r="O27" s="632" t="str">
        <f>$Y$3&amp;""&amp;X22&amp;" "&amp;AF9</f>
        <v>Matthew, if you changed your mind let me know so I can stop contacting you if you wish? [Ellis w/ West Capital Lending]</v>
      </c>
      <c r="P27" s="633"/>
      <c r="Q27" s="633"/>
      <c r="R27" s="633"/>
      <c r="S27" s="633"/>
      <c r="T27" s="633"/>
      <c r="U27" s="633"/>
      <c r="V27" s="633"/>
      <c r="W27" s="634"/>
      <c r="X27" s="723"/>
      <c r="Y27" s="723"/>
      <c r="Z27" s="723"/>
      <c r="AA27" s="723"/>
      <c r="AB27" s="723"/>
      <c r="AC27" s="723"/>
      <c r="AD27" s="723"/>
      <c r="AE27" s="723"/>
      <c r="AF27" s="723"/>
      <c r="AG27" s="723"/>
      <c r="AH27" s="723"/>
      <c r="AI27" s="750" t="s">
        <v>205</v>
      </c>
      <c r="AJ27" s="745">
        <f>(B13*0.03)+2000</f>
        <v>24200</v>
      </c>
      <c r="AK27" s="787"/>
      <c r="AL27" s="787"/>
      <c r="AM27" s="787"/>
      <c r="AN27" s="787"/>
      <c r="AO27" s="787"/>
    </row>
    <row r="28" spans="1:41" ht="15.2" customHeight="1" thickBot="1">
      <c r="A28" s="707"/>
      <c r="B28" s="646"/>
      <c r="C28" s="643"/>
      <c r="D28" s="646"/>
      <c r="E28" s="647"/>
      <c r="F28" s="646"/>
      <c r="G28" s="643"/>
      <c r="H28" s="647"/>
      <c r="I28" s="643"/>
      <c r="J28" s="643"/>
      <c r="K28" s="646"/>
      <c r="L28" s="647"/>
      <c r="M28" s="662"/>
      <c r="N28" s="663"/>
      <c r="O28" s="632"/>
      <c r="P28" s="633"/>
      <c r="Q28" s="633"/>
      <c r="R28" s="633"/>
      <c r="S28" s="633"/>
      <c r="T28" s="633"/>
      <c r="U28" s="633"/>
      <c r="V28" s="633"/>
      <c r="W28" s="634"/>
      <c r="X28" s="723" t="s">
        <v>206</v>
      </c>
      <c r="Y28" s="723"/>
      <c r="Z28" s="723"/>
      <c r="AA28" s="723"/>
      <c r="AB28" s="723"/>
      <c r="AC28" s="723"/>
      <c r="AD28" s="723"/>
      <c r="AE28" s="723"/>
      <c r="AF28" s="723"/>
      <c r="AG28" s="723"/>
      <c r="AH28" s="723"/>
      <c r="AI28" s="751"/>
      <c r="AJ28" s="746"/>
      <c r="AK28" s="787"/>
      <c r="AL28" s="787"/>
      <c r="AM28" s="787"/>
      <c r="AN28" s="787"/>
      <c r="AO28" s="787"/>
    </row>
    <row r="29" spans="1:41" ht="15.2" customHeight="1">
      <c r="A29" s="707" t="s">
        <v>163</v>
      </c>
      <c r="B29" s="646">
        <f>AJ9</f>
        <v>7.5947874150020661E-2</v>
      </c>
      <c r="C29" s="643"/>
      <c r="D29" s="646">
        <f>AJ15</f>
        <v>7.9748792306465963E-2</v>
      </c>
      <c r="E29" s="647"/>
      <c r="F29" s="646">
        <f>AJ25</f>
        <v>0.10632999999999999</v>
      </c>
      <c r="G29" s="643"/>
      <c r="H29" s="647"/>
      <c r="I29" s="643">
        <f>AJ35</f>
        <v>9.8820000000000005E-2</v>
      </c>
      <c r="J29" s="643"/>
      <c r="K29" s="646">
        <f>AJ43</f>
        <v>0.10385999999999999</v>
      </c>
      <c r="L29" s="647"/>
      <c r="M29" s="664" t="s">
        <v>207</v>
      </c>
      <c r="N29" s="665"/>
      <c r="O29" s="632" t="str">
        <f>$Y$3&amp;""&amp;X24&amp;" "&amp;AE11&amp;""&amp;AD11&amp;" "&amp;Z24&amp;" "&amp;AF9</f>
        <v>Matthew, did you still want to take out the $740000 :money_with_wings: in cash from your home? [Ellis w/ West Capital Lending]</v>
      </c>
      <c r="P29" s="633"/>
      <c r="Q29" s="633"/>
      <c r="R29" s="633"/>
      <c r="S29" s="633"/>
      <c r="T29" s="633"/>
      <c r="U29" s="633"/>
      <c r="V29" s="633"/>
      <c r="W29" s="634"/>
      <c r="X29" s="723"/>
      <c r="Y29" s="723"/>
      <c r="Z29" s="723"/>
      <c r="AA29" s="723"/>
      <c r="AB29" s="723"/>
      <c r="AC29" s="723"/>
      <c r="AD29" s="723"/>
      <c r="AE29" s="723"/>
      <c r="AF29" s="723"/>
      <c r="AG29" s="723"/>
      <c r="AH29" s="723"/>
      <c r="AI29" s="529" t="s">
        <v>182</v>
      </c>
      <c r="AJ29" s="531"/>
      <c r="AK29" s="787"/>
      <c r="AL29" s="787"/>
      <c r="AM29" s="787"/>
      <c r="AN29" s="787"/>
      <c r="AO29" s="787"/>
    </row>
    <row r="30" spans="1:41" ht="15.2" customHeight="1" thickBot="1">
      <c r="A30" s="707"/>
      <c r="B30" s="646"/>
      <c r="C30" s="643"/>
      <c r="D30" s="646"/>
      <c r="E30" s="647"/>
      <c r="F30" s="646"/>
      <c r="G30" s="643"/>
      <c r="H30" s="647"/>
      <c r="I30" s="643"/>
      <c r="J30" s="643"/>
      <c r="K30" s="646"/>
      <c r="L30" s="647"/>
      <c r="M30" s="664"/>
      <c r="N30" s="665"/>
      <c r="O30" s="632"/>
      <c r="P30" s="633"/>
      <c r="Q30" s="633"/>
      <c r="R30" s="633"/>
      <c r="S30" s="633"/>
      <c r="T30" s="633"/>
      <c r="U30" s="633"/>
      <c r="V30" s="633"/>
      <c r="W30" s="634"/>
      <c r="X30" s="723" t="s">
        <v>208</v>
      </c>
      <c r="Y30" s="723"/>
      <c r="Z30" s="723"/>
      <c r="AA30" s="723"/>
      <c r="AB30" s="723"/>
      <c r="AC30" s="723"/>
      <c r="AD30" s="723"/>
      <c r="AE30" s="723"/>
      <c r="AF30" s="723"/>
      <c r="AG30" s="723"/>
      <c r="AH30" s="723"/>
      <c r="AI30" s="532"/>
      <c r="AJ30" s="534"/>
      <c r="AK30" s="787"/>
      <c r="AL30" s="787"/>
      <c r="AM30" s="787"/>
      <c r="AN30" s="787"/>
      <c r="AO30" s="787"/>
    </row>
    <row r="31" spans="1:41" ht="15.2" customHeight="1">
      <c r="A31" s="707" t="s">
        <v>209</v>
      </c>
      <c r="B31" s="700">
        <f>AJ11</f>
        <v>23520</v>
      </c>
      <c r="C31" s="695"/>
      <c r="D31" s="700">
        <f>AJ17</f>
        <v>14880</v>
      </c>
      <c r="E31" s="696"/>
      <c r="F31" s="700">
        <f>AJ27</f>
        <v>24200</v>
      </c>
      <c r="G31" s="695"/>
      <c r="H31" s="696"/>
      <c r="I31" s="695">
        <f>AJ37</f>
        <v>21094.9</v>
      </c>
      <c r="J31" s="695"/>
      <c r="K31" s="700">
        <f>AJ45</f>
        <v>21094.9</v>
      </c>
      <c r="L31" s="696"/>
      <c r="M31" s="791" t="s">
        <v>210</v>
      </c>
      <c r="N31" s="792"/>
      <c r="O31" s="789" t="str">
        <f>$Y$3&amp;""&amp;X26&amp;" "&amp;AF9</f>
        <v>Matthew, generally when I do not receive a response it is because the client was told they didn't qualify. I am broker and I can work with any credit or income profile. [Ellis w/ West Capital Lending]</v>
      </c>
      <c r="P31" s="724"/>
      <c r="Q31" s="724"/>
      <c r="R31" s="724"/>
      <c r="S31" s="724"/>
      <c r="T31" s="724"/>
      <c r="U31" s="724"/>
      <c r="V31" s="724"/>
      <c r="W31" s="725"/>
      <c r="X31" s="723"/>
      <c r="Y31" s="723"/>
      <c r="Z31" s="723"/>
      <c r="AA31" s="723"/>
      <c r="AB31" s="723"/>
      <c r="AC31" s="723"/>
      <c r="AD31" s="723"/>
      <c r="AE31" s="723"/>
      <c r="AF31" s="723"/>
      <c r="AG31" s="723"/>
      <c r="AH31" s="723"/>
      <c r="AI31" s="741" t="s">
        <v>211</v>
      </c>
      <c r="AJ31" s="739" t="s">
        <v>221</v>
      </c>
      <c r="AK31" s="787"/>
      <c r="AL31" s="787"/>
      <c r="AM31" s="787"/>
      <c r="AN31" s="787"/>
      <c r="AO31" s="787"/>
    </row>
    <row r="32" spans="1:41" ht="15.2" customHeight="1" thickBot="1">
      <c r="A32" s="707"/>
      <c r="B32" s="700"/>
      <c r="C32" s="695"/>
      <c r="D32" s="700"/>
      <c r="E32" s="696"/>
      <c r="F32" s="700"/>
      <c r="G32" s="695"/>
      <c r="H32" s="696"/>
      <c r="I32" s="695"/>
      <c r="J32" s="695"/>
      <c r="K32" s="650"/>
      <c r="L32" s="653"/>
      <c r="M32" s="793"/>
      <c r="N32" s="794"/>
      <c r="O32" s="790"/>
      <c r="P32" s="726"/>
      <c r="Q32" s="726"/>
      <c r="R32" s="726"/>
      <c r="S32" s="726"/>
      <c r="T32" s="726"/>
      <c r="U32" s="726"/>
      <c r="V32" s="726"/>
      <c r="W32" s="727"/>
      <c r="X32" s="723" t="s">
        <v>212</v>
      </c>
      <c r="Y32" s="723"/>
      <c r="Z32" s="723"/>
      <c r="AA32" s="723"/>
      <c r="AB32" s="723"/>
      <c r="AC32" s="723"/>
      <c r="AD32" s="723"/>
      <c r="AE32" s="723"/>
      <c r="AF32" s="723"/>
      <c r="AG32" s="723"/>
      <c r="AH32" s="723"/>
      <c r="AI32" s="742"/>
      <c r="AJ32" s="740"/>
      <c r="AK32" s="787"/>
      <c r="AL32" s="787"/>
      <c r="AM32" s="787"/>
      <c r="AN32" s="787"/>
      <c r="AO32" s="787"/>
    </row>
    <row r="33" spans="1:41" ht="15.2" customHeight="1">
      <c r="A33" s="91" t="s">
        <v>213</v>
      </c>
      <c r="B33" s="701">
        <f>ABS(PMT(B27/12, AG40,B23, 0))</f>
        <v>7621.7383887661454</v>
      </c>
      <c r="C33" s="702"/>
      <c r="D33" s="701">
        <f>ABS(PMT(D27/12, AG40,B23, 0))</f>
        <v>7905.7524121931547</v>
      </c>
      <c r="E33" s="703"/>
      <c r="F33" s="701">
        <f>ABS(IPMT(F27/12,1,AG41,B13))</f>
        <v>6351.666666666667</v>
      </c>
      <c r="G33" s="702"/>
      <c r="H33" s="703"/>
      <c r="I33" s="701">
        <f>ABS(PMT(I27/12, AG42,I23, 0))</f>
        <v>6909.0735648416567</v>
      </c>
      <c r="J33" s="702"/>
      <c r="K33" s="701">
        <f>ABS(PMT(K27/12, AG43,I23, 0))</f>
        <v>9744.5051729849802</v>
      </c>
      <c r="L33" s="703"/>
      <c r="M33" s="662" t="s">
        <v>214</v>
      </c>
      <c r="N33" s="663"/>
      <c r="O33" s="632" t="str">
        <f>$Y$3&amp;""&amp;X28&amp;" "&amp;AF9</f>
        <v>Matthew, home values are trending up in your area. :zap: Have you had an evaluation done recently? [Ellis w/ West Capital Lending]</v>
      </c>
      <c r="P33" s="633"/>
      <c r="Q33" s="633"/>
      <c r="R33" s="633"/>
      <c r="S33" s="633"/>
      <c r="T33" s="633"/>
      <c r="U33" s="633"/>
      <c r="V33" s="633"/>
      <c r="W33" s="634"/>
      <c r="X33" s="723"/>
      <c r="Y33" s="723"/>
      <c r="Z33" s="723"/>
      <c r="AA33" s="723"/>
      <c r="AB33" s="723"/>
      <c r="AC33" s="723"/>
      <c r="AD33" s="723"/>
      <c r="AE33" s="723"/>
      <c r="AF33" s="723"/>
      <c r="AG33" s="723"/>
      <c r="AH33" s="723"/>
      <c r="AI33" s="741" t="s">
        <v>159</v>
      </c>
      <c r="AJ33" s="743">
        <v>9.1249999999999998E-2</v>
      </c>
      <c r="AK33" s="787"/>
      <c r="AL33" s="787"/>
      <c r="AM33" s="787"/>
      <c r="AN33" s="787"/>
      <c r="AO33" s="787"/>
    </row>
    <row r="34" spans="1:41" ht="15.2" customHeight="1" thickBot="1">
      <c r="A34" s="94"/>
      <c r="B34" s="704"/>
      <c r="C34" s="705"/>
      <c r="D34" s="704"/>
      <c r="E34" s="706"/>
      <c r="F34" s="704"/>
      <c r="G34" s="705"/>
      <c r="H34" s="706"/>
      <c r="I34" s="704"/>
      <c r="J34" s="705"/>
      <c r="K34" s="704"/>
      <c r="L34" s="706"/>
      <c r="M34" s="662"/>
      <c r="N34" s="663"/>
      <c r="O34" s="632"/>
      <c r="P34" s="633"/>
      <c r="Q34" s="633"/>
      <c r="R34" s="633"/>
      <c r="S34" s="633"/>
      <c r="T34" s="633"/>
      <c r="U34" s="633"/>
      <c r="V34" s="633"/>
      <c r="W34" s="634"/>
      <c r="X34" s="19"/>
      <c r="Y34" s="19"/>
      <c r="Z34" s="19"/>
      <c r="AA34" s="19"/>
      <c r="AB34" s="19"/>
      <c r="AC34" s="19"/>
      <c r="AD34" s="19"/>
      <c r="AE34" s="19"/>
      <c r="AF34" t="s">
        <v>215</v>
      </c>
      <c r="AG34" s="19"/>
      <c r="AH34" s="19"/>
      <c r="AI34" s="742"/>
      <c r="AJ34" s="744"/>
      <c r="AK34" s="787"/>
      <c r="AL34" s="787"/>
      <c r="AM34" s="787"/>
      <c r="AN34" s="787"/>
      <c r="AO34" s="787"/>
    </row>
    <row r="35" spans="1:41" ht="15.2" customHeight="1">
      <c r="A35" s="654" t="s">
        <v>105</v>
      </c>
      <c r="B35" s="752">
        <f>B23-B21-B31</f>
        <v>740000</v>
      </c>
      <c r="C35" s="753"/>
      <c r="D35" s="752">
        <f>D23-B21-D31</f>
        <v>740000</v>
      </c>
      <c r="E35" s="756"/>
      <c r="F35" s="803">
        <f>B13</f>
        <v>740000</v>
      </c>
      <c r="G35" s="804"/>
      <c r="H35" s="805"/>
      <c r="I35" s="752">
        <f>I23-I31</f>
        <v>740000</v>
      </c>
      <c r="J35" s="753"/>
      <c r="K35" s="752">
        <f>I23-K31</f>
        <v>740000</v>
      </c>
      <c r="L35" s="756"/>
      <c r="M35" s="662" t="s">
        <v>216</v>
      </c>
      <c r="N35" s="663"/>
      <c r="O35" s="632" t="str">
        <f>$Y$3&amp;""&amp;X30&amp;" "&amp;AF9</f>
        <v>Matthew, a lot of my clients are calling to consolidate their debt. Do you carry any High Interest Balances? [Ellis w/ West Capital Lending]</v>
      </c>
      <c r="P35" s="633"/>
      <c r="Q35" s="633"/>
      <c r="R35" s="633"/>
      <c r="S35" s="633"/>
      <c r="T35" s="633"/>
      <c r="U35" s="633"/>
      <c r="V35" s="633"/>
      <c r="W35" s="634"/>
      <c r="X35" s="19"/>
      <c r="Y35" s="19"/>
      <c r="Z35" s="19"/>
      <c r="AA35" s="19"/>
      <c r="AB35" s="19"/>
      <c r="AC35" s="19"/>
      <c r="AD35" s="19"/>
      <c r="AE35" s="19"/>
      <c r="AF35" t="s">
        <v>217</v>
      </c>
      <c r="AH35" s="19"/>
      <c r="AI35" s="741" t="s">
        <v>163</v>
      </c>
      <c r="AJ35" s="743">
        <v>9.8820000000000005E-2</v>
      </c>
      <c r="AK35" s="787"/>
      <c r="AL35" s="787"/>
      <c r="AM35" s="787"/>
      <c r="AN35" s="787"/>
      <c r="AO35" s="787"/>
    </row>
    <row r="36" spans="1:41" ht="15.2" customHeight="1" thickBot="1">
      <c r="A36" s="655"/>
      <c r="B36" s="754"/>
      <c r="C36" s="755"/>
      <c r="D36" s="754"/>
      <c r="E36" s="757"/>
      <c r="F36" s="754"/>
      <c r="G36" s="755"/>
      <c r="H36" s="757"/>
      <c r="I36" s="754"/>
      <c r="J36" s="755"/>
      <c r="K36" s="754"/>
      <c r="L36" s="757"/>
      <c r="M36" s="662"/>
      <c r="N36" s="663"/>
      <c r="O36" s="632"/>
      <c r="P36" s="633"/>
      <c r="Q36" s="633"/>
      <c r="R36" s="633"/>
      <c r="S36" s="633"/>
      <c r="T36" s="633"/>
      <c r="U36" s="633"/>
      <c r="V36" s="633"/>
      <c r="W36" s="634"/>
      <c r="X36" s="19"/>
      <c r="Y36" s="19"/>
      <c r="Z36" s="19"/>
      <c r="AA36" s="19"/>
      <c r="AB36" s="19"/>
      <c r="AC36" s="19"/>
      <c r="AD36" s="19"/>
      <c r="AE36" s="19"/>
      <c r="AF36" t="s">
        <v>218</v>
      </c>
      <c r="AH36" s="19"/>
      <c r="AI36" s="742"/>
      <c r="AJ36" s="744"/>
      <c r="AK36" s="787"/>
      <c r="AL36" s="787"/>
      <c r="AM36" s="787"/>
      <c r="AN36" s="787"/>
      <c r="AO36" s="787"/>
    </row>
    <row r="37" spans="1:41" ht="15.2" customHeight="1" thickBot="1">
      <c r="A37" s="636" t="s">
        <v>219</v>
      </c>
      <c r="B37" s="765" t="s">
        <v>33</v>
      </c>
      <c r="C37" s="766"/>
      <c r="D37" s="766"/>
      <c r="E37" s="767"/>
      <c r="F37" s="765" t="s">
        <v>34</v>
      </c>
      <c r="G37" s="766"/>
      <c r="H37" s="767"/>
      <c r="I37" s="765" t="s">
        <v>35</v>
      </c>
      <c r="J37" s="766"/>
      <c r="K37" s="766"/>
      <c r="L37" s="767"/>
      <c r="M37" s="771" t="s">
        <v>220</v>
      </c>
      <c r="N37" s="772"/>
      <c r="O37" s="784" t="str">
        <f>X32&amp;" "&amp;AF9</f>
        <v>Do I have the right person? [Ellis w/ West Capital Lending]</v>
      </c>
      <c r="P37" s="785"/>
      <c r="Q37" s="785"/>
      <c r="R37" s="785"/>
      <c r="S37" s="785"/>
      <c r="T37" s="785"/>
      <c r="U37" s="785"/>
      <c r="V37" s="785"/>
      <c r="W37" s="786"/>
      <c r="X37" s="19"/>
      <c r="Y37" s="19"/>
      <c r="Z37" s="19"/>
      <c r="AA37" s="19"/>
      <c r="AB37" s="19"/>
      <c r="AC37" s="19"/>
      <c r="AD37" s="19"/>
      <c r="AE37" s="19"/>
      <c r="AF37" t="s">
        <v>221</v>
      </c>
      <c r="AH37" s="19"/>
      <c r="AI37" s="741" t="s">
        <v>170</v>
      </c>
      <c r="AJ37" s="745">
        <f>(B13*0.025)+2594.9</f>
        <v>21094.9</v>
      </c>
      <c r="AK37" s="787"/>
      <c r="AL37" s="787"/>
      <c r="AM37" s="787"/>
      <c r="AN37" s="787"/>
      <c r="AO37" s="787"/>
    </row>
    <row r="38" spans="1:41" ht="15.2" customHeight="1" thickBot="1">
      <c r="A38" s="636"/>
      <c r="B38" s="768"/>
      <c r="C38" s="769"/>
      <c r="D38" s="769"/>
      <c r="E38" s="770"/>
      <c r="F38" s="768"/>
      <c r="G38" s="769"/>
      <c r="H38" s="770"/>
      <c r="I38" s="768"/>
      <c r="J38" s="769"/>
      <c r="K38" s="769"/>
      <c r="L38" s="770"/>
      <c r="M38" s="795"/>
      <c r="N38" s="795"/>
      <c r="O38" s="795"/>
      <c r="P38" s="795"/>
      <c r="Q38" s="795"/>
      <c r="R38" s="795"/>
      <c r="S38" s="795"/>
      <c r="T38" s="795"/>
      <c r="U38" s="795"/>
      <c r="V38" s="795"/>
      <c r="W38" s="795"/>
      <c r="X38" s="19"/>
      <c r="Y38" s="19"/>
      <c r="Z38" s="19"/>
      <c r="AA38" s="19"/>
      <c r="AB38" s="19"/>
      <c r="AC38" s="19"/>
      <c r="AD38" s="19"/>
      <c r="AE38" s="19"/>
      <c r="AF38" t="s">
        <v>222</v>
      </c>
      <c r="AH38" s="19"/>
      <c r="AI38" s="742"/>
      <c r="AJ38" s="746"/>
      <c r="AK38" s="787"/>
      <c r="AL38" s="787"/>
      <c r="AM38" s="787"/>
      <c r="AN38" s="787"/>
      <c r="AO38" s="787"/>
    </row>
    <row r="39" spans="1:41" ht="15.2" customHeight="1">
      <c r="A39" s="636"/>
      <c r="B39" s="765" t="s">
        <v>223</v>
      </c>
      <c r="C39" s="766"/>
      <c r="D39" s="766"/>
      <c r="E39" s="767"/>
      <c r="F39" s="773" t="s">
        <v>224</v>
      </c>
      <c r="G39" s="773"/>
      <c r="H39" s="773"/>
      <c r="I39" s="765" t="s">
        <v>225</v>
      </c>
      <c r="J39" s="766"/>
      <c r="K39" s="766"/>
      <c r="L39" s="767"/>
      <c r="M39" s="796"/>
      <c r="N39" s="796"/>
      <c r="O39" s="796"/>
      <c r="P39" s="796"/>
      <c r="Q39" s="796"/>
      <c r="R39" s="796"/>
      <c r="S39" s="796"/>
      <c r="T39" s="796"/>
      <c r="U39" s="796"/>
      <c r="V39" s="796"/>
      <c r="W39" s="796"/>
      <c r="X39" s="19"/>
      <c r="Y39" s="19"/>
      <c r="Z39" s="19"/>
      <c r="AA39" s="19"/>
      <c r="AB39" s="19"/>
      <c r="AC39" s="19"/>
      <c r="AD39" s="19"/>
      <c r="AE39" s="19"/>
      <c r="AF39" t="s">
        <v>158</v>
      </c>
      <c r="AH39" s="19"/>
      <c r="AI39" s="748" t="s">
        <v>226</v>
      </c>
      <c r="AJ39" s="739" t="s">
        <v>217</v>
      </c>
      <c r="AK39" s="787"/>
      <c r="AL39" s="787"/>
      <c r="AM39" s="787"/>
      <c r="AN39" s="787"/>
      <c r="AO39" s="787"/>
    </row>
    <row r="40" spans="1:41" ht="15.2" customHeight="1" thickBot="1">
      <c r="A40" s="764"/>
      <c r="B40" s="768"/>
      <c r="C40" s="769"/>
      <c r="D40" s="769"/>
      <c r="E40" s="770"/>
      <c r="F40" s="774"/>
      <c r="G40" s="774"/>
      <c r="H40" s="774"/>
      <c r="I40" s="768"/>
      <c r="J40" s="769"/>
      <c r="K40" s="769"/>
      <c r="L40" s="770"/>
      <c r="M40" s="796"/>
      <c r="N40" s="796"/>
      <c r="O40" s="796"/>
      <c r="P40" s="796"/>
      <c r="Q40" s="796"/>
      <c r="R40" s="796"/>
      <c r="S40" s="796"/>
      <c r="T40" s="796"/>
      <c r="U40" s="796"/>
      <c r="V40" s="796"/>
      <c r="W40" s="796"/>
      <c r="X40" s="19"/>
      <c r="Y40" s="19"/>
      <c r="Z40" s="19"/>
      <c r="AA40" s="19"/>
      <c r="AB40" s="19"/>
      <c r="AC40" s="19"/>
      <c r="AD40" s="19"/>
      <c r="AE40" s="19"/>
      <c r="AF40" t="s">
        <v>211</v>
      </c>
      <c r="AG40">
        <f>IF(AJ5="5 Year Fixed",60,IF(AJ5="10 Year Fixed",120,IF(AJ5="15 Year Fixed",180,IF(AJ5="20 Year Fixed",240,IF(AJ5="25 Year Fixed",300,IF(AJ5="30 Year Fixed",360,0))))))</f>
        <v>360</v>
      </c>
      <c r="AH40" s="19"/>
      <c r="AI40" s="749"/>
      <c r="AJ40" s="740"/>
      <c r="AK40" s="787"/>
      <c r="AL40" s="787"/>
      <c r="AM40" s="787"/>
      <c r="AN40" s="787"/>
      <c r="AO40" s="787"/>
    </row>
    <row r="41" spans="1:41" ht="15.2" customHeight="1">
      <c r="A41" s="775"/>
      <c r="B41" s="776"/>
      <c r="C41" s="776"/>
      <c r="D41" s="776"/>
      <c r="E41" s="776"/>
      <c r="F41" s="776"/>
      <c r="G41" s="776"/>
      <c r="H41" s="776"/>
      <c r="I41" s="776"/>
      <c r="J41" s="776"/>
      <c r="K41" s="776"/>
      <c r="L41" s="777"/>
      <c r="M41" s="796"/>
      <c r="N41" s="796"/>
      <c r="O41" s="796"/>
      <c r="P41" s="796"/>
      <c r="Q41" s="796"/>
      <c r="R41" s="796"/>
      <c r="S41" s="796"/>
      <c r="T41" s="796"/>
      <c r="U41" s="796"/>
      <c r="V41" s="796"/>
      <c r="W41" s="796"/>
      <c r="X41" s="19"/>
      <c r="Y41" s="19"/>
      <c r="Z41" s="19"/>
      <c r="AA41" s="19"/>
      <c r="AB41" s="19"/>
      <c r="AC41" s="19"/>
      <c r="AD41" s="19"/>
      <c r="AE41" s="19"/>
      <c r="AF41" t="s">
        <v>226</v>
      </c>
      <c r="AG41">
        <v>360</v>
      </c>
      <c r="AH41" s="19"/>
      <c r="AI41" s="748" t="s">
        <v>176</v>
      </c>
      <c r="AJ41" s="743">
        <v>9.2499999999999999E-2</v>
      </c>
      <c r="AK41" s="787"/>
      <c r="AL41" s="787"/>
      <c r="AM41" s="787"/>
      <c r="AN41" s="787"/>
      <c r="AO41" s="787"/>
    </row>
    <row r="42" spans="1:41" ht="15.2" customHeight="1" thickBot="1">
      <c r="A42" s="778"/>
      <c r="B42" s="779"/>
      <c r="C42" s="779"/>
      <c r="D42" s="779"/>
      <c r="E42" s="779"/>
      <c r="F42" s="779"/>
      <c r="G42" s="779"/>
      <c r="H42" s="779"/>
      <c r="I42" s="779"/>
      <c r="J42" s="779"/>
      <c r="K42" s="779"/>
      <c r="L42" s="780"/>
      <c r="M42" s="796"/>
      <c r="N42" s="796"/>
      <c r="O42" s="796"/>
      <c r="P42" s="796"/>
      <c r="Q42" s="796"/>
      <c r="R42" s="796"/>
      <c r="S42" s="796"/>
      <c r="T42" s="796"/>
      <c r="U42" s="796"/>
      <c r="V42" s="796"/>
      <c r="W42" s="796"/>
      <c r="AF42" t="s">
        <v>227</v>
      </c>
      <c r="AG42">
        <f>IF(AJ31="5 Year Fixed",60,IF(AJ31="10 Year Fixed",120,IF(AJ31="15 Year Fixed",180,IF(AJ31="20 Year Fixed",240,IF(AJ31="25 Year Fixed",300,IF(AJ31="30 Year Fixed",360,0))))))</f>
        <v>240</v>
      </c>
      <c r="AI42" s="749"/>
      <c r="AJ42" s="744"/>
      <c r="AK42" s="787"/>
      <c r="AL42" s="787"/>
      <c r="AM42" s="787"/>
      <c r="AN42" s="787"/>
      <c r="AO42" s="787"/>
    </row>
    <row r="43" spans="1:41" ht="15.2" customHeight="1" thickBot="1">
      <c r="A43" s="781"/>
      <c r="B43" s="782"/>
      <c r="C43" s="782"/>
      <c r="D43" s="782"/>
      <c r="E43" s="782"/>
      <c r="F43" s="782"/>
      <c r="G43" s="782"/>
      <c r="H43" s="782"/>
      <c r="I43" s="782"/>
      <c r="J43" s="782"/>
      <c r="K43" s="782"/>
      <c r="L43" s="783"/>
      <c r="M43" s="796"/>
      <c r="N43" s="796"/>
      <c r="O43" s="796"/>
      <c r="P43" s="796"/>
      <c r="Q43" s="796"/>
      <c r="R43" s="796"/>
      <c r="S43" s="796"/>
      <c r="T43" s="796"/>
      <c r="U43" s="796"/>
      <c r="V43" s="796"/>
      <c r="W43" s="796"/>
      <c r="AF43" t="s">
        <v>228</v>
      </c>
      <c r="AG43">
        <f>IF(AJ39="5 Year Fixed",60,IF(AJ39="10 Year Fixed",120,IF(AJ39="15 Year Fixed",180,IF(AJ39="20 Year Fixed",240,IF(AJ39="25 Year Fixed",300,IF(AJ39="30 Year Fixed",360,0))))))</f>
        <v>120</v>
      </c>
      <c r="AI43" s="748" t="s">
        <v>163</v>
      </c>
      <c r="AJ43" s="743">
        <v>0.10385999999999999</v>
      </c>
      <c r="AK43" s="787"/>
      <c r="AL43" s="787"/>
      <c r="AM43" s="787"/>
      <c r="AN43" s="787"/>
      <c r="AO43" s="787"/>
    </row>
    <row r="44" spans="1:41" ht="15.2" customHeight="1" thickBot="1">
      <c r="A44" s="758" t="str">
        <f>G1&amp;" - "&amp;START!$E$25</f>
        <v>Ellis Andersen | Branch Manager - (949) 892-1736</v>
      </c>
      <c r="B44" s="759"/>
      <c r="C44" s="759"/>
      <c r="D44" s="759"/>
      <c r="E44" s="759"/>
      <c r="F44" s="759"/>
      <c r="G44" s="759"/>
      <c r="H44" s="759"/>
      <c r="I44" s="759"/>
      <c r="J44" s="759"/>
      <c r="K44" s="759"/>
      <c r="L44" s="760"/>
      <c r="M44" s="796"/>
      <c r="N44" s="796"/>
      <c r="O44" s="796"/>
      <c r="P44" s="796"/>
      <c r="Q44" s="796"/>
      <c r="R44" s="796"/>
      <c r="S44" s="796"/>
      <c r="T44" s="796"/>
      <c r="U44" s="796"/>
      <c r="V44" s="796"/>
      <c r="W44" s="796"/>
      <c r="AI44" s="749"/>
      <c r="AJ44" s="744"/>
      <c r="AK44" s="787"/>
      <c r="AL44" s="787"/>
      <c r="AM44" s="787"/>
      <c r="AN44" s="787"/>
      <c r="AO44" s="787"/>
    </row>
    <row r="45" spans="1:41" ht="15" customHeight="1">
      <c r="A45" s="758"/>
      <c r="B45" s="759"/>
      <c r="C45" s="759"/>
      <c r="D45" s="759"/>
      <c r="E45" s="759"/>
      <c r="F45" s="759"/>
      <c r="G45" s="759"/>
      <c r="H45" s="759"/>
      <c r="I45" s="759"/>
      <c r="J45" s="759"/>
      <c r="K45" s="759"/>
      <c r="L45" s="760"/>
      <c r="M45" s="796"/>
      <c r="N45" s="796"/>
      <c r="O45" s="796"/>
      <c r="P45" s="796"/>
      <c r="Q45" s="796"/>
      <c r="R45" s="796"/>
      <c r="S45" s="796"/>
      <c r="T45" s="796"/>
      <c r="U45" s="796"/>
      <c r="V45" s="796"/>
      <c r="W45" s="796"/>
      <c r="AI45" s="748" t="s">
        <v>187</v>
      </c>
      <c r="AJ45" s="745">
        <f>(B13*0.025)+2594.9</f>
        <v>21094.9</v>
      </c>
      <c r="AK45" s="787"/>
      <c r="AL45" s="787"/>
      <c r="AM45" s="787"/>
      <c r="AN45" s="787"/>
      <c r="AO45" s="787"/>
    </row>
    <row r="46" spans="1:41" ht="18.75" thickBot="1">
      <c r="A46" s="761" t="s">
        <v>229</v>
      </c>
      <c r="B46" s="762"/>
      <c r="C46" s="762"/>
      <c r="D46" s="762"/>
      <c r="E46" s="762"/>
      <c r="F46" s="762"/>
      <c r="G46" s="762"/>
      <c r="H46" s="762"/>
      <c r="I46" s="762"/>
      <c r="J46" s="762"/>
      <c r="K46" s="762"/>
      <c r="L46" s="763"/>
      <c r="M46" s="796"/>
      <c r="N46" s="796"/>
      <c r="O46" s="796"/>
      <c r="P46" s="796"/>
      <c r="Q46" s="796"/>
      <c r="R46" s="796"/>
      <c r="S46" s="796"/>
      <c r="T46" s="796"/>
      <c r="U46" s="796"/>
      <c r="V46" s="796"/>
      <c r="W46" s="796"/>
      <c r="AI46" s="749"/>
      <c r="AJ46" s="746"/>
      <c r="AK46" s="787"/>
      <c r="AL46" s="787"/>
      <c r="AM46" s="787"/>
      <c r="AN46" s="787"/>
      <c r="AO46" s="787"/>
    </row>
    <row r="47" spans="1:41">
      <c r="A47" s="776"/>
      <c r="B47" s="776"/>
      <c r="C47" s="776"/>
      <c r="D47" s="776"/>
      <c r="E47" s="776"/>
      <c r="F47" s="776"/>
      <c r="G47" s="776"/>
      <c r="H47" s="776"/>
      <c r="I47" s="776"/>
      <c r="J47" s="776"/>
      <c r="K47" s="776"/>
      <c r="L47" s="776"/>
      <c r="M47" s="796"/>
      <c r="N47" s="796"/>
      <c r="O47" s="796"/>
      <c r="P47" s="796"/>
      <c r="Q47" s="796"/>
      <c r="R47" s="796"/>
      <c r="S47" s="796"/>
      <c r="T47" s="796"/>
      <c r="U47" s="796"/>
      <c r="V47" s="796"/>
      <c r="W47" s="796"/>
      <c r="AI47" s="788"/>
      <c r="AJ47" s="788"/>
      <c r="AK47" s="787"/>
      <c r="AL47" s="787"/>
      <c r="AM47" s="787"/>
      <c r="AN47" s="787"/>
      <c r="AO47" s="787"/>
    </row>
    <row r="48" spans="1:41">
      <c r="A48" s="779"/>
      <c r="B48" s="779"/>
      <c r="C48" s="779"/>
      <c r="D48" s="779"/>
      <c r="E48" s="779"/>
      <c r="F48" s="779"/>
      <c r="G48" s="779"/>
      <c r="H48" s="779"/>
      <c r="I48" s="779"/>
      <c r="J48" s="779"/>
      <c r="K48" s="779"/>
      <c r="L48" s="779"/>
      <c r="M48" s="796"/>
      <c r="N48" s="796"/>
      <c r="O48" s="796"/>
      <c r="P48" s="796"/>
      <c r="Q48" s="796"/>
      <c r="R48" s="796"/>
      <c r="S48" s="796"/>
      <c r="T48" s="796"/>
      <c r="U48" s="796"/>
      <c r="V48" s="796"/>
      <c r="W48" s="796"/>
      <c r="AI48" s="787"/>
      <c r="AJ48" s="787"/>
      <c r="AK48" s="787"/>
      <c r="AL48" s="787"/>
      <c r="AM48" s="787"/>
      <c r="AN48" s="787"/>
      <c r="AO48" s="787"/>
    </row>
    <row r="49" spans="1:41">
      <c r="A49" s="779"/>
      <c r="B49" s="779"/>
      <c r="C49" s="779"/>
      <c r="D49" s="779"/>
      <c r="E49" s="779"/>
      <c r="F49" s="779"/>
      <c r="G49" s="779"/>
      <c r="H49" s="779"/>
      <c r="I49" s="779"/>
      <c r="J49" s="779"/>
      <c r="K49" s="779"/>
      <c r="L49" s="779"/>
      <c r="M49" s="796"/>
      <c r="N49" s="796"/>
      <c r="O49" s="796"/>
      <c r="P49" s="796"/>
      <c r="Q49" s="796"/>
      <c r="R49" s="796"/>
      <c r="S49" s="796"/>
      <c r="T49" s="796"/>
      <c r="U49" s="796"/>
      <c r="V49" s="796"/>
      <c r="W49" s="796"/>
      <c r="AI49" s="787"/>
      <c r="AJ49" s="787"/>
      <c r="AK49" s="787"/>
      <c r="AL49" s="787"/>
      <c r="AM49" s="787"/>
      <c r="AN49" s="787"/>
      <c r="AO49" s="787"/>
    </row>
    <row r="50" spans="1:41">
      <c r="A50" s="779"/>
      <c r="B50" s="779"/>
      <c r="C50" s="779"/>
      <c r="D50" s="779"/>
      <c r="E50" s="779"/>
      <c r="F50" s="779"/>
      <c r="G50" s="779"/>
      <c r="H50" s="779"/>
      <c r="I50" s="779"/>
      <c r="J50" s="779"/>
      <c r="K50" s="779"/>
      <c r="L50" s="779"/>
      <c r="M50" s="796"/>
      <c r="N50" s="796"/>
      <c r="O50" s="796"/>
      <c r="P50" s="796"/>
      <c r="Q50" s="796"/>
      <c r="R50" s="796"/>
      <c r="S50" s="796"/>
      <c r="T50" s="796"/>
      <c r="U50" s="796"/>
      <c r="V50" s="796"/>
      <c r="W50" s="796"/>
      <c r="AI50" s="787"/>
      <c r="AJ50" s="787"/>
      <c r="AK50" s="787"/>
      <c r="AL50" s="787"/>
      <c r="AM50" s="787"/>
      <c r="AN50" s="787"/>
      <c r="AO50" s="787"/>
    </row>
    <row r="51" spans="1:41">
      <c r="A51" s="779"/>
      <c r="B51" s="779"/>
      <c r="C51" s="779"/>
      <c r="D51" s="779"/>
      <c r="E51" s="779"/>
      <c r="F51" s="779"/>
      <c r="G51" s="779"/>
      <c r="H51" s="779"/>
      <c r="I51" s="779"/>
      <c r="J51" s="779"/>
      <c r="K51" s="779"/>
      <c r="L51" s="779"/>
      <c r="M51" s="796"/>
      <c r="N51" s="796"/>
      <c r="O51" s="796"/>
      <c r="P51" s="796"/>
      <c r="Q51" s="796"/>
      <c r="R51" s="796"/>
      <c r="S51" s="796"/>
      <c r="T51" s="796"/>
      <c r="U51" s="796"/>
      <c r="V51" s="796"/>
      <c r="W51" s="796"/>
      <c r="AI51" s="787"/>
      <c r="AJ51" s="787"/>
      <c r="AK51" s="787"/>
      <c r="AL51" s="787"/>
      <c r="AM51" s="787"/>
      <c r="AN51" s="787"/>
      <c r="AO51" s="787"/>
    </row>
    <row r="52" spans="1:41">
      <c r="A52" s="84"/>
      <c r="B52" s="84"/>
      <c r="C52" s="84"/>
      <c r="D52" s="84"/>
      <c r="E52" s="84"/>
      <c r="F52" s="84"/>
      <c r="G52" s="84"/>
      <c r="H52" s="84"/>
      <c r="I52" s="84"/>
      <c r="J52" s="84"/>
      <c r="K52" s="84"/>
      <c r="L52" s="84"/>
      <c r="M52" s="79"/>
      <c r="N52" s="79"/>
      <c r="O52" s="79"/>
      <c r="P52" s="79"/>
      <c r="Q52" s="79"/>
      <c r="R52" s="79"/>
      <c r="S52" s="79"/>
      <c r="T52" s="79"/>
      <c r="U52" s="79"/>
      <c r="V52" s="79"/>
      <c r="W52" s="79"/>
    </row>
    <row r="53" spans="1:41">
      <c r="A53" s="84"/>
      <c r="B53" s="84"/>
      <c r="C53" s="84"/>
      <c r="D53" s="84"/>
      <c r="E53" s="84"/>
      <c r="F53" s="84"/>
      <c r="G53" s="84"/>
      <c r="H53" s="84"/>
      <c r="I53" s="84"/>
      <c r="J53" s="84"/>
      <c r="K53" s="84"/>
      <c r="L53" s="84"/>
      <c r="M53" s="79"/>
      <c r="N53" s="79"/>
      <c r="O53" s="79"/>
      <c r="P53" s="79"/>
      <c r="Q53" s="79"/>
      <c r="R53" s="79"/>
      <c r="S53" s="79"/>
      <c r="T53" s="79"/>
      <c r="U53" s="79"/>
      <c r="V53" s="79"/>
      <c r="W53" s="79"/>
    </row>
    <row r="54" spans="1:41">
      <c r="A54" s="84"/>
      <c r="B54" s="84"/>
      <c r="C54" s="84"/>
      <c r="D54" s="84"/>
      <c r="E54" s="84"/>
      <c r="F54" s="84"/>
      <c r="G54" s="84"/>
      <c r="H54" s="84"/>
      <c r="I54" s="84"/>
      <c r="J54" s="84"/>
      <c r="K54" s="84"/>
      <c r="L54" s="84"/>
      <c r="M54" s="79"/>
      <c r="N54" s="79"/>
      <c r="O54" s="79"/>
      <c r="P54" s="79"/>
      <c r="Q54" s="79"/>
      <c r="R54" s="79"/>
      <c r="S54" s="79"/>
      <c r="T54" s="79"/>
      <c r="U54" s="79"/>
      <c r="V54" s="79"/>
      <c r="W54" s="79"/>
    </row>
    <row r="55" spans="1:41">
      <c r="A55" s="84"/>
      <c r="B55" s="84"/>
      <c r="C55" s="84"/>
      <c r="D55" s="84"/>
      <c r="E55" s="84"/>
      <c r="F55" s="84"/>
      <c r="G55" s="84"/>
      <c r="H55" s="84"/>
      <c r="I55" s="84"/>
      <c r="J55" s="84"/>
      <c r="K55" s="84"/>
      <c r="L55" s="84"/>
      <c r="M55" s="79"/>
      <c r="N55" s="79"/>
      <c r="O55" s="79"/>
      <c r="P55" s="79"/>
      <c r="Q55" s="79"/>
      <c r="R55" s="79"/>
      <c r="S55" s="79"/>
      <c r="T55" s="79"/>
      <c r="U55" s="79"/>
      <c r="V55" s="79"/>
      <c r="W55" s="79"/>
    </row>
    <row r="56" spans="1:41">
      <c r="A56" s="84"/>
      <c r="B56" s="84"/>
      <c r="C56" s="84"/>
      <c r="D56" s="84"/>
      <c r="E56" s="84"/>
      <c r="F56" s="84"/>
      <c r="G56" s="84"/>
      <c r="H56" s="84"/>
      <c r="I56" s="84"/>
      <c r="J56" s="84"/>
      <c r="K56" s="84"/>
      <c r="L56" s="84"/>
      <c r="M56" s="79"/>
      <c r="N56" s="79"/>
      <c r="O56" s="79"/>
      <c r="P56" s="79"/>
      <c r="Q56" s="79"/>
      <c r="R56" s="79"/>
      <c r="S56" s="79"/>
      <c r="T56" s="79"/>
      <c r="U56" s="79"/>
      <c r="V56" s="79"/>
      <c r="W56" s="79"/>
    </row>
    <row r="57" spans="1:41">
      <c r="A57" s="84"/>
      <c r="B57" s="84"/>
      <c r="C57" s="84"/>
      <c r="D57" s="84"/>
      <c r="E57" s="84"/>
      <c r="F57" s="84"/>
      <c r="G57" s="84"/>
      <c r="H57" s="84"/>
      <c r="I57" s="84"/>
      <c r="J57" s="84"/>
      <c r="K57" s="84"/>
      <c r="L57" s="84"/>
      <c r="M57" s="79"/>
      <c r="N57" s="79"/>
      <c r="O57" s="79"/>
      <c r="P57" s="79"/>
      <c r="Q57" s="79"/>
      <c r="R57" s="79"/>
      <c r="S57" s="79"/>
      <c r="T57" s="79"/>
      <c r="U57" s="79"/>
      <c r="V57" s="79"/>
      <c r="W57" s="79"/>
    </row>
    <row r="58" spans="1:41">
      <c r="A58" s="84"/>
      <c r="B58" s="84"/>
      <c r="C58" s="84"/>
      <c r="D58" s="84"/>
      <c r="E58" s="84"/>
      <c r="F58" s="84"/>
      <c r="G58" s="84"/>
      <c r="H58" s="84"/>
      <c r="I58" s="84"/>
      <c r="J58" s="84"/>
      <c r="K58" s="84"/>
      <c r="L58" s="84"/>
      <c r="M58" s="79"/>
      <c r="N58" s="79"/>
      <c r="O58" s="79"/>
      <c r="P58" s="79"/>
      <c r="Q58" s="79"/>
      <c r="R58" s="79"/>
      <c r="S58" s="79"/>
      <c r="T58" s="79"/>
      <c r="U58" s="79"/>
      <c r="V58" s="79"/>
      <c r="W58" s="79"/>
    </row>
    <row r="59" spans="1:41">
      <c r="A59" s="84"/>
      <c r="B59" s="84"/>
      <c r="C59" s="84"/>
      <c r="D59" s="84"/>
      <c r="E59" s="84"/>
      <c r="F59" s="84"/>
      <c r="G59" s="84"/>
      <c r="H59" s="84"/>
      <c r="I59" s="84"/>
      <c r="J59" s="84"/>
      <c r="K59" s="84"/>
      <c r="L59" s="84"/>
      <c r="M59" s="79"/>
      <c r="N59" s="79"/>
      <c r="O59" s="79"/>
      <c r="P59" s="79"/>
      <c r="Q59" s="79"/>
      <c r="R59" s="79"/>
      <c r="S59" s="79"/>
      <c r="T59" s="79"/>
      <c r="U59" s="79"/>
      <c r="V59" s="79"/>
      <c r="W59" s="79"/>
    </row>
    <row r="60" spans="1:41">
      <c r="A60" s="84"/>
      <c r="B60" s="84"/>
      <c r="C60" s="84"/>
      <c r="D60" s="84"/>
      <c r="E60" s="84"/>
      <c r="F60" s="84"/>
      <c r="G60" s="84"/>
      <c r="H60" s="84"/>
      <c r="I60" s="84"/>
      <c r="J60" s="84"/>
      <c r="K60" s="84"/>
      <c r="L60" s="84"/>
      <c r="M60" s="79"/>
      <c r="N60" s="79"/>
      <c r="O60" s="79"/>
      <c r="P60" s="79"/>
      <c r="Q60" s="79"/>
      <c r="R60" s="79"/>
      <c r="S60" s="79"/>
      <c r="T60" s="79"/>
      <c r="U60" s="79"/>
      <c r="V60" s="79"/>
      <c r="W60" s="79"/>
    </row>
    <row r="61" spans="1:41">
      <c r="A61" s="84"/>
      <c r="B61" s="84"/>
      <c r="C61" s="84"/>
      <c r="D61" s="84"/>
      <c r="E61" s="84"/>
      <c r="F61" s="84"/>
      <c r="G61" s="84"/>
      <c r="H61" s="84"/>
      <c r="I61" s="84"/>
      <c r="J61" s="84"/>
      <c r="K61" s="84"/>
      <c r="L61" s="84"/>
      <c r="M61" s="79"/>
      <c r="N61" s="79"/>
      <c r="O61" s="79"/>
      <c r="P61" s="79"/>
      <c r="Q61" s="79"/>
      <c r="R61" s="79"/>
      <c r="S61" s="79"/>
      <c r="T61" s="79"/>
      <c r="U61" s="79"/>
      <c r="V61" s="79"/>
      <c r="W61" s="79"/>
    </row>
    <row r="62" spans="1:41">
      <c r="A62" s="84"/>
      <c r="B62" s="84"/>
      <c r="C62" s="84"/>
      <c r="D62" s="84"/>
      <c r="E62" s="84"/>
      <c r="F62" s="84"/>
      <c r="G62" s="84"/>
      <c r="H62" s="84"/>
      <c r="I62" s="84"/>
      <c r="J62" s="84"/>
      <c r="K62" s="84"/>
      <c r="L62" s="84"/>
      <c r="M62" s="79"/>
      <c r="N62" s="79"/>
      <c r="O62" s="79"/>
      <c r="P62" s="79"/>
      <c r="Q62" s="79"/>
      <c r="R62" s="79"/>
      <c r="S62" s="79"/>
      <c r="T62" s="79"/>
      <c r="U62" s="79"/>
      <c r="V62" s="79"/>
      <c r="W62" s="79"/>
    </row>
    <row r="63" spans="1:41">
      <c r="A63" s="84"/>
      <c r="B63" s="84"/>
      <c r="C63" s="84"/>
      <c r="D63" s="84"/>
      <c r="E63" s="84"/>
      <c r="F63" s="84"/>
      <c r="G63" s="84"/>
      <c r="H63" s="84"/>
      <c r="I63" s="84"/>
      <c r="J63" s="84"/>
      <c r="K63" s="84"/>
      <c r="L63" s="84"/>
      <c r="M63" s="79"/>
      <c r="N63" s="79"/>
      <c r="O63" s="79"/>
      <c r="P63" s="79"/>
      <c r="Q63" s="79"/>
      <c r="R63" s="79"/>
      <c r="S63" s="79"/>
      <c r="T63" s="79"/>
      <c r="U63" s="79"/>
      <c r="V63" s="79"/>
      <c r="W63" s="79"/>
    </row>
    <row r="64" spans="1:41">
      <c r="A64" s="84"/>
      <c r="B64" s="84"/>
      <c r="C64" s="84"/>
      <c r="D64" s="84"/>
      <c r="E64" s="84"/>
      <c r="F64" s="84"/>
      <c r="G64" s="84"/>
      <c r="H64" s="84"/>
      <c r="I64" s="84"/>
      <c r="J64" s="84"/>
      <c r="K64" s="84"/>
      <c r="L64" s="84"/>
      <c r="M64" s="79"/>
      <c r="N64" s="79"/>
      <c r="O64" s="79"/>
      <c r="P64" s="79"/>
      <c r="Q64" s="79"/>
      <c r="R64" s="79"/>
      <c r="S64" s="79"/>
      <c r="T64" s="79"/>
      <c r="U64" s="79"/>
      <c r="V64" s="79"/>
      <c r="W64" s="79"/>
    </row>
    <row r="65" spans="1:23">
      <c r="A65" s="84"/>
      <c r="B65" s="84"/>
      <c r="C65" s="84"/>
      <c r="D65" s="84"/>
      <c r="E65" s="84"/>
      <c r="F65" s="84"/>
      <c r="G65" s="84"/>
      <c r="H65" s="84"/>
      <c r="I65" s="84"/>
      <c r="J65" s="84"/>
      <c r="K65" s="84"/>
      <c r="L65" s="84"/>
      <c r="M65" s="79"/>
      <c r="N65" s="79"/>
      <c r="O65" s="79"/>
      <c r="P65" s="79"/>
      <c r="Q65" s="79"/>
      <c r="R65" s="79"/>
      <c r="S65" s="79"/>
      <c r="T65" s="79"/>
      <c r="U65" s="79"/>
      <c r="V65" s="79"/>
      <c r="W65" s="79"/>
    </row>
    <row r="66" spans="1:23">
      <c r="A66" s="84"/>
      <c r="B66" s="84"/>
      <c r="C66" s="84"/>
      <c r="D66" s="84"/>
      <c r="E66" s="84"/>
      <c r="F66" s="84"/>
      <c r="G66" s="84"/>
      <c r="H66" s="84"/>
      <c r="I66" s="84"/>
      <c r="J66" s="84"/>
      <c r="K66" s="84"/>
      <c r="L66" s="84"/>
      <c r="M66" s="79"/>
      <c r="N66" s="79"/>
      <c r="O66" s="79"/>
      <c r="P66" s="79"/>
      <c r="Q66" s="79"/>
      <c r="R66" s="79"/>
      <c r="S66" s="79"/>
      <c r="T66" s="79"/>
      <c r="U66" s="79"/>
      <c r="V66" s="79"/>
      <c r="W66" s="79"/>
    </row>
    <row r="67" spans="1:23">
      <c r="A67" s="84"/>
      <c r="B67" s="84"/>
      <c r="C67" s="84"/>
      <c r="D67" s="84"/>
      <c r="E67" s="84"/>
      <c r="F67" s="84"/>
      <c r="G67" s="84"/>
      <c r="H67" s="84"/>
      <c r="I67" s="84"/>
      <c r="J67" s="84"/>
      <c r="K67" s="84"/>
      <c r="L67" s="84"/>
      <c r="M67" s="79"/>
      <c r="N67" s="79"/>
      <c r="O67" s="79"/>
      <c r="P67" s="79"/>
      <c r="Q67" s="79"/>
      <c r="R67" s="79"/>
      <c r="S67" s="79"/>
      <c r="T67" s="79"/>
      <c r="U67" s="79"/>
      <c r="V67" s="79"/>
      <c r="W67" s="79"/>
    </row>
    <row r="68" spans="1:23">
      <c r="A68" s="84"/>
      <c r="B68" s="84"/>
      <c r="C68" s="84"/>
      <c r="D68" s="84"/>
      <c r="E68" s="84"/>
      <c r="F68" s="84"/>
      <c r="G68" s="84"/>
      <c r="H68" s="84"/>
      <c r="I68" s="84"/>
      <c r="J68" s="84"/>
      <c r="K68" s="84"/>
      <c r="L68" s="84"/>
      <c r="M68" s="79"/>
      <c r="N68" s="79"/>
      <c r="O68" s="79"/>
      <c r="P68" s="79"/>
      <c r="Q68" s="79"/>
      <c r="R68" s="79"/>
      <c r="S68" s="79"/>
      <c r="T68" s="79"/>
      <c r="U68" s="79"/>
      <c r="V68" s="79"/>
      <c r="W68" s="79"/>
    </row>
    <row r="69" spans="1:23">
      <c r="A69" s="84"/>
      <c r="B69" s="84"/>
      <c r="C69" s="84"/>
      <c r="D69" s="84"/>
      <c r="E69" s="84"/>
      <c r="F69" s="84"/>
      <c r="G69" s="84"/>
      <c r="H69" s="84"/>
      <c r="I69" s="84"/>
      <c r="J69" s="84"/>
      <c r="K69" s="84"/>
      <c r="L69" s="84"/>
      <c r="M69" s="79"/>
      <c r="N69" s="79"/>
      <c r="O69" s="79"/>
      <c r="P69" s="79"/>
      <c r="Q69" s="79"/>
      <c r="R69" s="79"/>
      <c r="S69" s="79"/>
      <c r="T69" s="79"/>
      <c r="U69" s="79"/>
      <c r="V69" s="79"/>
      <c r="W69" s="79"/>
    </row>
    <row r="70" spans="1:23">
      <c r="A70" s="84"/>
      <c r="B70" s="84"/>
      <c r="C70" s="84"/>
      <c r="D70" s="84"/>
      <c r="E70" s="84"/>
      <c r="F70" s="84"/>
      <c r="G70" s="84"/>
      <c r="H70" s="84"/>
      <c r="I70" s="84"/>
      <c r="J70" s="84"/>
      <c r="K70" s="84"/>
      <c r="L70" s="84"/>
      <c r="M70" s="79"/>
      <c r="N70" s="79"/>
      <c r="O70" s="79"/>
      <c r="P70" s="79"/>
      <c r="Q70" s="79"/>
      <c r="R70" s="79"/>
      <c r="S70" s="79"/>
      <c r="T70" s="79"/>
      <c r="U70" s="79"/>
      <c r="V70" s="79"/>
      <c r="W70" s="79"/>
    </row>
    <row r="71" spans="1:23">
      <c r="A71" s="84"/>
      <c r="B71" s="84"/>
      <c r="C71" s="84"/>
      <c r="D71" s="84"/>
      <c r="E71" s="84"/>
      <c r="F71" s="84"/>
      <c r="G71" s="84"/>
      <c r="H71" s="84"/>
      <c r="I71" s="84"/>
      <c r="J71" s="84"/>
      <c r="K71" s="84"/>
      <c r="L71" s="84"/>
      <c r="M71" s="79"/>
      <c r="N71" s="79"/>
      <c r="O71" s="79"/>
      <c r="P71" s="79"/>
      <c r="Q71" s="79"/>
      <c r="R71" s="79"/>
      <c r="S71" s="79"/>
      <c r="T71" s="79"/>
      <c r="U71" s="79"/>
      <c r="V71" s="79"/>
      <c r="W71" s="79"/>
    </row>
    <row r="72" spans="1:23">
      <c r="A72" s="84"/>
      <c r="B72" s="84"/>
      <c r="C72" s="84"/>
      <c r="D72" s="84"/>
      <c r="E72" s="84"/>
      <c r="F72" s="84"/>
      <c r="G72" s="84"/>
      <c r="H72" s="84"/>
      <c r="I72" s="84"/>
      <c r="J72" s="84"/>
      <c r="K72" s="84"/>
      <c r="L72" s="84"/>
      <c r="M72" s="79"/>
      <c r="N72" s="79"/>
      <c r="O72" s="79"/>
      <c r="P72" s="79"/>
      <c r="Q72" s="79"/>
      <c r="R72" s="79"/>
      <c r="S72" s="79"/>
      <c r="T72" s="79"/>
      <c r="U72" s="79"/>
      <c r="V72" s="79"/>
      <c r="W72" s="79"/>
    </row>
    <row r="73" spans="1:23">
      <c r="A73" s="84"/>
      <c r="B73" s="84"/>
      <c r="C73" s="84"/>
      <c r="D73" s="84"/>
      <c r="E73" s="84"/>
      <c r="F73" s="84"/>
      <c r="G73" s="84"/>
      <c r="H73" s="84"/>
      <c r="I73" s="84"/>
      <c r="J73" s="84"/>
      <c r="K73" s="84"/>
      <c r="L73" s="84"/>
      <c r="M73" s="79"/>
      <c r="N73" s="79"/>
      <c r="O73" s="79"/>
      <c r="P73" s="79"/>
      <c r="Q73" s="79"/>
      <c r="R73" s="79"/>
      <c r="S73" s="79"/>
      <c r="T73" s="79"/>
      <c r="U73" s="79"/>
      <c r="V73" s="79"/>
      <c r="W73" s="79"/>
    </row>
    <row r="74" spans="1:23">
      <c r="A74" s="84"/>
      <c r="B74" s="84"/>
      <c r="C74" s="84"/>
      <c r="D74" s="84"/>
      <c r="E74" s="84"/>
      <c r="F74" s="84"/>
      <c r="G74" s="84"/>
      <c r="H74" s="84"/>
      <c r="I74" s="84"/>
      <c r="J74" s="84"/>
      <c r="K74" s="84"/>
      <c r="L74" s="84"/>
      <c r="M74" s="79"/>
      <c r="N74" s="79"/>
      <c r="O74" s="79"/>
      <c r="P74" s="79"/>
      <c r="Q74" s="79"/>
      <c r="R74" s="79"/>
      <c r="S74" s="79"/>
      <c r="T74" s="79"/>
      <c r="U74" s="79"/>
      <c r="V74" s="79"/>
      <c r="W74" s="79"/>
    </row>
    <row r="75" spans="1:23">
      <c r="A75" s="84"/>
      <c r="B75" s="84"/>
      <c r="C75" s="84"/>
      <c r="D75" s="84"/>
      <c r="E75" s="84"/>
      <c r="F75" s="84"/>
      <c r="G75" s="84"/>
      <c r="H75" s="84"/>
      <c r="I75" s="84"/>
      <c r="J75" s="84"/>
      <c r="K75" s="84"/>
      <c r="L75" s="84"/>
      <c r="M75" s="79"/>
      <c r="N75" s="79"/>
      <c r="O75" s="79"/>
      <c r="P75" s="79"/>
      <c r="Q75" s="79"/>
      <c r="R75" s="79"/>
      <c r="S75" s="79"/>
      <c r="T75" s="79"/>
      <c r="U75" s="79"/>
      <c r="V75" s="79"/>
      <c r="W75" s="79"/>
    </row>
    <row r="76" spans="1:23">
      <c r="A76" s="84"/>
      <c r="B76" s="84"/>
      <c r="C76" s="84"/>
      <c r="D76" s="84"/>
      <c r="E76" s="84"/>
      <c r="F76" s="84"/>
      <c r="G76" s="84"/>
      <c r="H76" s="84"/>
      <c r="I76" s="84"/>
      <c r="J76" s="84"/>
      <c r="K76" s="84"/>
      <c r="L76" s="84"/>
      <c r="M76" s="79"/>
      <c r="N76" s="79"/>
      <c r="O76" s="79"/>
      <c r="P76" s="79"/>
      <c r="Q76" s="79"/>
      <c r="R76" s="79"/>
      <c r="S76" s="79"/>
      <c r="T76" s="79"/>
      <c r="U76" s="79"/>
      <c r="V76" s="79"/>
      <c r="W76" s="79"/>
    </row>
    <row r="77" spans="1:23">
      <c r="A77" s="84"/>
      <c r="B77" s="84"/>
      <c r="C77" s="84"/>
      <c r="D77" s="84"/>
      <c r="E77" s="84"/>
      <c r="F77" s="84"/>
      <c r="G77" s="84"/>
      <c r="H77" s="84"/>
      <c r="I77" s="84"/>
      <c r="J77" s="84"/>
      <c r="K77" s="84"/>
      <c r="L77" s="84"/>
      <c r="M77" s="79"/>
      <c r="N77" s="79"/>
      <c r="O77" s="79"/>
      <c r="P77" s="79"/>
      <c r="Q77" s="79"/>
      <c r="R77" s="79"/>
      <c r="S77" s="79"/>
      <c r="T77" s="79"/>
      <c r="U77" s="79"/>
      <c r="V77" s="79"/>
      <c r="W77" s="79"/>
    </row>
    <row r="78" spans="1:23">
      <c r="A78" s="84"/>
      <c r="B78" s="84"/>
      <c r="C78" s="84"/>
      <c r="D78" s="84"/>
      <c r="E78" s="84"/>
      <c r="F78" s="84"/>
      <c r="G78" s="84"/>
      <c r="H78" s="84"/>
      <c r="I78" s="84"/>
      <c r="J78" s="84"/>
      <c r="K78" s="84"/>
      <c r="L78" s="84"/>
      <c r="M78" s="79"/>
      <c r="N78" s="79"/>
      <c r="O78" s="79"/>
      <c r="P78" s="79"/>
      <c r="Q78" s="79"/>
      <c r="R78" s="79"/>
      <c r="S78" s="79"/>
      <c r="T78" s="79"/>
      <c r="U78" s="79"/>
      <c r="V78" s="79"/>
      <c r="W78" s="79"/>
    </row>
    <row r="79" spans="1:23">
      <c r="A79" s="84"/>
      <c r="B79" s="84"/>
      <c r="C79" s="84"/>
      <c r="D79" s="84"/>
      <c r="E79" s="84"/>
      <c r="F79" s="84"/>
      <c r="G79" s="84"/>
      <c r="H79" s="84"/>
      <c r="I79" s="84"/>
      <c r="J79" s="84"/>
      <c r="K79" s="84"/>
      <c r="L79" s="84"/>
      <c r="M79" s="79"/>
      <c r="N79" s="79"/>
      <c r="O79" s="79"/>
      <c r="P79" s="79"/>
      <c r="Q79" s="79"/>
      <c r="R79" s="79"/>
      <c r="S79" s="79"/>
      <c r="T79" s="79"/>
      <c r="U79" s="79"/>
      <c r="V79" s="79"/>
      <c r="W79" s="79"/>
    </row>
    <row r="80" spans="1:23">
      <c r="A80" s="84"/>
      <c r="B80" s="84"/>
      <c r="C80" s="84"/>
      <c r="D80" s="84"/>
      <c r="E80" s="84"/>
      <c r="F80" s="84"/>
      <c r="G80" s="84"/>
      <c r="H80" s="84"/>
      <c r="I80" s="84"/>
      <c r="J80" s="84"/>
      <c r="K80" s="84"/>
      <c r="L80" s="84"/>
      <c r="M80" s="79"/>
      <c r="N80" s="79"/>
      <c r="O80" s="79"/>
      <c r="P80" s="79"/>
      <c r="Q80" s="79"/>
      <c r="R80" s="79"/>
      <c r="S80" s="79"/>
      <c r="T80" s="79"/>
      <c r="U80" s="79"/>
      <c r="V80" s="79"/>
      <c r="W80" s="79"/>
    </row>
    <row r="81" spans="1:23">
      <c r="A81" s="84"/>
      <c r="B81" s="84"/>
      <c r="C81" s="84"/>
      <c r="D81" s="84"/>
      <c r="E81" s="84"/>
      <c r="F81" s="84"/>
      <c r="G81" s="84"/>
      <c r="H81" s="84"/>
      <c r="I81" s="84"/>
      <c r="J81" s="84"/>
      <c r="K81" s="84"/>
      <c r="L81" s="84"/>
      <c r="M81" s="79"/>
      <c r="N81" s="79"/>
      <c r="O81" s="79"/>
      <c r="P81" s="79"/>
      <c r="Q81" s="79"/>
      <c r="R81" s="79"/>
      <c r="S81" s="79"/>
      <c r="T81" s="79"/>
      <c r="U81" s="79"/>
      <c r="V81" s="79"/>
      <c r="W81" s="79"/>
    </row>
    <row r="82" spans="1:23">
      <c r="A82" s="84"/>
      <c r="B82" s="84"/>
      <c r="C82" s="84"/>
      <c r="D82" s="84"/>
      <c r="E82" s="84"/>
      <c r="F82" s="84"/>
      <c r="G82" s="84"/>
      <c r="H82" s="84"/>
      <c r="I82" s="84"/>
      <c r="J82" s="84"/>
      <c r="K82" s="84"/>
      <c r="L82" s="84"/>
      <c r="M82" s="79"/>
      <c r="N82" s="79"/>
      <c r="O82" s="79"/>
      <c r="P82" s="79"/>
      <c r="Q82" s="79"/>
      <c r="R82" s="79"/>
      <c r="S82" s="79"/>
      <c r="T82" s="79"/>
      <c r="U82" s="79"/>
      <c r="V82" s="79"/>
      <c r="W82" s="79"/>
    </row>
    <row r="83" spans="1:23">
      <c r="A83" s="84"/>
      <c r="B83" s="84"/>
      <c r="C83" s="84"/>
      <c r="D83" s="84"/>
      <c r="E83" s="84"/>
      <c r="F83" s="84"/>
      <c r="G83" s="84"/>
      <c r="H83" s="84"/>
      <c r="I83" s="84"/>
      <c r="J83" s="84"/>
      <c r="K83" s="84"/>
      <c r="L83" s="84"/>
      <c r="M83" s="79"/>
      <c r="N83" s="79"/>
      <c r="O83" s="79"/>
      <c r="P83" s="79"/>
      <c r="Q83" s="79"/>
      <c r="R83" s="79"/>
      <c r="S83" s="79"/>
      <c r="T83" s="79"/>
      <c r="U83" s="79"/>
      <c r="V83" s="79"/>
      <c r="W83" s="79"/>
    </row>
    <row r="84" spans="1:23">
      <c r="A84" s="84"/>
      <c r="B84" s="84"/>
      <c r="C84" s="84"/>
      <c r="D84" s="84"/>
      <c r="E84" s="84"/>
      <c r="F84" s="84"/>
      <c r="G84" s="84"/>
      <c r="H84" s="84"/>
      <c r="I84" s="84"/>
      <c r="J84" s="84"/>
      <c r="K84" s="84"/>
      <c r="L84" s="84"/>
      <c r="M84" s="79"/>
      <c r="N84" s="79"/>
      <c r="O84" s="79"/>
      <c r="P84" s="79"/>
      <c r="Q84" s="79"/>
      <c r="R84" s="79"/>
      <c r="S84" s="79"/>
      <c r="T84" s="79"/>
      <c r="U84" s="79"/>
      <c r="V84" s="79"/>
      <c r="W84" s="79"/>
    </row>
    <row r="85" spans="1:23">
      <c r="A85" s="84"/>
      <c r="B85" s="84"/>
      <c r="C85" s="84"/>
      <c r="D85" s="84"/>
      <c r="E85" s="84"/>
      <c r="F85" s="84"/>
      <c r="G85" s="84"/>
      <c r="H85" s="84"/>
      <c r="I85" s="84"/>
      <c r="J85" s="84"/>
      <c r="K85" s="84"/>
      <c r="L85" s="84"/>
      <c r="M85" s="79"/>
      <c r="N85" s="79"/>
      <c r="O85" s="79"/>
      <c r="P85" s="79"/>
      <c r="Q85" s="79"/>
      <c r="R85" s="79"/>
      <c r="S85" s="79"/>
      <c r="T85" s="79"/>
      <c r="U85" s="79"/>
      <c r="V85" s="79"/>
      <c r="W85" s="79"/>
    </row>
    <row r="86" spans="1:23">
      <c r="A86" s="84"/>
      <c r="B86" s="84"/>
      <c r="C86" s="84"/>
      <c r="D86" s="84"/>
      <c r="E86" s="84"/>
      <c r="F86" s="84"/>
      <c r="G86" s="84"/>
      <c r="H86" s="84"/>
      <c r="I86" s="84"/>
      <c r="J86" s="84"/>
      <c r="K86" s="84"/>
      <c r="L86" s="84"/>
      <c r="M86" s="79"/>
      <c r="N86" s="79"/>
      <c r="O86" s="79"/>
      <c r="P86" s="79"/>
      <c r="Q86" s="79"/>
      <c r="R86" s="79"/>
      <c r="S86" s="79"/>
      <c r="T86" s="79"/>
      <c r="U86" s="79"/>
      <c r="V86" s="79"/>
      <c r="W86" s="79"/>
    </row>
    <row r="87" spans="1:23">
      <c r="A87" s="84"/>
      <c r="B87" s="84"/>
      <c r="C87" s="84"/>
      <c r="D87" s="84"/>
      <c r="E87" s="84"/>
      <c r="F87" s="84"/>
      <c r="G87" s="84"/>
      <c r="H87" s="84"/>
      <c r="I87" s="84"/>
      <c r="J87" s="84"/>
      <c r="K87" s="84"/>
      <c r="L87" s="84"/>
      <c r="M87" s="79"/>
      <c r="N87" s="79"/>
      <c r="O87" s="79"/>
      <c r="P87" s="79"/>
      <c r="Q87" s="79"/>
      <c r="R87" s="79"/>
      <c r="S87" s="79"/>
      <c r="T87" s="79"/>
      <c r="U87" s="79"/>
      <c r="V87" s="79"/>
      <c r="W87" s="79"/>
    </row>
    <row r="88" spans="1:23">
      <c r="A88" s="84"/>
      <c r="B88" s="84"/>
      <c r="C88" s="84"/>
      <c r="D88" s="84"/>
      <c r="E88" s="84"/>
      <c r="F88" s="84"/>
      <c r="G88" s="84"/>
      <c r="H88" s="84"/>
      <c r="I88" s="84"/>
      <c r="J88" s="84"/>
      <c r="K88" s="84"/>
      <c r="L88" s="84"/>
      <c r="M88" s="79"/>
      <c r="N88" s="79"/>
      <c r="O88" s="79"/>
      <c r="P88" s="79"/>
      <c r="Q88" s="79"/>
      <c r="R88" s="79"/>
      <c r="S88" s="79"/>
      <c r="T88" s="79"/>
      <c r="U88" s="79"/>
      <c r="V88" s="79"/>
      <c r="W88" s="79"/>
    </row>
    <row r="89" spans="1:23">
      <c r="A89" s="84"/>
      <c r="B89" s="84"/>
      <c r="C89" s="84"/>
      <c r="D89" s="84"/>
      <c r="E89" s="84"/>
      <c r="F89" s="84"/>
      <c r="G89" s="84"/>
      <c r="H89" s="84"/>
      <c r="I89" s="84"/>
      <c r="J89" s="84"/>
      <c r="K89" s="84"/>
      <c r="L89" s="84"/>
      <c r="M89" s="79"/>
      <c r="N89" s="79"/>
      <c r="O89" s="79"/>
      <c r="P89" s="79"/>
      <c r="Q89" s="79"/>
      <c r="R89" s="79"/>
      <c r="S89" s="79"/>
      <c r="T89" s="79"/>
      <c r="U89" s="79"/>
      <c r="V89" s="79"/>
      <c r="W89" s="79"/>
    </row>
    <row r="90" spans="1:23">
      <c r="A90" s="84"/>
      <c r="B90" s="84"/>
      <c r="C90" s="84"/>
      <c r="D90" s="84"/>
      <c r="E90" s="84"/>
      <c r="F90" s="84"/>
      <c r="G90" s="84"/>
      <c r="H90" s="84"/>
      <c r="I90" s="84"/>
      <c r="J90" s="84"/>
      <c r="K90" s="84"/>
      <c r="L90" s="84"/>
      <c r="M90" s="79"/>
      <c r="N90" s="79"/>
      <c r="O90" s="79"/>
      <c r="P90" s="79"/>
      <c r="Q90" s="79"/>
      <c r="R90" s="79"/>
      <c r="S90" s="79"/>
      <c r="T90" s="79"/>
      <c r="U90" s="79"/>
      <c r="V90" s="79"/>
      <c r="W90" s="79"/>
    </row>
    <row r="91" spans="1:23">
      <c r="A91" s="84"/>
      <c r="B91" s="84"/>
      <c r="C91" s="84"/>
      <c r="D91" s="84"/>
      <c r="E91" s="84"/>
      <c r="F91" s="84"/>
      <c r="G91" s="84"/>
      <c r="H91" s="84"/>
      <c r="I91" s="84"/>
      <c r="J91" s="84"/>
      <c r="K91" s="84"/>
      <c r="L91" s="84"/>
      <c r="M91" s="79"/>
      <c r="N91" s="79"/>
      <c r="O91" s="79"/>
      <c r="P91" s="79"/>
      <c r="Q91" s="79"/>
      <c r="R91" s="79"/>
      <c r="S91" s="79"/>
      <c r="T91" s="79"/>
      <c r="U91" s="79"/>
      <c r="V91" s="79"/>
      <c r="W91" s="79"/>
    </row>
    <row r="92" spans="1:23">
      <c r="A92" s="84"/>
      <c r="B92" s="84"/>
      <c r="C92" s="84"/>
      <c r="D92" s="84"/>
      <c r="E92" s="84"/>
      <c r="F92" s="84"/>
      <c r="G92" s="84"/>
      <c r="H92" s="84"/>
      <c r="I92" s="84"/>
      <c r="J92" s="84"/>
      <c r="K92" s="84"/>
      <c r="L92" s="84"/>
      <c r="M92" s="79"/>
      <c r="N92" s="79"/>
      <c r="O92" s="79"/>
      <c r="P92" s="79"/>
      <c r="Q92" s="79"/>
      <c r="R92" s="79"/>
      <c r="S92" s="79"/>
      <c r="T92" s="79"/>
      <c r="U92" s="79"/>
      <c r="V92" s="79"/>
      <c r="W92" s="79"/>
    </row>
    <row r="93" spans="1:23">
      <c r="A93" s="84"/>
      <c r="B93" s="84"/>
      <c r="C93" s="84"/>
      <c r="D93" s="84"/>
      <c r="E93" s="84"/>
      <c r="F93" s="84"/>
      <c r="G93" s="84"/>
      <c r="H93" s="84"/>
      <c r="I93" s="84"/>
      <c r="J93" s="84"/>
      <c r="K93" s="84"/>
      <c r="L93" s="84"/>
      <c r="M93" s="79"/>
      <c r="N93" s="79"/>
      <c r="O93" s="79"/>
      <c r="P93" s="79"/>
      <c r="Q93" s="79"/>
      <c r="R93" s="79"/>
      <c r="S93" s="79"/>
      <c r="T93" s="79"/>
      <c r="U93" s="79"/>
      <c r="V93" s="79"/>
      <c r="W93" s="79"/>
    </row>
  </sheetData>
  <sheetProtection algorithmName="SHA-512" hashValue="k8DQKmcX3CLumiZ3sN6JI6/ifV8i7USAKeyvmMWGoid04Nj+YGM1s4jANGzWWZUQSUiYjuqq2VYScGawg8ZV6w==" saltValue="FyxFsmDciGUfynRHGVm46Q==" spinCount="100000" sheet="1" objects="1" scenarios="1"/>
  <protectedRanges>
    <protectedRange sqref="AJ22:AJ28 AJ31:AJ46 AJ3:AJ18" name="Intro Cash Out"/>
    <protectedRange sqref="AJ23:AJ28 AJ31:AJ46 AJ3:AJ18" name="Inro 3 Option"/>
  </protectedRanges>
  <customSheetViews>
    <customSheetView guid="{82FC3B1B-7B28-4E2A-B7A0-4534A26F3642}" scale="70" showPageBreaks="1" view="pageLayout">
      <selection activeCell="B17" sqref="B17:C18"/>
      <pageMargins left="0" right="0" top="0" bottom="0" header="0" footer="0"/>
      <pageSetup orientation="portrait" r:id="rId1"/>
      <headerFooter>
        <oddFooter>&amp;C&amp;"-,Bold"&amp;16&amp;K00B0F0Thank You for choosing LoanVault for your Financing Needs!</oddFooter>
      </headerFooter>
    </customSheetView>
  </customSheetViews>
  <mergeCells count="181">
    <mergeCell ref="AK1:AO51"/>
    <mergeCell ref="AI47:AJ51"/>
    <mergeCell ref="O31:W32"/>
    <mergeCell ref="M31:N32"/>
    <mergeCell ref="B33:C34"/>
    <mergeCell ref="D33:E34"/>
    <mergeCell ref="I33:J34"/>
    <mergeCell ref="K33:L34"/>
    <mergeCell ref="D27:E28"/>
    <mergeCell ref="X12:AH13"/>
    <mergeCell ref="A47:L51"/>
    <mergeCell ref="M38:W51"/>
    <mergeCell ref="B10:F10"/>
    <mergeCell ref="B9:F9"/>
    <mergeCell ref="F35:H36"/>
    <mergeCell ref="A29:A30"/>
    <mergeCell ref="B29:C30"/>
    <mergeCell ref="D29:E30"/>
    <mergeCell ref="F29:H30"/>
    <mergeCell ref="I29:J30"/>
    <mergeCell ref="K29:L30"/>
    <mergeCell ref="D31:E32"/>
    <mergeCell ref="I31:J32"/>
    <mergeCell ref="K31:L32"/>
    <mergeCell ref="X14:AH15"/>
    <mergeCell ref="X16:AH17"/>
    <mergeCell ref="X18:AH19"/>
    <mergeCell ref="X20:AH21"/>
    <mergeCell ref="X22:AH23"/>
    <mergeCell ref="X24:AH25"/>
    <mergeCell ref="X26:AH27"/>
    <mergeCell ref="X28:AH29"/>
    <mergeCell ref="AI35:AI36"/>
    <mergeCell ref="AI29:AJ30"/>
    <mergeCell ref="AI31:AI32"/>
    <mergeCell ref="AI33:AI34"/>
    <mergeCell ref="AJ31:AJ32"/>
    <mergeCell ref="AJ33:AJ34"/>
    <mergeCell ref="AI25:AI26"/>
    <mergeCell ref="AJ25:AJ26"/>
    <mergeCell ref="AI27:AI28"/>
    <mergeCell ref="AJ27:AJ28"/>
    <mergeCell ref="AJ35:AJ36"/>
    <mergeCell ref="X30:AH31"/>
    <mergeCell ref="X32:AH33"/>
    <mergeCell ref="AI43:AI44"/>
    <mergeCell ref="AJ43:AJ44"/>
    <mergeCell ref="AJ45:AJ46"/>
    <mergeCell ref="B39:E40"/>
    <mergeCell ref="F39:H40"/>
    <mergeCell ref="I39:L40"/>
    <mergeCell ref="AI37:AI38"/>
    <mergeCell ref="AI39:AI40"/>
    <mergeCell ref="AJ37:AJ38"/>
    <mergeCell ref="AJ39:AJ40"/>
    <mergeCell ref="AI45:AI46"/>
    <mergeCell ref="AI41:AI42"/>
    <mergeCell ref="AJ41:AJ42"/>
    <mergeCell ref="A41:L43"/>
    <mergeCell ref="O37:W37"/>
    <mergeCell ref="M35:N36"/>
    <mergeCell ref="B35:C36"/>
    <mergeCell ref="D35:E36"/>
    <mergeCell ref="I35:J36"/>
    <mergeCell ref="K35:L36"/>
    <mergeCell ref="A44:L45"/>
    <mergeCell ref="A46:L46"/>
    <mergeCell ref="A37:A40"/>
    <mergeCell ref="B37:E38"/>
    <mergeCell ref="F37:H38"/>
    <mergeCell ref="I37:L38"/>
    <mergeCell ref="M37:N37"/>
    <mergeCell ref="AI1:AJ2"/>
    <mergeCell ref="AI5:AI6"/>
    <mergeCell ref="AJ5:AJ6"/>
    <mergeCell ref="AI7:AI8"/>
    <mergeCell ref="AJ7:AJ8"/>
    <mergeCell ref="AI11:AI12"/>
    <mergeCell ref="AJ11:AJ12"/>
    <mergeCell ref="AJ23:AJ24"/>
    <mergeCell ref="AI19:AJ20"/>
    <mergeCell ref="AI9:AI10"/>
    <mergeCell ref="AJ9:AJ10"/>
    <mergeCell ref="AI15:AI16"/>
    <mergeCell ref="AJ15:AJ16"/>
    <mergeCell ref="AI23:AI24"/>
    <mergeCell ref="AI3:AI4"/>
    <mergeCell ref="AJ3:AJ4"/>
    <mergeCell ref="AJ21:AJ22"/>
    <mergeCell ref="AI13:AI14"/>
    <mergeCell ref="AI17:AI18"/>
    <mergeCell ref="AJ13:AJ14"/>
    <mergeCell ref="AI21:AI22"/>
    <mergeCell ref="AJ17:AJ18"/>
    <mergeCell ref="M1:W2"/>
    <mergeCell ref="Y3:AA3"/>
    <mergeCell ref="X5:AH6"/>
    <mergeCell ref="X7:AA7"/>
    <mergeCell ref="X8:AA8"/>
    <mergeCell ref="X9:AA9"/>
    <mergeCell ref="X10:AA10"/>
    <mergeCell ref="X11:AA11"/>
    <mergeCell ref="M20:N22"/>
    <mergeCell ref="O3:W4"/>
    <mergeCell ref="O5:W5"/>
    <mergeCell ref="O6:W6"/>
    <mergeCell ref="O7:W7"/>
    <mergeCell ref="O8:W8"/>
    <mergeCell ref="O9:W9"/>
    <mergeCell ref="O10:W10"/>
    <mergeCell ref="O11:W11"/>
    <mergeCell ref="O12:W13"/>
    <mergeCell ref="O14:W14"/>
    <mergeCell ref="M3:N14"/>
    <mergeCell ref="O15:W16"/>
    <mergeCell ref="M15:N16"/>
    <mergeCell ref="X1:AH2"/>
    <mergeCell ref="Z4:AF4"/>
    <mergeCell ref="A27:A28"/>
    <mergeCell ref="B19:E20"/>
    <mergeCell ref="A31:A32"/>
    <mergeCell ref="F31:H32"/>
    <mergeCell ref="F25:H26"/>
    <mergeCell ref="F19:H20"/>
    <mergeCell ref="A25:A26"/>
    <mergeCell ref="B25:E26"/>
    <mergeCell ref="B21:E22"/>
    <mergeCell ref="A23:A24"/>
    <mergeCell ref="B27:C28"/>
    <mergeCell ref="B31:C32"/>
    <mergeCell ref="A21:A22"/>
    <mergeCell ref="A19:A20"/>
    <mergeCell ref="F23:H24"/>
    <mergeCell ref="M23:N24"/>
    <mergeCell ref="I19:L20"/>
    <mergeCell ref="I21:L22"/>
    <mergeCell ref="F17:H18"/>
    <mergeCell ref="F21:H22"/>
    <mergeCell ref="B12:F12"/>
    <mergeCell ref="I15:L16"/>
    <mergeCell ref="F33:H34"/>
    <mergeCell ref="F27:H28"/>
    <mergeCell ref="I17:L18"/>
    <mergeCell ref="G1:L2"/>
    <mergeCell ref="G3:L3"/>
    <mergeCell ref="G4:L4"/>
    <mergeCell ref="G5:L5"/>
    <mergeCell ref="I23:L24"/>
    <mergeCell ref="B13:F13"/>
    <mergeCell ref="B17:E18"/>
    <mergeCell ref="G6:L6"/>
    <mergeCell ref="G7:L7"/>
    <mergeCell ref="G9:L10"/>
    <mergeCell ref="G11:L12"/>
    <mergeCell ref="G13:H13"/>
    <mergeCell ref="I13:L13"/>
    <mergeCell ref="B11:F11"/>
    <mergeCell ref="O35:W36"/>
    <mergeCell ref="A17:A18"/>
    <mergeCell ref="A15:A16"/>
    <mergeCell ref="I25:J26"/>
    <mergeCell ref="K25:L26"/>
    <mergeCell ref="I27:J28"/>
    <mergeCell ref="K27:L28"/>
    <mergeCell ref="B23:C24"/>
    <mergeCell ref="D23:E24"/>
    <mergeCell ref="A35:A36"/>
    <mergeCell ref="B15:E16"/>
    <mergeCell ref="F15:H16"/>
    <mergeCell ref="O33:W34"/>
    <mergeCell ref="M33:N34"/>
    <mergeCell ref="O25:W26"/>
    <mergeCell ref="M25:N26"/>
    <mergeCell ref="O27:W28"/>
    <mergeCell ref="M27:N28"/>
    <mergeCell ref="O29:W30"/>
    <mergeCell ref="M29:N30"/>
    <mergeCell ref="O23:W24"/>
    <mergeCell ref="M17:N19"/>
    <mergeCell ref="O17:W19"/>
    <mergeCell ref="O20:W22"/>
  </mergeCells>
  <phoneticPr fontId="20" type="noConversion"/>
  <dataValidations count="1">
    <dataValidation type="list" allowBlank="1" showInputMessage="1" showErrorMessage="1" sqref="AJ31:AJ32 AJ39 AJ5:AJ6" xr:uid="{ABB1D2B8-645B-4B4B-BE90-870CE1C5A399}">
      <formula1>$AF$34:$AF$39</formula1>
    </dataValidation>
  </dataValidations>
  <pageMargins left="0.25" right="0.25297619047619002" top="0.25" bottom="0.2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SavingActiveSheetsAsPDF">
                <anchor moveWithCells="1" sizeWithCells="1">
                  <from>
                    <xdr:col>23</xdr:col>
                    <xdr:colOff>0</xdr:colOff>
                    <xdr:row>32</xdr:row>
                    <xdr:rowOff>171450</xdr:rowOff>
                  </from>
                  <to>
                    <xdr:col>27</xdr:col>
                    <xdr:colOff>171450</xdr:colOff>
                    <xdr:row>37</xdr:row>
                    <xdr:rowOff>38100</xdr:rowOff>
                  </to>
                </anchor>
              </controlPr>
            </control>
          </mc:Choice>
        </mc:AlternateContent>
        <mc:AlternateContent xmlns:mc="http://schemas.openxmlformats.org/markup-compatibility/2006">
          <mc:Choice Requires="x14">
            <control shapeId="10242" r:id="rId6" name="Button 2">
              <controlPr defaultSize="0" print="0" autoFill="0" autoPict="0" macro="[0]!openPDF">
                <anchor moveWithCells="1" sizeWithCells="1">
                  <from>
                    <xdr:col>23</xdr:col>
                    <xdr:colOff>57150</xdr:colOff>
                    <xdr:row>37</xdr:row>
                    <xdr:rowOff>47625</xdr:rowOff>
                  </from>
                  <to>
                    <xdr:col>27</xdr:col>
                    <xdr:colOff>171450</xdr:colOff>
                    <xdr:row>40</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63C3F74-049E-49A2-A2EA-AC68D482BF25}">
          <x14:formula1>
            <xm:f>WCL!$B$78:$B$80</xm:f>
          </x14:formula1>
          <xm:sqref>AJ3:AJ4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D6FA5-B73F-4D4E-A55D-8A2994D4D881}">
  <sheetPr codeName="Sheet20">
    <tabColor rgb="FF92D050"/>
  </sheetPr>
  <dimension ref="A1:AV102"/>
  <sheetViews>
    <sheetView view="pageLayout" zoomScale="70" zoomScaleNormal="100" zoomScaleSheetLayoutView="85" zoomScalePageLayoutView="70" workbookViewId="0">
      <selection activeCell="AL1" sqref="AL1:AQ102"/>
    </sheetView>
  </sheetViews>
  <sheetFormatPr defaultColWidth="8.85546875" defaultRowHeight="15" outlineLevelCol="1"/>
  <cols>
    <col min="1" max="1" width="17.140625" style="90" customWidth="1"/>
    <col min="2" max="13" width="7" style="90" customWidth="1"/>
    <col min="14" max="14" width="8.85546875" style="78"/>
    <col min="15" max="15" width="11" style="78" bestFit="1" customWidth="1"/>
    <col min="16" max="16" width="8.85546875" style="78"/>
    <col min="17" max="17" width="10" style="78" customWidth="1"/>
    <col min="18" max="24" width="8.85546875" style="78"/>
    <col min="25" max="35" width="8.85546875" hidden="1" customWidth="1" outlineLevel="1"/>
    <col min="36" max="36" width="13.85546875" customWidth="1" collapsed="1"/>
    <col min="37" max="37" width="20.7109375" customWidth="1"/>
    <col min="39" max="39" width="14.7109375" customWidth="1"/>
    <col min="40" max="40" width="16.85546875" customWidth="1"/>
    <col min="45" max="47" width="8.85546875" hidden="1" customWidth="1" outlineLevel="1"/>
    <col min="48" max="48" width="8.85546875" collapsed="1"/>
  </cols>
  <sheetData>
    <row r="1" spans="1:46" ht="15.2" customHeight="1">
      <c r="A1" s="83"/>
      <c r="B1" s="83"/>
      <c r="C1" s="83"/>
      <c r="D1" s="83"/>
      <c r="E1" s="83"/>
      <c r="F1" s="83"/>
      <c r="G1" s="833" t="str">
        <f>START!$D$11</f>
        <v>Ellis Andersen | Branch Manager</v>
      </c>
      <c r="H1" s="834"/>
      <c r="I1" s="834"/>
      <c r="J1" s="834"/>
      <c r="K1" s="834"/>
      <c r="L1" s="834"/>
      <c r="M1" s="835"/>
      <c r="N1" s="810" t="s">
        <v>146</v>
      </c>
      <c r="O1" s="811"/>
      <c r="P1" s="811"/>
      <c r="Q1" s="811"/>
      <c r="R1" s="811"/>
      <c r="S1" s="811"/>
      <c r="T1" s="811"/>
      <c r="U1" s="811"/>
      <c r="V1" s="811"/>
      <c r="W1" s="811"/>
      <c r="X1" s="812"/>
      <c r="Y1" s="732" t="s">
        <v>147</v>
      </c>
      <c r="Z1" s="732"/>
      <c r="AA1" s="732"/>
      <c r="AB1" s="732"/>
      <c r="AC1" s="732"/>
      <c r="AD1" s="732"/>
      <c r="AE1" s="732"/>
      <c r="AF1" s="732"/>
      <c r="AG1" s="732"/>
      <c r="AH1" s="732"/>
      <c r="AI1" s="732"/>
      <c r="AJ1" s="839" t="s">
        <v>230</v>
      </c>
      <c r="AK1" s="840"/>
      <c r="AL1" s="787"/>
      <c r="AM1" s="787"/>
      <c r="AN1" s="787"/>
      <c r="AO1" s="787"/>
      <c r="AP1" s="787"/>
      <c r="AQ1" s="787"/>
      <c r="AS1" t="s">
        <v>215</v>
      </c>
    </row>
    <row r="2" spans="1:46" ht="15.2" customHeight="1" thickBot="1">
      <c r="A2" s="83"/>
      <c r="B2" s="83"/>
      <c r="C2" s="83"/>
      <c r="D2" s="83"/>
      <c r="E2" s="83"/>
      <c r="F2" s="83"/>
      <c r="G2" s="836"/>
      <c r="H2" s="837"/>
      <c r="I2" s="837"/>
      <c r="J2" s="837"/>
      <c r="K2" s="837"/>
      <c r="L2" s="837"/>
      <c r="M2" s="838"/>
      <c r="N2" s="813"/>
      <c r="O2" s="814"/>
      <c r="P2" s="814"/>
      <c r="Q2" s="814"/>
      <c r="R2" s="814"/>
      <c r="S2" s="814"/>
      <c r="T2" s="814"/>
      <c r="U2" s="814"/>
      <c r="V2" s="814"/>
      <c r="W2" s="814"/>
      <c r="X2" s="815"/>
      <c r="Y2" s="734"/>
      <c r="Z2" s="734"/>
      <c r="AA2" s="734"/>
      <c r="AB2" s="734"/>
      <c r="AC2" s="734"/>
      <c r="AD2" s="734"/>
      <c r="AE2" s="734"/>
      <c r="AF2" s="734"/>
      <c r="AG2" s="734"/>
      <c r="AH2" s="734"/>
      <c r="AI2" s="734"/>
      <c r="AJ2" s="841"/>
      <c r="AK2" s="842"/>
      <c r="AL2" s="787"/>
      <c r="AM2" s="787"/>
      <c r="AN2" s="787"/>
      <c r="AO2" s="787"/>
      <c r="AP2" s="787"/>
      <c r="AQ2" s="787"/>
      <c r="AS2" t="s">
        <v>217</v>
      </c>
    </row>
    <row r="3" spans="1:46" ht="15.2" customHeight="1">
      <c r="A3" s="83"/>
      <c r="B3" s="83"/>
      <c r="C3" s="83"/>
      <c r="D3" s="83"/>
      <c r="E3" s="83"/>
      <c r="F3" s="83"/>
      <c r="G3" s="666" t="str">
        <f>START!$D$13</f>
        <v>Direct/Fax: (949) 892-1736</v>
      </c>
      <c r="H3" s="667"/>
      <c r="I3" s="667"/>
      <c r="J3" s="667"/>
      <c r="K3" s="667"/>
      <c r="L3" s="667"/>
      <c r="M3" s="668"/>
      <c r="N3" s="816" t="s">
        <v>149</v>
      </c>
      <c r="O3" s="817"/>
      <c r="P3" s="822" t="str">
        <f>Y3&amp;" "&amp;Z3&amp;""&amp;Y4&amp;" "&amp;Z4&amp;" "&amp;AA4&amp;" "&amp;AI4&amp;" "&amp;Y5</f>
        <v xml:space="preserve">Hi Matthew, this is Ellis Andersen :blush: with West Capital Lending. I just received your inquiry to take about $740000 :moneybag: of equity from your home. I know you're shopping for the best deal so I will check with our most competitive lenders within our Broker Network. </v>
      </c>
      <c r="Q3" s="822"/>
      <c r="R3" s="822"/>
      <c r="S3" s="822"/>
      <c r="T3" s="822"/>
      <c r="U3" s="822"/>
      <c r="V3" s="822"/>
      <c r="W3" s="822"/>
      <c r="X3" s="823"/>
      <c r="Y3" t="s">
        <v>150</v>
      </c>
      <c r="Z3" s="722" t="str">
        <f>LEADS!$D$3</f>
        <v>Matthew</v>
      </c>
      <c r="AA3" s="722"/>
      <c r="AB3" s="722"/>
      <c r="AH3" t="s">
        <v>151</v>
      </c>
      <c r="AJ3" s="807" t="s">
        <v>152</v>
      </c>
      <c r="AK3" s="739" t="s">
        <v>49</v>
      </c>
      <c r="AL3" s="787"/>
      <c r="AM3" s="787"/>
      <c r="AN3" s="787"/>
      <c r="AO3" s="787"/>
      <c r="AP3" s="787"/>
      <c r="AQ3" s="787"/>
      <c r="AS3" t="s">
        <v>218</v>
      </c>
    </row>
    <row r="4" spans="1:46" ht="15.2" customHeight="1" thickBot="1">
      <c r="A4" s="83"/>
      <c r="B4" s="83"/>
      <c r="C4" s="83"/>
      <c r="D4" s="83"/>
      <c r="E4" s="83"/>
      <c r="F4" s="83"/>
      <c r="G4" s="666" t="str">
        <f>START!$D$14</f>
        <v>Email: eandersen@westcapitallending.com</v>
      </c>
      <c r="H4" s="667"/>
      <c r="I4" s="667"/>
      <c r="J4" s="667"/>
      <c r="K4" s="667"/>
      <c r="L4" s="667"/>
      <c r="M4" s="668"/>
      <c r="N4" s="818"/>
      <c r="O4" s="819"/>
      <c r="P4" s="726"/>
      <c r="Q4" s="726"/>
      <c r="R4" s="726"/>
      <c r="S4" s="726"/>
      <c r="T4" s="726"/>
      <c r="U4" s="726"/>
      <c r="V4" s="726"/>
      <c r="W4" s="726"/>
      <c r="X4" s="727"/>
      <c r="Y4" t="s">
        <v>153</v>
      </c>
      <c r="Z4" t="str">
        <f>START!$E$23</f>
        <v>Ellis Andersen</v>
      </c>
      <c r="AA4" s="736" t="s">
        <v>154</v>
      </c>
      <c r="AB4" s="736"/>
      <c r="AC4" s="736"/>
      <c r="AD4" s="736"/>
      <c r="AE4" s="736"/>
      <c r="AF4" s="736"/>
      <c r="AG4" s="736"/>
      <c r="AH4" s="22">
        <f>B13</f>
        <v>740000</v>
      </c>
      <c r="AI4" t="str">
        <f>AH3&amp;""&amp;AH4</f>
        <v>$740000</v>
      </c>
      <c r="AJ4" s="808"/>
      <c r="AK4" s="740"/>
      <c r="AL4" s="787"/>
      <c r="AM4" s="787"/>
      <c r="AN4" s="787"/>
      <c r="AO4" s="787"/>
      <c r="AP4" s="787"/>
      <c r="AQ4" s="787"/>
      <c r="AS4" t="s">
        <v>221</v>
      </c>
    </row>
    <row r="5" spans="1:46" ht="15.2" customHeight="1">
      <c r="A5" s="83"/>
      <c r="B5" s="83"/>
      <c r="C5" s="83"/>
      <c r="D5" s="83"/>
      <c r="E5" s="83"/>
      <c r="F5" s="83"/>
      <c r="G5" s="666" t="str">
        <f>START!$D$15</f>
        <v>34 Executive Park Ste 180, Irvine, CA 92614</v>
      </c>
      <c r="H5" s="667"/>
      <c r="I5" s="667"/>
      <c r="J5" s="667"/>
      <c r="K5" s="667"/>
      <c r="L5" s="667"/>
      <c r="M5" s="668"/>
      <c r="N5" s="818"/>
      <c r="O5" s="819"/>
      <c r="P5" s="726" t="s">
        <v>155</v>
      </c>
      <c r="Q5" s="726"/>
      <c r="R5" s="726"/>
      <c r="S5" s="726"/>
      <c r="T5" s="726"/>
      <c r="U5" s="726"/>
      <c r="V5" s="726"/>
      <c r="W5" s="726"/>
      <c r="X5" s="727"/>
      <c r="Y5" s="723" t="s">
        <v>156</v>
      </c>
      <c r="Z5" s="723"/>
      <c r="AA5" s="723"/>
      <c r="AB5" s="723"/>
      <c r="AC5" s="723"/>
      <c r="AD5" s="723"/>
      <c r="AE5" s="723"/>
      <c r="AF5" s="723"/>
      <c r="AG5" s="723"/>
      <c r="AH5" s="723"/>
      <c r="AI5" s="723"/>
      <c r="AJ5" s="739" t="s">
        <v>193</v>
      </c>
      <c r="AK5" s="739" t="s">
        <v>158</v>
      </c>
      <c r="AL5" s="787"/>
      <c r="AM5" s="787"/>
      <c r="AN5" s="787"/>
      <c r="AO5" s="787"/>
      <c r="AP5" s="787"/>
      <c r="AQ5" s="787"/>
      <c r="AS5" t="s">
        <v>222</v>
      </c>
    </row>
    <row r="6" spans="1:46" ht="15.2" customHeight="1" thickBot="1">
      <c r="A6" s="83"/>
      <c r="B6" s="83"/>
      <c r="C6" s="83"/>
      <c r="D6" s="83"/>
      <c r="E6" s="83"/>
      <c r="F6" s="83"/>
      <c r="G6" s="666" t="str">
        <f>START!$D$16</f>
        <v>NMLS 1912260 | NMLS 02196940</v>
      </c>
      <c r="H6" s="667"/>
      <c r="I6" s="667"/>
      <c r="J6" s="667"/>
      <c r="K6" s="667"/>
      <c r="L6" s="667"/>
      <c r="M6" s="668"/>
      <c r="N6" s="818"/>
      <c r="O6" s="819"/>
      <c r="P6" s="726" t="str">
        <f>Y8&amp;" "&amp;AD8</f>
        <v>This is your current address: 15244 W Auburn Ave, Denver, CO, 80228</v>
      </c>
      <c r="Q6" s="726"/>
      <c r="R6" s="726"/>
      <c r="S6" s="726"/>
      <c r="T6" s="726"/>
      <c r="U6" s="726"/>
      <c r="V6" s="726"/>
      <c r="W6" s="726"/>
      <c r="X6" s="727"/>
      <c r="Y6" s="723"/>
      <c r="Z6" s="723"/>
      <c r="AA6" s="723"/>
      <c r="AB6" s="723"/>
      <c r="AC6" s="723"/>
      <c r="AD6" s="723"/>
      <c r="AE6" s="723"/>
      <c r="AF6" s="723"/>
      <c r="AG6" s="723"/>
      <c r="AH6" s="723"/>
      <c r="AI6" s="723"/>
      <c r="AJ6" s="740"/>
      <c r="AK6" s="740"/>
      <c r="AL6" s="787"/>
      <c r="AM6" s="787"/>
      <c r="AN6" s="787"/>
      <c r="AO6" s="787"/>
      <c r="AP6" s="787"/>
      <c r="AQ6" s="787"/>
      <c r="AS6" t="s">
        <v>158</v>
      </c>
    </row>
    <row r="7" spans="1:46" ht="15.2" customHeight="1" thickBot="1">
      <c r="A7" s="83"/>
      <c r="B7" s="83"/>
      <c r="C7" s="83"/>
      <c r="D7" s="83"/>
      <c r="E7" s="83"/>
      <c r="F7" s="83"/>
      <c r="G7" s="674" t="str">
        <f>START!$D$17</f>
        <v>Website: www.westcapitallending.com</v>
      </c>
      <c r="H7" s="675"/>
      <c r="I7" s="675"/>
      <c r="J7" s="675"/>
      <c r="K7" s="675"/>
      <c r="L7" s="675"/>
      <c r="M7" s="676"/>
      <c r="N7" s="818"/>
      <c r="O7" s="819"/>
      <c r="P7" s="726" t="str">
        <f>Y9&amp;" "&amp;AF9&amp;""&amp;AE9</f>
        <v>Home Value is: $1200000</v>
      </c>
      <c r="Q7" s="726"/>
      <c r="R7" s="726"/>
      <c r="S7" s="726"/>
      <c r="T7" s="726"/>
      <c r="U7" s="726"/>
      <c r="V7" s="726"/>
      <c r="W7" s="726"/>
      <c r="X7" s="727"/>
      <c r="Y7" s="736" t="s">
        <v>155</v>
      </c>
      <c r="Z7" s="736"/>
      <c r="AA7" s="736"/>
      <c r="AB7" s="736"/>
      <c r="AJ7" s="739" t="s">
        <v>197</v>
      </c>
      <c r="AK7" s="743">
        <v>7.3749999999999996E-2</v>
      </c>
      <c r="AL7" s="787"/>
      <c r="AM7" s="787"/>
      <c r="AN7" s="787"/>
      <c r="AO7" s="787"/>
      <c r="AP7" s="787"/>
      <c r="AQ7" s="787"/>
    </row>
    <row r="8" spans="1:46" ht="15.2" customHeight="1" thickBot="1">
      <c r="A8" s="83"/>
      <c r="B8" s="83"/>
      <c r="C8" s="83"/>
      <c r="D8" s="83"/>
      <c r="E8" s="83"/>
      <c r="F8" s="83"/>
      <c r="G8" s="83"/>
      <c r="H8" s="83"/>
      <c r="I8" s="83"/>
      <c r="J8" s="83"/>
      <c r="K8" s="83"/>
      <c r="L8" s="83"/>
      <c r="M8" s="83"/>
      <c r="N8" s="818"/>
      <c r="O8" s="819"/>
      <c r="P8" s="726" t="str">
        <f>Y10&amp;" "&amp;AF10&amp;""&amp;AE10</f>
        <v>Your Current First Mortgage Balance is: $340000</v>
      </c>
      <c r="Q8" s="726"/>
      <c r="R8" s="726"/>
      <c r="S8" s="726"/>
      <c r="T8" s="726"/>
      <c r="U8" s="726"/>
      <c r="V8" s="726"/>
      <c r="W8" s="726"/>
      <c r="X8" s="727"/>
      <c r="Y8" s="736" t="s">
        <v>160</v>
      </c>
      <c r="Z8" s="736"/>
      <c r="AA8" s="736"/>
      <c r="AB8" s="736"/>
      <c r="AD8" t="str">
        <f>LEADS!$I$3</f>
        <v>15244 W Auburn Ave, Denver, CO, 80228</v>
      </c>
      <c r="AJ8" s="740"/>
      <c r="AK8" s="744"/>
      <c r="AL8" s="787"/>
      <c r="AM8" s="787"/>
      <c r="AN8" s="787"/>
      <c r="AO8" s="787"/>
      <c r="AP8" s="787"/>
      <c r="AQ8" s="787"/>
      <c r="AS8" t="s">
        <v>211</v>
      </c>
      <c r="AT8">
        <f>IF(AK5="5 Year Fixed",60,IF(AK5="10 Year Fixed",120,IF(AK5="15 Year Fixed",180,IF(AK5="20 Year Fixed",240,IF(AK5="25 Year Fixed",300,IF(AK5="30 Year Fixed",360,0))))))</f>
        <v>360</v>
      </c>
    </row>
    <row r="9" spans="1:46" ht="15.2" customHeight="1">
      <c r="A9" s="85" t="s">
        <v>67</v>
      </c>
      <c r="B9" s="800">
        <f ca="1">TODAY()</f>
        <v>45196</v>
      </c>
      <c r="C9" s="801"/>
      <c r="D9" s="801"/>
      <c r="E9" s="801"/>
      <c r="F9" s="802"/>
      <c r="G9" s="677" t="s">
        <v>161</v>
      </c>
      <c r="H9" s="678"/>
      <c r="I9" s="678"/>
      <c r="J9" s="678"/>
      <c r="K9" s="678"/>
      <c r="L9" s="678"/>
      <c r="M9" s="679"/>
      <c r="N9" s="818"/>
      <c r="O9" s="819"/>
      <c r="P9" s="726" t="str">
        <f>Y11&amp;" "&amp;AF11&amp;""&amp;AE11</f>
        <v>Your Desired Cash Out is: $740000</v>
      </c>
      <c r="Q9" s="726"/>
      <c r="R9" s="726"/>
      <c r="S9" s="726"/>
      <c r="T9" s="726"/>
      <c r="U9" s="726"/>
      <c r="V9" s="726"/>
      <c r="W9" s="726"/>
      <c r="X9" s="727"/>
      <c r="Y9" s="736" t="s">
        <v>162</v>
      </c>
      <c r="Z9" s="736"/>
      <c r="AA9" s="736"/>
      <c r="AB9" s="736"/>
      <c r="AE9" s="22">
        <f>$J$13</f>
        <v>1200000</v>
      </c>
      <c r="AF9" t="s">
        <v>151</v>
      </c>
      <c r="AG9" t="str">
        <f>START!$E$24</f>
        <v>[Ellis w/ West Capital Lending]</v>
      </c>
      <c r="AJ9" s="739" t="s">
        <v>163</v>
      </c>
      <c r="AK9" s="743">
        <f>RATE(AT8,-B33,(B23-B31),0)*12</f>
        <v>7.5865963186805982E-2</v>
      </c>
      <c r="AL9" s="787"/>
      <c r="AM9" s="787"/>
      <c r="AN9" s="787"/>
      <c r="AO9" s="787"/>
      <c r="AP9" s="787"/>
      <c r="AQ9" s="787"/>
      <c r="AS9" t="s">
        <v>226</v>
      </c>
      <c r="AT9">
        <f>IF(AK18="5 Year Fixed",60,IF(AK18="10 Year Fixed",120,IF(AK18="15 Year Fixed",180,IF(AK18="20 Year Fixed",240,IF(AK18="25 Year Fixed",300,IF(AK18="30 Year Fixed",360,0))))))</f>
        <v>360</v>
      </c>
    </row>
    <row r="10" spans="1:46" ht="15.2" customHeight="1" thickBot="1">
      <c r="A10" s="95" t="s">
        <v>164</v>
      </c>
      <c r="B10" s="690" t="str">
        <f>LEADS!$D$3&amp;" "&amp;LEADS!$E$3</f>
        <v>Matthew Pasiuk</v>
      </c>
      <c r="C10" s="691"/>
      <c r="D10" s="691"/>
      <c r="E10" s="691"/>
      <c r="F10" s="692"/>
      <c r="G10" s="680"/>
      <c r="H10" s="681"/>
      <c r="I10" s="681"/>
      <c r="J10" s="681"/>
      <c r="K10" s="681"/>
      <c r="L10" s="681"/>
      <c r="M10" s="682"/>
      <c r="N10" s="818"/>
      <c r="O10" s="819"/>
      <c r="P10" s="726" t="s">
        <v>165</v>
      </c>
      <c r="Q10" s="726"/>
      <c r="R10" s="726"/>
      <c r="S10" s="726"/>
      <c r="T10" s="726"/>
      <c r="U10" s="726"/>
      <c r="V10" s="726"/>
      <c r="W10" s="726"/>
      <c r="X10" s="727"/>
      <c r="Y10" s="736" t="s">
        <v>166</v>
      </c>
      <c r="Z10" s="736"/>
      <c r="AA10" s="736"/>
      <c r="AB10" s="736"/>
      <c r="AE10" s="22">
        <f>$B$21</f>
        <v>340000</v>
      </c>
      <c r="AF10" t="s">
        <v>151</v>
      </c>
      <c r="AJ10" s="740"/>
      <c r="AK10" s="744"/>
      <c r="AL10" s="787"/>
      <c r="AM10" s="787"/>
      <c r="AN10" s="787"/>
      <c r="AO10" s="787"/>
      <c r="AP10" s="787"/>
      <c r="AQ10" s="787"/>
      <c r="AS10" t="s">
        <v>227</v>
      </c>
      <c r="AT10">
        <f>IF(AK31="5 Year Fixed",60,IF(AK31="10 Year Fixed",120,IF(AK31="15 Year Fixed",180,IF(AK31="20 Year Fixed",240,IF(AK31="25 Year Fixed",300,IF(AK31="30 Year Fixed",360,0))))))</f>
        <v>360</v>
      </c>
    </row>
    <row r="11" spans="1:46" ht="15.2" customHeight="1">
      <c r="A11" s="87" t="s">
        <v>167</v>
      </c>
      <c r="B11" s="690" t="str">
        <f>LEADS!$G$3</f>
        <v>mattpasiuk@gmail.com</v>
      </c>
      <c r="C11" s="691"/>
      <c r="D11" s="691"/>
      <c r="E11" s="691"/>
      <c r="F11" s="692"/>
      <c r="G11" s="882" t="str">
        <f>LEADS!$I$3</f>
        <v>15244 W Auburn Ave, Denver, CO, 80228</v>
      </c>
      <c r="H11" s="883"/>
      <c r="I11" s="883"/>
      <c r="J11" s="883"/>
      <c r="K11" s="883"/>
      <c r="L11" s="883"/>
      <c r="M11" s="884"/>
      <c r="N11" s="818"/>
      <c r="O11" s="819"/>
      <c r="P11" s="726" t="s">
        <v>168</v>
      </c>
      <c r="Q11" s="726"/>
      <c r="R11" s="726"/>
      <c r="S11" s="726"/>
      <c r="T11" s="726"/>
      <c r="U11" s="726"/>
      <c r="V11" s="726"/>
      <c r="W11" s="726"/>
      <c r="X11" s="727"/>
      <c r="Y11" s="736" t="s">
        <v>169</v>
      </c>
      <c r="Z11" s="736"/>
      <c r="AA11" s="736"/>
      <c r="AB11" s="736"/>
      <c r="AE11" s="21">
        <f>$B$35</f>
        <v>740000</v>
      </c>
      <c r="AF11" t="s">
        <v>151</v>
      </c>
      <c r="AJ11" s="739" t="s">
        <v>205</v>
      </c>
      <c r="AK11" s="745">
        <f>((B21+B13)*0.018)+3200</f>
        <v>22640</v>
      </c>
      <c r="AL11" s="787"/>
      <c r="AM11" s="787"/>
      <c r="AN11" s="787"/>
      <c r="AO11" s="787"/>
      <c r="AP11" s="787"/>
      <c r="AQ11" s="787"/>
    </row>
    <row r="12" spans="1:46" ht="15.2" customHeight="1" thickBot="1">
      <c r="A12" s="87" t="s">
        <v>171</v>
      </c>
      <c r="B12" s="690" t="str">
        <f>LEADS!$F$3</f>
        <v>(720)788-0594</v>
      </c>
      <c r="C12" s="691"/>
      <c r="D12" s="691"/>
      <c r="E12" s="691"/>
      <c r="F12" s="692"/>
      <c r="G12" s="882"/>
      <c r="H12" s="883"/>
      <c r="I12" s="883"/>
      <c r="J12" s="883"/>
      <c r="K12" s="883"/>
      <c r="L12" s="883"/>
      <c r="M12" s="884"/>
      <c r="N12" s="818"/>
      <c r="O12" s="819"/>
      <c r="P12" s="726" t="s">
        <v>172</v>
      </c>
      <c r="Q12" s="726"/>
      <c r="R12" s="726"/>
      <c r="S12" s="726"/>
      <c r="T12" s="726"/>
      <c r="U12" s="726"/>
      <c r="V12" s="726"/>
      <c r="W12" s="726"/>
      <c r="X12" s="727"/>
      <c r="Y12" s="723" t="s">
        <v>173</v>
      </c>
      <c r="Z12" s="723"/>
      <c r="AA12" s="723"/>
      <c r="AB12" s="723"/>
      <c r="AC12" s="723"/>
      <c r="AD12" s="723"/>
      <c r="AE12" s="723"/>
      <c r="AF12" s="723"/>
      <c r="AG12" s="723"/>
      <c r="AH12" s="723"/>
      <c r="AI12" s="723"/>
      <c r="AJ12" s="740"/>
      <c r="AK12" s="746"/>
      <c r="AL12" s="787"/>
      <c r="AM12" s="787"/>
      <c r="AN12" s="787"/>
      <c r="AO12" s="787"/>
      <c r="AP12" s="787"/>
      <c r="AQ12" s="787"/>
    </row>
    <row r="13" spans="1:46" ht="15.2" customHeight="1" thickBot="1">
      <c r="A13" s="96" t="s">
        <v>174</v>
      </c>
      <c r="B13" s="898">
        <f>LEADS!$P$3</f>
        <v>740000</v>
      </c>
      <c r="C13" s="899"/>
      <c r="D13" s="899"/>
      <c r="E13" s="899"/>
      <c r="F13" s="900"/>
      <c r="G13" s="685" t="s">
        <v>175</v>
      </c>
      <c r="H13" s="889"/>
      <c r="I13" s="889"/>
      <c r="J13" s="890">
        <f>LEADS!$L$3</f>
        <v>1200000</v>
      </c>
      <c r="K13" s="890"/>
      <c r="L13" s="890"/>
      <c r="M13" s="891"/>
      <c r="N13" s="818"/>
      <c r="O13" s="819"/>
      <c r="P13" s="726"/>
      <c r="Q13" s="726"/>
      <c r="R13" s="726"/>
      <c r="S13" s="726"/>
      <c r="T13" s="726"/>
      <c r="U13" s="726"/>
      <c r="V13" s="726"/>
      <c r="W13" s="726"/>
      <c r="X13" s="727"/>
      <c r="Y13" s="723"/>
      <c r="Z13" s="723"/>
      <c r="AA13" s="723"/>
      <c r="AB13" s="723"/>
      <c r="AC13" s="723"/>
      <c r="AD13" s="723"/>
      <c r="AE13" s="723"/>
      <c r="AF13" s="723"/>
      <c r="AG13" s="723"/>
      <c r="AH13" s="723"/>
      <c r="AI13" s="723"/>
      <c r="AJ13" s="806"/>
      <c r="AK13" s="806"/>
      <c r="AL13" s="787"/>
      <c r="AM13" s="787"/>
      <c r="AN13" s="787"/>
      <c r="AO13" s="787"/>
      <c r="AP13" s="787"/>
      <c r="AQ13" s="787"/>
    </row>
    <row r="14" spans="1:46" ht="15.2" customHeight="1" thickBot="1">
      <c r="A14" s="89"/>
      <c r="B14" s="89"/>
      <c r="C14" s="89"/>
      <c r="D14" s="89"/>
      <c r="E14" s="89"/>
      <c r="F14" s="89"/>
      <c r="G14" s="89"/>
      <c r="H14" s="89"/>
      <c r="I14" s="89"/>
      <c r="J14" s="89"/>
      <c r="K14" s="89"/>
      <c r="L14" s="89"/>
      <c r="M14" s="89"/>
      <c r="N14" s="820"/>
      <c r="O14" s="821"/>
      <c r="P14" s="728" t="s">
        <v>177</v>
      </c>
      <c r="Q14" s="728"/>
      <c r="R14" s="728"/>
      <c r="S14" s="728"/>
      <c r="T14" s="728"/>
      <c r="U14" s="728"/>
      <c r="V14" s="728"/>
      <c r="W14" s="728"/>
      <c r="X14" s="729"/>
      <c r="Y14" s="723" t="s">
        <v>178</v>
      </c>
      <c r="Z14" s="723"/>
      <c r="AA14" s="723"/>
      <c r="AB14" s="723"/>
      <c r="AC14" s="723"/>
      <c r="AD14" s="723"/>
      <c r="AE14" s="723"/>
      <c r="AF14" s="723"/>
      <c r="AG14" s="723"/>
      <c r="AH14" s="723"/>
      <c r="AI14" s="723"/>
      <c r="AJ14" s="839" t="s">
        <v>231</v>
      </c>
      <c r="AK14" s="840"/>
      <c r="AL14" s="787"/>
      <c r="AM14" s="787"/>
      <c r="AN14" s="787"/>
      <c r="AO14" s="787"/>
      <c r="AP14" s="787"/>
      <c r="AQ14" s="787"/>
    </row>
    <row r="15" spans="1:46" ht="15.2" customHeight="1" thickBot="1">
      <c r="A15" s="901" t="s">
        <v>179</v>
      </c>
      <c r="B15" s="657" t="s">
        <v>230</v>
      </c>
      <c r="C15" s="657"/>
      <c r="D15" s="657"/>
      <c r="E15" s="660"/>
      <c r="F15" s="656" t="s">
        <v>231</v>
      </c>
      <c r="G15" s="657"/>
      <c r="H15" s="657"/>
      <c r="I15" s="660"/>
      <c r="J15" s="657" t="s">
        <v>232</v>
      </c>
      <c r="K15" s="657"/>
      <c r="L15" s="657"/>
      <c r="M15" s="660"/>
      <c r="N15" s="880" t="s">
        <v>42</v>
      </c>
      <c r="O15" s="881"/>
      <c r="P15" s="724" t="str">
        <f>Z3&amp;" "&amp;Y12&amp;""&amp;AG9</f>
        <v>Matthew , I just wanted to follow up with you did you get the text above :point_up_2: - [Ellis w/ West Capital Lending]</v>
      </c>
      <c r="Q15" s="724"/>
      <c r="R15" s="724"/>
      <c r="S15" s="724"/>
      <c r="T15" s="724"/>
      <c r="U15" s="724"/>
      <c r="V15" s="724"/>
      <c r="W15" s="724"/>
      <c r="X15" s="725"/>
      <c r="Y15" s="723"/>
      <c r="Z15" s="723"/>
      <c r="AA15" s="723"/>
      <c r="AB15" s="723"/>
      <c r="AC15" s="723"/>
      <c r="AD15" s="723"/>
      <c r="AE15" s="723"/>
      <c r="AF15" s="723"/>
      <c r="AG15" s="723"/>
      <c r="AH15" s="723"/>
      <c r="AI15" s="723"/>
      <c r="AJ15" s="841"/>
      <c r="AK15" s="842"/>
      <c r="AL15" s="787"/>
      <c r="AM15" s="787"/>
      <c r="AN15" s="787"/>
      <c r="AO15" s="787"/>
      <c r="AP15" s="787"/>
      <c r="AQ15" s="787"/>
    </row>
    <row r="16" spans="1:46" ht="15.2" customHeight="1">
      <c r="A16" s="902"/>
      <c r="B16" s="892"/>
      <c r="C16" s="892"/>
      <c r="D16" s="892"/>
      <c r="E16" s="893"/>
      <c r="F16" s="894"/>
      <c r="G16" s="892"/>
      <c r="H16" s="892"/>
      <c r="I16" s="893"/>
      <c r="J16" s="892"/>
      <c r="K16" s="892"/>
      <c r="L16" s="892"/>
      <c r="M16" s="893"/>
      <c r="N16" s="662"/>
      <c r="O16" s="663"/>
      <c r="P16" s="728"/>
      <c r="Q16" s="728"/>
      <c r="R16" s="728"/>
      <c r="S16" s="728"/>
      <c r="T16" s="728"/>
      <c r="U16" s="728"/>
      <c r="V16" s="728"/>
      <c r="W16" s="728"/>
      <c r="X16" s="729"/>
      <c r="Y16" s="723" t="s">
        <v>183</v>
      </c>
      <c r="Z16" s="723"/>
      <c r="AA16" s="723"/>
      <c r="AB16" s="723"/>
      <c r="AC16" s="723"/>
      <c r="AD16" s="723"/>
      <c r="AE16" s="723"/>
      <c r="AF16" s="723"/>
      <c r="AG16" s="723"/>
      <c r="AH16" s="723"/>
      <c r="AI16" s="723"/>
      <c r="AJ16" s="807" t="s">
        <v>152</v>
      </c>
      <c r="AK16" s="739" t="s">
        <v>49</v>
      </c>
      <c r="AL16" s="787"/>
      <c r="AM16" s="787"/>
      <c r="AN16" s="787"/>
      <c r="AO16" s="787"/>
      <c r="AP16" s="787"/>
      <c r="AQ16" s="787"/>
    </row>
    <row r="17" spans="1:43" ht="15.2" customHeight="1" thickBot="1">
      <c r="A17" s="828" t="s">
        <v>113</v>
      </c>
      <c r="B17" s="845" t="str">
        <f>B25</f>
        <v>30 Year Fixed</v>
      </c>
      <c r="C17" s="845"/>
      <c r="D17" s="845"/>
      <c r="E17" s="846"/>
      <c r="F17" s="844" t="str">
        <f>F25</f>
        <v>30 Year Fixed</v>
      </c>
      <c r="G17" s="845"/>
      <c r="H17" s="845"/>
      <c r="I17" s="846"/>
      <c r="J17" s="845" t="str">
        <f>J25</f>
        <v>30 Year Fixed</v>
      </c>
      <c r="K17" s="845"/>
      <c r="L17" s="845"/>
      <c r="M17" s="846"/>
      <c r="N17" s="662" t="s">
        <v>186</v>
      </c>
      <c r="O17" s="663"/>
      <c r="P17" s="632" t="str">
        <f>$Z$3&amp;""&amp;Y14&amp;" "&amp;AG9</f>
        <v>Matthew, Great News! The Market took a heavy dip today :chart_with_downwards_trend: if you are at all still interested, now would be a great time to lock in your rate. :lock: [Ellis w/ West Capital Lending]</v>
      </c>
      <c r="Q17" s="633"/>
      <c r="R17" s="633"/>
      <c r="S17" s="633"/>
      <c r="T17" s="633"/>
      <c r="U17" s="633"/>
      <c r="V17" s="633"/>
      <c r="W17" s="633"/>
      <c r="X17" s="634"/>
      <c r="Y17" s="723"/>
      <c r="Z17" s="723"/>
      <c r="AA17" s="723"/>
      <c r="AB17" s="723"/>
      <c r="AC17" s="723"/>
      <c r="AD17" s="723"/>
      <c r="AE17" s="723"/>
      <c r="AF17" s="723"/>
      <c r="AG17" s="723"/>
      <c r="AH17" s="723"/>
      <c r="AI17" s="723"/>
      <c r="AJ17" s="808"/>
      <c r="AK17" s="740"/>
      <c r="AL17" s="787"/>
      <c r="AM17" s="787"/>
      <c r="AN17" s="787"/>
      <c r="AO17" s="787"/>
      <c r="AP17" s="787"/>
      <c r="AQ17" s="787"/>
    </row>
    <row r="18" spans="1:43" ht="15.2" customHeight="1">
      <c r="A18" s="828"/>
      <c r="B18" s="845"/>
      <c r="C18" s="845"/>
      <c r="D18" s="845"/>
      <c r="E18" s="846"/>
      <c r="F18" s="844"/>
      <c r="G18" s="845"/>
      <c r="H18" s="845"/>
      <c r="I18" s="846"/>
      <c r="J18" s="845"/>
      <c r="K18" s="845"/>
      <c r="L18" s="845"/>
      <c r="M18" s="846"/>
      <c r="N18" s="662"/>
      <c r="O18" s="663"/>
      <c r="P18" s="632"/>
      <c r="Q18" s="633"/>
      <c r="R18" s="633"/>
      <c r="S18" s="633"/>
      <c r="T18" s="633"/>
      <c r="U18" s="633"/>
      <c r="V18" s="633"/>
      <c r="W18" s="633"/>
      <c r="X18" s="634"/>
      <c r="Y18" s="723" t="s">
        <v>188</v>
      </c>
      <c r="Z18" s="723"/>
      <c r="AA18" s="723"/>
      <c r="AB18" s="723"/>
      <c r="AC18" s="723"/>
      <c r="AD18" s="723"/>
      <c r="AE18" s="723"/>
      <c r="AF18" s="723"/>
      <c r="AG18" s="723"/>
      <c r="AH18" s="723"/>
      <c r="AI18" s="723"/>
      <c r="AJ18" s="739" t="s">
        <v>193</v>
      </c>
      <c r="AK18" s="739" t="s">
        <v>158</v>
      </c>
      <c r="AL18" s="787"/>
      <c r="AM18" s="787"/>
      <c r="AN18" s="787"/>
      <c r="AO18" s="787"/>
      <c r="AP18" s="787"/>
      <c r="AQ18" s="787"/>
    </row>
    <row r="19" spans="1:43" ht="15.2" customHeight="1" thickBot="1">
      <c r="A19" s="828" t="s">
        <v>189</v>
      </c>
      <c r="B19" s="845" t="str">
        <f>AK3</f>
        <v>Conventional</v>
      </c>
      <c r="C19" s="845"/>
      <c r="D19" s="845"/>
      <c r="E19" s="846"/>
      <c r="F19" s="844" t="str">
        <f>AK16</f>
        <v>Conventional</v>
      </c>
      <c r="G19" s="845"/>
      <c r="H19" s="845"/>
      <c r="I19" s="846"/>
      <c r="J19" s="845" t="str">
        <f>AK29</f>
        <v>Conventional</v>
      </c>
      <c r="K19" s="845"/>
      <c r="L19" s="845"/>
      <c r="M19" s="846"/>
      <c r="N19" s="662"/>
      <c r="O19" s="663"/>
      <c r="P19" s="632"/>
      <c r="Q19" s="633"/>
      <c r="R19" s="633"/>
      <c r="S19" s="633"/>
      <c r="T19" s="633"/>
      <c r="U19" s="633"/>
      <c r="V19" s="633"/>
      <c r="W19" s="633"/>
      <c r="X19" s="634"/>
      <c r="Y19" s="723"/>
      <c r="Z19" s="723"/>
      <c r="AA19" s="723"/>
      <c r="AB19" s="723"/>
      <c r="AC19" s="723"/>
      <c r="AD19" s="723"/>
      <c r="AE19" s="723"/>
      <c r="AF19" s="723"/>
      <c r="AG19" s="723"/>
      <c r="AH19" s="723"/>
      <c r="AI19" s="723"/>
      <c r="AJ19" s="740"/>
      <c r="AK19" s="740"/>
      <c r="AL19" s="787"/>
      <c r="AM19" s="787"/>
      <c r="AN19" s="787"/>
      <c r="AO19" s="787"/>
      <c r="AP19" s="787"/>
      <c r="AQ19" s="787"/>
    </row>
    <row r="20" spans="1:43" ht="15.2" customHeight="1">
      <c r="A20" s="828"/>
      <c r="B20" s="845"/>
      <c r="C20" s="845"/>
      <c r="D20" s="845"/>
      <c r="E20" s="846"/>
      <c r="F20" s="844"/>
      <c r="G20" s="845"/>
      <c r="H20" s="845"/>
      <c r="I20" s="846"/>
      <c r="J20" s="845"/>
      <c r="K20" s="845"/>
      <c r="L20" s="845"/>
      <c r="M20" s="846"/>
      <c r="N20" s="662" t="s">
        <v>191</v>
      </c>
      <c r="O20" s="663"/>
      <c r="P20" s="632" t="str">
        <f>$Z$3&amp;""&amp;Y16&amp;" "&amp;AG9</f>
        <v>Matthew, If the quote I sent you was not what you were looking for I can send you additional options? Did you want to look at a Line of Credit :credit_card: or an Equity Loan :moneybag: instead? [Ellis w/ West Capital Lending]</v>
      </c>
      <c r="Q20" s="633"/>
      <c r="R20" s="633"/>
      <c r="S20" s="633"/>
      <c r="T20" s="633"/>
      <c r="U20" s="633"/>
      <c r="V20" s="633"/>
      <c r="W20" s="633"/>
      <c r="X20" s="634"/>
      <c r="Y20" s="723" t="s">
        <v>192</v>
      </c>
      <c r="Z20" s="723"/>
      <c r="AA20" s="723"/>
      <c r="AB20" s="723"/>
      <c r="AC20" s="723"/>
      <c r="AD20" s="723"/>
      <c r="AE20" s="723"/>
      <c r="AF20" s="723"/>
      <c r="AG20" s="723"/>
      <c r="AH20" s="723"/>
      <c r="AI20" s="723"/>
      <c r="AJ20" s="739" t="s">
        <v>197</v>
      </c>
      <c r="AK20" s="743">
        <v>7.7499999999999999E-2</v>
      </c>
      <c r="AL20" s="787"/>
      <c r="AM20" s="787"/>
      <c r="AN20" s="787"/>
      <c r="AO20" s="787"/>
      <c r="AP20" s="787"/>
      <c r="AQ20" s="787"/>
    </row>
    <row r="21" spans="1:43" ht="15.2" customHeight="1" thickBot="1">
      <c r="A21" s="828" t="s">
        <v>104</v>
      </c>
      <c r="B21" s="895">
        <f>LEADS!$M$3</f>
        <v>340000</v>
      </c>
      <c r="C21" s="895"/>
      <c r="D21" s="895"/>
      <c r="E21" s="896"/>
      <c r="F21" s="895">
        <f>LEADS!$M$3</f>
        <v>340000</v>
      </c>
      <c r="G21" s="895"/>
      <c r="H21" s="895"/>
      <c r="I21" s="896"/>
      <c r="J21" s="895">
        <f>LEADS!$M$3</f>
        <v>340000</v>
      </c>
      <c r="K21" s="895"/>
      <c r="L21" s="895"/>
      <c r="M21" s="896"/>
      <c r="N21" s="662"/>
      <c r="O21" s="663"/>
      <c r="P21" s="632"/>
      <c r="Q21" s="633"/>
      <c r="R21" s="633"/>
      <c r="S21" s="633"/>
      <c r="T21" s="633"/>
      <c r="U21" s="633"/>
      <c r="V21" s="633"/>
      <c r="W21" s="633"/>
      <c r="X21" s="634"/>
      <c r="Y21" s="723"/>
      <c r="Z21" s="723"/>
      <c r="AA21" s="723"/>
      <c r="AB21" s="723"/>
      <c r="AC21" s="723"/>
      <c r="AD21" s="723"/>
      <c r="AE21" s="723"/>
      <c r="AF21" s="723"/>
      <c r="AG21" s="723"/>
      <c r="AH21" s="723"/>
      <c r="AI21" s="723"/>
      <c r="AJ21" s="740"/>
      <c r="AK21" s="744"/>
      <c r="AL21" s="787"/>
      <c r="AM21" s="787"/>
      <c r="AN21" s="787"/>
      <c r="AO21" s="787"/>
      <c r="AP21" s="787"/>
      <c r="AQ21" s="787"/>
    </row>
    <row r="22" spans="1:43" ht="15.2" customHeight="1">
      <c r="A22" s="828"/>
      <c r="B22" s="895"/>
      <c r="C22" s="895"/>
      <c r="D22" s="895"/>
      <c r="E22" s="896"/>
      <c r="F22" s="895"/>
      <c r="G22" s="895"/>
      <c r="H22" s="895"/>
      <c r="I22" s="896"/>
      <c r="J22" s="895"/>
      <c r="K22" s="895"/>
      <c r="L22" s="895"/>
      <c r="M22" s="896"/>
      <c r="N22" s="662"/>
      <c r="O22" s="663"/>
      <c r="P22" s="632"/>
      <c r="Q22" s="633"/>
      <c r="R22" s="633"/>
      <c r="S22" s="633"/>
      <c r="T22" s="633"/>
      <c r="U22" s="633"/>
      <c r="V22" s="633"/>
      <c r="W22" s="633"/>
      <c r="X22" s="634"/>
      <c r="Y22" s="723" t="s">
        <v>195</v>
      </c>
      <c r="Z22" s="723"/>
      <c r="AA22" s="723"/>
      <c r="AB22" s="723"/>
      <c r="AC22" s="723"/>
      <c r="AD22" s="723"/>
      <c r="AE22" s="723"/>
      <c r="AF22" s="723"/>
      <c r="AG22" s="723"/>
      <c r="AH22" s="723"/>
      <c r="AI22" s="723"/>
      <c r="AJ22" s="739" t="s">
        <v>163</v>
      </c>
      <c r="AK22" s="743">
        <f>RATE(AT9,-F33,(F23-F31),0)*12</f>
        <v>7.8964495215194414E-2</v>
      </c>
      <c r="AL22" s="787"/>
      <c r="AM22" s="787"/>
      <c r="AN22" s="787"/>
      <c r="AO22" s="787"/>
      <c r="AP22" s="787"/>
      <c r="AQ22" s="787"/>
    </row>
    <row r="23" spans="1:43" ht="15.2" customHeight="1" thickBot="1">
      <c r="A23" s="828" t="s">
        <v>106</v>
      </c>
      <c r="B23" s="895">
        <f>B13+B21+B31</f>
        <v>1102640</v>
      </c>
      <c r="C23" s="895"/>
      <c r="D23" s="895"/>
      <c r="E23" s="896"/>
      <c r="F23" s="897">
        <f>B13+F21+F31</f>
        <v>1095296</v>
      </c>
      <c r="G23" s="895"/>
      <c r="H23" s="895"/>
      <c r="I23" s="896"/>
      <c r="J23" s="895">
        <f>B13+J21+J31</f>
        <v>1092380</v>
      </c>
      <c r="K23" s="895"/>
      <c r="L23" s="895"/>
      <c r="M23" s="896"/>
      <c r="N23" s="662" t="s">
        <v>196</v>
      </c>
      <c r="O23" s="663"/>
      <c r="P23" s="632" t="str">
        <f>$Z$3&amp;""&amp;Y18&amp;" "&amp;AG9</f>
        <v>Matthew, just wanted to follow up with you did you get the text above :point_up_2:  [Ellis w/ West Capital Lending]</v>
      </c>
      <c r="Q23" s="633"/>
      <c r="R23" s="633"/>
      <c r="S23" s="633"/>
      <c r="T23" s="633"/>
      <c r="U23" s="633"/>
      <c r="V23" s="633"/>
      <c r="W23" s="633"/>
      <c r="X23" s="634"/>
      <c r="Y23" s="723"/>
      <c r="Z23" s="723"/>
      <c r="AA23" s="723"/>
      <c r="AB23" s="723"/>
      <c r="AC23" s="723"/>
      <c r="AD23" s="723"/>
      <c r="AE23" s="723"/>
      <c r="AF23" s="723"/>
      <c r="AG23" s="723"/>
      <c r="AH23" s="723"/>
      <c r="AI23" s="723"/>
      <c r="AJ23" s="740"/>
      <c r="AK23" s="744"/>
      <c r="AL23" s="787"/>
      <c r="AM23" s="787"/>
      <c r="AN23" s="787"/>
      <c r="AO23" s="787"/>
      <c r="AP23" s="787"/>
      <c r="AQ23" s="787"/>
    </row>
    <row r="24" spans="1:43" ht="15.2" customHeight="1" thickBot="1">
      <c r="A24" s="828"/>
      <c r="B24" s="895"/>
      <c r="C24" s="895"/>
      <c r="D24" s="895"/>
      <c r="E24" s="896"/>
      <c r="F24" s="897"/>
      <c r="G24" s="895"/>
      <c r="H24" s="895"/>
      <c r="I24" s="896"/>
      <c r="J24" s="895"/>
      <c r="K24" s="895"/>
      <c r="L24" s="895"/>
      <c r="M24" s="896"/>
      <c r="N24" s="662"/>
      <c r="O24" s="663"/>
      <c r="P24" s="632"/>
      <c r="Q24" s="633"/>
      <c r="R24" s="633"/>
      <c r="S24" s="633"/>
      <c r="T24" s="633"/>
      <c r="U24" s="633"/>
      <c r="V24" s="633"/>
      <c r="W24" s="633"/>
      <c r="X24" s="634"/>
      <c r="Y24" s="723" t="s">
        <v>198</v>
      </c>
      <c r="Z24" s="723"/>
      <c r="AA24" s="723" t="s">
        <v>199</v>
      </c>
      <c r="AB24" s="723"/>
      <c r="AC24" s="723"/>
      <c r="AD24" s="723"/>
      <c r="AE24" s="723"/>
      <c r="AF24" s="723"/>
      <c r="AG24" s="723"/>
      <c r="AH24" s="723"/>
      <c r="AI24" s="723"/>
      <c r="AJ24" s="739" t="s">
        <v>205</v>
      </c>
      <c r="AK24" s="745">
        <f>((B21+B13)*0.0112)+3200</f>
        <v>15296</v>
      </c>
      <c r="AL24" s="787"/>
      <c r="AM24" s="787"/>
      <c r="AN24" s="787"/>
      <c r="AO24" s="787"/>
      <c r="AP24" s="787"/>
      <c r="AQ24" s="787"/>
    </row>
    <row r="25" spans="1:43" ht="15.2" customHeight="1" thickBot="1">
      <c r="A25" s="827" t="s">
        <v>157</v>
      </c>
      <c r="B25" s="847" t="str">
        <f>AK5</f>
        <v>30 Year Fixed</v>
      </c>
      <c r="C25" s="848"/>
      <c r="D25" s="848"/>
      <c r="E25" s="849"/>
      <c r="F25" s="847" t="str">
        <f>AK18</f>
        <v>30 Year Fixed</v>
      </c>
      <c r="G25" s="848"/>
      <c r="H25" s="848"/>
      <c r="I25" s="849"/>
      <c r="J25" s="853" t="str">
        <f>AK31</f>
        <v>30 Year Fixed</v>
      </c>
      <c r="K25" s="853"/>
      <c r="L25" s="853"/>
      <c r="M25" s="854"/>
      <c r="N25" s="662" t="s">
        <v>201</v>
      </c>
      <c r="O25" s="663"/>
      <c r="P25" s="632" t="str">
        <f>$Z$3&amp;""&amp;Y20&amp;" "&amp;AG9</f>
        <v>Matthew, I know you may already be in process with another lender. :bank: Are you satisified with rate and service? :blush: :pensive: [Ellis w/ West Capital Lending]</v>
      </c>
      <c r="Q25" s="633"/>
      <c r="R25" s="633"/>
      <c r="S25" s="633"/>
      <c r="T25" s="633"/>
      <c r="U25" s="633"/>
      <c r="V25" s="633"/>
      <c r="W25" s="633"/>
      <c r="X25" s="634"/>
      <c r="Y25" s="723"/>
      <c r="Z25" s="723"/>
      <c r="AA25" s="723"/>
      <c r="AB25" s="723"/>
      <c r="AC25" s="723"/>
      <c r="AD25" s="723"/>
      <c r="AE25" s="723"/>
      <c r="AF25" s="723"/>
      <c r="AG25" s="723"/>
      <c r="AH25" s="723"/>
      <c r="AI25" s="723"/>
      <c r="AJ25" s="740"/>
      <c r="AK25" s="746"/>
      <c r="AL25" s="787"/>
      <c r="AM25" s="787"/>
      <c r="AN25" s="787"/>
      <c r="AO25" s="787"/>
      <c r="AP25" s="787"/>
      <c r="AQ25" s="787"/>
    </row>
    <row r="26" spans="1:43" ht="15.2" customHeight="1" thickBot="1">
      <c r="A26" s="829"/>
      <c r="B26" s="850"/>
      <c r="C26" s="851"/>
      <c r="D26" s="851"/>
      <c r="E26" s="852"/>
      <c r="F26" s="850"/>
      <c r="G26" s="851"/>
      <c r="H26" s="851"/>
      <c r="I26" s="852"/>
      <c r="J26" s="855"/>
      <c r="K26" s="855"/>
      <c r="L26" s="855"/>
      <c r="M26" s="856"/>
      <c r="N26" s="662"/>
      <c r="O26" s="663"/>
      <c r="P26" s="632"/>
      <c r="Q26" s="633"/>
      <c r="R26" s="633"/>
      <c r="S26" s="633"/>
      <c r="T26" s="633"/>
      <c r="U26" s="633"/>
      <c r="V26" s="633"/>
      <c r="W26" s="633"/>
      <c r="X26" s="634"/>
      <c r="Y26" s="723" t="s">
        <v>202</v>
      </c>
      <c r="Z26" s="723"/>
      <c r="AA26" s="723"/>
      <c r="AB26" s="723"/>
      <c r="AC26" s="723"/>
      <c r="AD26" s="723"/>
      <c r="AE26" s="723"/>
      <c r="AF26" s="723"/>
      <c r="AG26" s="723"/>
      <c r="AH26" s="723"/>
      <c r="AI26" s="723"/>
      <c r="AJ26" s="806"/>
      <c r="AK26" s="806"/>
      <c r="AL26" s="787"/>
      <c r="AM26" s="787"/>
      <c r="AN26" s="787"/>
      <c r="AO26" s="787"/>
      <c r="AP26" s="787"/>
      <c r="AQ26" s="787"/>
    </row>
    <row r="27" spans="1:43" ht="15.2" customHeight="1">
      <c r="A27" s="828" t="s">
        <v>203</v>
      </c>
      <c r="B27" s="857">
        <f>AK7</f>
        <v>7.3749999999999996E-2</v>
      </c>
      <c r="C27" s="858"/>
      <c r="D27" s="858"/>
      <c r="E27" s="859"/>
      <c r="F27" s="857">
        <f>AK20</f>
        <v>7.7499999999999999E-2</v>
      </c>
      <c r="G27" s="858"/>
      <c r="H27" s="858"/>
      <c r="I27" s="859"/>
      <c r="J27" s="858">
        <f>AK33</f>
        <v>7.9899999999999999E-2</v>
      </c>
      <c r="K27" s="858"/>
      <c r="L27" s="858"/>
      <c r="M27" s="859"/>
      <c r="N27" s="662" t="s">
        <v>204</v>
      </c>
      <c r="O27" s="663"/>
      <c r="P27" s="632" t="str">
        <f>$Z$3&amp;""&amp;Y22&amp;" "&amp;AG9</f>
        <v>Matthew, if you changed your mind let me know so I can stop contacting you if you wish? [Ellis w/ West Capital Lending]</v>
      </c>
      <c r="Q27" s="633"/>
      <c r="R27" s="633"/>
      <c r="S27" s="633"/>
      <c r="T27" s="633"/>
      <c r="U27" s="633"/>
      <c r="V27" s="633"/>
      <c r="W27" s="633"/>
      <c r="X27" s="634"/>
      <c r="Y27" s="723"/>
      <c r="Z27" s="723"/>
      <c r="AA27" s="723"/>
      <c r="AB27" s="723"/>
      <c r="AC27" s="723"/>
      <c r="AD27" s="723"/>
      <c r="AE27" s="723"/>
      <c r="AF27" s="723"/>
      <c r="AG27" s="723"/>
      <c r="AH27" s="723"/>
      <c r="AI27" s="723"/>
      <c r="AJ27" s="839" t="s">
        <v>232</v>
      </c>
      <c r="AK27" s="840"/>
      <c r="AL27" s="787"/>
      <c r="AM27" s="787"/>
      <c r="AN27" s="787"/>
      <c r="AO27" s="787"/>
      <c r="AP27" s="787"/>
      <c r="AQ27" s="787"/>
    </row>
    <row r="28" spans="1:43" ht="15.2" customHeight="1" thickBot="1">
      <c r="A28" s="828"/>
      <c r="B28" s="857"/>
      <c r="C28" s="858"/>
      <c r="D28" s="858"/>
      <c r="E28" s="859"/>
      <c r="F28" s="857"/>
      <c r="G28" s="858"/>
      <c r="H28" s="858"/>
      <c r="I28" s="859"/>
      <c r="J28" s="858"/>
      <c r="K28" s="858"/>
      <c r="L28" s="858"/>
      <c r="M28" s="859"/>
      <c r="N28" s="662"/>
      <c r="O28" s="663"/>
      <c r="P28" s="632"/>
      <c r="Q28" s="633"/>
      <c r="R28" s="633"/>
      <c r="S28" s="633"/>
      <c r="T28" s="633"/>
      <c r="U28" s="633"/>
      <c r="V28" s="633"/>
      <c r="W28" s="633"/>
      <c r="X28" s="634"/>
      <c r="Y28" s="723" t="s">
        <v>206</v>
      </c>
      <c r="Z28" s="723"/>
      <c r="AA28" s="723"/>
      <c r="AB28" s="723"/>
      <c r="AC28" s="723"/>
      <c r="AD28" s="723"/>
      <c r="AE28" s="723"/>
      <c r="AF28" s="723"/>
      <c r="AG28" s="723"/>
      <c r="AH28" s="723"/>
      <c r="AI28" s="723"/>
      <c r="AJ28" s="841"/>
      <c r="AK28" s="842"/>
      <c r="AL28" s="787"/>
      <c r="AM28" s="787"/>
      <c r="AN28" s="787"/>
      <c r="AO28" s="787"/>
      <c r="AP28" s="787"/>
      <c r="AQ28" s="787"/>
    </row>
    <row r="29" spans="1:43" ht="15.2" customHeight="1">
      <c r="A29" s="828" t="s">
        <v>163</v>
      </c>
      <c r="B29" s="857">
        <f>AK9</f>
        <v>7.5865963186805982E-2</v>
      </c>
      <c r="C29" s="858"/>
      <c r="D29" s="858"/>
      <c r="E29" s="859"/>
      <c r="F29" s="857">
        <f>AK22</f>
        <v>7.8964495215194414E-2</v>
      </c>
      <c r="G29" s="858"/>
      <c r="H29" s="858"/>
      <c r="I29" s="859"/>
      <c r="J29" s="858">
        <f>AK35</f>
        <v>8.1103342485459362E-2</v>
      </c>
      <c r="K29" s="858"/>
      <c r="L29" s="858"/>
      <c r="M29" s="859"/>
      <c r="N29" s="664" t="s">
        <v>233</v>
      </c>
      <c r="O29" s="665"/>
      <c r="P29" s="632" t="str">
        <f>$Z$3&amp;""&amp;Y24&amp;" "&amp;AF11&amp;""&amp;AE11&amp;" "&amp;AA24&amp;" "&amp;AG9</f>
        <v>Matthew, did you still want to take out the $740000 :money_with_wings: in cash from your home? [Ellis w/ West Capital Lending]</v>
      </c>
      <c r="Q29" s="633"/>
      <c r="R29" s="633"/>
      <c r="S29" s="633"/>
      <c r="T29" s="633"/>
      <c r="U29" s="633"/>
      <c r="V29" s="633"/>
      <c r="W29" s="633"/>
      <c r="X29" s="634"/>
      <c r="Y29" s="723"/>
      <c r="Z29" s="723"/>
      <c r="AA29" s="723"/>
      <c r="AB29" s="723"/>
      <c r="AC29" s="723"/>
      <c r="AD29" s="723"/>
      <c r="AE29" s="723"/>
      <c r="AF29" s="723"/>
      <c r="AG29" s="723"/>
      <c r="AH29" s="723"/>
      <c r="AI29" s="723"/>
      <c r="AJ29" s="807" t="s">
        <v>152</v>
      </c>
      <c r="AK29" s="739" t="s">
        <v>49</v>
      </c>
      <c r="AL29" s="787"/>
      <c r="AM29" s="787"/>
      <c r="AN29" s="787"/>
      <c r="AO29" s="787"/>
      <c r="AP29" s="787"/>
      <c r="AQ29" s="787"/>
    </row>
    <row r="30" spans="1:43" ht="15.2" customHeight="1" thickBot="1">
      <c r="A30" s="828"/>
      <c r="B30" s="857"/>
      <c r="C30" s="858"/>
      <c r="D30" s="858"/>
      <c r="E30" s="859"/>
      <c r="F30" s="857"/>
      <c r="G30" s="858"/>
      <c r="H30" s="858"/>
      <c r="I30" s="859"/>
      <c r="J30" s="858"/>
      <c r="K30" s="858"/>
      <c r="L30" s="858"/>
      <c r="M30" s="859"/>
      <c r="N30" s="664"/>
      <c r="O30" s="665"/>
      <c r="P30" s="632"/>
      <c r="Q30" s="633"/>
      <c r="R30" s="633"/>
      <c r="S30" s="633"/>
      <c r="T30" s="633"/>
      <c r="U30" s="633"/>
      <c r="V30" s="633"/>
      <c r="W30" s="633"/>
      <c r="X30" s="634"/>
      <c r="Y30" s="723" t="s">
        <v>208</v>
      </c>
      <c r="Z30" s="723"/>
      <c r="AA30" s="723"/>
      <c r="AB30" s="723"/>
      <c r="AC30" s="723"/>
      <c r="AD30" s="723"/>
      <c r="AE30" s="723"/>
      <c r="AF30" s="723"/>
      <c r="AG30" s="723"/>
      <c r="AH30" s="723"/>
      <c r="AI30" s="723"/>
      <c r="AJ30" s="808"/>
      <c r="AK30" s="740"/>
      <c r="AL30" s="787"/>
      <c r="AM30" s="787"/>
      <c r="AN30" s="787"/>
      <c r="AO30" s="787"/>
      <c r="AP30" s="787"/>
      <c r="AQ30" s="787"/>
    </row>
    <row r="31" spans="1:43" ht="15.2" customHeight="1">
      <c r="A31" s="828" t="s">
        <v>209</v>
      </c>
      <c r="B31" s="860">
        <f>AK11</f>
        <v>22640</v>
      </c>
      <c r="C31" s="861"/>
      <c r="D31" s="861"/>
      <c r="E31" s="862"/>
      <c r="F31" s="860">
        <f>AK24</f>
        <v>15296</v>
      </c>
      <c r="G31" s="861"/>
      <c r="H31" s="861"/>
      <c r="I31" s="862"/>
      <c r="J31" s="861">
        <f>AK37</f>
        <v>12380</v>
      </c>
      <c r="K31" s="861"/>
      <c r="L31" s="861"/>
      <c r="M31" s="862"/>
      <c r="N31" s="662" t="s">
        <v>210</v>
      </c>
      <c r="O31" s="663"/>
      <c r="P31" s="824" t="str">
        <f>$Z$3&amp;""&amp;Y26&amp;" "&amp;AG9</f>
        <v>Matthew, generally when I do not receive a response it is because the client was told they didn't qualify. I am broker and I can work with any credit or income profile. [Ellis w/ West Capital Lending]</v>
      </c>
      <c r="Q31" s="825"/>
      <c r="R31" s="825"/>
      <c r="S31" s="825"/>
      <c r="T31" s="825"/>
      <c r="U31" s="825"/>
      <c r="V31" s="825"/>
      <c r="W31" s="825"/>
      <c r="X31" s="826"/>
      <c r="Y31" s="723"/>
      <c r="Z31" s="723"/>
      <c r="AA31" s="723"/>
      <c r="AB31" s="723"/>
      <c r="AC31" s="723"/>
      <c r="AD31" s="723"/>
      <c r="AE31" s="723"/>
      <c r="AF31" s="723"/>
      <c r="AG31" s="723"/>
      <c r="AH31" s="723"/>
      <c r="AI31" s="723"/>
      <c r="AJ31" s="739" t="s">
        <v>193</v>
      </c>
      <c r="AK31" s="739" t="s">
        <v>158</v>
      </c>
      <c r="AL31" s="787"/>
      <c r="AM31" s="787"/>
      <c r="AN31" s="787"/>
      <c r="AO31" s="787"/>
      <c r="AP31" s="787"/>
      <c r="AQ31" s="787"/>
    </row>
    <row r="32" spans="1:43" ht="15.2" customHeight="1" thickBot="1">
      <c r="A32" s="828"/>
      <c r="B32" s="860"/>
      <c r="C32" s="861"/>
      <c r="D32" s="861"/>
      <c r="E32" s="862"/>
      <c r="F32" s="860"/>
      <c r="G32" s="861"/>
      <c r="H32" s="861"/>
      <c r="I32" s="862"/>
      <c r="J32" s="861"/>
      <c r="K32" s="861"/>
      <c r="L32" s="861"/>
      <c r="M32" s="862"/>
      <c r="N32" s="662"/>
      <c r="O32" s="663"/>
      <c r="P32" s="824"/>
      <c r="Q32" s="825"/>
      <c r="R32" s="825"/>
      <c r="S32" s="825"/>
      <c r="T32" s="825"/>
      <c r="U32" s="825"/>
      <c r="V32" s="825"/>
      <c r="W32" s="825"/>
      <c r="X32" s="826"/>
      <c r="Y32" s="723" t="s">
        <v>212</v>
      </c>
      <c r="Z32" s="723"/>
      <c r="AA32" s="723"/>
      <c r="AB32" s="723"/>
      <c r="AC32" s="723"/>
      <c r="AD32" s="723"/>
      <c r="AE32" s="723"/>
      <c r="AF32" s="723"/>
      <c r="AG32" s="723"/>
      <c r="AH32" s="723"/>
      <c r="AI32" s="723"/>
      <c r="AJ32" s="740"/>
      <c r="AK32" s="740"/>
      <c r="AL32" s="787"/>
      <c r="AM32" s="787"/>
      <c r="AN32" s="787"/>
      <c r="AO32" s="787"/>
      <c r="AP32" s="787"/>
      <c r="AQ32" s="787"/>
    </row>
    <row r="33" spans="1:43" ht="15.2" customHeight="1">
      <c r="A33" s="827" t="s">
        <v>213</v>
      </c>
      <c r="B33" s="866">
        <f>ABS(PMT(B27/12, AT8,B23, 0))</f>
        <v>7615.6604474672886</v>
      </c>
      <c r="C33" s="867"/>
      <c r="D33" s="867"/>
      <c r="E33" s="868"/>
      <c r="F33" s="866">
        <f>ABS(PMT(F27/12, AT9,F23, 0))</f>
        <v>7846.8346691183788</v>
      </c>
      <c r="G33" s="867"/>
      <c r="H33" s="867"/>
      <c r="I33" s="868"/>
      <c r="J33" s="866">
        <f>ABS(PMT(J27/12, AT10,J23, 0))</f>
        <v>8007.8835652482321</v>
      </c>
      <c r="K33" s="867"/>
      <c r="L33" s="867"/>
      <c r="M33" s="868"/>
      <c r="N33" s="662"/>
      <c r="O33" s="663"/>
      <c r="P33" s="824"/>
      <c r="Q33" s="825"/>
      <c r="R33" s="825"/>
      <c r="S33" s="825"/>
      <c r="T33" s="825"/>
      <c r="U33" s="825"/>
      <c r="V33" s="825"/>
      <c r="W33" s="825"/>
      <c r="X33" s="826"/>
      <c r="Y33" s="723"/>
      <c r="Z33" s="723"/>
      <c r="AA33" s="723"/>
      <c r="AB33" s="723"/>
      <c r="AC33" s="723"/>
      <c r="AD33" s="723"/>
      <c r="AE33" s="723"/>
      <c r="AF33" s="723"/>
      <c r="AG33" s="723"/>
      <c r="AH33" s="723"/>
      <c r="AI33" s="723"/>
      <c r="AJ33" s="739" t="s">
        <v>197</v>
      </c>
      <c r="AK33" s="743">
        <v>7.9899999999999999E-2</v>
      </c>
      <c r="AL33" s="787"/>
      <c r="AM33" s="787"/>
      <c r="AN33" s="787"/>
      <c r="AO33" s="787"/>
      <c r="AP33" s="787"/>
      <c r="AQ33" s="787"/>
    </row>
    <row r="34" spans="1:43" ht="15.2" customHeight="1" thickBot="1">
      <c r="A34" s="829"/>
      <c r="B34" s="869"/>
      <c r="C34" s="870"/>
      <c r="D34" s="870"/>
      <c r="E34" s="871"/>
      <c r="F34" s="869"/>
      <c r="G34" s="870"/>
      <c r="H34" s="870"/>
      <c r="I34" s="871"/>
      <c r="J34" s="869"/>
      <c r="K34" s="870"/>
      <c r="L34" s="870"/>
      <c r="M34" s="871"/>
      <c r="N34" s="662" t="s">
        <v>214</v>
      </c>
      <c r="O34" s="663"/>
      <c r="P34" s="632" t="str">
        <f>$Z$3&amp;""&amp;Y28&amp;" "&amp;AG9</f>
        <v>Matthew, home values are trending up in your area. :zap: Have you had an evaluation done recently? [Ellis w/ West Capital Lending]</v>
      </c>
      <c r="Q34" s="633"/>
      <c r="R34" s="633"/>
      <c r="S34" s="633"/>
      <c r="T34" s="633"/>
      <c r="U34" s="633"/>
      <c r="V34" s="633"/>
      <c r="W34" s="633"/>
      <c r="X34" s="634"/>
      <c r="AJ34" s="740"/>
      <c r="AK34" s="744"/>
      <c r="AL34" s="787"/>
      <c r="AM34" s="787"/>
      <c r="AN34" s="787"/>
      <c r="AO34" s="787"/>
      <c r="AP34" s="787"/>
      <c r="AQ34" s="787"/>
    </row>
    <row r="35" spans="1:43" ht="15.2" customHeight="1">
      <c r="A35" s="827" t="s">
        <v>105</v>
      </c>
      <c r="B35" s="863">
        <f>B23-B21-B31</f>
        <v>740000</v>
      </c>
      <c r="C35" s="864"/>
      <c r="D35" s="864"/>
      <c r="E35" s="865"/>
      <c r="F35" s="863">
        <f>F23-F21-F31</f>
        <v>740000</v>
      </c>
      <c r="G35" s="864"/>
      <c r="H35" s="864"/>
      <c r="I35" s="865"/>
      <c r="J35" s="863">
        <f>J23-J21-J31</f>
        <v>740000</v>
      </c>
      <c r="K35" s="864"/>
      <c r="L35" s="864"/>
      <c r="M35" s="865"/>
      <c r="N35" s="662"/>
      <c r="O35" s="663"/>
      <c r="P35" s="632"/>
      <c r="Q35" s="633"/>
      <c r="R35" s="633"/>
      <c r="S35" s="633"/>
      <c r="T35" s="633"/>
      <c r="U35" s="633"/>
      <c r="V35" s="633"/>
      <c r="W35" s="633"/>
      <c r="X35" s="634"/>
      <c r="AJ35" s="739" t="s">
        <v>163</v>
      </c>
      <c r="AK35" s="743">
        <f>RATE(AT10,-J33,(J23-J31),0)*12</f>
        <v>8.1103342485459362E-2</v>
      </c>
      <c r="AL35" s="787"/>
      <c r="AM35" s="787"/>
      <c r="AN35" s="787"/>
      <c r="AO35" s="787"/>
      <c r="AP35" s="787"/>
      <c r="AQ35" s="787"/>
    </row>
    <row r="36" spans="1:43" ht="15.2" customHeight="1" thickBot="1">
      <c r="A36" s="829"/>
      <c r="B36" s="863"/>
      <c r="C36" s="864"/>
      <c r="D36" s="864"/>
      <c r="E36" s="865"/>
      <c r="F36" s="863"/>
      <c r="G36" s="864"/>
      <c r="H36" s="864"/>
      <c r="I36" s="865"/>
      <c r="J36" s="863"/>
      <c r="K36" s="864"/>
      <c r="L36" s="864"/>
      <c r="M36" s="865"/>
      <c r="N36" s="662" t="s">
        <v>216</v>
      </c>
      <c r="O36" s="663"/>
      <c r="P36" s="632" t="str">
        <f>$Z$3&amp;""&amp;Y30&amp;" "&amp;AG9</f>
        <v>Matthew, a lot of my clients are calling to consolidate their debt. Do you carry any High Interest Balances? [Ellis w/ West Capital Lending]</v>
      </c>
      <c r="Q36" s="633"/>
      <c r="R36" s="633"/>
      <c r="S36" s="633"/>
      <c r="T36" s="633"/>
      <c r="U36" s="633"/>
      <c r="V36" s="633"/>
      <c r="W36" s="633"/>
      <c r="X36" s="634"/>
      <c r="AJ36" s="740"/>
      <c r="AK36" s="744"/>
      <c r="AL36" s="787"/>
      <c r="AM36" s="787"/>
      <c r="AN36" s="787"/>
      <c r="AO36" s="787"/>
      <c r="AP36" s="787"/>
      <c r="AQ36" s="787"/>
    </row>
    <row r="37" spans="1:43" ht="15.2" customHeight="1">
      <c r="A37" s="827" t="s">
        <v>219</v>
      </c>
      <c r="B37" s="765" t="s">
        <v>33</v>
      </c>
      <c r="C37" s="766"/>
      <c r="D37" s="766"/>
      <c r="E37" s="767"/>
      <c r="F37" s="765" t="s">
        <v>34</v>
      </c>
      <c r="G37" s="766"/>
      <c r="H37" s="766"/>
      <c r="I37" s="767"/>
      <c r="J37" s="765" t="s">
        <v>35</v>
      </c>
      <c r="K37" s="766"/>
      <c r="L37" s="766"/>
      <c r="M37" s="767"/>
      <c r="N37" s="809"/>
      <c r="O37" s="663"/>
      <c r="P37" s="632"/>
      <c r="Q37" s="633"/>
      <c r="R37" s="633"/>
      <c r="S37" s="633"/>
      <c r="T37" s="633"/>
      <c r="U37" s="633"/>
      <c r="V37" s="633"/>
      <c r="W37" s="633"/>
      <c r="X37" s="634"/>
      <c r="AJ37" s="739" t="s">
        <v>205</v>
      </c>
      <c r="AK37" s="745">
        <f>((B21+B13)*0.0085)+3200</f>
        <v>12380</v>
      </c>
      <c r="AL37" s="787"/>
      <c r="AM37" s="787"/>
      <c r="AN37" s="787"/>
      <c r="AO37" s="787"/>
      <c r="AP37" s="787"/>
      <c r="AQ37" s="787"/>
    </row>
    <row r="38" spans="1:43" ht="15.2" customHeight="1" thickBot="1">
      <c r="A38" s="828"/>
      <c r="B38" s="768"/>
      <c r="C38" s="769"/>
      <c r="D38" s="769"/>
      <c r="E38" s="770"/>
      <c r="F38" s="768"/>
      <c r="G38" s="769"/>
      <c r="H38" s="769"/>
      <c r="I38" s="770"/>
      <c r="J38" s="768"/>
      <c r="K38" s="769"/>
      <c r="L38" s="769"/>
      <c r="M38" s="770"/>
      <c r="N38" s="843" t="s">
        <v>220</v>
      </c>
      <c r="O38" s="772"/>
      <c r="P38" s="784" t="str">
        <f>Y32&amp;" "&amp;AG9</f>
        <v>Do I have the right person? [Ellis w/ West Capital Lending]</v>
      </c>
      <c r="Q38" s="785"/>
      <c r="R38" s="785"/>
      <c r="S38" s="785"/>
      <c r="T38" s="785"/>
      <c r="U38" s="785"/>
      <c r="V38" s="785"/>
      <c r="W38" s="785"/>
      <c r="X38" s="786"/>
      <c r="AJ38" s="740"/>
      <c r="AK38" s="746"/>
      <c r="AL38" s="787"/>
      <c r="AM38" s="787"/>
      <c r="AN38" s="787"/>
      <c r="AO38" s="787"/>
      <c r="AP38" s="787"/>
      <c r="AQ38" s="787"/>
    </row>
    <row r="39" spans="1:43" ht="15.2" customHeight="1">
      <c r="A39" s="828"/>
      <c r="B39" s="765" t="s">
        <v>223</v>
      </c>
      <c r="C39" s="766"/>
      <c r="D39" s="766"/>
      <c r="E39" s="767"/>
      <c r="F39" s="765" t="s">
        <v>234</v>
      </c>
      <c r="G39" s="766"/>
      <c r="H39" s="766"/>
      <c r="I39" s="767"/>
      <c r="J39" s="830" t="s">
        <v>225</v>
      </c>
      <c r="K39" s="830"/>
      <c r="L39" s="830"/>
      <c r="M39" s="831"/>
      <c r="N39" s="796"/>
      <c r="O39" s="796"/>
      <c r="P39" s="796"/>
      <c r="Q39" s="796"/>
      <c r="R39" s="796"/>
      <c r="S39" s="796"/>
      <c r="T39" s="796"/>
      <c r="U39" s="796"/>
      <c r="V39" s="796"/>
      <c r="W39" s="796"/>
      <c r="X39" s="796"/>
      <c r="AJ39" s="787"/>
      <c r="AK39" s="787"/>
      <c r="AL39" s="787"/>
      <c r="AM39" s="787"/>
      <c r="AN39" s="787"/>
      <c r="AO39" s="787"/>
      <c r="AP39" s="787"/>
      <c r="AQ39" s="787"/>
    </row>
    <row r="40" spans="1:43" ht="15.2" customHeight="1" thickBot="1">
      <c r="A40" s="829"/>
      <c r="B40" s="768"/>
      <c r="C40" s="769"/>
      <c r="D40" s="769"/>
      <c r="E40" s="770"/>
      <c r="F40" s="768"/>
      <c r="G40" s="769"/>
      <c r="H40" s="769"/>
      <c r="I40" s="770"/>
      <c r="J40" s="769"/>
      <c r="K40" s="769"/>
      <c r="L40" s="769"/>
      <c r="M40" s="770"/>
      <c r="N40" s="796"/>
      <c r="O40" s="796"/>
      <c r="P40" s="796"/>
      <c r="Q40" s="796"/>
      <c r="R40" s="796"/>
      <c r="S40" s="796"/>
      <c r="T40" s="796"/>
      <c r="U40" s="796"/>
      <c r="V40" s="796"/>
      <c r="W40" s="796"/>
      <c r="X40" s="796"/>
      <c r="AJ40" s="787"/>
      <c r="AK40" s="787"/>
      <c r="AL40" s="787"/>
      <c r="AM40" s="787"/>
      <c r="AN40" s="787"/>
      <c r="AO40" s="787"/>
      <c r="AP40" s="787"/>
      <c r="AQ40" s="787"/>
    </row>
    <row r="41" spans="1:43" ht="15.2" customHeight="1">
      <c r="A41" s="775"/>
      <c r="B41" s="776"/>
      <c r="C41" s="776"/>
      <c r="D41" s="776"/>
      <c r="E41" s="776"/>
      <c r="F41" s="776"/>
      <c r="G41" s="776"/>
      <c r="H41" s="776"/>
      <c r="I41" s="776"/>
      <c r="J41" s="776"/>
      <c r="K41" s="776"/>
      <c r="L41" s="776"/>
      <c r="M41" s="777"/>
      <c r="N41" s="796"/>
      <c r="O41" s="796"/>
      <c r="P41" s="796"/>
      <c r="Q41" s="796"/>
      <c r="R41" s="796"/>
      <c r="S41" s="796"/>
      <c r="T41" s="796"/>
      <c r="U41" s="796"/>
      <c r="V41" s="796"/>
      <c r="W41" s="796"/>
      <c r="X41" s="796"/>
      <c r="AJ41" s="787"/>
      <c r="AK41" s="787"/>
      <c r="AL41" s="787"/>
      <c r="AM41" s="787"/>
      <c r="AN41" s="787"/>
      <c r="AO41" s="787"/>
      <c r="AP41" s="787"/>
      <c r="AQ41" s="787"/>
    </row>
    <row r="42" spans="1:43" ht="15.2" customHeight="1">
      <c r="A42" s="778"/>
      <c r="B42" s="779"/>
      <c r="C42" s="779"/>
      <c r="D42" s="779"/>
      <c r="E42" s="779"/>
      <c r="F42" s="779"/>
      <c r="G42" s="779"/>
      <c r="H42" s="779"/>
      <c r="I42" s="779"/>
      <c r="J42" s="779"/>
      <c r="K42" s="779"/>
      <c r="L42" s="779"/>
      <c r="M42" s="780"/>
      <c r="N42" s="796"/>
      <c r="O42" s="796"/>
      <c r="P42" s="796"/>
      <c r="Q42" s="796"/>
      <c r="R42" s="796"/>
      <c r="S42" s="796"/>
      <c r="T42" s="796"/>
      <c r="U42" s="796"/>
      <c r="V42" s="796"/>
      <c r="W42" s="796"/>
      <c r="X42" s="796"/>
      <c r="AJ42" s="787"/>
      <c r="AK42" s="787"/>
      <c r="AL42" s="787"/>
      <c r="AM42" s="787"/>
      <c r="AN42" s="787"/>
      <c r="AO42" s="787"/>
      <c r="AP42" s="787"/>
      <c r="AQ42" s="787"/>
    </row>
    <row r="43" spans="1:43" ht="15.2" customHeight="1" thickBot="1">
      <c r="A43" s="781"/>
      <c r="B43" s="782"/>
      <c r="C43" s="782"/>
      <c r="D43" s="782"/>
      <c r="E43" s="782"/>
      <c r="F43" s="782"/>
      <c r="G43" s="782"/>
      <c r="H43" s="782"/>
      <c r="I43" s="782"/>
      <c r="J43" s="782"/>
      <c r="K43" s="782"/>
      <c r="L43" s="782"/>
      <c r="M43" s="783"/>
      <c r="N43" s="796"/>
      <c r="O43" s="796"/>
      <c r="P43" s="796"/>
      <c r="Q43" s="796"/>
      <c r="R43" s="796"/>
      <c r="S43" s="796"/>
      <c r="T43" s="796"/>
      <c r="U43" s="796"/>
      <c r="V43" s="796"/>
      <c r="W43" s="796"/>
      <c r="X43" s="796"/>
      <c r="AJ43" s="787"/>
      <c r="AK43" s="787"/>
      <c r="AL43" s="787"/>
      <c r="AM43" s="787"/>
      <c r="AN43" s="787"/>
      <c r="AO43" s="787"/>
      <c r="AP43" s="787"/>
      <c r="AQ43" s="787"/>
    </row>
    <row r="44" spans="1:43" ht="15.2" customHeight="1">
      <c r="A44" s="758" t="str">
        <f>G1&amp;" - "&amp;START!$E$25</f>
        <v>Ellis Andersen | Branch Manager - (949) 892-1736</v>
      </c>
      <c r="B44" s="759"/>
      <c r="C44" s="759"/>
      <c r="D44" s="759"/>
      <c r="E44" s="759"/>
      <c r="F44" s="759"/>
      <c r="G44" s="759"/>
      <c r="H44" s="759"/>
      <c r="I44" s="759"/>
      <c r="J44" s="759"/>
      <c r="K44" s="759"/>
      <c r="L44" s="759"/>
      <c r="M44" s="760"/>
      <c r="N44" s="796"/>
      <c r="O44" s="796"/>
      <c r="P44" s="796"/>
      <c r="Q44" s="796"/>
      <c r="R44" s="796"/>
      <c r="S44" s="796"/>
      <c r="T44" s="796"/>
      <c r="U44" s="796"/>
      <c r="V44" s="796"/>
      <c r="W44" s="796"/>
      <c r="X44" s="796"/>
      <c r="AJ44" s="787"/>
      <c r="AK44" s="787"/>
      <c r="AL44" s="787"/>
      <c r="AM44" s="787"/>
      <c r="AN44" s="787"/>
      <c r="AO44" s="787"/>
      <c r="AP44" s="787"/>
      <c r="AQ44" s="787"/>
    </row>
    <row r="45" spans="1:43" ht="15.2" customHeight="1">
      <c r="A45" s="758"/>
      <c r="B45" s="759"/>
      <c r="C45" s="759"/>
      <c r="D45" s="759"/>
      <c r="E45" s="759"/>
      <c r="F45" s="759"/>
      <c r="G45" s="759"/>
      <c r="H45" s="759"/>
      <c r="I45" s="759"/>
      <c r="J45" s="759"/>
      <c r="K45" s="759"/>
      <c r="L45" s="759"/>
      <c r="M45" s="760"/>
      <c r="N45" s="796"/>
      <c r="O45" s="796"/>
      <c r="P45" s="796"/>
      <c r="Q45" s="796"/>
      <c r="R45" s="796"/>
      <c r="S45" s="796"/>
      <c r="T45" s="796"/>
      <c r="U45" s="796"/>
      <c r="V45" s="796"/>
      <c r="W45" s="796"/>
      <c r="X45" s="796"/>
      <c r="AJ45" s="787"/>
      <c r="AK45" s="787"/>
      <c r="AL45" s="787"/>
      <c r="AM45" s="787"/>
      <c r="AN45" s="787"/>
      <c r="AO45" s="787"/>
      <c r="AP45" s="787"/>
      <c r="AQ45" s="787"/>
    </row>
    <row r="46" spans="1:43" ht="15.2" customHeight="1" thickBot="1">
      <c r="A46" s="761" t="s">
        <v>229</v>
      </c>
      <c r="B46" s="762"/>
      <c r="C46" s="762"/>
      <c r="D46" s="762"/>
      <c r="E46" s="762"/>
      <c r="F46" s="762"/>
      <c r="G46" s="762"/>
      <c r="H46" s="762"/>
      <c r="I46" s="762"/>
      <c r="J46" s="762"/>
      <c r="K46" s="762"/>
      <c r="L46" s="762"/>
      <c r="M46" s="763"/>
      <c r="N46" s="796"/>
      <c r="O46" s="796"/>
      <c r="P46" s="796"/>
      <c r="Q46" s="796"/>
      <c r="R46" s="796"/>
      <c r="S46" s="796"/>
      <c r="T46" s="796"/>
      <c r="U46" s="796"/>
      <c r="V46" s="796"/>
      <c r="W46" s="796"/>
      <c r="X46" s="796"/>
      <c r="AJ46" s="787"/>
      <c r="AK46" s="787"/>
      <c r="AL46" s="787"/>
      <c r="AM46" s="787"/>
      <c r="AN46" s="787"/>
      <c r="AO46" s="787"/>
      <c r="AP46" s="787"/>
      <c r="AQ46" s="787"/>
    </row>
    <row r="47" spans="1:43" ht="14.45" customHeight="1">
      <c r="A47" s="776"/>
      <c r="B47" s="776"/>
      <c r="C47" s="776"/>
      <c r="D47" s="776"/>
      <c r="E47" s="776"/>
      <c r="F47" s="776"/>
      <c r="G47" s="776"/>
      <c r="H47" s="776"/>
      <c r="I47" s="776"/>
      <c r="J47" s="776"/>
      <c r="K47" s="776"/>
      <c r="L47" s="776"/>
      <c r="M47" s="776"/>
      <c r="N47" s="796"/>
      <c r="O47" s="796"/>
      <c r="P47" s="796"/>
      <c r="Q47" s="796"/>
      <c r="R47" s="796"/>
      <c r="S47" s="796"/>
      <c r="T47" s="796"/>
      <c r="U47" s="796"/>
      <c r="V47" s="796"/>
      <c r="W47" s="796"/>
      <c r="X47" s="796"/>
      <c r="AJ47" s="787"/>
      <c r="AK47" s="787"/>
      <c r="AL47" s="787"/>
      <c r="AM47" s="787"/>
      <c r="AN47" s="787"/>
      <c r="AO47" s="787"/>
      <c r="AP47" s="787"/>
      <c r="AQ47" s="787"/>
    </row>
    <row r="48" spans="1:43" ht="14.45" customHeight="1">
      <c r="A48" s="779"/>
      <c r="B48" s="779"/>
      <c r="C48" s="779"/>
      <c r="D48" s="779"/>
      <c r="E48" s="779"/>
      <c r="F48" s="779"/>
      <c r="G48" s="779"/>
      <c r="H48" s="779"/>
      <c r="I48" s="779"/>
      <c r="J48" s="779"/>
      <c r="K48" s="779"/>
      <c r="L48" s="779"/>
      <c r="M48" s="779"/>
      <c r="N48" s="796"/>
      <c r="O48" s="796"/>
      <c r="P48" s="796"/>
      <c r="Q48" s="796"/>
      <c r="R48" s="796"/>
      <c r="S48" s="796"/>
      <c r="T48" s="796"/>
      <c r="U48" s="796"/>
      <c r="V48" s="796"/>
      <c r="W48" s="796"/>
      <c r="X48" s="796"/>
      <c r="AJ48" s="787"/>
      <c r="AK48" s="787"/>
      <c r="AL48" s="787"/>
      <c r="AM48" s="787"/>
      <c r="AN48" s="787"/>
      <c r="AO48" s="787"/>
      <c r="AP48" s="787"/>
      <c r="AQ48" s="787"/>
    </row>
    <row r="49" spans="1:46" ht="14.45" customHeight="1">
      <c r="A49" s="779"/>
      <c r="B49" s="779"/>
      <c r="C49" s="779"/>
      <c r="D49" s="779"/>
      <c r="E49" s="779"/>
      <c r="F49" s="779"/>
      <c r="G49" s="779"/>
      <c r="H49" s="779"/>
      <c r="I49" s="779"/>
      <c r="J49" s="779"/>
      <c r="K49" s="779"/>
      <c r="L49" s="779"/>
      <c r="M49" s="779"/>
      <c r="N49" s="796"/>
      <c r="O49" s="796"/>
      <c r="P49" s="796"/>
      <c r="Q49" s="796"/>
      <c r="R49" s="796"/>
      <c r="S49" s="796"/>
      <c r="T49" s="796"/>
      <c r="U49" s="796"/>
      <c r="V49" s="796"/>
      <c r="W49" s="796"/>
      <c r="X49" s="796"/>
      <c r="AJ49" s="787"/>
      <c r="AK49" s="787"/>
      <c r="AL49" s="787"/>
      <c r="AM49" s="787"/>
      <c r="AN49" s="787"/>
      <c r="AO49" s="787"/>
      <c r="AP49" s="787"/>
      <c r="AQ49" s="787"/>
    </row>
    <row r="50" spans="1:46" ht="14.45" customHeight="1">
      <c r="A50" s="779"/>
      <c r="B50" s="779"/>
      <c r="C50" s="779"/>
      <c r="D50" s="779"/>
      <c r="E50" s="779"/>
      <c r="F50" s="779"/>
      <c r="G50" s="779"/>
      <c r="H50" s="779"/>
      <c r="I50" s="779"/>
      <c r="J50" s="779"/>
      <c r="K50" s="779"/>
      <c r="L50" s="779"/>
      <c r="M50" s="779"/>
      <c r="N50" s="796"/>
      <c r="O50" s="796"/>
      <c r="P50" s="796"/>
      <c r="Q50" s="796"/>
      <c r="R50" s="796"/>
      <c r="S50" s="796"/>
      <c r="T50" s="796"/>
      <c r="U50" s="796"/>
      <c r="V50" s="796"/>
      <c r="W50" s="796"/>
      <c r="X50" s="796"/>
      <c r="AJ50" s="787"/>
      <c r="AK50" s="787"/>
      <c r="AL50" s="787"/>
      <c r="AM50" s="787"/>
      <c r="AN50" s="787"/>
      <c r="AO50" s="787"/>
      <c r="AP50" s="787"/>
      <c r="AQ50" s="787"/>
    </row>
    <row r="51" spans="1:46" ht="14.45" customHeight="1" thickBot="1">
      <c r="A51" s="779"/>
      <c r="B51" s="779"/>
      <c r="C51" s="779"/>
      <c r="D51" s="779"/>
      <c r="E51" s="779"/>
      <c r="F51" s="779"/>
      <c r="G51" s="779"/>
      <c r="H51" s="779"/>
      <c r="I51" s="779"/>
      <c r="J51" s="779"/>
      <c r="K51" s="779"/>
      <c r="L51" s="779"/>
      <c r="M51" s="779"/>
      <c r="N51" s="796"/>
      <c r="O51" s="796"/>
      <c r="P51" s="796"/>
      <c r="Q51" s="796"/>
      <c r="R51" s="796"/>
      <c r="S51" s="796"/>
      <c r="T51" s="796"/>
      <c r="U51" s="796"/>
      <c r="V51" s="796"/>
      <c r="W51" s="796"/>
      <c r="X51" s="796"/>
      <c r="AJ51" s="787"/>
      <c r="AK51" s="787"/>
      <c r="AL51" s="787"/>
      <c r="AM51" s="787"/>
      <c r="AN51" s="787"/>
      <c r="AO51" s="787"/>
      <c r="AP51" s="787"/>
      <c r="AQ51" s="787"/>
    </row>
    <row r="52" spans="1:46" ht="14.45" customHeight="1" collapsed="1">
      <c r="A52" s="83"/>
      <c r="B52" s="83"/>
      <c r="C52" s="83"/>
      <c r="D52" s="83"/>
      <c r="E52" s="83"/>
      <c r="F52" s="83"/>
      <c r="G52" s="833" t="str">
        <f>START!$D$11</f>
        <v>Ellis Andersen | Branch Manager</v>
      </c>
      <c r="H52" s="834"/>
      <c r="I52" s="834"/>
      <c r="J52" s="834"/>
      <c r="K52" s="834"/>
      <c r="L52" s="834"/>
      <c r="M52" s="835"/>
      <c r="N52" s="810" t="s">
        <v>146</v>
      </c>
      <c r="O52" s="811"/>
      <c r="P52" s="811"/>
      <c r="Q52" s="811"/>
      <c r="R52" s="811"/>
      <c r="S52" s="811"/>
      <c r="T52" s="811"/>
      <c r="U52" s="811"/>
      <c r="V52" s="811"/>
      <c r="W52" s="811"/>
      <c r="X52" s="812"/>
      <c r="Y52" s="732" t="s">
        <v>147</v>
      </c>
      <c r="Z52" s="732"/>
      <c r="AA52" s="732"/>
      <c r="AB52" s="732"/>
      <c r="AC52" s="732"/>
      <c r="AD52" s="732"/>
      <c r="AE52" s="732"/>
      <c r="AF52" s="732"/>
      <c r="AG52" s="732"/>
      <c r="AH52" s="732"/>
      <c r="AI52" s="732"/>
      <c r="AJ52" s="839" t="s">
        <v>230</v>
      </c>
      <c r="AK52" s="840"/>
      <c r="AL52" s="787"/>
      <c r="AM52" s="787"/>
      <c r="AN52" s="787"/>
      <c r="AO52" s="787"/>
      <c r="AP52" s="787"/>
      <c r="AQ52" s="787"/>
      <c r="AS52" t="s">
        <v>215</v>
      </c>
    </row>
    <row r="53" spans="1:46" ht="15" customHeight="1" thickBot="1">
      <c r="A53" s="83"/>
      <c r="B53" s="83"/>
      <c r="C53" s="83"/>
      <c r="D53" s="83"/>
      <c r="E53" s="83"/>
      <c r="F53" s="83"/>
      <c r="G53" s="836"/>
      <c r="H53" s="837"/>
      <c r="I53" s="837"/>
      <c r="J53" s="837"/>
      <c r="K53" s="837"/>
      <c r="L53" s="837"/>
      <c r="M53" s="838"/>
      <c r="N53" s="813"/>
      <c r="O53" s="814"/>
      <c r="P53" s="814"/>
      <c r="Q53" s="814"/>
      <c r="R53" s="814"/>
      <c r="S53" s="814"/>
      <c r="T53" s="814"/>
      <c r="U53" s="814"/>
      <c r="V53" s="814"/>
      <c r="W53" s="814"/>
      <c r="X53" s="815"/>
      <c r="Y53" s="734"/>
      <c r="Z53" s="734"/>
      <c r="AA53" s="734"/>
      <c r="AB53" s="734"/>
      <c r="AC53" s="734"/>
      <c r="AD53" s="734"/>
      <c r="AE53" s="734"/>
      <c r="AF53" s="734"/>
      <c r="AG53" s="734"/>
      <c r="AH53" s="734"/>
      <c r="AI53" s="734"/>
      <c r="AJ53" s="841"/>
      <c r="AK53" s="842"/>
      <c r="AL53" s="787"/>
      <c r="AM53" s="787"/>
      <c r="AN53" s="787"/>
      <c r="AO53" s="787"/>
      <c r="AP53" s="787"/>
      <c r="AQ53" s="787"/>
      <c r="AS53" t="s">
        <v>217</v>
      </c>
    </row>
    <row r="54" spans="1:46" ht="15.75" customHeight="1">
      <c r="A54" s="83"/>
      <c r="B54" s="83"/>
      <c r="C54" s="83"/>
      <c r="D54" s="83"/>
      <c r="E54" s="83"/>
      <c r="F54" s="83"/>
      <c r="G54" s="666" t="str">
        <f>START!$D$13</f>
        <v>Direct/Fax: (949) 892-1736</v>
      </c>
      <c r="H54" s="667"/>
      <c r="I54" s="667"/>
      <c r="J54" s="667"/>
      <c r="K54" s="667"/>
      <c r="L54" s="667"/>
      <c r="M54" s="668"/>
      <c r="N54" s="816" t="s">
        <v>149</v>
      </c>
      <c r="O54" s="817"/>
      <c r="P54" s="822" t="str">
        <f>Y54&amp;" "&amp;Z54&amp;""&amp;Y55&amp;" "&amp;Z55&amp;" "&amp;AA55&amp;" "&amp;AI55&amp;" "&amp;Y56</f>
        <v xml:space="preserve">Hi Matthew, this is Ellis Andersen :blush: with West Capital Lending. I just received your inquiry to take about $740000 :moneybag: of equity from your home. I know you're shopping for the best deal so I will check with our most competitive lenders within our Broker Network. </v>
      </c>
      <c r="Q54" s="822"/>
      <c r="R54" s="822"/>
      <c r="S54" s="822"/>
      <c r="T54" s="822"/>
      <c r="U54" s="822"/>
      <c r="V54" s="822"/>
      <c r="W54" s="822"/>
      <c r="X54" s="823"/>
      <c r="Y54" t="s">
        <v>150</v>
      </c>
      <c r="Z54" s="722" t="str">
        <f>LEADS!$D$3</f>
        <v>Matthew</v>
      </c>
      <c r="AA54" s="722"/>
      <c r="AB54" s="722"/>
      <c r="AH54" t="s">
        <v>151</v>
      </c>
      <c r="AJ54" s="807" t="s">
        <v>152</v>
      </c>
      <c r="AK54" s="739" t="s">
        <v>49</v>
      </c>
      <c r="AL54" s="787"/>
      <c r="AM54" s="787"/>
      <c r="AN54" s="787"/>
      <c r="AO54" s="787"/>
      <c r="AP54" s="787"/>
      <c r="AQ54" s="787"/>
      <c r="AS54" t="s">
        <v>218</v>
      </c>
    </row>
    <row r="55" spans="1:46" ht="15.6" customHeight="1" thickBot="1">
      <c r="A55" s="83"/>
      <c r="B55" s="83"/>
      <c r="C55" s="83"/>
      <c r="D55" s="83"/>
      <c r="E55" s="83"/>
      <c r="F55" s="83"/>
      <c r="G55" s="666" t="str">
        <f>START!$D$14</f>
        <v>Email: eandersen@westcapitallending.com</v>
      </c>
      <c r="H55" s="667"/>
      <c r="I55" s="667"/>
      <c r="J55" s="667"/>
      <c r="K55" s="667"/>
      <c r="L55" s="667"/>
      <c r="M55" s="668"/>
      <c r="N55" s="818"/>
      <c r="O55" s="819"/>
      <c r="P55" s="726"/>
      <c r="Q55" s="726"/>
      <c r="R55" s="726"/>
      <c r="S55" s="726"/>
      <c r="T55" s="726"/>
      <c r="U55" s="726"/>
      <c r="V55" s="726"/>
      <c r="W55" s="726"/>
      <c r="X55" s="727"/>
      <c r="Y55" t="s">
        <v>153</v>
      </c>
      <c r="Z55" t="str">
        <f>START!$E$23</f>
        <v>Ellis Andersen</v>
      </c>
      <c r="AA55" s="736" t="s">
        <v>154</v>
      </c>
      <c r="AB55" s="736"/>
      <c r="AC55" s="736"/>
      <c r="AD55" s="736"/>
      <c r="AE55" s="736"/>
      <c r="AF55" s="736"/>
      <c r="AG55" s="736"/>
      <c r="AH55" s="22">
        <f>B64</f>
        <v>740000</v>
      </c>
      <c r="AI55" t="str">
        <f>AH54&amp;""&amp;AH55</f>
        <v>$740000</v>
      </c>
      <c r="AJ55" s="808"/>
      <c r="AK55" s="740"/>
      <c r="AL55" s="787"/>
      <c r="AM55" s="787"/>
      <c r="AN55" s="787"/>
      <c r="AO55" s="787"/>
      <c r="AP55" s="787"/>
      <c r="AQ55" s="787"/>
      <c r="AS55" t="s">
        <v>221</v>
      </c>
    </row>
    <row r="56" spans="1:46" ht="15.6" customHeight="1">
      <c r="A56" s="83"/>
      <c r="B56" s="83"/>
      <c r="C56" s="83"/>
      <c r="D56" s="83"/>
      <c r="E56" s="83"/>
      <c r="F56" s="83"/>
      <c r="G56" s="666" t="str">
        <f>START!$D$15</f>
        <v>34 Executive Park Ste 180, Irvine, CA 92614</v>
      </c>
      <c r="H56" s="667"/>
      <c r="I56" s="667"/>
      <c r="J56" s="667"/>
      <c r="K56" s="667"/>
      <c r="L56" s="667"/>
      <c r="M56" s="668"/>
      <c r="N56" s="818"/>
      <c r="O56" s="819"/>
      <c r="P56" s="726" t="s">
        <v>155</v>
      </c>
      <c r="Q56" s="726"/>
      <c r="R56" s="726"/>
      <c r="S56" s="726"/>
      <c r="T56" s="726"/>
      <c r="U56" s="726"/>
      <c r="V56" s="726"/>
      <c r="W56" s="726"/>
      <c r="X56" s="727"/>
      <c r="Y56" s="723" t="s">
        <v>156</v>
      </c>
      <c r="Z56" s="723"/>
      <c r="AA56" s="723"/>
      <c r="AB56" s="723"/>
      <c r="AC56" s="723"/>
      <c r="AD56" s="723"/>
      <c r="AE56" s="723"/>
      <c r="AF56" s="723"/>
      <c r="AG56" s="723"/>
      <c r="AH56" s="723"/>
      <c r="AI56" s="723"/>
      <c r="AJ56" s="739" t="s">
        <v>193</v>
      </c>
      <c r="AK56" s="739" t="s">
        <v>158</v>
      </c>
      <c r="AL56" s="787"/>
      <c r="AM56" s="787"/>
      <c r="AN56" s="787"/>
      <c r="AO56" s="787"/>
      <c r="AP56" s="787"/>
      <c r="AQ56" s="787"/>
      <c r="AS56" t="s">
        <v>222</v>
      </c>
    </row>
    <row r="57" spans="1:46" ht="15.6" customHeight="1" thickBot="1">
      <c r="A57" s="83"/>
      <c r="B57" s="83"/>
      <c r="C57" s="83"/>
      <c r="D57" s="83"/>
      <c r="E57" s="83"/>
      <c r="F57" s="83"/>
      <c r="G57" s="666" t="str">
        <f>START!$D$16</f>
        <v>NMLS 1912260 | NMLS 02196940</v>
      </c>
      <c r="H57" s="667"/>
      <c r="I57" s="667"/>
      <c r="J57" s="667"/>
      <c r="K57" s="667"/>
      <c r="L57" s="667"/>
      <c r="M57" s="668"/>
      <c r="N57" s="818"/>
      <c r="O57" s="819"/>
      <c r="P57" s="726" t="str">
        <f>Y59&amp;" "&amp;AD59</f>
        <v>This is your current address: 15244 W Auburn Ave, Denver, CO, 80228</v>
      </c>
      <c r="Q57" s="726"/>
      <c r="R57" s="726"/>
      <c r="S57" s="726"/>
      <c r="T57" s="726"/>
      <c r="U57" s="726"/>
      <c r="V57" s="726"/>
      <c r="W57" s="726"/>
      <c r="X57" s="727"/>
      <c r="Y57" s="723"/>
      <c r="Z57" s="723"/>
      <c r="AA57" s="723"/>
      <c r="AB57" s="723"/>
      <c r="AC57" s="723"/>
      <c r="AD57" s="723"/>
      <c r="AE57" s="723"/>
      <c r="AF57" s="723"/>
      <c r="AG57" s="723"/>
      <c r="AH57" s="723"/>
      <c r="AI57" s="723"/>
      <c r="AJ57" s="740"/>
      <c r="AK57" s="740"/>
      <c r="AL57" s="787"/>
      <c r="AM57" s="787"/>
      <c r="AN57" s="787"/>
      <c r="AO57" s="787"/>
      <c r="AP57" s="787"/>
      <c r="AQ57" s="787"/>
      <c r="AS57" t="s">
        <v>158</v>
      </c>
    </row>
    <row r="58" spans="1:46" ht="15.6" customHeight="1" thickBot="1">
      <c r="A58" s="83"/>
      <c r="B58" s="83"/>
      <c r="C58" s="83"/>
      <c r="D58" s="83"/>
      <c r="E58" s="83"/>
      <c r="F58" s="83"/>
      <c r="G58" s="674" t="str">
        <f>START!$D$17</f>
        <v>Website: www.westcapitallending.com</v>
      </c>
      <c r="H58" s="675"/>
      <c r="I58" s="675"/>
      <c r="J58" s="675"/>
      <c r="K58" s="675"/>
      <c r="L58" s="675"/>
      <c r="M58" s="676"/>
      <c r="N58" s="818"/>
      <c r="O58" s="819"/>
      <c r="P58" s="726" t="str">
        <f>Y60&amp;" "&amp;AF60&amp;""&amp;AE60</f>
        <v>Home Value is: $1200000</v>
      </c>
      <c r="Q58" s="726"/>
      <c r="R58" s="726"/>
      <c r="S58" s="726"/>
      <c r="T58" s="726"/>
      <c r="U58" s="726"/>
      <c r="V58" s="726"/>
      <c r="W58" s="726"/>
      <c r="X58" s="727"/>
      <c r="Y58" s="736" t="s">
        <v>155</v>
      </c>
      <c r="Z58" s="736"/>
      <c r="AA58" s="736"/>
      <c r="AB58" s="736"/>
      <c r="AJ58" s="739" t="s">
        <v>197</v>
      </c>
      <c r="AK58" s="743">
        <v>5.2499999999999998E-2</v>
      </c>
      <c r="AL58" s="787"/>
      <c r="AM58" s="787"/>
      <c r="AN58" s="787"/>
      <c r="AO58" s="787"/>
      <c r="AP58" s="787"/>
      <c r="AQ58" s="787"/>
    </row>
    <row r="59" spans="1:46" ht="14.45" customHeight="1" thickBot="1">
      <c r="A59" s="83"/>
      <c r="B59" s="83"/>
      <c r="C59" s="83"/>
      <c r="D59" s="83"/>
      <c r="E59" s="83"/>
      <c r="F59" s="83"/>
      <c r="G59" s="83"/>
      <c r="H59" s="83"/>
      <c r="I59" s="83"/>
      <c r="J59" s="83"/>
      <c r="K59" s="83"/>
      <c r="L59" s="83"/>
      <c r="M59" s="83"/>
      <c r="N59" s="818"/>
      <c r="O59" s="819"/>
      <c r="P59" s="726" t="str">
        <f>Y61&amp;" "&amp;AF61&amp;""&amp;AE61</f>
        <v>Your Current First Mortgage Balance is: $340000</v>
      </c>
      <c r="Q59" s="726"/>
      <c r="R59" s="726"/>
      <c r="S59" s="726"/>
      <c r="T59" s="726"/>
      <c r="U59" s="726"/>
      <c r="V59" s="726"/>
      <c r="W59" s="726"/>
      <c r="X59" s="727"/>
      <c r="Y59" s="736" t="s">
        <v>160</v>
      </c>
      <c r="Z59" s="736"/>
      <c r="AA59" s="736"/>
      <c r="AB59" s="736"/>
      <c r="AD59" t="str">
        <f>LEADS!$I$3</f>
        <v>15244 W Auburn Ave, Denver, CO, 80228</v>
      </c>
      <c r="AJ59" s="740"/>
      <c r="AK59" s="744"/>
      <c r="AL59" s="787"/>
      <c r="AM59" s="787"/>
      <c r="AN59" s="787"/>
      <c r="AO59" s="787"/>
      <c r="AP59" s="787"/>
      <c r="AQ59" s="787"/>
      <c r="AS59" t="s">
        <v>211</v>
      </c>
      <c r="AT59">
        <f>IF(AK56="5 Year Fixed",60,IF(AK56="10 Year Fixed",120,IF(AK56="15 Year Fixed",180,IF(AK56="20 Year Fixed",240,IF(AK56="25 Year Fixed",300,IF(AK56="30 Year Fixed",360,0))))))</f>
        <v>360</v>
      </c>
    </row>
    <row r="60" spans="1:46" ht="15.6" customHeight="1">
      <c r="A60" s="85" t="s">
        <v>67</v>
      </c>
      <c r="B60" s="800">
        <f ca="1">TODAY()</f>
        <v>45196</v>
      </c>
      <c r="C60" s="801"/>
      <c r="D60" s="801"/>
      <c r="E60" s="801"/>
      <c r="F60" s="802"/>
      <c r="G60" s="677" t="s">
        <v>161</v>
      </c>
      <c r="H60" s="678"/>
      <c r="I60" s="678"/>
      <c r="J60" s="678"/>
      <c r="K60" s="678"/>
      <c r="L60" s="678"/>
      <c r="M60" s="679"/>
      <c r="N60" s="818"/>
      <c r="O60" s="819"/>
      <c r="P60" s="726" t="str">
        <f>Y62&amp;" "&amp;AF62&amp;""&amp;AE62</f>
        <v>Your Desired Cash Out is: $740000</v>
      </c>
      <c r="Q60" s="726"/>
      <c r="R60" s="726"/>
      <c r="S60" s="726"/>
      <c r="T60" s="726"/>
      <c r="U60" s="726"/>
      <c r="V60" s="726"/>
      <c r="W60" s="726"/>
      <c r="X60" s="727"/>
      <c r="Y60" s="736" t="s">
        <v>162</v>
      </c>
      <c r="Z60" s="736"/>
      <c r="AA60" s="736"/>
      <c r="AB60" s="736"/>
      <c r="AE60" s="22">
        <f>$J$13</f>
        <v>1200000</v>
      </c>
      <c r="AF60" t="s">
        <v>151</v>
      </c>
      <c r="AG60" t="str">
        <f>START!$E$24</f>
        <v>[Ellis w/ West Capital Lending]</v>
      </c>
      <c r="AJ60" s="739" t="s">
        <v>163</v>
      </c>
      <c r="AK60" s="743">
        <f>RATE(AT59,-B84,(B74-B82),0)*12</f>
        <v>5.3652233743162546E-2</v>
      </c>
      <c r="AL60" s="787"/>
      <c r="AM60" s="787"/>
      <c r="AN60" s="787"/>
      <c r="AO60" s="787"/>
      <c r="AP60" s="787"/>
      <c r="AQ60" s="787"/>
      <c r="AS60" t="s">
        <v>226</v>
      </c>
      <c r="AT60" t="e">
        <f>IF(#REF!="5 Year Fixed",60,IF(#REF!="10 Year Fixed",120,IF(#REF!="15 Year Fixed",180,IF(#REF!="20 Year Fixed",240,IF(#REF!="25 Year Fixed",300,IF(#REF!="30 Year Fixed",360,0))))))</f>
        <v>#REF!</v>
      </c>
    </row>
    <row r="61" spans="1:46" ht="15.6" customHeight="1" thickBot="1">
      <c r="A61" s="95" t="s">
        <v>164</v>
      </c>
      <c r="B61" s="690" t="str">
        <f>LEADS!$D$3&amp;" "&amp;LEADS!$E$3</f>
        <v>Matthew Pasiuk</v>
      </c>
      <c r="C61" s="691"/>
      <c r="D61" s="691"/>
      <c r="E61" s="691"/>
      <c r="F61" s="692"/>
      <c r="G61" s="680"/>
      <c r="H61" s="681"/>
      <c r="I61" s="681"/>
      <c r="J61" s="681"/>
      <c r="K61" s="681"/>
      <c r="L61" s="681"/>
      <c r="M61" s="682"/>
      <c r="N61" s="818"/>
      <c r="O61" s="819"/>
      <c r="P61" s="726" t="s">
        <v>165</v>
      </c>
      <c r="Q61" s="726"/>
      <c r="R61" s="726"/>
      <c r="S61" s="726"/>
      <c r="T61" s="726"/>
      <c r="U61" s="726"/>
      <c r="V61" s="726"/>
      <c r="W61" s="726"/>
      <c r="X61" s="727"/>
      <c r="Y61" s="736" t="s">
        <v>166</v>
      </c>
      <c r="Z61" s="736"/>
      <c r="AA61" s="736"/>
      <c r="AB61" s="736"/>
      <c r="AE61" s="22">
        <f>$B$21</f>
        <v>340000</v>
      </c>
      <c r="AF61" t="s">
        <v>151</v>
      </c>
      <c r="AJ61" s="740"/>
      <c r="AK61" s="744"/>
      <c r="AL61" s="787"/>
      <c r="AM61" s="787"/>
      <c r="AN61" s="787"/>
      <c r="AO61" s="787"/>
      <c r="AP61" s="787"/>
      <c r="AQ61" s="787"/>
      <c r="AS61" t="s">
        <v>227</v>
      </c>
      <c r="AT61">
        <f>IF(AK69="5 Year Fixed",60,IF(AK69="10 Year Fixed",120,IF(AK69="15 Year Fixed",180,IF(AK69="20 Year Fixed",240,IF(AK69="25 Year Fixed",300,IF(AK69="30 Year Fixed",360,0))))))</f>
        <v>360</v>
      </c>
    </row>
    <row r="62" spans="1:46" ht="16.5" customHeight="1">
      <c r="A62" s="87" t="s">
        <v>167</v>
      </c>
      <c r="B62" s="690" t="str">
        <f>LEADS!$G$3</f>
        <v>mattpasiuk@gmail.com</v>
      </c>
      <c r="C62" s="691"/>
      <c r="D62" s="691"/>
      <c r="E62" s="691"/>
      <c r="F62" s="692"/>
      <c r="G62" s="882" t="str">
        <f>LEADS!$I$3</f>
        <v>15244 W Auburn Ave, Denver, CO, 80228</v>
      </c>
      <c r="H62" s="883"/>
      <c r="I62" s="883"/>
      <c r="J62" s="883"/>
      <c r="K62" s="883"/>
      <c r="L62" s="883"/>
      <c r="M62" s="884"/>
      <c r="N62" s="818"/>
      <c r="O62" s="819"/>
      <c r="P62" s="726" t="s">
        <v>168</v>
      </c>
      <c r="Q62" s="726"/>
      <c r="R62" s="726"/>
      <c r="S62" s="726"/>
      <c r="T62" s="726"/>
      <c r="U62" s="726"/>
      <c r="V62" s="726"/>
      <c r="W62" s="726"/>
      <c r="X62" s="727"/>
      <c r="Y62" s="736" t="s">
        <v>169</v>
      </c>
      <c r="Z62" s="736"/>
      <c r="AA62" s="736"/>
      <c r="AB62" s="736"/>
      <c r="AE62" s="21">
        <f>$B$35</f>
        <v>740000</v>
      </c>
      <c r="AF62" t="s">
        <v>151</v>
      </c>
      <c r="AJ62" s="739" t="s">
        <v>205</v>
      </c>
      <c r="AK62" s="745">
        <f>((B72+B64)*0.01)+3200</f>
        <v>14000</v>
      </c>
      <c r="AL62" s="787"/>
      <c r="AM62" s="787"/>
      <c r="AN62" s="787"/>
      <c r="AO62" s="787"/>
      <c r="AP62" s="787"/>
      <c r="AQ62" s="787"/>
    </row>
    <row r="63" spans="1:46" ht="15.6" customHeight="1" thickBot="1">
      <c r="A63" s="87" t="s">
        <v>171</v>
      </c>
      <c r="B63" s="690" t="str">
        <f>LEADS!$F$3</f>
        <v>(720)788-0594</v>
      </c>
      <c r="C63" s="691"/>
      <c r="D63" s="691"/>
      <c r="E63" s="691"/>
      <c r="F63" s="692"/>
      <c r="G63" s="882"/>
      <c r="H63" s="883"/>
      <c r="I63" s="883"/>
      <c r="J63" s="883"/>
      <c r="K63" s="883"/>
      <c r="L63" s="883"/>
      <c r="M63" s="884"/>
      <c r="N63" s="818"/>
      <c r="O63" s="819"/>
      <c r="P63" s="726" t="s">
        <v>172</v>
      </c>
      <c r="Q63" s="726"/>
      <c r="R63" s="726"/>
      <c r="S63" s="726"/>
      <c r="T63" s="726"/>
      <c r="U63" s="726"/>
      <c r="V63" s="726"/>
      <c r="W63" s="726"/>
      <c r="X63" s="727"/>
      <c r="Y63" s="723" t="s">
        <v>173</v>
      </c>
      <c r="Z63" s="723"/>
      <c r="AA63" s="723"/>
      <c r="AB63" s="723"/>
      <c r="AC63" s="723"/>
      <c r="AD63" s="723"/>
      <c r="AE63" s="723"/>
      <c r="AF63" s="723"/>
      <c r="AG63" s="723"/>
      <c r="AH63" s="723"/>
      <c r="AI63" s="723"/>
      <c r="AJ63" s="740"/>
      <c r="AK63" s="746"/>
      <c r="AL63" s="787"/>
      <c r="AM63" s="787"/>
      <c r="AN63" s="787"/>
      <c r="AO63" s="787"/>
      <c r="AP63" s="787"/>
      <c r="AQ63" s="787"/>
    </row>
    <row r="64" spans="1:46" ht="15" customHeight="1" thickBot="1">
      <c r="A64" s="96" t="s">
        <v>174</v>
      </c>
      <c r="B64" s="898">
        <f>LEADS!$P$3</f>
        <v>740000</v>
      </c>
      <c r="C64" s="899"/>
      <c r="D64" s="899"/>
      <c r="E64" s="899"/>
      <c r="F64" s="900"/>
      <c r="G64" s="685" t="s">
        <v>175</v>
      </c>
      <c r="H64" s="889"/>
      <c r="I64" s="909"/>
      <c r="J64" s="890">
        <f>LEADS!$L$3</f>
        <v>1200000</v>
      </c>
      <c r="K64" s="890"/>
      <c r="L64" s="890"/>
      <c r="M64" s="891"/>
      <c r="N64" s="818"/>
      <c r="O64" s="819"/>
      <c r="P64" s="726"/>
      <c r="Q64" s="726"/>
      <c r="R64" s="726"/>
      <c r="S64" s="726"/>
      <c r="T64" s="726"/>
      <c r="U64" s="726"/>
      <c r="V64" s="726"/>
      <c r="W64" s="726"/>
      <c r="X64" s="727"/>
      <c r="Y64" s="723"/>
      <c r="Z64" s="723"/>
      <c r="AA64" s="723"/>
      <c r="AB64" s="723"/>
      <c r="AC64" s="723"/>
      <c r="AD64" s="723"/>
      <c r="AE64" s="723"/>
      <c r="AF64" s="723"/>
      <c r="AG64" s="723"/>
      <c r="AH64" s="723"/>
      <c r="AI64" s="723"/>
      <c r="AJ64" s="832"/>
      <c r="AK64" s="832"/>
      <c r="AL64" s="787"/>
      <c r="AM64" s="787"/>
      <c r="AN64" s="787"/>
      <c r="AO64" s="787"/>
      <c r="AP64" s="787"/>
      <c r="AQ64" s="787"/>
    </row>
    <row r="65" spans="1:43" ht="15.75" customHeight="1" thickBot="1">
      <c r="A65" s="89"/>
      <c r="B65" s="89"/>
      <c r="C65" s="89"/>
      <c r="D65" s="89"/>
      <c r="E65" s="89"/>
      <c r="F65" s="89"/>
      <c r="G65" s="89"/>
      <c r="H65" s="89"/>
      <c r="I65" s="89"/>
      <c r="J65" s="89"/>
      <c r="K65" s="89"/>
      <c r="L65" s="89"/>
      <c r="M65" s="89"/>
      <c r="N65" s="820"/>
      <c r="O65" s="821"/>
      <c r="P65" s="728" t="s">
        <v>177</v>
      </c>
      <c r="Q65" s="728"/>
      <c r="R65" s="728"/>
      <c r="S65" s="728"/>
      <c r="T65" s="728"/>
      <c r="U65" s="728"/>
      <c r="V65" s="728"/>
      <c r="W65" s="728"/>
      <c r="X65" s="729"/>
      <c r="Y65" s="723" t="s">
        <v>178</v>
      </c>
      <c r="Z65" s="723"/>
      <c r="AA65" s="723"/>
      <c r="AB65" s="723"/>
      <c r="AC65" s="723"/>
      <c r="AD65" s="723"/>
      <c r="AE65" s="723"/>
      <c r="AF65" s="723"/>
      <c r="AG65" s="723"/>
      <c r="AH65" s="723"/>
      <c r="AI65" s="723"/>
      <c r="AJ65" s="905" t="s">
        <v>231</v>
      </c>
      <c r="AK65" s="906"/>
      <c r="AL65" s="787"/>
      <c r="AM65" s="787"/>
      <c r="AN65" s="787"/>
      <c r="AO65" s="787"/>
      <c r="AP65" s="787"/>
      <c r="AQ65" s="787"/>
    </row>
    <row r="66" spans="1:43" ht="14.85" customHeight="1" thickBot="1">
      <c r="A66" s="901" t="s">
        <v>179</v>
      </c>
      <c r="B66" s="656" t="s">
        <v>230</v>
      </c>
      <c r="C66" s="657"/>
      <c r="D66" s="657"/>
      <c r="E66" s="657"/>
      <c r="F66" s="657"/>
      <c r="G66" s="660"/>
      <c r="H66" s="657" t="s">
        <v>231</v>
      </c>
      <c r="I66" s="657"/>
      <c r="J66" s="657"/>
      <c r="K66" s="657"/>
      <c r="L66" s="657"/>
      <c r="M66" s="660"/>
      <c r="N66" s="880" t="s">
        <v>42</v>
      </c>
      <c r="O66" s="881"/>
      <c r="P66" s="724" t="str">
        <f>Z54&amp;" "&amp;Y63&amp;""&amp;AG60</f>
        <v>Matthew , I just wanted to follow up with you did you get the text above :point_up_2: - [Ellis w/ West Capital Lending]</v>
      </c>
      <c r="Q66" s="724"/>
      <c r="R66" s="724"/>
      <c r="S66" s="724"/>
      <c r="T66" s="724"/>
      <c r="U66" s="724"/>
      <c r="V66" s="724"/>
      <c r="W66" s="724"/>
      <c r="X66" s="725"/>
      <c r="Y66" s="723"/>
      <c r="Z66" s="723"/>
      <c r="AA66" s="723"/>
      <c r="AB66" s="723"/>
      <c r="AC66" s="723"/>
      <c r="AD66" s="723"/>
      <c r="AE66" s="723"/>
      <c r="AF66" s="723"/>
      <c r="AG66" s="723"/>
      <c r="AH66" s="723"/>
      <c r="AI66" s="723"/>
      <c r="AJ66" s="907"/>
      <c r="AK66" s="908"/>
      <c r="AL66" s="787"/>
      <c r="AM66" s="787"/>
      <c r="AN66" s="787"/>
      <c r="AO66" s="787"/>
      <c r="AP66" s="787"/>
      <c r="AQ66" s="787"/>
    </row>
    <row r="67" spans="1:43" ht="15.75" customHeight="1" thickBot="1">
      <c r="A67" s="910"/>
      <c r="B67" s="658"/>
      <c r="C67" s="659"/>
      <c r="D67" s="659"/>
      <c r="E67" s="659"/>
      <c r="F67" s="659"/>
      <c r="G67" s="661"/>
      <c r="H67" s="659"/>
      <c r="I67" s="659"/>
      <c r="J67" s="659"/>
      <c r="K67" s="659"/>
      <c r="L67" s="659"/>
      <c r="M67" s="661"/>
      <c r="N67" s="662"/>
      <c r="O67" s="663"/>
      <c r="P67" s="728"/>
      <c r="Q67" s="728"/>
      <c r="R67" s="728"/>
      <c r="S67" s="728"/>
      <c r="T67" s="728"/>
      <c r="U67" s="728"/>
      <c r="V67" s="728"/>
      <c r="W67" s="728"/>
      <c r="X67" s="729"/>
      <c r="Y67" s="723" t="s">
        <v>183</v>
      </c>
      <c r="Z67" s="723"/>
      <c r="AA67" s="723"/>
      <c r="AB67" s="723"/>
      <c r="AC67" s="723"/>
      <c r="AD67" s="723"/>
      <c r="AE67" s="723"/>
      <c r="AF67" s="723"/>
      <c r="AG67" s="723"/>
      <c r="AH67" s="723"/>
      <c r="AI67" s="723"/>
      <c r="AJ67" s="807" t="s">
        <v>152</v>
      </c>
      <c r="AK67" s="739" t="s">
        <v>49</v>
      </c>
      <c r="AL67" s="787"/>
      <c r="AM67" s="787"/>
      <c r="AN67" s="787"/>
      <c r="AO67" s="787"/>
      <c r="AP67" s="787"/>
      <c r="AQ67" s="787"/>
    </row>
    <row r="68" spans="1:43" ht="15.2" customHeight="1" thickBot="1">
      <c r="A68" s="828" t="s">
        <v>113</v>
      </c>
      <c r="B68" s="844" t="str">
        <f>B76</f>
        <v>30 Year Fixed</v>
      </c>
      <c r="C68" s="845"/>
      <c r="D68" s="845"/>
      <c r="E68" s="845"/>
      <c r="F68" s="845"/>
      <c r="G68" s="846"/>
      <c r="H68" s="845" t="str">
        <f>H76</f>
        <v>30 Year Fixed</v>
      </c>
      <c r="I68" s="845"/>
      <c r="J68" s="845"/>
      <c r="K68" s="845"/>
      <c r="L68" s="845"/>
      <c r="M68" s="846"/>
      <c r="N68" s="662" t="s">
        <v>186</v>
      </c>
      <c r="O68" s="663"/>
      <c r="P68" s="632" t="str">
        <f>$Z$3&amp;""&amp;Y65&amp;" "&amp;AG60</f>
        <v>Matthew, Great News! The Market took a heavy dip today :chart_with_downwards_trend: if you are at all still interested, now would be a great time to lock in your rate. :lock: [Ellis w/ West Capital Lending]</v>
      </c>
      <c r="Q68" s="633"/>
      <c r="R68" s="633"/>
      <c r="S68" s="633"/>
      <c r="T68" s="633"/>
      <c r="U68" s="633"/>
      <c r="V68" s="633"/>
      <c r="W68" s="633"/>
      <c r="X68" s="634"/>
      <c r="Y68" s="723"/>
      <c r="Z68" s="723"/>
      <c r="AA68" s="723"/>
      <c r="AB68" s="723"/>
      <c r="AC68" s="723"/>
      <c r="AD68" s="723"/>
      <c r="AE68" s="723"/>
      <c r="AF68" s="723"/>
      <c r="AG68" s="723"/>
      <c r="AH68" s="723"/>
      <c r="AI68" s="723"/>
      <c r="AJ68" s="808"/>
      <c r="AK68" s="740"/>
      <c r="AL68" s="787"/>
      <c r="AM68" s="787"/>
      <c r="AN68" s="787"/>
      <c r="AO68" s="787"/>
      <c r="AP68" s="787"/>
      <c r="AQ68" s="787"/>
    </row>
    <row r="69" spans="1:43" ht="15.2" customHeight="1">
      <c r="A69" s="828"/>
      <c r="B69" s="844"/>
      <c r="C69" s="845"/>
      <c r="D69" s="845"/>
      <c r="E69" s="845"/>
      <c r="F69" s="845"/>
      <c r="G69" s="846"/>
      <c r="H69" s="845"/>
      <c r="I69" s="845"/>
      <c r="J69" s="845"/>
      <c r="K69" s="845"/>
      <c r="L69" s="845"/>
      <c r="M69" s="846"/>
      <c r="N69" s="662"/>
      <c r="O69" s="663"/>
      <c r="P69" s="632"/>
      <c r="Q69" s="633"/>
      <c r="R69" s="633"/>
      <c r="S69" s="633"/>
      <c r="T69" s="633"/>
      <c r="U69" s="633"/>
      <c r="V69" s="633"/>
      <c r="W69" s="633"/>
      <c r="X69" s="634"/>
      <c r="Y69" s="723" t="s">
        <v>188</v>
      </c>
      <c r="Z69" s="723"/>
      <c r="AA69" s="723"/>
      <c r="AB69" s="723"/>
      <c r="AC69" s="723"/>
      <c r="AD69" s="723"/>
      <c r="AE69" s="723"/>
      <c r="AF69" s="723"/>
      <c r="AG69" s="723"/>
      <c r="AH69" s="723"/>
      <c r="AI69" s="723"/>
      <c r="AJ69" s="885" t="s">
        <v>193</v>
      </c>
      <c r="AK69" s="885" t="s">
        <v>158</v>
      </c>
      <c r="AL69" s="787"/>
      <c r="AM69" s="787"/>
      <c r="AN69" s="787"/>
      <c r="AO69" s="787"/>
      <c r="AP69" s="787"/>
      <c r="AQ69" s="787"/>
    </row>
    <row r="70" spans="1:43" ht="14.45" customHeight="1" thickBot="1">
      <c r="A70" s="828" t="s">
        <v>189</v>
      </c>
      <c r="B70" s="844" t="str">
        <f>AK54</f>
        <v>Conventional</v>
      </c>
      <c r="C70" s="845"/>
      <c r="D70" s="845"/>
      <c r="E70" s="845"/>
      <c r="F70" s="845"/>
      <c r="G70" s="846"/>
      <c r="H70" s="845" t="str">
        <f>AK67</f>
        <v>Conventional</v>
      </c>
      <c r="I70" s="845"/>
      <c r="J70" s="845"/>
      <c r="K70" s="845"/>
      <c r="L70" s="845"/>
      <c r="M70" s="846"/>
      <c r="N70" s="662"/>
      <c r="O70" s="663"/>
      <c r="P70" s="632"/>
      <c r="Q70" s="633"/>
      <c r="R70" s="633"/>
      <c r="S70" s="633"/>
      <c r="T70" s="633"/>
      <c r="U70" s="633"/>
      <c r="V70" s="633"/>
      <c r="W70" s="633"/>
      <c r="X70" s="634"/>
      <c r="Y70" s="723"/>
      <c r="Z70" s="723"/>
      <c r="AA70" s="723"/>
      <c r="AB70" s="723"/>
      <c r="AC70" s="723"/>
      <c r="AD70" s="723"/>
      <c r="AE70" s="723"/>
      <c r="AF70" s="723"/>
      <c r="AG70" s="723"/>
      <c r="AH70" s="723"/>
      <c r="AI70" s="723"/>
      <c r="AJ70" s="886"/>
      <c r="AK70" s="886"/>
      <c r="AL70" s="787"/>
      <c r="AM70" s="787"/>
      <c r="AN70" s="787"/>
      <c r="AO70" s="787"/>
      <c r="AP70" s="787"/>
      <c r="AQ70" s="787"/>
    </row>
    <row r="71" spans="1:43" ht="15" customHeight="1">
      <c r="A71" s="828"/>
      <c r="B71" s="844"/>
      <c r="C71" s="845"/>
      <c r="D71" s="845"/>
      <c r="E71" s="845"/>
      <c r="F71" s="845"/>
      <c r="G71" s="846"/>
      <c r="H71" s="845"/>
      <c r="I71" s="845"/>
      <c r="J71" s="845"/>
      <c r="K71" s="845"/>
      <c r="L71" s="845"/>
      <c r="M71" s="846"/>
      <c r="N71" s="662" t="s">
        <v>191</v>
      </c>
      <c r="O71" s="663"/>
      <c r="P71" s="632" t="str">
        <f>$Z$3&amp;""&amp;Y67&amp;" "&amp;AG60</f>
        <v>Matthew, If the quote I sent you was not what you were looking for I can send you additional options? Did you want to look at a Line of Credit :credit_card: or an Equity Loan :moneybag: instead? [Ellis w/ West Capital Lending]</v>
      </c>
      <c r="Q71" s="633"/>
      <c r="R71" s="633"/>
      <c r="S71" s="633"/>
      <c r="T71" s="633"/>
      <c r="U71" s="633"/>
      <c r="V71" s="633"/>
      <c r="W71" s="633"/>
      <c r="X71" s="634"/>
      <c r="Y71" s="723" t="s">
        <v>192</v>
      </c>
      <c r="Z71" s="723"/>
      <c r="AA71" s="723"/>
      <c r="AB71" s="723"/>
      <c r="AC71" s="723"/>
      <c r="AD71" s="723"/>
      <c r="AE71" s="723"/>
      <c r="AF71" s="723"/>
      <c r="AG71" s="723"/>
      <c r="AH71" s="723"/>
      <c r="AI71" s="723"/>
      <c r="AJ71" s="885" t="s">
        <v>197</v>
      </c>
      <c r="AK71" s="903">
        <v>5.5E-2</v>
      </c>
      <c r="AL71" s="787"/>
      <c r="AM71" s="787"/>
      <c r="AN71" s="787"/>
      <c r="AO71" s="787"/>
      <c r="AP71" s="787"/>
      <c r="AQ71" s="787"/>
    </row>
    <row r="72" spans="1:43" ht="15.75" customHeight="1" thickBot="1">
      <c r="A72" s="828" t="s">
        <v>104</v>
      </c>
      <c r="B72" s="897">
        <f>LEADS!$M$3</f>
        <v>340000</v>
      </c>
      <c r="C72" s="895"/>
      <c r="D72" s="895"/>
      <c r="E72" s="895"/>
      <c r="F72" s="895"/>
      <c r="G72" s="896"/>
      <c r="H72" s="895">
        <f>LEADS!$M$3</f>
        <v>340000</v>
      </c>
      <c r="I72" s="895"/>
      <c r="J72" s="895"/>
      <c r="K72" s="895"/>
      <c r="L72" s="895"/>
      <c r="M72" s="896"/>
      <c r="N72" s="662"/>
      <c r="O72" s="663"/>
      <c r="P72" s="632"/>
      <c r="Q72" s="633"/>
      <c r="R72" s="633"/>
      <c r="S72" s="633"/>
      <c r="T72" s="633"/>
      <c r="U72" s="633"/>
      <c r="V72" s="633"/>
      <c r="W72" s="633"/>
      <c r="X72" s="634"/>
      <c r="Y72" s="723"/>
      <c r="Z72" s="723"/>
      <c r="AA72" s="723"/>
      <c r="AB72" s="723"/>
      <c r="AC72" s="723"/>
      <c r="AD72" s="723"/>
      <c r="AE72" s="723"/>
      <c r="AF72" s="723"/>
      <c r="AG72" s="723"/>
      <c r="AH72" s="723"/>
      <c r="AI72" s="723"/>
      <c r="AJ72" s="886"/>
      <c r="AK72" s="904"/>
      <c r="AL72" s="787"/>
      <c r="AM72" s="787"/>
      <c r="AN72" s="787"/>
      <c r="AO72" s="787"/>
      <c r="AP72" s="787"/>
      <c r="AQ72" s="787"/>
    </row>
    <row r="73" spans="1:43" ht="15" customHeight="1">
      <c r="A73" s="828"/>
      <c r="B73" s="897"/>
      <c r="C73" s="895"/>
      <c r="D73" s="895"/>
      <c r="E73" s="895"/>
      <c r="F73" s="895"/>
      <c r="G73" s="896"/>
      <c r="H73" s="895"/>
      <c r="I73" s="895"/>
      <c r="J73" s="895"/>
      <c r="K73" s="895"/>
      <c r="L73" s="895"/>
      <c r="M73" s="896"/>
      <c r="N73" s="662"/>
      <c r="O73" s="663"/>
      <c r="P73" s="632"/>
      <c r="Q73" s="633"/>
      <c r="R73" s="633"/>
      <c r="S73" s="633"/>
      <c r="T73" s="633"/>
      <c r="U73" s="633"/>
      <c r="V73" s="633"/>
      <c r="W73" s="633"/>
      <c r="X73" s="634"/>
      <c r="Y73" s="723" t="s">
        <v>195</v>
      </c>
      <c r="Z73" s="723"/>
      <c r="AA73" s="723"/>
      <c r="AB73" s="723"/>
      <c r="AC73" s="723"/>
      <c r="AD73" s="723"/>
      <c r="AE73" s="723"/>
      <c r="AF73" s="723"/>
      <c r="AG73" s="723"/>
      <c r="AH73" s="723"/>
      <c r="AI73" s="723"/>
      <c r="AJ73" s="885" t="s">
        <v>163</v>
      </c>
      <c r="AK73" s="903">
        <f>RATE(AT61,-H84,(H74-H82),0)*12</f>
        <v>5.5719314374731162E-2</v>
      </c>
      <c r="AL73" s="787"/>
      <c r="AM73" s="787"/>
      <c r="AN73" s="787"/>
      <c r="AO73" s="787"/>
      <c r="AP73" s="787"/>
      <c r="AQ73" s="787"/>
    </row>
    <row r="74" spans="1:43" ht="15.75" customHeight="1" thickBot="1">
      <c r="A74" s="828" t="s">
        <v>106</v>
      </c>
      <c r="B74" s="897">
        <f>B64+B72+B82</f>
        <v>1094000</v>
      </c>
      <c r="C74" s="895"/>
      <c r="D74" s="895"/>
      <c r="E74" s="895"/>
      <c r="F74" s="895"/>
      <c r="G74" s="896"/>
      <c r="H74" s="895">
        <f>B64+H72+H82</f>
        <v>1088600</v>
      </c>
      <c r="I74" s="895"/>
      <c r="J74" s="895"/>
      <c r="K74" s="895"/>
      <c r="L74" s="895"/>
      <c r="M74" s="896"/>
      <c r="N74" s="662" t="s">
        <v>196</v>
      </c>
      <c r="O74" s="663"/>
      <c r="P74" s="632" t="str">
        <f>$Z$3&amp;""&amp;Y69&amp;" "&amp;AG60</f>
        <v>Matthew, just wanted to follow up with you did you get the text above :point_up_2:  [Ellis w/ West Capital Lending]</v>
      </c>
      <c r="Q74" s="633"/>
      <c r="R74" s="633"/>
      <c r="S74" s="633"/>
      <c r="T74" s="633"/>
      <c r="U74" s="633"/>
      <c r="V74" s="633"/>
      <c r="W74" s="633"/>
      <c r="X74" s="634"/>
      <c r="Y74" s="723"/>
      <c r="Z74" s="723"/>
      <c r="AA74" s="723"/>
      <c r="AB74" s="723"/>
      <c r="AC74" s="723"/>
      <c r="AD74" s="723"/>
      <c r="AE74" s="723"/>
      <c r="AF74" s="723"/>
      <c r="AG74" s="723"/>
      <c r="AH74" s="723"/>
      <c r="AI74" s="723"/>
      <c r="AJ74" s="886"/>
      <c r="AK74" s="904"/>
      <c r="AL74" s="787"/>
      <c r="AM74" s="787"/>
      <c r="AN74" s="787"/>
      <c r="AO74" s="787"/>
      <c r="AP74" s="787"/>
      <c r="AQ74" s="787"/>
    </row>
    <row r="75" spans="1:43" ht="15" customHeight="1">
      <c r="A75" s="828"/>
      <c r="B75" s="897"/>
      <c r="C75" s="895"/>
      <c r="D75" s="895"/>
      <c r="E75" s="895"/>
      <c r="F75" s="895"/>
      <c r="G75" s="896"/>
      <c r="H75" s="895"/>
      <c r="I75" s="895"/>
      <c r="J75" s="895"/>
      <c r="K75" s="895"/>
      <c r="L75" s="895"/>
      <c r="M75" s="896"/>
      <c r="N75" s="662"/>
      <c r="O75" s="663"/>
      <c r="P75" s="632"/>
      <c r="Q75" s="633"/>
      <c r="R75" s="633"/>
      <c r="S75" s="633"/>
      <c r="T75" s="633"/>
      <c r="U75" s="633"/>
      <c r="V75" s="633"/>
      <c r="W75" s="633"/>
      <c r="X75" s="634"/>
      <c r="Y75" s="723" t="s">
        <v>198</v>
      </c>
      <c r="Z75" s="723"/>
      <c r="AA75" s="723" t="s">
        <v>199</v>
      </c>
      <c r="AB75" s="723"/>
      <c r="AC75" s="723"/>
      <c r="AD75" s="723"/>
      <c r="AE75" s="723"/>
      <c r="AF75" s="723"/>
      <c r="AG75" s="723"/>
      <c r="AH75" s="723"/>
      <c r="AI75" s="723"/>
      <c r="AJ75" s="885" t="s">
        <v>205</v>
      </c>
      <c r="AK75" s="887">
        <f>((B72+B64)*0.005)+3200</f>
        <v>8600</v>
      </c>
      <c r="AL75" s="787"/>
      <c r="AM75" s="787"/>
      <c r="AN75" s="787"/>
      <c r="AO75" s="787"/>
      <c r="AP75" s="787"/>
      <c r="AQ75" s="787"/>
    </row>
    <row r="76" spans="1:43" ht="15.75" customHeight="1" thickBot="1">
      <c r="A76" s="828" t="s">
        <v>157</v>
      </c>
      <c r="B76" s="844" t="str">
        <f>AK56</f>
        <v>30 Year Fixed</v>
      </c>
      <c r="C76" s="845"/>
      <c r="D76" s="845"/>
      <c r="E76" s="845"/>
      <c r="F76" s="845"/>
      <c r="G76" s="846"/>
      <c r="H76" s="878" t="str">
        <f>AK69</f>
        <v>30 Year Fixed</v>
      </c>
      <c r="I76" s="878"/>
      <c r="J76" s="878"/>
      <c r="K76" s="878"/>
      <c r="L76" s="878"/>
      <c r="M76" s="879"/>
      <c r="N76" s="662" t="s">
        <v>201</v>
      </c>
      <c r="O76" s="663"/>
      <c r="P76" s="632" t="str">
        <f>$Z$3&amp;""&amp;Y71&amp;" "&amp;AG60</f>
        <v>Matthew, I know you may already be in process with another lender. :bank: Are you satisified with rate and service? :blush: :pensive: [Ellis w/ West Capital Lending]</v>
      </c>
      <c r="Q76" s="633"/>
      <c r="R76" s="633"/>
      <c r="S76" s="633"/>
      <c r="T76" s="633"/>
      <c r="U76" s="633"/>
      <c r="V76" s="633"/>
      <c r="W76" s="633"/>
      <c r="X76" s="634"/>
      <c r="Y76" s="723"/>
      <c r="Z76" s="723"/>
      <c r="AA76" s="723"/>
      <c r="AB76" s="723"/>
      <c r="AC76" s="723"/>
      <c r="AD76" s="723"/>
      <c r="AE76" s="723"/>
      <c r="AF76" s="723"/>
      <c r="AG76" s="723"/>
      <c r="AH76" s="723"/>
      <c r="AI76" s="723"/>
      <c r="AJ76" s="886"/>
      <c r="AK76" s="888"/>
      <c r="AL76" s="787"/>
      <c r="AM76" s="787"/>
      <c r="AN76" s="787"/>
      <c r="AO76" s="787"/>
      <c r="AP76" s="787"/>
      <c r="AQ76" s="787"/>
    </row>
    <row r="77" spans="1:43" ht="15" customHeight="1">
      <c r="A77" s="828"/>
      <c r="B77" s="844"/>
      <c r="C77" s="845"/>
      <c r="D77" s="845"/>
      <c r="E77" s="845"/>
      <c r="F77" s="845"/>
      <c r="G77" s="846"/>
      <c r="H77" s="878"/>
      <c r="I77" s="878"/>
      <c r="J77" s="878"/>
      <c r="K77" s="878"/>
      <c r="L77" s="878"/>
      <c r="M77" s="879"/>
      <c r="N77" s="662"/>
      <c r="O77" s="663"/>
      <c r="P77" s="632"/>
      <c r="Q77" s="633"/>
      <c r="R77" s="633"/>
      <c r="S77" s="633"/>
      <c r="T77" s="633"/>
      <c r="U77" s="633"/>
      <c r="V77" s="633"/>
      <c r="W77" s="633"/>
      <c r="X77" s="634"/>
      <c r="Y77" s="723" t="s">
        <v>202</v>
      </c>
      <c r="Z77" s="723"/>
      <c r="AA77" s="723"/>
      <c r="AB77" s="723"/>
      <c r="AC77" s="723"/>
      <c r="AD77" s="723"/>
      <c r="AE77" s="723"/>
      <c r="AF77" s="723"/>
      <c r="AG77" s="723"/>
      <c r="AH77" s="723"/>
      <c r="AI77" s="723"/>
      <c r="AJ77" s="788"/>
      <c r="AK77" s="788"/>
      <c r="AL77" s="787"/>
      <c r="AM77" s="787"/>
      <c r="AN77" s="787"/>
      <c r="AO77" s="787"/>
      <c r="AP77" s="787"/>
      <c r="AQ77" s="787"/>
    </row>
    <row r="78" spans="1:43" ht="15" customHeight="1">
      <c r="A78" s="828" t="s">
        <v>203</v>
      </c>
      <c r="B78" s="857">
        <f>AK58</f>
        <v>5.2499999999999998E-2</v>
      </c>
      <c r="C78" s="858"/>
      <c r="D78" s="858"/>
      <c r="E78" s="858"/>
      <c r="F78" s="858"/>
      <c r="G78" s="859"/>
      <c r="H78" s="858">
        <f>AK71</f>
        <v>5.5E-2</v>
      </c>
      <c r="I78" s="858"/>
      <c r="J78" s="858"/>
      <c r="K78" s="858"/>
      <c r="L78" s="858"/>
      <c r="M78" s="859"/>
      <c r="N78" s="662" t="s">
        <v>204</v>
      </c>
      <c r="O78" s="663"/>
      <c r="P78" s="632" t="str">
        <f>$Z$3&amp;""&amp;Y73&amp;" "&amp;AG60</f>
        <v>Matthew, if you changed your mind let me know so I can stop contacting you if you wish? [Ellis w/ West Capital Lending]</v>
      </c>
      <c r="Q78" s="633"/>
      <c r="R78" s="633"/>
      <c r="S78" s="633"/>
      <c r="T78" s="633"/>
      <c r="U78" s="633"/>
      <c r="V78" s="633"/>
      <c r="W78" s="633"/>
      <c r="X78" s="634"/>
      <c r="Y78" s="723"/>
      <c r="Z78" s="723"/>
      <c r="AA78" s="723"/>
      <c r="AB78" s="723"/>
      <c r="AC78" s="723"/>
      <c r="AD78" s="723"/>
      <c r="AE78" s="723"/>
      <c r="AF78" s="723"/>
      <c r="AG78" s="723"/>
      <c r="AH78" s="723"/>
      <c r="AI78" s="723"/>
      <c r="AJ78" s="787"/>
      <c r="AK78" s="787"/>
      <c r="AL78" s="787"/>
      <c r="AM78" s="787"/>
      <c r="AN78" s="787"/>
      <c r="AO78" s="787"/>
      <c r="AP78" s="787"/>
      <c r="AQ78" s="787"/>
    </row>
    <row r="79" spans="1:43" ht="15" customHeight="1">
      <c r="A79" s="828"/>
      <c r="B79" s="857"/>
      <c r="C79" s="858"/>
      <c r="D79" s="858"/>
      <c r="E79" s="858"/>
      <c r="F79" s="858"/>
      <c r="G79" s="859"/>
      <c r="H79" s="858"/>
      <c r="I79" s="858"/>
      <c r="J79" s="858"/>
      <c r="K79" s="858"/>
      <c r="L79" s="858"/>
      <c r="M79" s="859"/>
      <c r="N79" s="662"/>
      <c r="O79" s="663"/>
      <c r="P79" s="632"/>
      <c r="Q79" s="633"/>
      <c r="R79" s="633"/>
      <c r="S79" s="633"/>
      <c r="T79" s="633"/>
      <c r="U79" s="633"/>
      <c r="V79" s="633"/>
      <c r="W79" s="633"/>
      <c r="X79" s="634"/>
      <c r="Y79" s="723" t="s">
        <v>206</v>
      </c>
      <c r="Z79" s="723"/>
      <c r="AA79" s="723"/>
      <c r="AB79" s="723"/>
      <c r="AC79" s="723"/>
      <c r="AD79" s="723"/>
      <c r="AE79" s="723"/>
      <c r="AF79" s="723"/>
      <c r="AG79" s="723"/>
      <c r="AH79" s="723"/>
      <c r="AI79" s="723"/>
      <c r="AJ79" s="787"/>
      <c r="AK79" s="787"/>
      <c r="AL79" s="787"/>
      <c r="AM79" s="787"/>
      <c r="AN79" s="787"/>
      <c r="AO79" s="787"/>
      <c r="AP79" s="787"/>
      <c r="AQ79" s="787"/>
    </row>
    <row r="80" spans="1:43" ht="15" customHeight="1">
      <c r="A80" s="828" t="s">
        <v>163</v>
      </c>
      <c r="B80" s="857">
        <f>AK60</f>
        <v>5.3652233743162546E-2</v>
      </c>
      <c r="C80" s="858"/>
      <c r="D80" s="858"/>
      <c r="E80" s="858"/>
      <c r="F80" s="858"/>
      <c r="G80" s="859"/>
      <c r="H80" s="858">
        <f>AK73</f>
        <v>5.5719314374731162E-2</v>
      </c>
      <c r="I80" s="858"/>
      <c r="J80" s="858"/>
      <c r="K80" s="858"/>
      <c r="L80" s="858"/>
      <c r="M80" s="859"/>
      <c r="N80" s="664" t="s">
        <v>233</v>
      </c>
      <c r="O80" s="665"/>
      <c r="P80" s="632" t="str">
        <f>$Z$3&amp;""&amp;Y75&amp;" "&amp;AF62&amp;""&amp;AE62&amp;" "&amp;AA75&amp;" "&amp;AG60</f>
        <v>Matthew, did you still want to take out the $740000 :money_with_wings: in cash from your home? [Ellis w/ West Capital Lending]</v>
      </c>
      <c r="Q80" s="633"/>
      <c r="R80" s="633"/>
      <c r="S80" s="633"/>
      <c r="T80" s="633"/>
      <c r="U80" s="633"/>
      <c r="V80" s="633"/>
      <c r="W80" s="633"/>
      <c r="X80" s="634"/>
      <c r="Y80" s="723"/>
      <c r="Z80" s="723"/>
      <c r="AA80" s="723"/>
      <c r="AB80" s="723"/>
      <c r="AC80" s="723"/>
      <c r="AD80" s="723"/>
      <c r="AE80" s="723"/>
      <c r="AF80" s="723"/>
      <c r="AG80" s="723"/>
      <c r="AH80" s="723"/>
      <c r="AI80" s="723"/>
      <c r="AJ80" s="787"/>
      <c r="AK80" s="787"/>
      <c r="AL80" s="787"/>
      <c r="AM80" s="787"/>
      <c r="AN80" s="787"/>
      <c r="AO80" s="787"/>
      <c r="AP80" s="787"/>
      <c r="AQ80" s="787"/>
    </row>
    <row r="81" spans="1:43" ht="15" customHeight="1">
      <c r="A81" s="828"/>
      <c r="B81" s="857"/>
      <c r="C81" s="858"/>
      <c r="D81" s="858"/>
      <c r="E81" s="858"/>
      <c r="F81" s="858"/>
      <c r="G81" s="859"/>
      <c r="H81" s="858"/>
      <c r="I81" s="858"/>
      <c r="J81" s="858"/>
      <c r="K81" s="858"/>
      <c r="L81" s="858"/>
      <c r="M81" s="859"/>
      <c r="N81" s="664"/>
      <c r="O81" s="665"/>
      <c r="P81" s="632"/>
      <c r="Q81" s="633"/>
      <c r="R81" s="633"/>
      <c r="S81" s="633"/>
      <c r="T81" s="633"/>
      <c r="U81" s="633"/>
      <c r="V81" s="633"/>
      <c r="W81" s="633"/>
      <c r="X81" s="634"/>
      <c r="Y81" s="723" t="s">
        <v>208</v>
      </c>
      <c r="Z81" s="723"/>
      <c r="AA81" s="723"/>
      <c r="AB81" s="723"/>
      <c r="AC81" s="723"/>
      <c r="AD81" s="723"/>
      <c r="AE81" s="723"/>
      <c r="AF81" s="723"/>
      <c r="AG81" s="723"/>
      <c r="AH81" s="723"/>
      <c r="AI81" s="723"/>
      <c r="AJ81" s="787"/>
      <c r="AK81" s="787"/>
      <c r="AL81" s="787"/>
      <c r="AM81" s="787"/>
      <c r="AN81" s="787"/>
      <c r="AO81" s="787"/>
      <c r="AP81" s="787"/>
      <c r="AQ81" s="787"/>
    </row>
    <row r="82" spans="1:43" ht="15" customHeight="1">
      <c r="A82" s="828" t="s">
        <v>209</v>
      </c>
      <c r="B82" s="860">
        <f>AK62</f>
        <v>14000</v>
      </c>
      <c r="C82" s="861"/>
      <c r="D82" s="861"/>
      <c r="E82" s="861"/>
      <c r="F82" s="861"/>
      <c r="G82" s="862"/>
      <c r="H82" s="861">
        <f>AK75</f>
        <v>8600</v>
      </c>
      <c r="I82" s="861"/>
      <c r="J82" s="861"/>
      <c r="K82" s="861"/>
      <c r="L82" s="861"/>
      <c r="M82" s="862"/>
      <c r="N82" s="662" t="s">
        <v>210</v>
      </c>
      <c r="O82" s="663"/>
      <c r="P82" s="824" t="str">
        <f>$Z$3&amp;""&amp;Y77&amp;" "&amp;AG60</f>
        <v>Matthew, generally when I do not receive a response it is because the client was told they didn't qualify. I am broker and I can work with any credit or income profile. [Ellis w/ West Capital Lending]</v>
      </c>
      <c r="Q82" s="825"/>
      <c r="R82" s="825"/>
      <c r="S82" s="825"/>
      <c r="T82" s="825"/>
      <c r="U82" s="825"/>
      <c r="V82" s="825"/>
      <c r="W82" s="825"/>
      <c r="X82" s="826"/>
      <c r="Y82" s="723"/>
      <c r="Z82" s="723"/>
      <c r="AA82" s="723"/>
      <c r="AB82" s="723"/>
      <c r="AC82" s="723"/>
      <c r="AD82" s="723"/>
      <c r="AE82" s="723"/>
      <c r="AF82" s="723"/>
      <c r="AG82" s="723"/>
      <c r="AH82" s="723"/>
      <c r="AI82" s="723"/>
      <c r="AJ82" s="787"/>
      <c r="AK82" s="787"/>
      <c r="AL82" s="787"/>
      <c r="AM82" s="787"/>
      <c r="AN82" s="787"/>
      <c r="AO82" s="787"/>
      <c r="AP82" s="787"/>
      <c r="AQ82" s="787"/>
    </row>
    <row r="83" spans="1:43" ht="15" customHeight="1" thickBot="1">
      <c r="A83" s="828"/>
      <c r="B83" s="860"/>
      <c r="C83" s="861"/>
      <c r="D83" s="861"/>
      <c r="E83" s="861"/>
      <c r="F83" s="861"/>
      <c r="G83" s="862"/>
      <c r="H83" s="861"/>
      <c r="I83" s="861"/>
      <c r="J83" s="861"/>
      <c r="K83" s="861"/>
      <c r="L83" s="861"/>
      <c r="M83" s="862"/>
      <c r="N83" s="662"/>
      <c r="O83" s="663"/>
      <c r="P83" s="824"/>
      <c r="Q83" s="825"/>
      <c r="R83" s="825"/>
      <c r="S83" s="825"/>
      <c r="T83" s="825"/>
      <c r="U83" s="825"/>
      <c r="V83" s="825"/>
      <c r="W83" s="825"/>
      <c r="X83" s="826"/>
      <c r="Y83" s="723" t="s">
        <v>212</v>
      </c>
      <c r="Z83" s="723"/>
      <c r="AA83" s="723"/>
      <c r="AB83" s="723"/>
      <c r="AC83" s="723"/>
      <c r="AD83" s="723"/>
      <c r="AE83" s="723"/>
      <c r="AF83" s="723"/>
      <c r="AG83" s="723"/>
      <c r="AH83" s="723"/>
      <c r="AI83" s="723"/>
      <c r="AJ83" s="787"/>
      <c r="AK83" s="787"/>
      <c r="AL83" s="787"/>
      <c r="AM83" s="787"/>
      <c r="AN83" s="787"/>
      <c r="AO83" s="787"/>
      <c r="AP83" s="787"/>
      <c r="AQ83" s="787"/>
    </row>
    <row r="84" spans="1:43" ht="15" customHeight="1">
      <c r="A84" s="827" t="s">
        <v>213</v>
      </c>
      <c r="B84" s="866">
        <f>ABS(PMT(B78/12, AT59,B74, 0))</f>
        <v>6041.1085014323671</v>
      </c>
      <c r="C84" s="867"/>
      <c r="D84" s="867"/>
      <c r="E84" s="867"/>
      <c r="F84" s="867"/>
      <c r="G84" s="868"/>
      <c r="H84" s="866">
        <f>ABS(PMT(H78/12, AT61,H74, 0))</f>
        <v>6180.9510686634731</v>
      </c>
      <c r="I84" s="867"/>
      <c r="J84" s="867"/>
      <c r="K84" s="867"/>
      <c r="L84" s="867"/>
      <c r="M84" s="868"/>
      <c r="N84" s="662"/>
      <c r="O84" s="663"/>
      <c r="P84" s="824"/>
      <c r="Q84" s="825"/>
      <c r="R84" s="825"/>
      <c r="S84" s="825"/>
      <c r="T84" s="825"/>
      <c r="U84" s="825"/>
      <c r="V84" s="825"/>
      <c r="W84" s="825"/>
      <c r="X84" s="826"/>
      <c r="Y84" s="723"/>
      <c r="Z84" s="723"/>
      <c r="AA84" s="723"/>
      <c r="AB84" s="723"/>
      <c r="AC84" s="723"/>
      <c r="AD84" s="723"/>
      <c r="AE84" s="723"/>
      <c r="AF84" s="723"/>
      <c r="AG84" s="723"/>
      <c r="AH84" s="723"/>
      <c r="AI84" s="723"/>
      <c r="AJ84" s="787"/>
      <c r="AK84" s="787"/>
      <c r="AL84" s="787"/>
      <c r="AM84" s="787"/>
      <c r="AN84" s="787"/>
      <c r="AO84" s="787"/>
      <c r="AP84" s="787"/>
      <c r="AQ84" s="787"/>
    </row>
    <row r="85" spans="1:43" ht="15" customHeight="1" thickBot="1">
      <c r="A85" s="829"/>
      <c r="B85" s="869"/>
      <c r="C85" s="870"/>
      <c r="D85" s="870"/>
      <c r="E85" s="870"/>
      <c r="F85" s="870"/>
      <c r="G85" s="871"/>
      <c r="H85" s="869"/>
      <c r="I85" s="870"/>
      <c r="J85" s="870"/>
      <c r="K85" s="870"/>
      <c r="L85" s="870"/>
      <c r="M85" s="871"/>
      <c r="N85" s="662" t="s">
        <v>214</v>
      </c>
      <c r="O85" s="663"/>
      <c r="P85" s="632" t="str">
        <f>$Z$3&amp;""&amp;Y79&amp;" "&amp;AG60</f>
        <v>Matthew, home values are trending up in your area. :zap: Have you had an evaluation done recently? [Ellis w/ West Capital Lending]</v>
      </c>
      <c r="Q85" s="633"/>
      <c r="R85" s="633"/>
      <c r="S85" s="633"/>
      <c r="T85" s="633"/>
      <c r="U85" s="633"/>
      <c r="V85" s="633"/>
      <c r="W85" s="633"/>
      <c r="X85" s="634"/>
      <c r="AJ85" s="787"/>
      <c r="AK85" s="787"/>
      <c r="AL85" s="787"/>
      <c r="AM85" s="787"/>
      <c r="AN85" s="787"/>
      <c r="AO85" s="787"/>
      <c r="AP85" s="787"/>
      <c r="AQ85" s="787"/>
    </row>
    <row r="86" spans="1:43" ht="15" customHeight="1">
      <c r="A86" s="827" t="s">
        <v>105</v>
      </c>
      <c r="B86" s="872">
        <f>B74-B72-B82</f>
        <v>740000</v>
      </c>
      <c r="C86" s="873"/>
      <c r="D86" s="873"/>
      <c r="E86" s="873"/>
      <c r="F86" s="873"/>
      <c r="G86" s="874"/>
      <c r="H86" s="872">
        <f>H74-H72-H82</f>
        <v>740000</v>
      </c>
      <c r="I86" s="873"/>
      <c r="J86" s="873"/>
      <c r="K86" s="873"/>
      <c r="L86" s="873"/>
      <c r="M86" s="874"/>
      <c r="N86" s="662"/>
      <c r="O86" s="663"/>
      <c r="P86" s="632"/>
      <c r="Q86" s="633"/>
      <c r="R86" s="633"/>
      <c r="S86" s="633"/>
      <c r="T86" s="633"/>
      <c r="U86" s="633"/>
      <c r="V86" s="633"/>
      <c r="W86" s="633"/>
      <c r="X86" s="634"/>
      <c r="AJ86" s="787"/>
      <c r="AK86" s="787"/>
      <c r="AL86" s="787"/>
      <c r="AM86" s="787"/>
      <c r="AN86" s="787"/>
      <c r="AO86" s="787"/>
      <c r="AP86" s="787"/>
      <c r="AQ86" s="787"/>
    </row>
    <row r="87" spans="1:43" ht="15" customHeight="1" thickBot="1">
      <c r="A87" s="829"/>
      <c r="B87" s="875"/>
      <c r="C87" s="876"/>
      <c r="D87" s="876"/>
      <c r="E87" s="876"/>
      <c r="F87" s="876"/>
      <c r="G87" s="877"/>
      <c r="H87" s="875"/>
      <c r="I87" s="876"/>
      <c r="J87" s="876"/>
      <c r="K87" s="876"/>
      <c r="L87" s="876"/>
      <c r="M87" s="877"/>
      <c r="N87" s="662" t="s">
        <v>216</v>
      </c>
      <c r="O87" s="663"/>
      <c r="P87" s="632" t="str">
        <f>$Z$3&amp;""&amp;Y81&amp;" "&amp;AG60</f>
        <v>Matthew, a lot of my clients are calling to consolidate their debt. Do you carry any High Interest Balances? [Ellis w/ West Capital Lending]</v>
      </c>
      <c r="Q87" s="633"/>
      <c r="R87" s="633"/>
      <c r="S87" s="633"/>
      <c r="T87" s="633"/>
      <c r="U87" s="633"/>
      <c r="V87" s="633"/>
      <c r="W87" s="633"/>
      <c r="X87" s="634"/>
      <c r="AJ87" s="787"/>
      <c r="AK87" s="787"/>
      <c r="AL87" s="787"/>
      <c r="AM87" s="787"/>
      <c r="AN87" s="787"/>
      <c r="AO87" s="787"/>
      <c r="AP87" s="787"/>
      <c r="AQ87" s="787"/>
    </row>
    <row r="88" spans="1:43" ht="15" customHeight="1">
      <c r="A88" s="827" t="s">
        <v>219</v>
      </c>
      <c r="B88" s="830" t="s">
        <v>33</v>
      </c>
      <c r="C88" s="830"/>
      <c r="D88" s="830"/>
      <c r="E88" s="830"/>
      <c r="F88" s="830" t="s">
        <v>34</v>
      </c>
      <c r="G88" s="830"/>
      <c r="H88" s="830"/>
      <c r="I88" s="830"/>
      <c r="J88" s="830" t="s">
        <v>35</v>
      </c>
      <c r="K88" s="830"/>
      <c r="L88" s="830"/>
      <c r="M88" s="831"/>
      <c r="N88" s="662"/>
      <c r="O88" s="663"/>
      <c r="P88" s="632"/>
      <c r="Q88" s="633"/>
      <c r="R88" s="633"/>
      <c r="S88" s="633"/>
      <c r="T88" s="633"/>
      <c r="U88" s="633"/>
      <c r="V88" s="633"/>
      <c r="W88" s="633"/>
      <c r="X88" s="634"/>
      <c r="AJ88" s="787"/>
      <c r="AK88" s="787"/>
      <c r="AL88" s="787"/>
      <c r="AM88" s="787"/>
      <c r="AN88" s="787"/>
      <c r="AO88" s="787"/>
      <c r="AP88" s="787"/>
      <c r="AQ88" s="787"/>
    </row>
    <row r="89" spans="1:43" ht="15" customHeight="1" thickBot="1">
      <c r="A89" s="828"/>
      <c r="B89" s="830"/>
      <c r="C89" s="830"/>
      <c r="D89" s="830"/>
      <c r="E89" s="830"/>
      <c r="F89" s="830"/>
      <c r="G89" s="830"/>
      <c r="H89" s="830"/>
      <c r="I89" s="830"/>
      <c r="J89" s="830"/>
      <c r="K89" s="830"/>
      <c r="L89" s="830"/>
      <c r="M89" s="831"/>
      <c r="N89" s="771" t="s">
        <v>220</v>
      </c>
      <c r="O89" s="772"/>
      <c r="P89" s="784" t="str">
        <f>Y83&amp;" "&amp;AG60</f>
        <v>Do I have the right person? [Ellis w/ West Capital Lending]</v>
      </c>
      <c r="Q89" s="785"/>
      <c r="R89" s="785"/>
      <c r="S89" s="785"/>
      <c r="T89" s="785"/>
      <c r="U89" s="785"/>
      <c r="V89" s="785"/>
      <c r="W89" s="785"/>
      <c r="X89" s="786"/>
      <c r="AJ89" s="787"/>
      <c r="AK89" s="787"/>
      <c r="AL89" s="787"/>
      <c r="AM89" s="787"/>
      <c r="AN89" s="787"/>
      <c r="AO89" s="787"/>
      <c r="AP89" s="787"/>
      <c r="AQ89" s="787"/>
    </row>
    <row r="90" spans="1:43" ht="15" customHeight="1">
      <c r="A90" s="828"/>
      <c r="B90" s="765" t="s">
        <v>223</v>
      </c>
      <c r="C90" s="766"/>
      <c r="D90" s="766"/>
      <c r="E90" s="767"/>
      <c r="F90" s="830" t="s">
        <v>234</v>
      </c>
      <c r="G90" s="830"/>
      <c r="H90" s="830"/>
      <c r="I90" s="830"/>
      <c r="J90" s="830" t="s">
        <v>225</v>
      </c>
      <c r="K90" s="830"/>
      <c r="L90" s="830"/>
      <c r="M90" s="831"/>
      <c r="N90" s="795"/>
      <c r="O90" s="795"/>
      <c r="P90" s="795"/>
      <c r="Q90" s="795"/>
      <c r="R90" s="795"/>
      <c r="S90" s="795"/>
      <c r="T90" s="795"/>
      <c r="U90" s="795"/>
      <c r="V90" s="795"/>
      <c r="W90" s="795"/>
      <c r="X90" s="795"/>
      <c r="AJ90" s="787"/>
      <c r="AK90" s="787"/>
      <c r="AL90" s="787"/>
      <c r="AM90" s="787"/>
      <c r="AN90" s="787"/>
      <c r="AO90" s="787"/>
      <c r="AP90" s="787"/>
      <c r="AQ90" s="787"/>
    </row>
    <row r="91" spans="1:43" ht="15" customHeight="1" thickBot="1">
      <c r="A91" s="829"/>
      <c r="B91" s="768"/>
      <c r="C91" s="769"/>
      <c r="D91" s="769"/>
      <c r="E91" s="770"/>
      <c r="F91" s="769"/>
      <c r="G91" s="769"/>
      <c r="H91" s="769"/>
      <c r="I91" s="769"/>
      <c r="J91" s="769"/>
      <c r="K91" s="769"/>
      <c r="L91" s="769"/>
      <c r="M91" s="770"/>
      <c r="N91" s="796"/>
      <c r="O91" s="796"/>
      <c r="P91" s="796"/>
      <c r="Q91" s="796"/>
      <c r="R91" s="796"/>
      <c r="S91" s="796"/>
      <c r="T91" s="796"/>
      <c r="U91" s="796"/>
      <c r="V91" s="796"/>
      <c r="W91" s="796"/>
      <c r="X91" s="796"/>
      <c r="AJ91" s="787"/>
      <c r="AK91" s="787"/>
      <c r="AL91" s="787"/>
      <c r="AM91" s="787"/>
      <c r="AN91" s="787"/>
      <c r="AO91" s="787"/>
      <c r="AP91" s="787"/>
      <c r="AQ91" s="787"/>
    </row>
    <row r="92" spans="1:43" ht="15" customHeight="1">
      <c r="A92" s="775"/>
      <c r="B92" s="776"/>
      <c r="C92" s="776"/>
      <c r="D92" s="776"/>
      <c r="E92" s="776"/>
      <c r="F92" s="776"/>
      <c r="G92" s="776"/>
      <c r="H92" s="776"/>
      <c r="I92" s="776"/>
      <c r="J92" s="776"/>
      <c r="K92" s="776"/>
      <c r="L92" s="776"/>
      <c r="M92" s="777"/>
      <c r="N92" s="796"/>
      <c r="O92" s="796"/>
      <c r="P92" s="796"/>
      <c r="Q92" s="796"/>
      <c r="R92" s="796"/>
      <c r="S92" s="796"/>
      <c r="T92" s="796"/>
      <c r="U92" s="796"/>
      <c r="V92" s="796"/>
      <c r="W92" s="796"/>
      <c r="X92" s="796"/>
      <c r="AJ92" s="787"/>
      <c r="AK92" s="787"/>
      <c r="AL92" s="787"/>
      <c r="AM92" s="787"/>
      <c r="AN92" s="787"/>
      <c r="AO92" s="787"/>
      <c r="AP92" s="787"/>
      <c r="AQ92" s="787"/>
    </row>
    <row r="93" spans="1:43" ht="14.45" customHeight="1">
      <c r="A93" s="778"/>
      <c r="B93" s="779"/>
      <c r="C93" s="779"/>
      <c r="D93" s="779"/>
      <c r="E93" s="779"/>
      <c r="F93" s="779"/>
      <c r="G93" s="779"/>
      <c r="H93" s="779"/>
      <c r="I93" s="779"/>
      <c r="J93" s="779"/>
      <c r="K93" s="779"/>
      <c r="L93" s="779"/>
      <c r="M93" s="780"/>
      <c r="N93" s="796"/>
      <c r="O93" s="796"/>
      <c r="P93" s="796"/>
      <c r="Q93" s="796"/>
      <c r="R93" s="796"/>
      <c r="S93" s="796"/>
      <c r="T93" s="796"/>
      <c r="U93" s="796"/>
      <c r="V93" s="796"/>
      <c r="W93" s="796"/>
      <c r="X93" s="796"/>
      <c r="AJ93" s="787"/>
      <c r="AK93" s="787"/>
      <c r="AL93" s="787"/>
      <c r="AM93" s="787"/>
      <c r="AN93" s="787"/>
      <c r="AO93" s="787"/>
      <c r="AP93" s="787"/>
      <c r="AQ93" s="787"/>
    </row>
    <row r="94" spans="1:43" ht="14.45" customHeight="1" thickBot="1">
      <c r="A94" s="781"/>
      <c r="B94" s="782"/>
      <c r="C94" s="782"/>
      <c r="D94" s="782"/>
      <c r="E94" s="782"/>
      <c r="F94" s="782"/>
      <c r="G94" s="782"/>
      <c r="H94" s="782"/>
      <c r="I94" s="782"/>
      <c r="J94" s="782"/>
      <c r="K94" s="782"/>
      <c r="L94" s="782"/>
      <c r="M94" s="783"/>
      <c r="N94" s="796"/>
      <c r="O94" s="796"/>
      <c r="P94" s="796"/>
      <c r="Q94" s="796"/>
      <c r="R94" s="796"/>
      <c r="S94" s="796"/>
      <c r="T94" s="796"/>
      <c r="U94" s="796"/>
      <c r="V94" s="796"/>
      <c r="W94" s="796"/>
      <c r="X94" s="796"/>
      <c r="AJ94" s="787"/>
      <c r="AK94" s="787"/>
      <c r="AL94" s="787"/>
      <c r="AM94" s="787"/>
      <c r="AN94" s="787"/>
      <c r="AO94" s="787"/>
      <c r="AP94" s="787"/>
      <c r="AQ94" s="787"/>
    </row>
    <row r="95" spans="1:43" ht="14.45" customHeight="1">
      <c r="A95" s="758" t="str">
        <f>G1&amp;" - "&amp;START!$E$25</f>
        <v>Ellis Andersen | Branch Manager - (949) 892-1736</v>
      </c>
      <c r="B95" s="759"/>
      <c r="C95" s="759"/>
      <c r="D95" s="759"/>
      <c r="E95" s="759"/>
      <c r="F95" s="759"/>
      <c r="G95" s="759"/>
      <c r="H95" s="759"/>
      <c r="I95" s="759"/>
      <c r="J95" s="759"/>
      <c r="K95" s="759"/>
      <c r="L95" s="759"/>
      <c r="M95" s="760"/>
      <c r="N95" s="796"/>
      <c r="O95" s="796"/>
      <c r="P95" s="796"/>
      <c r="Q95" s="796"/>
      <c r="R95" s="796"/>
      <c r="S95" s="796"/>
      <c r="T95" s="796"/>
      <c r="U95" s="796"/>
      <c r="V95" s="796"/>
      <c r="W95" s="796"/>
      <c r="X95" s="796"/>
      <c r="AJ95" s="787"/>
      <c r="AK95" s="787"/>
      <c r="AL95" s="787"/>
      <c r="AM95" s="787"/>
      <c r="AN95" s="787"/>
      <c r="AO95" s="787"/>
      <c r="AP95" s="787"/>
      <c r="AQ95" s="787"/>
    </row>
    <row r="96" spans="1:43">
      <c r="A96" s="758"/>
      <c r="B96" s="759"/>
      <c r="C96" s="759"/>
      <c r="D96" s="759"/>
      <c r="E96" s="759"/>
      <c r="F96" s="759"/>
      <c r="G96" s="759"/>
      <c r="H96" s="759"/>
      <c r="I96" s="759"/>
      <c r="J96" s="759"/>
      <c r="K96" s="759"/>
      <c r="L96" s="759"/>
      <c r="M96" s="760"/>
      <c r="N96" s="796"/>
      <c r="O96" s="796"/>
      <c r="P96" s="796"/>
      <c r="Q96" s="796"/>
      <c r="R96" s="796"/>
      <c r="S96" s="796"/>
      <c r="T96" s="796"/>
      <c r="U96" s="796"/>
      <c r="V96" s="796"/>
      <c r="W96" s="796"/>
      <c r="X96" s="796"/>
      <c r="AJ96" s="787"/>
      <c r="AK96" s="787"/>
      <c r="AL96" s="787"/>
      <c r="AM96" s="787"/>
      <c r="AN96" s="787"/>
      <c r="AO96" s="787"/>
      <c r="AP96" s="787"/>
      <c r="AQ96" s="787"/>
    </row>
    <row r="97" spans="1:43" ht="18.75" thickBot="1">
      <c r="A97" s="761" t="s">
        <v>229</v>
      </c>
      <c r="B97" s="762"/>
      <c r="C97" s="762"/>
      <c r="D97" s="762"/>
      <c r="E97" s="762"/>
      <c r="F97" s="762"/>
      <c r="G97" s="762"/>
      <c r="H97" s="762"/>
      <c r="I97" s="762"/>
      <c r="J97" s="762"/>
      <c r="K97" s="762"/>
      <c r="L97" s="762"/>
      <c r="M97" s="763"/>
      <c r="N97" s="796"/>
      <c r="O97" s="796"/>
      <c r="P97" s="796"/>
      <c r="Q97" s="796"/>
      <c r="R97" s="796"/>
      <c r="S97" s="796"/>
      <c r="T97" s="796"/>
      <c r="U97" s="796"/>
      <c r="V97" s="796"/>
      <c r="W97" s="796"/>
      <c r="X97" s="796"/>
      <c r="AJ97" s="787"/>
      <c r="AK97" s="787"/>
      <c r="AL97" s="787"/>
      <c r="AM97" s="787"/>
      <c r="AN97" s="787"/>
      <c r="AO97" s="787"/>
      <c r="AP97" s="787"/>
      <c r="AQ97" s="787"/>
    </row>
    <row r="98" spans="1:43">
      <c r="A98" s="776"/>
      <c r="B98" s="776"/>
      <c r="C98" s="776"/>
      <c r="D98" s="776"/>
      <c r="E98" s="776"/>
      <c r="F98" s="776"/>
      <c r="G98" s="776"/>
      <c r="H98" s="776"/>
      <c r="I98" s="776"/>
      <c r="J98" s="776"/>
      <c r="K98" s="776"/>
      <c r="L98" s="776"/>
      <c r="M98" s="776"/>
      <c r="N98" s="796"/>
      <c r="O98" s="796"/>
      <c r="P98" s="796"/>
      <c r="Q98" s="796"/>
      <c r="R98" s="796"/>
      <c r="S98" s="796"/>
      <c r="T98" s="796"/>
      <c r="U98" s="796"/>
      <c r="V98" s="796"/>
      <c r="W98" s="796"/>
      <c r="X98" s="796"/>
      <c r="AJ98" s="787"/>
      <c r="AK98" s="787"/>
      <c r="AL98" s="787"/>
      <c r="AM98" s="787"/>
      <c r="AN98" s="787"/>
      <c r="AO98" s="787"/>
      <c r="AP98" s="787"/>
      <c r="AQ98" s="787"/>
    </row>
    <row r="99" spans="1:43">
      <c r="A99" s="779"/>
      <c r="B99" s="779"/>
      <c r="C99" s="779"/>
      <c r="D99" s="779"/>
      <c r="E99" s="779"/>
      <c r="F99" s="779"/>
      <c r="G99" s="779"/>
      <c r="H99" s="779"/>
      <c r="I99" s="779"/>
      <c r="J99" s="779"/>
      <c r="K99" s="779"/>
      <c r="L99" s="779"/>
      <c r="M99" s="779"/>
      <c r="N99" s="796"/>
      <c r="O99" s="796"/>
      <c r="P99" s="796"/>
      <c r="Q99" s="796"/>
      <c r="R99" s="796"/>
      <c r="S99" s="796"/>
      <c r="T99" s="796"/>
      <c r="U99" s="796"/>
      <c r="V99" s="796"/>
      <c r="W99" s="796"/>
      <c r="X99" s="796"/>
      <c r="AJ99" s="787"/>
      <c r="AK99" s="787"/>
      <c r="AL99" s="787"/>
      <c r="AM99" s="787"/>
      <c r="AN99" s="787"/>
      <c r="AO99" s="787"/>
      <c r="AP99" s="787"/>
      <c r="AQ99" s="787"/>
    </row>
    <row r="100" spans="1:43">
      <c r="A100" s="779"/>
      <c r="B100" s="779"/>
      <c r="C100" s="779"/>
      <c r="D100" s="779"/>
      <c r="E100" s="779"/>
      <c r="F100" s="779"/>
      <c r="G100" s="779"/>
      <c r="H100" s="779"/>
      <c r="I100" s="779"/>
      <c r="J100" s="779"/>
      <c r="K100" s="779"/>
      <c r="L100" s="779"/>
      <c r="M100" s="779"/>
      <c r="N100" s="796"/>
      <c r="O100" s="796"/>
      <c r="P100" s="796"/>
      <c r="Q100" s="796"/>
      <c r="R100" s="796"/>
      <c r="S100" s="796"/>
      <c r="T100" s="796"/>
      <c r="U100" s="796"/>
      <c r="V100" s="796"/>
      <c r="W100" s="796"/>
      <c r="X100" s="796"/>
      <c r="AJ100" s="787"/>
      <c r="AK100" s="787"/>
      <c r="AL100" s="787"/>
      <c r="AM100" s="787"/>
      <c r="AN100" s="787"/>
      <c r="AO100" s="787"/>
      <c r="AP100" s="787"/>
      <c r="AQ100" s="787"/>
    </row>
    <row r="101" spans="1:43">
      <c r="A101" s="779"/>
      <c r="B101" s="779"/>
      <c r="C101" s="779"/>
      <c r="D101" s="779"/>
      <c r="E101" s="779"/>
      <c r="F101" s="779"/>
      <c r="G101" s="779"/>
      <c r="H101" s="779"/>
      <c r="I101" s="779"/>
      <c r="J101" s="779"/>
      <c r="K101" s="779"/>
      <c r="L101" s="779"/>
      <c r="M101" s="779"/>
      <c r="N101" s="796"/>
      <c r="O101" s="796"/>
      <c r="P101" s="796"/>
      <c r="Q101" s="796"/>
      <c r="R101" s="796"/>
      <c r="S101" s="796"/>
      <c r="T101" s="796"/>
      <c r="U101" s="796"/>
      <c r="V101" s="796"/>
      <c r="W101" s="796"/>
      <c r="X101" s="796"/>
      <c r="AJ101" s="787"/>
      <c r="AK101" s="787"/>
      <c r="AL101" s="787"/>
      <c r="AM101" s="787"/>
      <c r="AN101" s="787"/>
      <c r="AO101" s="787"/>
      <c r="AP101" s="787"/>
      <c r="AQ101" s="787"/>
    </row>
    <row r="102" spans="1:43">
      <c r="A102" s="779"/>
      <c r="B102" s="779"/>
      <c r="C102" s="779"/>
      <c r="D102" s="779"/>
      <c r="E102" s="779"/>
      <c r="F102" s="779"/>
      <c r="G102" s="779"/>
      <c r="H102" s="779"/>
      <c r="I102" s="779"/>
      <c r="J102" s="779"/>
      <c r="K102" s="779"/>
      <c r="L102" s="779"/>
      <c r="M102" s="779"/>
      <c r="N102" s="796"/>
      <c r="O102" s="796"/>
      <c r="P102" s="796"/>
      <c r="Q102" s="796"/>
      <c r="R102" s="796"/>
      <c r="S102" s="796"/>
      <c r="T102" s="796"/>
      <c r="U102" s="796"/>
      <c r="V102" s="796"/>
      <c r="W102" s="796"/>
      <c r="X102" s="796"/>
      <c r="AJ102" s="787"/>
      <c r="AK102" s="787"/>
      <c r="AL102" s="787"/>
      <c r="AM102" s="787"/>
      <c r="AN102" s="787"/>
      <c r="AO102" s="787"/>
      <c r="AP102" s="787"/>
      <c r="AQ102" s="787"/>
    </row>
  </sheetData>
  <sheetProtection algorithmName="SHA-512" hashValue="8NjnkDSNHHksEEdSXoVMD7w2tvM/WvHAPu3ofxM3+NCJgKWEeh2KEsBqaRBogDoHwsA9EVikwXC446PsMSezXQ==" saltValue="AKXRLdzmQV7lXSt3L3/NKw==" spinCount="100000" sheet="1" objects="1" scenarios="1"/>
  <protectedRanges>
    <protectedRange sqref="AK5:AK12 AK18:AK25 AK31:AK38 AK56:AK63 AK69:AK76" name="Intro Cash Out"/>
    <protectedRange sqref="AK3:AK4 AK16:AK17 AK29:AK30 AK54:AK55 AK67:AK68" name="Intro Cash Out_1"/>
    <protectedRange sqref="AK3:AK4 AK16:AK17 AK29:AK30 AK54:AK55 AK67:AK68" name="Inro 3 Option"/>
  </protectedRanges>
  <mergeCells count="300">
    <mergeCell ref="A98:M102"/>
    <mergeCell ref="N90:X102"/>
    <mergeCell ref="AJ77:AK102"/>
    <mergeCell ref="AL1:AQ102"/>
    <mergeCell ref="AJ39:AK51"/>
    <mergeCell ref="A47:M51"/>
    <mergeCell ref="N39:X51"/>
    <mergeCell ref="B64:F64"/>
    <mergeCell ref="G64:I64"/>
    <mergeCell ref="J64:M64"/>
    <mergeCell ref="H70:M71"/>
    <mergeCell ref="B72:G73"/>
    <mergeCell ref="A92:M94"/>
    <mergeCell ref="A95:M96"/>
    <mergeCell ref="A97:M97"/>
    <mergeCell ref="A78:A79"/>
    <mergeCell ref="A76:A77"/>
    <mergeCell ref="A66:A67"/>
    <mergeCell ref="A68:A69"/>
    <mergeCell ref="A70:A71"/>
    <mergeCell ref="A72:A73"/>
    <mergeCell ref="A74:A75"/>
    <mergeCell ref="AJ73:AJ74"/>
    <mergeCell ref="AK73:AK74"/>
    <mergeCell ref="AJ71:AJ72"/>
    <mergeCell ref="AK71:AK72"/>
    <mergeCell ref="AJ65:AK66"/>
    <mergeCell ref="AK69:AK70"/>
    <mergeCell ref="AJ69:AJ70"/>
    <mergeCell ref="H72:M73"/>
    <mergeCell ref="B74:G75"/>
    <mergeCell ref="H74:M75"/>
    <mergeCell ref="B66:G67"/>
    <mergeCell ref="H66:M67"/>
    <mergeCell ref="B68:G69"/>
    <mergeCell ref="B70:G71"/>
    <mergeCell ref="B11:F11"/>
    <mergeCell ref="B12:F12"/>
    <mergeCell ref="B13:F13"/>
    <mergeCell ref="B9:F9"/>
    <mergeCell ref="B10:F10"/>
    <mergeCell ref="N15:O16"/>
    <mergeCell ref="G58:M58"/>
    <mergeCell ref="N34:O35"/>
    <mergeCell ref="N23:O24"/>
    <mergeCell ref="N25:O26"/>
    <mergeCell ref="N27:O28"/>
    <mergeCell ref="N29:O30"/>
    <mergeCell ref="N31:O33"/>
    <mergeCell ref="A41:M43"/>
    <mergeCell ref="A44:M45"/>
    <mergeCell ref="A46:M46"/>
    <mergeCell ref="A15:A16"/>
    <mergeCell ref="A23:A24"/>
    <mergeCell ref="A33:A34"/>
    <mergeCell ref="A19:A20"/>
    <mergeCell ref="A21:A22"/>
    <mergeCell ref="F21:I22"/>
    <mergeCell ref="J21:M22"/>
    <mergeCell ref="A17:A18"/>
    <mergeCell ref="B61:F61"/>
    <mergeCell ref="B62:F62"/>
    <mergeCell ref="G62:M63"/>
    <mergeCell ref="P15:X16"/>
    <mergeCell ref="N17:O19"/>
    <mergeCell ref="P17:X19"/>
    <mergeCell ref="G13:I13"/>
    <mergeCell ref="J13:M13"/>
    <mergeCell ref="P58:X58"/>
    <mergeCell ref="B15:E16"/>
    <mergeCell ref="F15:I16"/>
    <mergeCell ref="J15:M16"/>
    <mergeCell ref="B23:E24"/>
    <mergeCell ref="F23:I24"/>
    <mergeCell ref="J23:M24"/>
    <mergeCell ref="B33:E34"/>
    <mergeCell ref="F33:I34"/>
    <mergeCell ref="J33:M34"/>
    <mergeCell ref="B19:E20"/>
    <mergeCell ref="F19:I20"/>
    <mergeCell ref="J19:M20"/>
    <mergeCell ref="B21:E22"/>
    <mergeCell ref="B63:F63"/>
    <mergeCell ref="B17:E18"/>
    <mergeCell ref="P10:X10"/>
    <mergeCell ref="P11:X11"/>
    <mergeCell ref="P14:X14"/>
    <mergeCell ref="P12:X13"/>
    <mergeCell ref="G9:M10"/>
    <mergeCell ref="G11:M12"/>
    <mergeCell ref="P76:X77"/>
    <mergeCell ref="Y77:AI78"/>
    <mergeCell ref="AK9:AK10"/>
    <mergeCell ref="AJ22:AJ23"/>
    <mergeCell ref="AK22:AK23"/>
    <mergeCell ref="AK24:AK25"/>
    <mergeCell ref="AJ24:AJ25"/>
    <mergeCell ref="AJ14:AK15"/>
    <mergeCell ref="AJ75:AJ76"/>
    <mergeCell ref="AK75:AK76"/>
    <mergeCell ref="Y73:AI74"/>
    <mergeCell ref="P60:X60"/>
    <mergeCell ref="Y60:AB60"/>
    <mergeCell ref="P61:X61"/>
    <mergeCell ref="Y61:AB61"/>
    <mergeCell ref="P62:X62"/>
    <mergeCell ref="Y62:AB62"/>
    <mergeCell ref="P63:X64"/>
    <mergeCell ref="Y14:AI15"/>
    <mergeCell ref="Y16:AI17"/>
    <mergeCell ref="Y18:AI19"/>
    <mergeCell ref="Y11:AB11"/>
    <mergeCell ref="B76:G77"/>
    <mergeCell ref="H76:M77"/>
    <mergeCell ref="H68:M69"/>
    <mergeCell ref="N76:O77"/>
    <mergeCell ref="P65:X65"/>
    <mergeCell ref="Y65:AI66"/>
    <mergeCell ref="N66:O67"/>
    <mergeCell ref="P66:X67"/>
    <mergeCell ref="Y67:AI68"/>
    <mergeCell ref="N68:O70"/>
    <mergeCell ref="P68:X70"/>
    <mergeCell ref="Y69:AI70"/>
    <mergeCell ref="N71:O73"/>
    <mergeCell ref="P71:X73"/>
    <mergeCell ref="Y71:AI72"/>
    <mergeCell ref="N74:O75"/>
    <mergeCell ref="P74:X75"/>
    <mergeCell ref="Y75:AI76"/>
    <mergeCell ref="B60:F60"/>
    <mergeCell ref="G60:M61"/>
    <mergeCell ref="N87:O88"/>
    <mergeCell ref="P87:X88"/>
    <mergeCell ref="A88:A91"/>
    <mergeCell ref="B88:E89"/>
    <mergeCell ref="F88:I89"/>
    <mergeCell ref="J88:M89"/>
    <mergeCell ref="N89:O89"/>
    <mergeCell ref="P89:X89"/>
    <mergeCell ref="B90:E91"/>
    <mergeCell ref="F90:I91"/>
    <mergeCell ref="J90:M91"/>
    <mergeCell ref="B86:G87"/>
    <mergeCell ref="H86:M87"/>
    <mergeCell ref="N85:O86"/>
    <mergeCell ref="P85:X86"/>
    <mergeCell ref="A86:A87"/>
    <mergeCell ref="N78:O79"/>
    <mergeCell ref="P78:X79"/>
    <mergeCell ref="Y79:AI80"/>
    <mergeCell ref="A82:A83"/>
    <mergeCell ref="N80:O81"/>
    <mergeCell ref="P80:X81"/>
    <mergeCell ref="Y81:AI82"/>
    <mergeCell ref="N82:O84"/>
    <mergeCell ref="A80:A81"/>
    <mergeCell ref="B80:G81"/>
    <mergeCell ref="H80:M81"/>
    <mergeCell ref="B84:G85"/>
    <mergeCell ref="H84:M85"/>
    <mergeCell ref="B82:G83"/>
    <mergeCell ref="H82:M83"/>
    <mergeCell ref="P82:X84"/>
    <mergeCell ref="Y83:AI84"/>
    <mergeCell ref="A84:A85"/>
    <mergeCell ref="B78:G79"/>
    <mergeCell ref="H78:M79"/>
    <mergeCell ref="Y58:AB58"/>
    <mergeCell ref="AJ62:AJ63"/>
    <mergeCell ref="AK62:AK63"/>
    <mergeCell ref="P59:X59"/>
    <mergeCell ref="Y59:AB59"/>
    <mergeCell ref="AJ60:AJ61"/>
    <mergeCell ref="AK60:AK61"/>
    <mergeCell ref="AJ58:AJ59"/>
    <mergeCell ref="AK58:AK59"/>
    <mergeCell ref="Y63:AI64"/>
    <mergeCell ref="Y10:AB10"/>
    <mergeCell ref="Y9:AB9"/>
    <mergeCell ref="Y12:AI13"/>
    <mergeCell ref="AJ29:AJ30"/>
    <mergeCell ref="AK29:AK30"/>
    <mergeCell ref="AJ3:AJ4"/>
    <mergeCell ref="AJ27:AK28"/>
    <mergeCell ref="P9:X9"/>
    <mergeCell ref="G57:M57"/>
    <mergeCell ref="P57:X57"/>
    <mergeCell ref="AJ33:AJ34"/>
    <mergeCell ref="AK33:AK34"/>
    <mergeCell ref="AJ35:AJ36"/>
    <mergeCell ref="AK35:AK36"/>
    <mergeCell ref="AJ37:AJ38"/>
    <mergeCell ref="AK37:AK38"/>
    <mergeCell ref="Y56:AI57"/>
    <mergeCell ref="AJ9:AJ10"/>
    <mergeCell ref="Y30:AI31"/>
    <mergeCell ref="Y20:AI21"/>
    <mergeCell ref="AK18:AK19"/>
    <mergeCell ref="AJ16:AJ17"/>
    <mergeCell ref="AK16:AK17"/>
    <mergeCell ref="Y22:AI23"/>
    <mergeCell ref="AJ31:AJ32"/>
    <mergeCell ref="AK31:AK32"/>
    <mergeCell ref="AJ20:AJ21"/>
    <mergeCell ref="AK20:AK21"/>
    <mergeCell ref="P34:X35"/>
    <mergeCell ref="P23:X24"/>
    <mergeCell ref="P25:X26"/>
    <mergeCell ref="P27:X28"/>
    <mergeCell ref="P29:X30"/>
    <mergeCell ref="Y32:AI33"/>
    <mergeCell ref="AJ26:AK26"/>
    <mergeCell ref="G1:M2"/>
    <mergeCell ref="G3:M3"/>
    <mergeCell ref="G4:M4"/>
    <mergeCell ref="G5:M5"/>
    <mergeCell ref="G6:M6"/>
    <mergeCell ref="G7:M7"/>
    <mergeCell ref="AJ1:AK2"/>
    <mergeCell ref="AJ5:AJ6"/>
    <mergeCell ref="AK5:AK6"/>
    <mergeCell ref="AJ7:AJ8"/>
    <mergeCell ref="AK7:AK8"/>
    <mergeCell ref="P7:X7"/>
    <mergeCell ref="P8:X8"/>
    <mergeCell ref="AK3:AK4"/>
    <mergeCell ref="AA4:AG4"/>
    <mergeCell ref="Y7:AB7"/>
    <mergeCell ref="Y8:AB8"/>
    <mergeCell ref="F17:I18"/>
    <mergeCell ref="J17:M18"/>
    <mergeCell ref="A35:A36"/>
    <mergeCell ref="A25:A26"/>
    <mergeCell ref="B25:E26"/>
    <mergeCell ref="F25:I26"/>
    <mergeCell ref="J25:M26"/>
    <mergeCell ref="A27:A28"/>
    <mergeCell ref="B27:E28"/>
    <mergeCell ref="F27:I28"/>
    <mergeCell ref="J27:M28"/>
    <mergeCell ref="A31:A32"/>
    <mergeCell ref="B31:E32"/>
    <mergeCell ref="F31:I32"/>
    <mergeCell ref="F35:I36"/>
    <mergeCell ref="J35:M36"/>
    <mergeCell ref="B35:E36"/>
    <mergeCell ref="J31:M32"/>
    <mergeCell ref="A29:A30"/>
    <mergeCell ref="B29:E30"/>
    <mergeCell ref="F29:I30"/>
    <mergeCell ref="J29:M30"/>
    <mergeCell ref="A37:A40"/>
    <mergeCell ref="B37:E38"/>
    <mergeCell ref="J39:M40"/>
    <mergeCell ref="F39:I40"/>
    <mergeCell ref="AJ64:AK64"/>
    <mergeCell ref="F37:I38"/>
    <mergeCell ref="B39:E40"/>
    <mergeCell ref="J37:M38"/>
    <mergeCell ref="G52:M53"/>
    <mergeCell ref="N52:X53"/>
    <mergeCell ref="Y52:AI53"/>
    <mergeCell ref="AJ52:AK53"/>
    <mergeCell ref="G54:M54"/>
    <mergeCell ref="N54:O65"/>
    <mergeCell ref="P54:X55"/>
    <mergeCell ref="Z54:AB54"/>
    <mergeCell ref="AJ56:AJ57"/>
    <mergeCell ref="AK56:AK57"/>
    <mergeCell ref="G55:M55"/>
    <mergeCell ref="AA55:AG55"/>
    <mergeCell ref="G56:M56"/>
    <mergeCell ref="P56:X56"/>
    <mergeCell ref="N38:O38"/>
    <mergeCell ref="P38:X38"/>
    <mergeCell ref="AJ13:AK13"/>
    <mergeCell ref="AJ54:AJ55"/>
    <mergeCell ref="AK54:AK55"/>
    <mergeCell ref="AJ67:AJ68"/>
    <mergeCell ref="AK67:AK68"/>
    <mergeCell ref="N20:O22"/>
    <mergeCell ref="P20:X22"/>
    <mergeCell ref="N36:O37"/>
    <mergeCell ref="N1:X2"/>
    <mergeCell ref="N3:O14"/>
    <mergeCell ref="P3:X4"/>
    <mergeCell ref="P5:X5"/>
    <mergeCell ref="P6:X6"/>
    <mergeCell ref="Y1:AI2"/>
    <mergeCell ref="Z3:AB3"/>
    <mergeCell ref="Y5:AI6"/>
    <mergeCell ref="AJ11:AJ12"/>
    <mergeCell ref="AK11:AK12"/>
    <mergeCell ref="AJ18:AJ19"/>
    <mergeCell ref="Y24:AI25"/>
    <mergeCell ref="Y26:AI27"/>
    <mergeCell ref="Y28:AI29"/>
    <mergeCell ref="P36:X37"/>
    <mergeCell ref="P31:X33"/>
  </mergeCells>
  <phoneticPr fontId="20" type="noConversion"/>
  <dataValidations count="1">
    <dataValidation type="list" allowBlank="1" showInputMessage="1" showErrorMessage="1" sqref="AK5:AK6 AK31 AK56:AK57 AK18 AK69" xr:uid="{968912EF-AD2E-4A69-BCFD-4B329D12BC6F}">
      <formula1>$AS$1:$AS$6</formula1>
    </dataValidation>
  </dataValidations>
  <pageMargins left="0.25" right="0.2529757217847769" top="0.25" bottom="0.2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D8B35CD-C119-4D19-90B9-9A3499A2F1EC}">
          <x14:formula1>
            <xm:f>WCL!$B$78:$B$80</xm:f>
          </x14:formula1>
          <xm:sqref>AK3:AK4 AK16:AK17 AK29:AK30 AK54:AK55 AK67:AK68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CB100-6857-473B-A251-0E604A11ADA0}">
  <sheetPr codeName="Sheet11">
    <tabColor rgb="FF92D050"/>
  </sheetPr>
  <dimension ref="A1:AO152"/>
  <sheetViews>
    <sheetView view="pageLayout" topLeftCell="A151" zoomScale="70" zoomScaleNormal="100" zoomScaleSheetLayoutView="85" zoomScalePageLayoutView="70" workbookViewId="0">
      <selection activeCell="AI1" sqref="AI1:AO152"/>
    </sheetView>
  </sheetViews>
  <sheetFormatPr defaultColWidth="9" defaultRowHeight="15" outlineLevelCol="1"/>
  <cols>
    <col min="1" max="2" width="9.140625" style="90" customWidth="1"/>
    <col min="3" max="10" width="10.28515625" style="90" customWidth="1"/>
    <col min="11" max="11" width="9" style="78"/>
    <col min="12" max="12" width="11" style="78" bestFit="1" customWidth="1"/>
    <col min="13" max="13" width="9" style="78"/>
    <col min="14" max="14" width="10" style="78" customWidth="1"/>
    <col min="15" max="20" width="9" style="78"/>
    <col min="21" max="21" width="8.140625" style="78" customWidth="1"/>
    <col min="22" max="24" width="8.85546875" hidden="1" customWidth="1" outlineLevel="1"/>
    <col min="25" max="25" width="10.5703125" hidden="1" customWidth="1" outlineLevel="1"/>
    <col min="26" max="27" width="8.85546875" hidden="1" customWidth="1" outlineLevel="1"/>
    <col min="28" max="28" width="11.28515625" hidden="1" customWidth="1" outlineLevel="1"/>
    <col min="29" max="32" width="8.85546875" hidden="1" customWidth="1" outlineLevel="1"/>
    <col min="33" max="33" width="18.7109375" customWidth="1" collapsed="1"/>
    <col min="34" max="34" width="18.7109375" customWidth="1"/>
  </cols>
  <sheetData>
    <row r="1" spans="1:41" ht="15.2" customHeight="1">
      <c r="A1" s="84"/>
      <c r="B1" s="84"/>
      <c r="C1" s="84"/>
      <c r="D1" s="84"/>
      <c r="E1" s="84"/>
      <c r="F1" s="833" t="str">
        <f>START!$D$11</f>
        <v>Ellis Andersen | Branch Manager</v>
      </c>
      <c r="G1" s="834"/>
      <c r="H1" s="834"/>
      <c r="I1" s="834"/>
      <c r="J1" s="835"/>
      <c r="K1" s="810" t="s">
        <v>146</v>
      </c>
      <c r="L1" s="811"/>
      <c r="M1" s="811"/>
      <c r="N1" s="811"/>
      <c r="O1" s="811"/>
      <c r="P1" s="811"/>
      <c r="Q1" s="811"/>
      <c r="R1" s="811"/>
      <c r="S1" s="811"/>
      <c r="T1" s="811"/>
      <c r="U1" s="812"/>
      <c r="V1" s="732" t="s">
        <v>147</v>
      </c>
      <c r="W1" s="732"/>
      <c r="X1" s="732"/>
      <c r="Y1" s="732"/>
      <c r="Z1" s="732"/>
      <c r="AA1" s="732"/>
      <c r="AB1" s="732"/>
      <c r="AC1" s="732"/>
      <c r="AD1" s="732"/>
      <c r="AE1" s="732"/>
      <c r="AF1" s="733"/>
      <c r="AG1" s="529" t="s">
        <v>181</v>
      </c>
      <c r="AH1" s="531"/>
      <c r="AI1" s="787"/>
      <c r="AJ1" s="787"/>
      <c r="AK1" s="787"/>
      <c r="AL1" s="787"/>
      <c r="AM1" s="787"/>
      <c r="AN1" s="787"/>
      <c r="AO1" s="787"/>
    </row>
    <row r="2" spans="1:41" ht="15.2" customHeight="1" thickBot="1">
      <c r="A2" s="84"/>
      <c r="B2" s="84"/>
      <c r="C2" s="84"/>
      <c r="D2" s="84"/>
      <c r="E2" s="84"/>
      <c r="F2" s="836"/>
      <c r="G2" s="837"/>
      <c r="H2" s="837"/>
      <c r="I2" s="837"/>
      <c r="J2" s="838"/>
      <c r="K2" s="813"/>
      <c r="L2" s="814"/>
      <c r="M2" s="814"/>
      <c r="N2" s="814"/>
      <c r="O2" s="814"/>
      <c r="P2" s="814"/>
      <c r="Q2" s="814"/>
      <c r="R2" s="814"/>
      <c r="S2" s="814"/>
      <c r="T2" s="814"/>
      <c r="U2" s="815"/>
      <c r="V2" s="734"/>
      <c r="W2" s="734"/>
      <c r="X2" s="734"/>
      <c r="Y2" s="734"/>
      <c r="Z2" s="734"/>
      <c r="AA2" s="734"/>
      <c r="AB2" s="734"/>
      <c r="AC2" s="734"/>
      <c r="AD2" s="734"/>
      <c r="AE2" s="734"/>
      <c r="AF2" s="735"/>
      <c r="AG2" s="532"/>
      <c r="AH2" s="534"/>
      <c r="AI2" s="787"/>
      <c r="AJ2" s="787"/>
      <c r="AK2" s="787"/>
      <c r="AL2" s="787"/>
      <c r="AM2" s="787"/>
      <c r="AN2" s="787"/>
      <c r="AO2" s="787"/>
    </row>
    <row r="3" spans="1:41" ht="15.2" customHeight="1">
      <c r="A3" s="84"/>
      <c r="B3" s="84"/>
      <c r="C3" s="84"/>
      <c r="D3" s="84"/>
      <c r="E3" s="84"/>
      <c r="F3" s="672" t="str">
        <f>START!$D$13</f>
        <v>Direct/Fax: (949) 892-1736</v>
      </c>
      <c r="G3" s="673"/>
      <c r="H3" s="673"/>
      <c r="I3" s="673"/>
      <c r="J3" s="923"/>
      <c r="K3" s="816" t="s">
        <v>149</v>
      </c>
      <c r="L3" s="817"/>
      <c r="M3" s="921" t="str">
        <f>V3&amp;" "&amp;W3&amp;""&amp;V4&amp;" "&amp;W4&amp;" "&amp;X4&amp;" "&amp;AF4&amp;" "&amp;V5</f>
        <v xml:space="preserve">Hi Matthew, this is Ellis Andersen :blush: with West Capital Lending. I just received your inquiry to take about $740000 :moneybag: of equity from your home. I know you're shopping for the best deal so I will check with our most competitive lenders within our Broker Network. </v>
      </c>
      <c r="N3" s="822"/>
      <c r="O3" s="822"/>
      <c r="P3" s="822"/>
      <c r="Q3" s="822"/>
      <c r="R3" s="822"/>
      <c r="S3" s="822"/>
      <c r="T3" s="822"/>
      <c r="U3" s="823"/>
      <c r="V3" s="19" t="s">
        <v>150</v>
      </c>
      <c r="W3" s="931" t="str">
        <f>LEADS!$D$3</f>
        <v>Matthew</v>
      </c>
      <c r="X3" s="931"/>
      <c r="Y3" s="931"/>
      <c r="Z3" s="19"/>
      <c r="AA3" s="19"/>
      <c r="AB3" s="19"/>
      <c r="AC3" s="19"/>
      <c r="AD3" s="19"/>
      <c r="AE3" s="19"/>
      <c r="AF3" s="19"/>
      <c r="AG3" s="932" t="s">
        <v>193</v>
      </c>
      <c r="AH3" s="739" t="s">
        <v>194</v>
      </c>
      <c r="AI3" s="787"/>
      <c r="AJ3" s="787"/>
      <c r="AK3" s="787"/>
      <c r="AL3" s="787"/>
      <c r="AM3" s="787"/>
      <c r="AN3" s="787"/>
      <c r="AO3" s="787"/>
    </row>
    <row r="4" spans="1:41" ht="15.2" customHeight="1" thickBot="1">
      <c r="A4" s="84"/>
      <c r="B4" s="84"/>
      <c r="C4" s="84"/>
      <c r="D4" s="84"/>
      <c r="E4" s="84"/>
      <c r="F4" s="672" t="str">
        <f>START!$D$14</f>
        <v>Email: eandersen@westcapitallending.com</v>
      </c>
      <c r="G4" s="673"/>
      <c r="H4" s="673"/>
      <c r="I4" s="673"/>
      <c r="J4" s="923"/>
      <c r="K4" s="818"/>
      <c r="L4" s="819"/>
      <c r="M4" s="790"/>
      <c r="N4" s="726"/>
      <c r="O4" s="726"/>
      <c r="P4" s="726"/>
      <c r="Q4" s="726"/>
      <c r="R4" s="726"/>
      <c r="S4" s="726"/>
      <c r="T4" s="726"/>
      <c r="U4" s="727"/>
      <c r="V4" t="s">
        <v>153</v>
      </c>
      <c r="W4" t="str">
        <f>START!E23</f>
        <v>Ellis Andersen</v>
      </c>
      <c r="X4" t="s">
        <v>154</v>
      </c>
      <c r="AD4" s="19" t="s">
        <v>151</v>
      </c>
      <c r="AE4" s="20">
        <f>C13</f>
        <v>740000</v>
      </c>
      <c r="AF4" s="19" t="str">
        <f>AD4&amp;""&amp;AE4</f>
        <v>$740000</v>
      </c>
      <c r="AG4" s="933"/>
      <c r="AH4" s="740"/>
      <c r="AI4" s="787"/>
      <c r="AJ4" s="787"/>
      <c r="AK4" s="787"/>
      <c r="AL4" s="787"/>
      <c r="AM4" s="787"/>
      <c r="AN4" s="787"/>
      <c r="AO4" s="787"/>
    </row>
    <row r="5" spans="1:41" ht="15.2" customHeight="1">
      <c r="A5" s="84"/>
      <c r="B5" s="84"/>
      <c r="C5" s="84"/>
      <c r="D5" s="84"/>
      <c r="E5" s="84"/>
      <c r="F5" s="672" t="str">
        <f>START!$D$15</f>
        <v>34 Executive Park Ste 180, Irvine, CA 92614</v>
      </c>
      <c r="G5" s="673"/>
      <c r="H5" s="673"/>
      <c r="I5" s="673"/>
      <c r="J5" s="923"/>
      <c r="K5" s="818"/>
      <c r="L5" s="819"/>
      <c r="M5" s="790" t="s">
        <v>155</v>
      </c>
      <c r="N5" s="726"/>
      <c r="O5" s="726"/>
      <c r="P5" s="726"/>
      <c r="Q5" s="726"/>
      <c r="R5" s="726"/>
      <c r="S5" s="726"/>
      <c r="T5" s="726"/>
      <c r="U5" s="727"/>
      <c r="V5" s="723" t="s">
        <v>156</v>
      </c>
      <c r="W5" s="723"/>
      <c r="X5" s="723"/>
      <c r="Y5" s="723"/>
      <c r="Z5" s="723"/>
      <c r="AA5" s="723"/>
      <c r="AB5" s="723"/>
      <c r="AC5" s="723"/>
      <c r="AD5" s="723"/>
      <c r="AE5" s="723"/>
      <c r="AF5" s="723"/>
      <c r="AG5" s="932" t="s">
        <v>197</v>
      </c>
      <c r="AH5" s="743">
        <v>0.1135</v>
      </c>
      <c r="AI5" s="787"/>
      <c r="AJ5" s="787"/>
      <c r="AK5" s="787"/>
      <c r="AL5" s="787"/>
      <c r="AM5" s="787"/>
      <c r="AN5" s="787"/>
      <c r="AO5" s="787"/>
    </row>
    <row r="6" spans="1:41" ht="15.2" customHeight="1" thickBot="1">
      <c r="A6" s="84"/>
      <c r="B6" s="84"/>
      <c r="C6" s="84"/>
      <c r="D6" s="84"/>
      <c r="E6" s="84"/>
      <c r="F6" s="672" t="str">
        <f>START!$D$16</f>
        <v>NMLS 1912260 | NMLS 02196940</v>
      </c>
      <c r="G6" s="673"/>
      <c r="H6" s="673"/>
      <c r="I6" s="673"/>
      <c r="J6" s="923"/>
      <c r="K6" s="818"/>
      <c r="L6" s="819"/>
      <c r="M6" s="790" t="str">
        <f>V8&amp;" "&amp;AA8</f>
        <v>This is your current address: 15244 W Auburn Ave, Denver, CO, 80228</v>
      </c>
      <c r="N6" s="726"/>
      <c r="O6" s="726"/>
      <c r="P6" s="726"/>
      <c r="Q6" s="726"/>
      <c r="R6" s="726"/>
      <c r="S6" s="726"/>
      <c r="T6" s="726"/>
      <c r="U6" s="727"/>
      <c r="V6" s="723"/>
      <c r="W6" s="723"/>
      <c r="X6" s="723"/>
      <c r="Y6" s="723"/>
      <c r="Z6" s="723"/>
      <c r="AA6" s="723"/>
      <c r="AB6" s="723"/>
      <c r="AC6" s="723"/>
      <c r="AD6" s="723"/>
      <c r="AE6" s="723"/>
      <c r="AF6" s="723"/>
      <c r="AG6" s="933"/>
      <c r="AH6" s="744"/>
      <c r="AI6" s="787"/>
      <c r="AJ6" s="787"/>
      <c r="AK6" s="787"/>
      <c r="AL6" s="787"/>
      <c r="AM6" s="787"/>
      <c r="AN6" s="787"/>
      <c r="AO6" s="787"/>
    </row>
    <row r="7" spans="1:41" ht="15.2" customHeight="1" thickBot="1">
      <c r="A7" s="84"/>
      <c r="B7" s="84"/>
      <c r="C7" s="84"/>
      <c r="D7" s="84"/>
      <c r="E7" s="84"/>
      <c r="F7" s="713" t="str">
        <f>START!$D$17</f>
        <v>Website: www.westcapitallending.com</v>
      </c>
      <c r="G7" s="714"/>
      <c r="H7" s="714"/>
      <c r="I7" s="714"/>
      <c r="J7" s="924"/>
      <c r="K7" s="818"/>
      <c r="L7" s="819"/>
      <c r="M7" s="790" t="str">
        <f>V9&amp;" "&amp;AC9&amp;""&amp;AB9</f>
        <v>Home Value is: $1200000</v>
      </c>
      <c r="N7" s="726"/>
      <c r="O7" s="726"/>
      <c r="P7" s="726"/>
      <c r="Q7" s="726"/>
      <c r="R7" s="726"/>
      <c r="S7" s="726"/>
      <c r="T7" s="726"/>
      <c r="U7" s="727"/>
      <c r="V7" s="722" t="s">
        <v>155</v>
      </c>
      <c r="W7" s="722"/>
      <c r="X7" s="722"/>
      <c r="Y7" s="722"/>
      <c r="Z7" s="19"/>
      <c r="AA7" s="19"/>
      <c r="AB7" s="19"/>
      <c r="AC7" s="19"/>
      <c r="AD7" s="19"/>
      <c r="AE7" s="19"/>
      <c r="AF7" s="19"/>
      <c r="AG7" s="932" t="s">
        <v>163</v>
      </c>
      <c r="AH7" s="743">
        <f>AH5+0.00125</f>
        <v>0.11475</v>
      </c>
      <c r="AI7" s="787"/>
      <c r="AJ7" s="787"/>
      <c r="AK7" s="787"/>
      <c r="AL7" s="787"/>
      <c r="AM7" s="787"/>
      <c r="AN7" s="787"/>
      <c r="AO7" s="787"/>
    </row>
    <row r="8" spans="1:41" ht="15.2" customHeight="1" thickBot="1">
      <c r="A8" s="84"/>
      <c r="B8" s="84"/>
      <c r="C8" s="84"/>
      <c r="D8" s="84"/>
      <c r="E8" s="84"/>
      <c r="F8" s="84"/>
      <c r="G8" s="84"/>
      <c r="H8" s="84"/>
      <c r="I8" s="84"/>
      <c r="J8" s="84"/>
      <c r="K8" s="818"/>
      <c r="L8" s="819"/>
      <c r="M8" s="790" t="str">
        <f>V10&amp;" "&amp;AC10&amp;""&amp;AB10</f>
        <v>Your Current First Mortgage Balance is: $340000</v>
      </c>
      <c r="N8" s="726"/>
      <c r="O8" s="726"/>
      <c r="P8" s="726"/>
      <c r="Q8" s="726"/>
      <c r="R8" s="726"/>
      <c r="S8" s="726"/>
      <c r="T8" s="726"/>
      <c r="U8" s="727"/>
      <c r="V8" s="722" t="s">
        <v>160</v>
      </c>
      <c r="W8" s="722"/>
      <c r="X8" s="722"/>
      <c r="Y8" s="722"/>
      <c r="Z8" s="19"/>
      <c r="AA8" s="19" t="str">
        <f>LEADS!$I$3</f>
        <v>15244 W Auburn Ave, Denver, CO, 80228</v>
      </c>
      <c r="AB8" s="19"/>
      <c r="AC8" s="19" t="str">
        <f>START!$E$24</f>
        <v>[Ellis w/ West Capital Lending]</v>
      </c>
      <c r="AD8" s="19"/>
      <c r="AE8" s="19"/>
      <c r="AF8" s="19"/>
      <c r="AG8" s="933"/>
      <c r="AH8" s="744"/>
      <c r="AI8" s="787"/>
      <c r="AJ8" s="787"/>
      <c r="AK8" s="787"/>
      <c r="AL8" s="787"/>
      <c r="AM8" s="787"/>
      <c r="AN8" s="787"/>
      <c r="AO8" s="787"/>
    </row>
    <row r="9" spans="1:41" ht="15.2" customHeight="1">
      <c r="A9" s="960" t="s">
        <v>67</v>
      </c>
      <c r="B9" s="961"/>
      <c r="C9" s="982">
        <f ca="1">TODAY()</f>
        <v>45196</v>
      </c>
      <c r="D9" s="983"/>
      <c r="E9" s="984"/>
      <c r="F9" s="677" t="s">
        <v>161</v>
      </c>
      <c r="G9" s="678"/>
      <c r="H9" s="678"/>
      <c r="I9" s="678"/>
      <c r="J9" s="679"/>
      <c r="K9" s="818"/>
      <c r="L9" s="819"/>
      <c r="M9" s="790" t="str">
        <f>V11&amp;" "&amp;AC11&amp;""&amp;AB11</f>
        <v>Your Desired Cash Out is: $740000</v>
      </c>
      <c r="N9" s="726"/>
      <c r="O9" s="726"/>
      <c r="P9" s="726"/>
      <c r="Q9" s="726"/>
      <c r="R9" s="726"/>
      <c r="S9" s="726"/>
      <c r="T9" s="726"/>
      <c r="U9" s="727"/>
      <c r="V9" s="722" t="s">
        <v>162</v>
      </c>
      <c r="W9" s="722"/>
      <c r="X9" s="722"/>
      <c r="Y9" s="722"/>
      <c r="Z9" s="19"/>
      <c r="AA9" s="19"/>
      <c r="AB9" s="20">
        <f>$H$13</f>
        <v>1200000</v>
      </c>
      <c r="AC9" s="19" t="s">
        <v>151</v>
      </c>
      <c r="AE9" s="19"/>
      <c r="AF9" s="19"/>
      <c r="AG9" s="932" t="s">
        <v>205</v>
      </c>
      <c r="AH9" s="745">
        <f>(C13*0.03)+2500</f>
        <v>24700</v>
      </c>
      <c r="AI9" s="787"/>
      <c r="AJ9" s="787"/>
      <c r="AK9" s="787"/>
      <c r="AL9" s="787"/>
      <c r="AM9" s="787"/>
      <c r="AN9" s="787"/>
      <c r="AO9" s="787"/>
    </row>
    <row r="10" spans="1:41" ht="15.2" customHeight="1" thickBot="1">
      <c r="A10" s="962" t="s">
        <v>164</v>
      </c>
      <c r="B10" s="963"/>
      <c r="C10" s="797" t="str">
        <f>LEADS!$D$3&amp;" "&amp;LEADS!$E$3</f>
        <v>Matthew Pasiuk</v>
      </c>
      <c r="D10" s="798"/>
      <c r="E10" s="799"/>
      <c r="F10" s="680"/>
      <c r="G10" s="681"/>
      <c r="H10" s="681"/>
      <c r="I10" s="681"/>
      <c r="J10" s="682"/>
      <c r="K10" s="818"/>
      <c r="L10" s="819"/>
      <c r="M10" s="790" t="s">
        <v>165</v>
      </c>
      <c r="N10" s="726"/>
      <c r="O10" s="726"/>
      <c r="P10" s="726"/>
      <c r="Q10" s="726"/>
      <c r="R10" s="726"/>
      <c r="S10" s="726"/>
      <c r="T10" s="726"/>
      <c r="U10" s="727"/>
      <c r="V10" s="722" t="s">
        <v>166</v>
      </c>
      <c r="W10" s="722"/>
      <c r="X10" s="722"/>
      <c r="Y10" s="722"/>
      <c r="Z10" s="19"/>
      <c r="AA10" s="19"/>
      <c r="AB10" s="20">
        <f>$C$21</f>
        <v>340000</v>
      </c>
      <c r="AC10" s="19" t="s">
        <v>151</v>
      </c>
      <c r="AD10" s="19"/>
      <c r="AE10" s="19"/>
      <c r="AF10" s="19"/>
      <c r="AG10" s="933"/>
      <c r="AH10" s="746"/>
      <c r="AI10" s="787"/>
      <c r="AJ10" s="787"/>
      <c r="AK10" s="787"/>
      <c r="AL10" s="787"/>
      <c r="AM10" s="787"/>
      <c r="AN10" s="787"/>
      <c r="AO10" s="787"/>
    </row>
    <row r="11" spans="1:41" ht="15.2" customHeight="1" thickBot="1">
      <c r="A11" s="964" t="s">
        <v>167</v>
      </c>
      <c r="B11" s="965"/>
      <c r="C11" s="797" t="str">
        <f>LEADS!$G$3</f>
        <v>mattpasiuk@gmail.com</v>
      </c>
      <c r="D11" s="798"/>
      <c r="E11" s="799"/>
      <c r="F11" s="683" t="str">
        <f>LEADS!$I$3</f>
        <v>15244 W Auburn Ave, Denver, CO, 80228</v>
      </c>
      <c r="G11" s="639"/>
      <c r="H11" s="639"/>
      <c r="I11" s="639"/>
      <c r="J11" s="641"/>
      <c r="K11" s="818"/>
      <c r="L11" s="819"/>
      <c r="M11" s="790" t="s">
        <v>168</v>
      </c>
      <c r="N11" s="726"/>
      <c r="O11" s="726"/>
      <c r="P11" s="726"/>
      <c r="Q11" s="726"/>
      <c r="R11" s="726"/>
      <c r="S11" s="726"/>
      <c r="T11" s="726"/>
      <c r="U11" s="727"/>
      <c r="V11" s="722" t="s">
        <v>169</v>
      </c>
      <c r="W11" s="722"/>
      <c r="X11" s="722"/>
      <c r="Y11" s="722"/>
      <c r="Z11" s="19"/>
      <c r="AA11" s="19"/>
      <c r="AB11" s="20">
        <f>C13</f>
        <v>740000</v>
      </c>
      <c r="AC11" s="19" t="s">
        <v>151</v>
      </c>
      <c r="AD11" s="19"/>
      <c r="AE11" s="19"/>
      <c r="AF11" s="19"/>
      <c r="AG11" s="806"/>
      <c r="AH11" s="806"/>
      <c r="AI11" s="787"/>
      <c r="AJ11" s="787"/>
      <c r="AK11" s="787"/>
      <c r="AL11" s="787"/>
      <c r="AM11" s="787"/>
      <c r="AN11" s="787"/>
      <c r="AO11" s="787"/>
    </row>
    <row r="12" spans="1:41" ht="15.2" customHeight="1" thickBot="1">
      <c r="A12" s="964" t="s">
        <v>171</v>
      </c>
      <c r="B12" s="965"/>
      <c r="C12" s="797" t="str">
        <f>LEADS!$F$3</f>
        <v>(720)788-0594</v>
      </c>
      <c r="D12" s="798"/>
      <c r="E12" s="799"/>
      <c r="F12" s="684"/>
      <c r="G12" s="640"/>
      <c r="H12" s="640"/>
      <c r="I12" s="640"/>
      <c r="J12" s="642"/>
      <c r="K12" s="818"/>
      <c r="L12" s="819"/>
      <c r="M12" s="790" t="s">
        <v>172</v>
      </c>
      <c r="N12" s="726"/>
      <c r="O12" s="726"/>
      <c r="P12" s="726"/>
      <c r="Q12" s="726"/>
      <c r="R12" s="726"/>
      <c r="S12" s="726"/>
      <c r="T12" s="726"/>
      <c r="U12" s="727"/>
      <c r="V12" s="723" t="s">
        <v>235</v>
      </c>
      <c r="W12" s="723"/>
      <c r="X12" s="723"/>
      <c r="Y12" s="723"/>
      <c r="Z12" s="723"/>
      <c r="AA12" s="723"/>
      <c r="AB12" s="723"/>
      <c r="AC12" s="723"/>
      <c r="AD12" s="723"/>
      <c r="AE12" s="723"/>
      <c r="AF12" s="723"/>
      <c r="AG12" s="529" t="s">
        <v>182</v>
      </c>
      <c r="AH12" s="531"/>
      <c r="AI12" s="787"/>
      <c r="AJ12" s="787"/>
      <c r="AK12" s="787"/>
      <c r="AL12" s="787"/>
      <c r="AM12" s="787"/>
      <c r="AN12" s="787"/>
      <c r="AO12" s="787"/>
    </row>
    <row r="13" spans="1:41" ht="15.2" customHeight="1" thickBot="1">
      <c r="A13" s="966" t="s">
        <v>174</v>
      </c>
      <c r="B13" s="967"/>
      <c r="C13" s="985">
        <f>LEADS!$P$3</f>
        <v>740000</v>
      </c>
      <c r="D13" s="986"/>
      <c r="E13" s="987"/>
      <c r="F13" s="980" t="s">
        <v>175</v>
      </c>
      <c r="G13" s="981"/>
      <c r="H13" s="890">
        <f>LEADS!$L$3</f>
        <v>1200000</v>
      </c>
      <c r="I13" s="890"/>
      <c r="J13" s="891"/>
      <c r="K13" s="818"/>
      <c r="L13" s="819"/>
      <c r="M13" s="790"/>
      <c r="N13" s="726"/>
      <c r="O13" s="726"/>
      <c r="P13" s="726"/>
      <c r="Q13" s="726"/>
      <c r="R13" s="726"/>
      <c r="S13" s="726"/>
      <c r="T13" s="726"/>
      <c r="U13" s="727"/>
      <c r="V13" s="723"/>
      <c r="W13" s="723"/>
      <c r="X13" s="723"/>
      <c r="Y13" s="723"/>
      <c r="Z13" s="723"/>
      <c r="AA13" s="723"/>
      <c r="AB13" s="723"/>
      <c r="AC13" s="723"/>
      <c r="AD13" s="723"/>
      <c r="AE13" s="723"/>
      <c r="AF13" s="723"/>
      <c r="AG13" s="532"/>
      <c r="AH13" s="534"/>
      <c r="AI13" s="787"/>
      <c r="AJ13" s="787"/>
      <c r="AK13" s="787"/>
      <c r="AL13" s="787"/>
      <c r="AM13" s="787"/>
      <c r="AN13" s="787"/>
      <c r="AO13" s="787"/>
    </row>
    <row r="14" spans="1:41" ht="15.2" customHeight="1" thickBot="1">
      <c r="A14" s="89"/>
      <c r="B14" s="89"/>
      <c r="C14" s="89"/>
      <c r="D14" s="89"/>
      <c r="E14" s="89"/>
      <c r="F14" s="89"/>
      <c r="G14" s="89"/>
      <c r="H14" s="89"/>
      <c r="I14" s="89"/>
      <c r="J14" s="89"/>
      <c r="K14" s="793"/>
      <c r="L14" s="794"/>
      <c r="M14" s="922" t="s">
        <v>177</v>
      </c>
      <c r="N14" s="728"/>
      <c r="O14" s="728"/>
      <c r="P14" s="728"/>
      <c r="Q14" s="728"/>
      <c r="R14" s="728"/>
      <c r="S14" s="728"/>
      <c r="T14" s="728"/>
      <c r="U14" s="729"/>
      <c r="V14" s="723" t="s">
        <v>178</v>
      </c>
      <c r="W14" s="723"/>
      <c r="X14" s="723"/>
      <c r="Y14" s="723"/>
      <c r="Z14" s="723"/>
      <c r="AA14" s="723"/>
      <c r="AB14" s="723"/>
      <c r="AC14" s="723"/>
      <c r="AD14" s="723"/>
      <c r="AE14" s="723"/>
      <c r="AF14" s="723"/>
      <c r="AG14" s="934" t="s">
        <v>211</v>
      </c>
      <c r="AH14" s="739" t="s">
        <v>221</v>
      </c>
      <c r="AI14" s="787"/>
      <c r="AJ14" s="787"/>
      <c r="AK14" s="787"/>
      <c r="AL14" s="787"/>
      <c r="AM14" s="787"/>
      <c r="AN14" s="787"/>
      <c r="AO14" s="787"/>
    </row>
    <row r="15" spans="1:41" ht="15.2" customHeight="1" thickBot="1">
      <c r="A15" s="988" t="s">
        <v>179</v>
      </c>
      <c r="B15" s="989"/>
      <c r="C15" s="996" t="s">
        <v>181</v>
      </c>
      <c r="D15" s="915"/>
      <c r="E15" s="915"/>
      <c r="F15" s="916"/>
      <c r="G15" s="915" t="s">
        <v>182</v>
      </c>
      <c r="H15" s="915"/>
      <c r="I15" s="915"/>
      <c r="J15" s="916"/>
      <c r="K15" s="791" t="s">
        <v>42</v>
      </c>
      <c r="L15" s="792"/>
      <c r="M15" s="789" t="str">
        <f>W3&amp;" "&amp;V12&amp;" - "&amp;AC8</f>
        <v>Matthew , I just wanted to follow up with you did you get the text above :point_up_2:  - [Ellis w/ West Capital Lending]</v>
      </c>
      <c r="N15" s="724"/>
      <c r="O15" s="724"/>
      <c r="P15" s="724"/>
      <c r="Q15" s="724"/>
      <c r="R15" s="724"/>
      <c r="S15" s="724"/>
      <c r="T15" s="724"/>
      <c r="U15" s="725"/>
      <c r="V15" s="723"/>
      <c r="W15" s="723"/>
      <c r="X15" s="723"/>
      <c r="Y15" s="723"/>
      <c r="Z15" s="723"/>
      <c r="AA15" s="723"/>
      <c r="AB15" s="723"/>
      <c r="AC15" s="723"/>
      <c r="AD15" s="723"/>
      <c r="AE15" s="723"/>
      <c r="AF15" s="723"/>
      <c r="AG15" s="935"/>
      <c r="AH15" s="740"/>
      <c r="AI15" s="787"/>
      <c r="AJ15" s="787"/>
      <c r="AK15" s="787"/>
      <c r="AL15" s="787"/>
      <c r="AM15" s="787"/>
      <c r="AN15" s="787"/>
      <c r="AO15" s="787"/>
    </row>
    <row r="16" spans="1:41" ht="15.2" customHeight="1" thickBot="1">
      <c r="A16" s="990"/>
      <c r="B16" s="991"/>
      <c r="C16" s="997"/>
      <c r="D16" s="917"/>
      <c r="E16" s="917"/>
      <c r="F16" s="918"/>
      <c r="G16" s="917"/>
      <c r="H16" s="917"/>
      <c r="I16" s="917"/>
      <c r="J16" s="918"/>
      <c r="K16" s="793"/>
      <c r="L16" s="794"/>
      <c r="M16" s="922"/>
      <c r="N16" s="728"/>
      <c r="O16" s="728"/>
      <c r="P16" s="728"/>
      <c r="Q16" s="728"/>
      <c r="R16" s="728"/>
      <c r="S16" s="728"/>
      <c r="T16" s="728"/>
      <c r="U16" s="729"/>
      <c r="V16" s="723" t="s">
        <v>183</v>
      </c>
      <c r="W16" s="723"/>
      <c r="X16" s="723"/>
      <c r="Y16" s="723"/>
      <c r="Z16" s="723"/>
      <c r="AA16" s="723"/>
      <c r="AB16" s="723"/>
      <c r="AC16" s="723"/>
      <c r="AD16" s="723"/>
      <c r="AE16" s="723"/>
      <c r="AF16" s="723"/>
      <c r="AG16" s="934" t="s">
        <v>159</v>
      </c>
      <c r="AH16" s="743">
        <v>9.7750000000000004E-2</v>
      </c>
      <c r="AI16" s="787"/>
      <c r="AJ16" s="787"/>
      <c r="AK16" s="787"/>
      <c r="AL16" s="787"/>
      <c r="AM16" s="787"/>
      <c r="AN16" s="787"/>
      <c r="AO16" s="787"/>
    </row>
    <row r="17" spans="1:41" ht="15.2" customHeight="1" thickBot="1">
      <c r="A17" s="992" t="s">
        <v>113</v>
      </c>
      <c r="B17" s="993"/>
      <c r="C17" s="926" t="s">
        <v>184</v>
      </c>
      <c r="D17" s="926"/>
      <c r="E17" s="926"/>
      <c r="F17" s="927"/>
      <c r="G17" s="925" t="s">
        <v>236</v>
      </c>
      <c r="H17" s="926"/>
      <c r="I17" s="926"/>
      <c r="J17" s="927"/>
      <c r="K17" s="791" t="s">
        <v>186</v>
      </c>
      <c r="L17" s="792"/>
      <c r="M17" s="789" t="str">
        <f>$V$3&amp;""&amp;V14&amp;" "&amp;AC8</f>
        <v>Hi, Great News! The Market took a heavy dip today :chart_with_downwards_trend: if you are at all still interested, now would be a great time to lock in your rate. :lock: [Ellis w/ West Capital Lending]</v>
      </c>
      <c r="N17" s="724"/>
      <c r="O17" s="724"/>
      <c r="P17" s="724"/>
      <c r="Q17" s="724"/>
      <c r="R17" s="724"/>
      <c r="S17" s="724"/>
      <c r="T17" s="724"/>
      <c r="U17" s="725"/>
      <c r="V17" s="723"/>
      <c r="W17" s="723"/>
      <c r="X17" s="723"/>
      <c r="Y17" s="723"/>
      <c r="Z17" s="723"/>
      <c r="AA17" s="723"/>
      <c r="AB17" s="723"/>
      <c r="AC17" s="723"/>
      <c r="AD17" s="723"/>
      <c r="AE17" s="723"/>
      <c r="AF17" s="723"/>
      <c r="AG17" s="935"/>
      <c r="AH17" s="744"/>
      <c r="AI17" s="787"/>
      <c r="AJ17" s="787"/>
      <c r="AK17" s="787"/>
      <c r="AL17" s="787"/>
      <c r="AM17" s="787"/>
      <c r="AN17" s="787"/>
      <c r="AO17" s="787"/>
    </row>
    <row r="18" spans="1:41" ht="15.2" customHeight="1">
      <c r="A18" s="956"/>
      <c r="B18" s="957"/>
      <c r="C18" s="929"/>
      <c r="D18" s="929"/>
      <c r="E18" s="929"/>
      <c r="F18" s="930"/>
      <c r="G18" s="928"/>
      <c r="H18" s="929"/>
      <c r="I18" s="929"/>
      <c r="J18" s="930"/>
      <c r="K18" s="818"/>
      <c r="L18" s="819"/>
      <c r="M18" s="790"/>
      <c r="N18" s="726"/>
      <c r="O18" s="726"/>
      <c r="P18" s="726"/>
      <c r="Q18" s="726"/>
      <c r="R18" s="726"/>
      <c r="S18" s="726"/>
      <c r="T18" s="726"/>
      <c r="U18" s="727"/>
      <c r="V18" s="723" t="s">
        <v>188</v>
      </c>
      <c r="W18" s="723"/>
      <c r="X18" s="723"/>
      <c r="Y18" s="723"/>
      <c r="Z18" s="723"/>
      <c r="AA18" s="723"/>
      <c r="AB18" s="723"/>
      <c r="AC18" s="723"/>
      <c r="AD18" s="723"/>
      <c r="AE18" s="723"/>
      <c r="AF18" s="723"/>
      <c r="AG18" s="31" t="s">
        <v>163</v>
      </c>
      <c r="AH18" s="743">
        <f>AH16+0.00125</f>
        <v>9.9000000000000005E-2</v>
      </c>
      <c r="AI18" s="787"/>
      <c r="AJ18" s="787"/>
      <c r="AK18" s="787"/>
      <c r="AL18" s="787"/>
      <c r="AM18" s="787"/>
      <c r="AN18" s="787"/>
      <c r="AO18" s="787"/>
    </row>
    <row r="19" spans="1:41" ht="15.2" customHeight="1" thickBot="1">
      <c r="A19" s="956" t="s">
        <v>189</v>
      </c>
      <c r="B19" s="957"/>
      <c r="C19" s="895" t="s">
        <v>237</v>
      </c>
      <c r="D19" s="895"/>
      <c r="E19" s="895"/>
      <c r="F19" s="896"/>
      <c r="G19" s="897" t="s">
        <v>238</v>
      </c>
      <c r="H19" s="895"/>
      <c r="I19" s="895"/>
      <c r="J19" s="896"/>
      <c r="K19" s="793"/>
      <c r="L19" s="794"/>
      <c r="M19" s="922"/>
      <c r="N19" s="728"/>
      <c r="O19" s="728"/>
      <c r="P19" s="728"/>
      <c r="Q19" s="728"/>
      <c r="R19" s="728"/>
      <c r="S19" s="728"/>
      <c r="T19" s="728"/>
      <c r="U19" s="729"/>
      <c r="V19" s="723"/>
      <c r="W19" s="723"/>
      <c r="X19" s="723"/>
      <c r="Y19" s="723"/>
      <c r="Z19" s="723"/>
      <c r="AA19" s="723"/>
      <c r="AB19" s="723"/>
      <c r="AC19" s="723"/>
      <c r="AD19" s="723"/>
      <c r="AE19" s="723"/>
      <c r="AF19" s="723"/>
      <c r="AG19" s="30"/>
      <c r="AH19" s="744"/>
      <c r="AI19" s="787"/>
      <c r="AJ19" s="787"/>
      <c r="AK19" s="787"/>
      <c r="AL19" s="787"/>
      <c r="AM19" s="787"/>
      <c r="AN19" s="787"/>
      <c r="AO19" s="787"/>
    </row>
    <row r="20" spans="1:41" ht="15.2" customHeight="1">
      <c r="A20" s="956"/>
      <c r="B20" s="957"/>
      <c r="C20" s="895"/>
      <c r="D20" s="895"/>
      <c r="E20" s="895"/>
      <c r="F20" s="896"/>
      <c r="G20" s="897"/>
      <c r="H20" s="895"/>
      <c r="I20" s="895"/>
      <c r="J20" s="896"/>
      <c r="K20" s="791" t="s">
        <v>191</v>
      </c>
      <c r="L20" s="792"/>
      <c r="M20" s="789" t="str">
        <f>$V$3&amp;""&amp;V16&amp;" "&amp;AC8</f>
        <v>Hi, If the quote I sent you was not what you were looking for I can send you additional options? Did you want to look at a Line of Credit :credit_card: or an Equity Loan :moneybag: instead? [Ellis w/ West Capital Lending]</v>
      </c>
      <c r="N20" s="724"/>
      <c r="O20" s="724"/>
      <c r="P20" s="724"/>
      <c r="Q20" s="724"/>
      <c r="R20" s="724"/>
      <c r="S20" s="724"/>
      <c r="T20" s="724"/>
      <c r="U20" s="725"/>
      <c r="V20" s="723" t="s">
        <v>192</v>
      </c>
      <c r="W20" s="723"/>
      <c r="X20" s="723"/>
      <c r="Y20" s="723"/>
      <c r="Z20" s="723"/>
      <c r="AA20" s="723"/>
      <c r="AB20" s="723"/>
      <c r="AC20" s="723"/>
      <c r="AD20" s="723"/>
      <c r="AE20" s="723"/>
      <c r="AF20" s="723"/>
      <c r="AG20" s="934" t="s">
        <v>170</v>
      </c>
      <c r="AH20" s="745">
        <f>(C13*0.015)+2245</f>
        <v>13345</v>
      </c>
      <c r="AI20" s="787"/>
      <c r="AJ20" s="787"/>
      <c r="AK20" s="787"/>
      <c r="AL20" s="787"/>
      <c r="AM20" s="787"/>
      <c r="AN20" s="787"/>
      <c r="AO20" s="787"/>
    </row>
    <row r="21" spans="1:41" ht="15.2" customHeight="1" thickBot="1">
      <c r="A21" s="994" t="s">
        <v>104</v>
      </c>
      <c r="B21" s="995"/>
      <c r="C21" s="895">
        <f>LEADS!$M$3</f>
        <v>340000</v>
      </c>
      <c r="D21" s="895"/>
      <c r="E21" s="895"/>
      <c r="F21" s="896"/>
      <c r="G21" s="897">
        <f>LEADS!$M$3</f>
        <v>340000</v>
      </c>
      <c r="H21" s="895"/>
      <c r="I21" s="895"/>
      <c r="J21" s="896"/>
      <c r="K21" s="818"/>
      <c r="L21" s="819"/>
      <c r="M21" s="790"/>
      <c r="N21" s="726"/>
      <c r="O21" s="726"/>
      <c r="P21" s="726"/>
      <c r="Q21" s="726"/>
      <c r="R21" s="726"/>
      <c r="S21" s="726"/>
      <c r="T21" s="726"/>
      <c r="U21" s="727"/>
      <c r="V21" s="723"/>
      <c r="W21" s="723"/>
      <c r="X21" s="723"/>
      <c r="Y21" s="723"/>
      <c r="Z21" s="723"/>
      <c r="AA21" s="723"/>
      <c r="AB21" s="723"/>
      <c r="AC21" s="723"/>
      <c r="AD21" s="723"/>
      <c r="AE21" s="723"/>
      <c r="AF21" s="723"/>
      <c r="AG21" s="935"/>
      <c r="AH21" s="746"/>
      <c r="AI21" s="787"/>
      <c r="AJ21" s="787"/>
      <c r="AK21" s="787"/>
      <c r="AL21" s="787"/>
      <c r="AM21" s="787"/>
      <c r="AN21" s="787"/>
      <c r="AO21" s="787"/>
    </row>
    <row r="22" spans="1:41" ht="15.2" customHeight="1">
      <c r="A22" s="994"/>
      <c r="B22" s="995"/>
      <c r="C22" s="895"/>
      <c r="D22" s="895"/>
      <c r="E22" s="895"/>
      <c r="F22" s="896"/>
      <c r="G22" s="897"/>
      <c r="H22" s="895"/>
      <c r="I22" s="895"/>
      <c r="J22" s="896"/>
      <c r="K22" s="793"/>
      <c r="L22" s="794"/>
      <c r="M22" s="922"/>
      <c r="N22" s="728"/>
      <c r="O22" s="728"/>
      <c r="P22" s="728"/>
      <c r="Q22" s="728"/>
      <c r="R22" s="728"/>
      <c r="S22" s="728"/>
      <c r="T22" s="728"/>
      <c r="U22" s="729"/>
      <c r="V22" s="723" t="s">
        <v>195</v>
      </c>
      <c r="W22" s="723"/>
      <c r="X22" s="723"/>
      <c r="Y22" s="723"/>
      <c r="Z22" s="723"/>
      <c r="AA22" s="723"/>
      <c r="AB22" s="723"/>
      <c r="AC22" s="723"/>
      <c r="AD22" s="723"/>
      <c r="AE22" s="723"/>
      <c r="AF22" s="723"/>
      <c r="AG22" s="948" t="s">
        <v>226</v>
      </c>
      <c r="AH22" s="739" t="s">
        <v>217</v>
      </c>
      <c r="AI22" s="787"/>
      <c r="AJ22" s="787"/>
      <c r="AK22" s="787"/>
      <c r="AL22" s="787"/>
      <c r="AM22" s="787"/>
      <c r="AN22" s="787"/>
      <c r="AO22" s="787"/>
    </row>
    <row r="23" spans="1:41" ht="15.2" customHeight="1" thickBot="1">
      <c r="A23" s="956" t="s">
        <v>106</v>
      </c>
      <c r="B23" s="957"/>
      <c r="C23" s="895">
        <f>$C$13</f>
        <v>740000</v>
      </c>
      <c r="D23" s="895"/>
      <c r="E23" s="895"/>
      <c r="F23" s="896"/>
      <c r="G23" s="897">
        <f>$C$13</f>
        <v>740000</v>
      </c>
      <c r="H23" s="895"/>
      <c r="I23" s="895"/>
      <c r="J23" s="896"/>
      <c r="K23" s="791" t="s">
        <v>196</v>
      </c>
      <c r="L23" s="792"/>
      <c r="M23" s="789" t="str">
        <f>$V$3&amp;""&amp;V18&amp;" "&amp;AC8</f>
        <v>Hi, just wanted to follow up with you did you get the text above :point_up_2:  [Ellis w/ West Capital Lending]</v>
      </c>
      <c r="N23" s="724"/>
      <c r="O23" s="724"/>
      <c r="P23" s="724"/>
      <c r="Q23" s="724"/>
      <c r="R23" s="724"/>
      <c r="S23" s="724"/>
      <c r="T23" s="724"/>
      <c r="U23" s="725"/>
      <c r="V23" s="723"/>
      <c r="W23" s="723"/>
      <c r="X23" s="723"/>
      <c r="Y23" s="723"/>
      <c r="Z23" s="723"/>
      <c r="AA23" s="723"/>
      <c r="AB23" s="723"/>
      <c r="AC23" s="723"/>
      <c r="AD23" s="723"/>
      <c r="AE23" s="723"/>
      <c r="AF23" s="723"/>
      <c r="AG23" s="949"/>
      <c r="AH23" s="740"/>
      <c r="AI23" s="787"/>
      <c r="AJ23" s="787"/>
      <c r="AK23" s="787"/>
      <c r="AL23" s="787"/>
      <c r="AM23" s="787"/>
      <c r="AN23" s="787"/>
      <c r="AO23" s="787"/>
    </row>
    <row r="24" spans="1:41" ht="15.2" customHeight="1" thickBot="1">
      <c r="A24" s="956"/>
      <c r="B24" s="957"/>
      <c r="C24" s="895"/>
      <c r="D24" s="895"/>
      <c r="E24" s="895"/>
      <c r="F24" s="896"/>
      <c r="G24" s="897"/>
      <c r="H24" s="895"/>
      <c r="I24" s="895"/>
      <c r="J24" s="896"/>
      <c r="K24" s="793"/>
      <c r="L24" s="794"/>
      <c r="M24" s="922"/>
      <c r="N24" s="728"/>
      <c r="O24" s="728"/>
      <c r="P24" s="728"/>
      <c r="Q24" s="728"/>
      <c r="R24" s="728"/>
      <c r="S24" s="728"/>
      <c r="T24" s="728"/>
      <c r="U24" s="729"/>
      <c r="V24" s="723" t="s">
        <v>198</v>
      </c>
      <c r="W24" s="723"/>
      <c r="X24" s="723" t="s">
        <v>199</v>
      </c>
      <c r="Y24" s="723"/>
      <c r="Z24" s="723"/>
      <c r="AA24" s="723"/>
      <c r="AB24" s="723"/>
      <c r="AC24" s="723"/>
      <c r="AD24" s="723"/>
      <c r="AE24" s="723"/>
      <c r="AF24" s="723"/>
      <c r="AG24" s="948" t="s">
        <v>176</v>
      </c>
      <c r="AH24" s="743">
        <v>9.6500000000000002E-2</v>
      </c>
      <c r="AI24" s="787"/>
      <c r="AJ24" s="787"/>
      <c r="AK24" s="787"/>
      <c r="AL24" s="787"/>
      <c r="AM24" s="787"/>
      <c r="AN24" s="787"/>
      <c r="AO24" s="787"/>
    </row>
    <row r="25" spans="1:41" ht="15.2" customHeight="1" thickBot="1">
      <c r="A25" s="992" t="s">
        <v>157</v>
      </c>
      <c r="B25" s="993"/>
      <c r="C25" s="639" t="s">
        <v>239</v>
      </c>
      <c r="D25" s="639"/>
      <c r="E25" s="639"/>
      <c r="F25" s="641"/>
      <c r="G25" s="919" t="str">
        <f>AH14</f>
        <v>20 Year Fixed</v>
      </c>
      <c r="H25" s="854"/>
      <c r="I25" s="919" t="str">
        <f>AH22</f>
        <v>10 Year Fixed</v>
      </c>
      <c r="J25" s="854"/>
      <c r="K25" s="791" t="s">
        <v>201</v>
      </c>
      <c r="L25" s="792"/>
      <c r="M25" s="789" t="str">
        <f>$V$3&amp;""&amp;V20&amp;" "&amp;AC8</f>
        <v>Hi, I know you may already be in process with another lender. :bank: Are you satisified with rate and service? :blush: :pensive: [Ellis w/ West Capital Lending]</v>
      </c>
      <c r="N25" s="724"/>
      <c r="O25" s="724"/>
      <c r="P25" s="724"/>
      <c r="Q25" s="724"/>
      <c r="R25" s="724"/>
      <c r="S25" s="724"/>
      <c r="T25" s="724"/>
      <c r="U25" s="725"/>
      <c r="V25" s="723"/>
      <c r="W25" s="723"/>
      <c r="X25" s="723"/>
      <c r="Y25" s="723"/>
      <c r="Z25" s="723"/>
      <c r="AA25" s="723"/>
      <c r="AB25" s="723"/>
      <c r="AC25" s="723"/>
      <c r="AD25" s="723"/>
      <c r="AE25" s="723"/>
      <c r="AF25" s="723"/>
      <c r="AG25" s="949"/>
      <c r="AH25" s="744"/>
      <c r="AI25" s="787"/>
      <c r="AJ25" s="787"/>
      <c r="AK25" s="787"/>
      <c r="AL25" s="787"/>
      <c r="AM25" s="787"/>
      <c r="AN25" s="787"/>
      <c r="AO25" s="787"/>
    </row>
    <row r="26" spans="1:41" ht="15.2" customHeight="1" thickBot="1">
      <c r="A26" s="958"/>
      <c r="B26" s="959"/>
      <c r="C26" s="640"/>
      <c r="D26" s="640"/>
      <c r="E26" s="640"/>
      <c r="F26" s="642"/>
      <c r="G26" s="920"/>
      <c r="H26" s="856"/>
      <c r="I26" s="920"/>
      <c r="J26" s="856"/>
      <c r="K26" s="793"/>
      <c r="L26" s="794"/>
      <c r="M26" s="922"/>
      <c r="N26" s="728"/>
      <c r="O26" s="728"/>
      <c r="P26" s="728"/>
      <c r="Q26" s="728"/>
      <c r="R26" s="728"/>
      <c r="S26" s="728"/>
      <c r="T26" s="728"/>
      <c r="U26" s="729"/>
      <c r="V26" s="723" t="s">
        <v>202</v>
      </c>
      <c r="W26" s="723"/>
      <c r="X26" s="723"/>
      <c r="Y26" s="723"/>
      <c r="Z26" s="723"/>
      <c r="AA26" s="723"/>
      <c r="AB26" s="723"/>
      <c r="AC26" s="723"/>
      <c r="AD26" s="723"/>
      <c r="AE26" s="723"/>
      <c r="AF26" s="723"/>
      <c r="AG26" s="948" t="s">
        <v>163</v>
      </c>
      <c r="AH26" s="743">
        <f>AH24+0.00125</f>
        <v>9.7750000000000004E-2</v>
      </c>
      <c r="AI26" s="787"/>
      <c r="AJ26" s="787"/>
      <c r="AK26" s="787"/>
      <c r="AL26" s="787"/>
      <c r="AM26" s="787"/>
      <c r="AN26" s="787"/>
      <c r="AO26" s="787"/>
    </row>
    <row r="27" spans="1:41" ht="15.2" customHeight="1" thickBot="1">
      <c r="A27" s="956" t="s">
        <v>203</v>
      </c>
      <c r="B27" s="957"/>
      <c r="C27" s="858">
        <f>AH5</f>
        <v>0.1135</v>
      </c>
      <c r="D27" s="858"/>
      <c r="E27" s="858"/>
      <c r="F27" s="859"/>
      <c r="G27" s="857">
        <f>AH16</f>
        <v>9.7750000000000004E-2</v>
      </c>
      <c r="H27" s="859"/>
      <c r="I27" s="857">
        <f>AH24</f>
        <v>9.6500000000000002E-2</v>
      </c>
      <c r="J27" s="859"/>
      <c r="K27" s="791" t="s">
        <v>204</v>
      </c>
      <c r="L27" s="792"/>
      <c r="M27" s="789" t="str">
        <f>$V$3&amp;""&amp;V22&amp;" "&amp;AC8</f>
        <v>Hi, if you changed your mind let me know so I can stop contacting you if you wish? [Ellis w/ West Capital Lending]</v>
      </c>
      <c r="N27" s="724"/>
      <c r="O27" s="724"/>
      <c r="P27" s="724"/>
      <c r="Q27" s="724"/>
      <c r="R27" s="724"/>
      <c r="S27" s="724"/>
      <c r="T27" s="724"/>
      <c r="U27" s="725"/>
      <c r="V27" s="723"/>
      <c r="W27" s="723"/>
      <c r="X27" s="723"/>
      <c r="Y27" s="723"/>
      <c r="Z27" s="723"/>
      <c r="AA27" s="723"/>
      <c r="AB27" s="723"/>
      <c r="AC27" s="723"/>
      <c r="AD27" s="723"/>
      <c r="AE27" s="723"/>
      <c r="AF27" s="723"/>
      <c r="AG27" s="949"/>
      <c r="AH27" s="744"/>
      <c r="AI27" s="787"/>
      <c r="AJ27" s="787"/>
      <c r="AK27" s="787"/>
      <c r="AL27" s="787"/>
      <c r="AM27" s="787"/>
      <c r="AN27" s="787"/>
      <c r="AO27" s="787"/>
    </row>
    <row r="28" spans="1:41" ht="15.2" customHeight="1">
      <c r="A28" s="956"/>
      <c r="B28" s="957"/>
      <c r="C28" s="858"/>
      <c r="D28" s="858"/>
      <c r="E28" s="858"/>
      <c r="F28" s="859"/>
      <c r="G28" s="857"/>
      <c r="H28" s="859"/>
      <c r="I28" s="857"/>
      <c r="J28" s="859"/>
      <c r="K28" s="793"/>
      <c r="L28" s="794"/>
      <c r="M28" s="922"/>
      <c r="N28" s="728"/>
      <c r="O28" s="728"/>
      <c r="P28" s="728"/>
      <c r="Q28" s="728"/>
      <c r="R28" s="728"/>
      <c r="S28" s="728"/>
      <c r="T28" s="728"/>
      <c r="U28" s="729"/>
      <c r="V28" s="723" t="s">
        <v>206</v>
      </c>
      <c r="W28" s="723"/>
      <c r="X28" s="723"/>
      <c r="Y28" s="723"/>
      <c r="Z28" s="723"/>
      <c r="AA28" s="723"/>
      <c r="AB28" s="723"/>
      <c r="AC28" s="723"/>
      <c r="AD28" s="723"/>
      <c r="AE28" s="723"/>
      <c r="AF28" s="723"/>
      <c r="AG28" s="948" t="s">
        <v>187</v>
      </c>
      <c r="AH28" s="745">
        <f>(C13*0.015)+2245</f>
        <v>13345</v>
      </c>
      <c r="AI28" s="787"/>
      <c r="AJ28" s="787"/>
      <c r="AK28" s="787"/>
      <c r="AL28" s="787"/>
      <c r="AM28" s="787"/>
      <c r="AN28" s="787"/>
      <c r="AO28" s="787"/>
    </row>
    <row r="29" spans="1:41" ht="15.2" customHeight="1" thickBot="1">
      <c r="A29" s="956" t="s">
        <v>163</v>
      </c>
      <c r="B29" s="957"/>
      <c r="C29" s="858">
        <f>AH7</f>
        <v>0.11475</v>
      </c>
      <c r="D29" s="858"/>
      <c r="E29" s="858"/>
      <c r="F29" s="859"/>
      <c r="G29" s="857">
        <f>AH18</f>
        <v>9.9000000000000005E-2</v>
      </c>
      <c r="H29" s="859"/>
      <c r="I29" s="857">
        <f>AH26</f>
        <v>9.7750000000000004E-2</v>
      </c>
      <c r="J29" s="859"/>
      <c r="K29" s="952" t="s">
        <v>233</v>
      </c>
      <c r="L29" s="953"/>
      <c r="M29" s="789" t="str">
        <f>$V$3&amp;""&amp;V24&amp;" "&amp;AC11&amp;""&amp;AB11&amp;" "&amp;X24&amp;" "&amp;AC8</f>
        <v>Hi, did you still want to take out the $740000 :money_with_wings: in cash from your home? [Ellis w/ West Capital Lending]</v>
      </c>
      <c r="N29" s="724"/>
      <c r="O29" s="724"/>
      <c r="P29" s="724"/>
      <c r="Q29" s="724"/>
      <c r="R29" s="724"/>
      <c r="S29" s="724"/>
      <c r="T29" s="724"/>
      <c r="U29" s="725"/>
      <c r="V29" s="723"/>
      <c r="W29" s="723"/>
      <c r="X29" s="723"/>
      <c r="Y29" s="723"/>
      <c r="Z29" s="723"/>
      <c r="AA29" s="723"/>
      <c r="AB29" s="723"/>
      <c r="AC29" s="723"/>
      <c r="AD29" s="723"/>
      <c r="AE29" s="723"/>
      <c r="AF29" s="723"/>
      <c r="AG29" s="949"/>
      <c r="AH29" s="746"/>
      <c r="AI29" s="787"/>
      <c r="AJ29" s="787"/>
      <c r="AK29" s="787"/>
      <c r="AL29" s="787"/>
      <c r="AM29" s="787"/>
      <c r="AN29" s="787"/>
      <c r="AO29" s="787"/>
    </row>
    <row r="30" spans="1:41" ht="15.2" customHeight="1">
      <c r="A30" s="956"/>
      <c r="B30" s="957"/>
      <c r="C30" s="858"/>
      <c r="D30" s="858"/>
      <c r="E30" s="858"/>
      <c r="F30" s="859"/>
      <c r="G30" s="857"/>
      <c r="H30" s="859"/>
      <c r="I30" s="857"/>
      <c r="J30" s="859"/>
      <c r="K30" s="954"/>
      <c r="L30" s="955"/>
      <c r="M30" s="922"/>
      <c r="N30" s="728"/>
      <c r="O30" s="728"/>
      <c r="P30" s="728"/>
      <c r="Q30" s="728"/>
      <c r="R30" s="728"/>
      <c r="S30" s="728"/>
      <c r="T30" s="728"/>
      <c r="U30" s="729"/>
      <c r="V30" s="723" t="s">
        <v>208</v>
      </c>
      <c r="W30" s="723"/>
      <c r="X30" s="723"/>
      <c r="Y30" s="723"/>
      <c r="Z30" s="723"/>
      <c r="AA30" s="723"/>
      <c r="AB30" s="723"/>
      <c r="AC30" s="723"/>
      <c r="AD30" s="723"/>
      <c r="AE30" s="723"/>
      <c r="AF30" s="723"/>
      <c r="AG30" s="788"/>
      <c r="AH30" s="788"/>
      <c r="AI30" s="787"/>
      <c r="AJ30" s="787"/>
      <c r="AK30" s="787"/>
      <c r="AL30" s="787"/>
      <c r="AM30" s="787"/>
      <c r="AN30" s="787"/>
      <c r="AO30" s="787"/>
    </row>
    <row r="31" spans="1:41" ht="15.2" customHeight="1">
      <c r="A31" s="956" t="s">
        <v>209</v>
      </c>
      <c r="B31" s="957"/>
      <c r="C31" s="861">
        <f>AH9</f>
        <v>24700</v>
      </c>
      <c r="D31" s="861"/>
      <c r="E31" s="861"/>
      <c r="F31" s="862"/>
      <c r="G31" s="860">
        <f>AH20</f>
        <v>13345</v>
      </c>
      <c r="H31" s="862"/>
      <c r="I31" s="860">
        <f>AH28</f>
        <v>13345</v>
      </c>
      <c r="J31" s="862"/>
      <c r="K31" s="791" t="s">
        <v>210</v>
      </c>
      <c r="L31" s="792"/>
      <c r="M31" s="942" t="str">
        <f>$V$3&amp;""&amp;V26&amp;" "&amp;AC8</f>
        <v>Hi, generally when I do not receive a response it is because the client was told they didn't qualify. I am broker and I can work with any credit or income profile. [Ellis w/ West Capital Lending]</v>
      </c>
      <c r="N31" s="943"/>
      <c r="O31" s="943"/>
      <c r="P31" s="943"/>
      <c r="Q31" s="943"/>
      <c r="R31" s="943"/>
      <c r="S31" s="943"/>
      <c r="T31" s="943"/>
      <c r="U31" s="944"/>
      <c r="V31" s="723"/>
      <c r="W31" s="723"/>
      <c r="X31" s="723"/>
      <c r="Y31" s="723"/>
      <c r="Z31" s="723"/>
      <c r="AA31" s="723"/>
      <c r="AB31" s="723"/>
      <c r="AC31" s="723"/>
      <c r="AD31" s="723"/>
      <c r="AE31" s="723"/>
      <c r="AF31" s="723"/>
      <c r="AG31" s="787"/>
      <c r="AH31" s="787"/>
      <c r="AI31" s="787"/>
      <c r="AJ31" s="787"/>
      <c r="AK31" s="787"/>
      <c r="AL31" s="787"/>
      <c r="AM31" s="787"/>
      <c r="AN31" s="787"/>
      <c r="AO31" s="787"/>
    </row>
    <row r="32" spans="1:41" ht="15.2" customHeight="1" thickBot="1">
      <c r="A32" s="956"/>
      <c r="B32" s="957"/>
      <c r="C32" s="861"/>
      <c r="D32" s="861"/>
      <c r="E32" s="861"/>
      <c r="F32" s="862"/>
      <c r="G32" s="860"/>
      <c r="H32" s="862"/>
      <c r="I32" s="860"/>
      <c r="J32" s="862"/>
      <c r="K32" s="793"/>
      <c r="L32" s="794"/>
      <c r="M32" s="945"/>
      <c r="N32" s="946"/>
      <c r="O32" s="946"/>
      <c r="P32" s="946"/>
      <c r="Q32" s="946"/>
      <c r="R32" s="946"/>
      <c r="S32" s="946"/>
      <c r="T32" s="946"/>
      <c r="U32" s="947"/>
      <c r="V32" s="723" t="s">
        <v>212</v>
      </c>
      <c r="W32" s="723"/>
      <c r="X32" s="723"/>
      <c r="Y32" s="723"/>
      <c r="Z32" s="723"/>
      <c r="AA32" s="723"/>
      <c r="AB32" s="723"/>
      <c r="AC32" s="723"/>
      <c r="AD32" s="723"/>
      <c r="AE32" s="723"/>
      <c r="AF32" s="723"/>
      <c r="AG32" s="787"/>
      <c r="AH32" s="787"/>
      <c r="AI32" s="787"/>
      <c r="AJ32" s="787"/>
      <c r="AK32" s="787"/>
      <c r="AL32" s="787"/>
      <c r="AM32" s="787"/>
      <c r="AN32" s="787"/>
      <c r="AO32" s="787"/>
    </row>
    <row r="33" spans="1:41" ht="15.2" customHeight="1">
      <c r="A33" s="992" t="s">
        <v>213</v>
      </c>
      <c r="B33" s="993"/>
      <c r="C33" s="867" t="s">
        <v>240</v>
      </c>
      <c r="D33" s="868"/>
      <c r="E33" s="866">
        <f>ABS(IPMT(C27/12,1,360,C13))</f>
        <v>6999.166666666667</v>
      </c>
      <c r="F33" s="868"/>
      <c r="G33" s="866">
        <f>ABS(PMT(G27/12, AE40,G23, 0))</f>
        <v>7031.1988376569352</v>
      </c>
      <c r="H33" s="868"/>
      <c r="I33" s="866">
        <f>ABS(PMT(I27/12, AE41,G23, 0))</f>
        <v>9636.2969415533335</v>
      </c>
      <c r="J33" s="868"/>
      <c r="K33" s="791" t="s">
        <v>214</v>
      </c>
      <c r="L33" s="792"/>
      <c r="M33" s="921" t="str">
        <f>$V$3&amp;""&amp;V28&amp;" "&amp;AC8</f>
        <v>Hi, home values are trending up in your area. :zap: Have you had an evaluation done recently? [Ellis w/ West Capital Lending]</v>
      </c>
      <c r="N33" s="822"/>
      <c r="O33" s="822"/>
      <c r="P33" s="822"/>
      <c r="Q33" s="822"/>
      <c r="R33" s="822"/>
      <c r="S33" s="822"/>
      <c r="T33" s="822"/>
      <c r="U33" s="823"/>
      <c r="V33" s="723"/>
      <c r="W33" s="723"/>
      <c r="X33" s="723"/>
      <c r="Y33" s="723"/>
      <c r="Z33" s="723"/>
      <c r="AA33" s="723"/>
      <c r="AB33" s="723"/>
      <c r="AC33" s="723"/>
      <c r="AD33" s="723"/>
      <c r="AE33" s="723"/>
      <c r="AF33" s="723"/>
      <c r="AG33" s="787"/>
      <c r="AH33" s="787"/>
      <c r="AI33" s="787"/>
      <c r="AJ33" s="787"/>
      <c r="AK33" s="787"/>
      <c r="AL33" s="787"/>
      <c r="AM33" s="787"/>
      <c r="AN33" s="787"/>
      <c r="AO33" s="787"/>
    </row>
    <row r="34" spans="1:41" ht="15.2" customHeight="1" thickBot="1">
      <c r="A34" s="958"/>
      <c r="B34" s="959"/>
      <c r="C34" s="870"/>
      <c r="D34" s="871"/>
      <c r="E34" s="869"/>
      <c r="F34" s="871"/>
      <c r="G34" s="869"/>
      <c r="H34" s="871"/>
      <c r="I34" s="869"/>
      <c r="J34" s="871"/>
      <c r="K34" s="793"/>
      <c r="L34" s="794"/>
      <c r="M34" s="939"/>
      <c r="N34" s="940"/>
      <c r="O34" s="940"/>
      <c r="P34" s="940"/>
      <c r="Q34" s="940"/>
      <c r="R34" s="940"/>
      <c r="S34" s="940"/>
      <c r="T34" s="940"/>
      <c r="U34" s="941"/>
      <c r="V34" t="s">
        <v>241</v>
      </c>
      <c r="X34" s="19"/>
      <c r="Y34" s="19"/>
      <c r="Z34" s="19"/>
      <c r="AA34" t="s">
        <v>242</v>
      </c>
      <c r="AC34" s="19"/>
      <c r="AD34" t="s">
        <v>215</v>
      </c>
      <c r="AE34" s="19"/>
      <c r="AF34" s="19"/>
      <c r="AG34" s="787"/>
      <c r="AH34" s="787"/>
      <c r="AI34" s="787"/>
      <c r="AJ34" s="787"/>
      <c r="AK34" s="787"/>
      <c r="AL34" s="787"/>
      <c r="AM34" s="787"/>
      <c r="AN34" s="787"/>
      <c r="AO34" s="787"/>
    </row>
    <row r="35" spans="1:41" ht="15.2" customHeight="1">
      <c r="A35" s="956" t="s">
        <v>105</v>
      </c>
      <c r="B35" s="957"/>
      <c r="C35" s="873">
        <f>$C$13</f>
        <v>740000</v>
      </c>
      <c r="D35" s="873"/>
      <c r="E35" s="873"/>
      <c r="F35" s="874"/>
      <c r="G35" s="872">
        <f>$G$23</f>
        <v>740000</v>
      </c>
      <c r="H35" s="873"/>
      <c r="I35" s="873"/>
      <c r="J35" s="874"/>
      <c r="K35" s="791" t="s">
        <v>216</v>
      </c>
      <c r="L35" s="792"/>
      <c r="M35" s="921" t="str">
        <f>$V$3&amp;""&amp;V30&amp;" "&amp;AC8</f>
        <v>Hi, a lot of my clients are calling to consolidate their debt. Do you carry any High Interest Balances? [Ellis w/ West Capital Lending]</v>
      </c>
      <c r="N35" s="822"/>
      <c r="O35" s="822"/>
      <c r="P35" s="822"/>
      <c r="Q35" s="822"/>
      <c r="R35" s="822"/>
      <c r="S35" s="822"/>
      <c r="T35" s="822"/>
      <c r="U35" s="823"/>
      <c r="V35" t="s">
        <v>243</v>
      </c>
      <c r="W35" s="1">
        <v>325</v>
      </c>
      <c r="X35" t="s">
        <v>244</v>
      </c>
      <c r="Y35" s="1">
        <v>26.5</v>
      </c>
      <c r="Z35" s="19"/>
      <c r="AA35" t="s">
        <v>245</v>
      </c>
      <c r="AB35">
        <v>350</v>
      </c>
      <c r="AC35" s="19"/>
      <c r="AD35" t="s">
        <v>217</v>
      </c>
      <c r="AF35" s="19"/>
      <c r="AG35" s="787"/>
      <c r="AH35" s="787"/>
      <c r="AI35" s="787"/>
      <c r="AJ35" s="787"/>
      <c r="AK35" s="787"/>
      <c r="AL35" s="787"/>
      <c r="AM35" s="787"/>
      <c r="AN35" s="787"/>
      <c r="AO35" s="787"/>
    </row>
    <row r="36" spans="1:41" ht="15.2" customHeight="1" thickBot="1">
      <c r="A36" s="958"/>
      <c r="B36" s="959"/>
      <c r="C36" s="864"/>
      <c r="D36" s="864"/>
      <c r="E36" s="864"/>
      <c r="F36" s="865"/>
      <c r="G36" s="863"/>
      <c r="H36" s="864"/>
      <c r="I36" s="864"/>
      <c r="J36" s="865"/>
      <c r="K36" s="793"/>
      <c r="L36" s="794"/>
      <c r="M36" s="922"/>
      <c r="N36" s="728"/>
      <c r="O36" s="728"/>
      <c r="P36" s="728"/>
      <c r="Q36" s="728"/>
      <c r="R36" s="728"/>
      <c r="S36" s="728"/>
      <c r="T36" s="728"/>
      <c r="U36" s="729"/>
      <c r="V36" t="s">
        <v>246</v>
      </c>
      <c r="W36" s="1">
        <f>Y1*0.02</f>
        <v>0</v>
      </c>
      <c r="X36" t="s">
        <v>247</v>
      </c>
      <c r="Y36" s="1">
        <v>2.5</v>
      </c>
      <c r="Z36" s="19"/>
      <c r="AA36" t="s">
        <v>248</v>
      </c>
      <c r="AB36">
        <v>600</v>
      </c>
      <c r="AC36" s="19"/>
      <c r="AD36" t="s">
        <v>218</v>
      </c>
      <c r="AF36" s="19"/>
      <c r="AG36" s="787"/>
      <c r="AH36" s="787"/>
      <c r="AI36" s="787"/>
      <c r="AJ36" s="787"/>
      <c r="AK36" s="787"/>
      <c r="AL36" s="787"/>
      <c r="AM36" s="787"/>
      <c r="AN36" s="787"/>
      <c r="AO36" s="787"/>
    </row>
    <row r="37" spans="1:41" ht="15.2" customHeight="1" thickBot="1">
      <c r="A37" s="992" t="s">
        <v>219</v>
      </c>
      <c r="B37" s="993"/>
      <c r="C37" s="766" t="s">
        <v>33</v>
      </c>
      <c r="D37" s="767"/>
      <c r="E37" s="765" t="s">
        <v>34</v>
      </c>
      <c r="F37" s="766"/>
      <c r="G37" s="766"/>
      <c r="H37" s="767"/>
      <c r="I37" s="765" t="s">
        <v>35</v>
      </c>
      <c r="J37" s="767"/>
      <c r="K37" s="950" t="s">
        <v>220</v>
      </c>
      <c r="L37" s="951"/>
      <c r="M37" s="936" t="str">
        <f>V32&amp;" "&amp;AC8</f>
        <v>Do I have the right person? [Ellis w/ West Capital Lending]</v>
      </c>
      <c r="N37" s="937"/>
      <c r="O37" s="937"/>
      <c r="P37" s="937"/>
      <c r="Q37" s="937"/>
      <c r="R37" s="937"/>
      <c r="S37" s="937"/>
      <c r="T37" s="937"/>
      <c r="U37" s="938"/>
      <c r="V37" t="s">
        <v>249</v>
      </c>
      <c r="W37" s="1">
        <v>45</v>
      </c>
      <c r="X37" t="s">
        <v>250</v>
      </c>
      <c r="Y37" s="1">
        <v>79</v>
      </c>
      <c r="Z37" s="19"/>
      <c r="AA37" t="s">
        <v>251</v>
      </c>
      <c r="AB37">
        <v>650</v>
      </c>
      <c r="AC37" s="19"/>
      <c r="AD37" t="s">
        <v>221</v>
      </c>
      <c r="AF37" s="19"/>
      <c r="AG37" s="787"/>
      <c r="AH37" s="787"/>
      <c r="AI37" s="787"/>
      <c r="AJ37" s="787"/>
      <c r="AK37" s="787"/>
      <c r="AL37" s="787"/>
      <c r="AM37" s="787"/>
      <c r="AN37" s="787"/>
      <c r="AO37" s="787"/>
    </row>
    <row r="38" spans="1:41" ht="15.2" customHeight="1" thickBot="1">
      <c r="A38" s="956"/>
      <c r="B38" s="957"/>
      <c r="C38" s="769"/>
      <c r="D38" s="770"/>
      <c r="E38" s="768"/>
      <c r="F38" s="769"/>
      <c r="G38" s="769"/>
      <c r="H38" s="770"/>
      <c r="I38" s="768"/>
      <c r="J38" s="770"/>
      <c r="K38" s="795"/>
      <c r="L38" s="795"/>
      <c r="M38" s="795"/>
      <c r="N38" s="795"/>
      <c r="O38" s="795"/>
      <c r="P38" s="795"/>
      <c r="Q38" s="795"/>
      <c r="R38" s="795"/>
      <c r="S38" s="795"/>
      <c r="T38" s="795"/>
      <c r="U38" s="795"/>
      <c r="V38" t="s">
        <v>252</v>
      </c>
      <c r="W38" s="1">
        <v>5.5</v>
      </c>
      <c r="X38" t="s">
        <v>253</v>
      </c>
      <c r="Y38" s="1">
        <v>145</v>
      </c>
      <c r="Z38" s="19"/>
      <c r="AA38" t="s">
        <v>254</v>
      </c>
      <c r="AB38">
        <v>130</v>
      </c>
      <c r="AC38" s="19"/>
      <c r="AD38" t="s">
        <v>222</v>
      </c>
      <c r="AF38" s="19"/>
      <c r="AG38" s="787"/>
      <c r="AH38" s="787"/>
      <c r="AI38" s="787"/>
      <c r="AJ38" s="787"/>
      <c r="AK38" s="787"/>
      <c r="AL38" s="787"/>
      <c r="AM38" s="787"/>
      <c r="AN38" s="787"/>
      <c r="AO38" s="787"/>
    </row>
    <row r="39" spans="1:41" ht="15.2" customHeight="1">
      <c r="A39" s="956"/>
      <c r="B39" s="957"/>
      <c r="C39" s="766" t="s">
        <v>223</v>
      </c>
      <c r="D39" s="767"/>
      <c r="E39" s="911" t="s">
        <v>224</v>
      </c>
      <c r="F39" s="773"/>
      <c r="G39" s="773"/>
      <c r="H39" s="912"/>
      <c r="I39" s="765" t="s">
        <v>225</v>
      </c>
      <c r="J39" s="767"/>
      <c r="K39" s="796"/>
      <c r="L39" s="796"/>
      <c r="M39" s="796"/>
      <c r="N39" s="796"/>
      <c r="O39" s="796"/>
      <c r="P39" s="796"/>
      <c r="Q39" s="796"/>
      <c r="R39" s="796"/>
      <c r="S39" s="796"/>
      <c r="T39" s="796"/>
      <c r="U39" s="796"/>
      <c r="V39" t="s">
        <v>255</v>
      </c>
      <c r="W39" s="1">
        <v>6</v>
      </c>
      <c r="X39" t="s">
        <v>256</v>
      </c>
      <c r="Y39" s="1">
        <v>145</v>
      </c>
      <c r="AA39" t="s">
        <v>257</v>
      </c>
      <c r="AD39" t="s">
        <v>158</v>
      </c>
      <c r="AG39" s="787"/>
      <c r="AH39" s="787"/>
      <c r="AI39" s="787"/>
      <c r="AJ39" s="787"/>
      <c r="AK39" s="787"/>
      <c r="AL39" s="787"/>
      <c r="AM39" s="787"/>
      <c r="AN39" s="787"/>
      <c r="AO39" s="787"/>
    </row>
    <row r="40" spans="1:41" ht="15.2" customHeight="1" thickBot="1">
      <c r="A40" s="958"/>
      <c r="B40" s="959"/>
      <c r="C40" s="769"/>
      <c r="D40" s="770"/>
      <c r="E40" s="913"/>
      <c r="F40" s="774"/>
      <c r="G40" s="774"/>
      <c r="H40" s="914"/>
      <c r="I40" s="768"/>
      <c r="J40" s="770"/>
      <c r="K40" s="796"/>
      <c r="L40" s="796"/>
      <c r="M40" s="796"/>
      <c r="N40" s="796"/>
      <c r="O40" s="796"/>
      <c r="P40" s="796"/>
      <c r="Q40" s="796"/>
      <c r="R40" s="796"/>
      <c r="S40" s="796"/>
      <c r="T40" s="796"/>
      <c r="U40" s="796"/>
      <c r="V40" t="s">
        <v>258</v>
      </c>
      <c r="W40" s="1">
        <v>24.95</v>
      </c>
      <c r="X40" t="s">
        <v>259</v>
      </c>
      <c r="Y40" s="1">
        <v>249</v>
      </c>
      <c r="AD40" t="s">
        <v>211</v>
      </c>
      <c r="AE40">
        <f>IF(AH14="5 Year Fixed",60,IF(AH14="10 Year Fixed",120,IF(AH14="15 Year Fixed",180,IF(AH14="20 Year Fixed",240,IF(AH14="25 Year Fixed",300,IF(AH14="30 Year Fixed",360,0))))))</f>
        <v>240</v>
      </c>
      <c r="AG40" s="787"/>
      <c r="AH40" s="787"/>
      <c r="AI40" s="787"/>
      <c r="AJ40" s="787"/>
      <c r="AK40" s="787"/>
      <c r="AL40" s="787"/>
      <c r="AM40" s="787"/>
      <c r="AN40" s="787"/>
      <c r="AO40" s="787"/>
    </row>
    <row r="41" spans="1:41" ht="15.2" customHeight="1">
      <c r="A41" s="775"/>
      <c r="B41" s="776"/>
      <c r="C41" s="776"/>
      <c r="D41" s="776"/>
      <c r="E41" s="776"/>
      <c r="F41" s="776"/>
      <c r="G41" s="776"/>
      <c r="H41" s="776"/>
      <c r="I41" s="776"/>
      <c r="J41" s="777"/>
      <c r="K41" s="796"/>
      <c r="L41" s="796"/>
      <c r="M41" s="796"/>
      <c r="N41" s="796"/>
      <c r="O41" s="796"/>
      <c r="P41" s="796"/>
      <c r="Q41" s="796"/>
      <c r="R41" s="796"/>
      <c r="S41" s="796"/>
      <c r="T41" s="796"/>
      <c r="U41" s="796"/>
      <c r="X41" t="s">
        <v>130</v>
      </c>
      <c r="Y41" s="4">
        <f>SUM(W35:W40,Y35:Y40)</f>
        <v>1053.45</v>
      </c>
      <c r="AD41" t="s">
        <v>226</v>
      </c>
      <c r="AE41">
        <f>IF(AH22="5 Year Fixed",60,IF(AH22="10 Year Fixed",120,IF(AH22="15 Year Fixed",180,IF(AH22="20 Year Fixed",240,IF(AH22="25 Year Fixed",300,IF(AH22="30 Year Fixed",360,0))))))</f>
        <v>120</v>
      </c>
      <c r="AG41" s="787"/>
      <c r="AH41" s="787"/>
      <c r="AI41" s="787"/>
      <c r="AJ41" s="787"/>
      <c r="AK41" s="787"/>
      <c r="AL41" s="787"/>
      <c r="AM41" s="787"/>
      <c r="AN41" s="787"/>
      <c r="AO41" s="787"/>
    </row>
    <row r="42" spans="1:41" ht="15.2" customHeight="1">
      <c r="A42" s="778"/>
      <c r="B42" s="779"/>
      <c r="C42" s="779"/>
      <c r="D42" s="779"/>
      <c r="E42" s="779"/>
      <c r="F42" s="779"/>
      <c r="G42" s="779"/>
      <c r="H42" s="779"/>
      <c r="I42" s="779"/>
      <c r="J42" s="780"/>
      <c r="K42" s="796"/>
      <c r="L42" s="796"/>
      <c r="M42" s="796"/>
      <c r="N42" s="796"/>
      <c r="O42" s="796"/>
      <c r="P42" s="796"/>
      <c r="Q42" s="796"/>
      <c r="R42" s="796"/>
      <c r="S42" s="796"/>
      <c r="T42" s="796"/>
      <c r="U42" s="796"/>
      <c r="Y42" s="4"/>
      <c r="AG42" s="787"/>
      <c r="AH42" s="787"/>
      <c r="AI42" s="787"/>
      <c r="AJ42" s="787"/>
      <c r="AK42" s="787"/>
      <c r="AL42" s="787"/>
      <c r="AM42" s="787"/>
      <c r="AN42" s="787"/>
      <c r="AO42" s="787"/>
    </row>
    <row r="43" spans="1:41" ht="15.2" customHeight="1" thickBot="1">
      <c r="A43" s="781"/>
      <c r="B43" s="782"/>
      <c r="C43" s="782"/>
      <c r="D43" s="782"/>
      <c r="E43" s="782"/>
      <c r="F43" s="782"/>
      <c r="G43" s="782"/>
      <c r="H43" s="782"/>
      <c r="I43" s="782"/>
      <c r="J43" s="783"/>
      <c r="K43" s="796"/>
      <c r="L43" s="796"/>
      <c r="M43" s="796"/>
      <c r="N43" s="796"/>
      <c r="O43" s="796"/>
      <c r="P43" s="796"/>
      <c r="Q43" s="796"/>
      <c r="R43" s="796"/>
      <c r="S43" s="796"/>
      <c r="T43" s="796"/>
      <c r="U43" s="796"/>
      <c r="Y43" s="4"/>
      <c r="AG43" s="787"/>
      <c r="AH43" s="787"/>
      <c r="AI43" s="787"/>
      <c r="AJ43" s="787"/>
      <c r="AK43" s="787"/>
      <c r="AL43" s="787"/>
      <c r="AM43" s="787"/>
      <c r="AN43" s="787"/>
      <c r="AO43" s="787"/>
    </row>
    <row r="44" spans="1:41" ht="15.2" customHeight="1">
      <c r="A44" s="758" t="str">
        <f>F1&amp;" - "&amp;START!$E$25</f>
        <v>Ellis Andersen | Branch Manager - (949) 892-1736</v>
      </c>
      <c r="B44" s="759"/>
      <c r="C44" s="759"/>
      <c r="D44" s="759"/>
      <c r="E44" s="759"/>
      <c r="F44" s="759"/>
      <c r="G44" s="759"/>
      <c r="H44" s="759"/>
      <c r="I44" s="759"/>
      <c r="J44" s="760"/>
      <c r="K44" s="796"/>
      <c r="L44" s="796"/>
      <c r="M44" s="796"/>
      <c r="N44" s="796"/>
      <c r="O44" s="796"/>
      <c r="P44" s="796"/>
      <c r="Q44" s="796"/>
      <c r="R44" s="796"/>
      <c r="S44" s="796"/>
      <c r="T44" s="796"/>
      <c r="U44" s="796"/>
      <c r="Y44" s="4"/>
      <c r="AG44" s="787"/>
      <c r="AH44" s="787"/>
      <c r="AI44" s="787"/>
      <c r="AJ44" s="787"/>
      <c r="AK44" s="787"/>
      <c r="AL44" s="787"/>
      <c r="AM44" s="787"/>
      <c r="AN44" s="787"/>
      <c r="AO44" s="787"/>
    </row>
    <row r="45" spans="1:41" ht="15.2" customHeight="1">
      <c r="A45" s="758"/>
      <c r="B45" s="759"/>
      <c r="C45" s="759"/>
      <c r="D45" s="759"/>
      <c r="E45" s="759"/>
      <c r="F45" s="759"/>
      <c r="G45" s="759"/>
      <c r="H45" s="759"/>
      <c r="I45" s="759"/>
      <c r="J45" s="760"/>
      <c r="K45" s="796"/>
      <c r="L45" s="796"/>
      <c r="M45" s="796"/>
      <c r="N45" s="796"/>
      <c r="O45" s="796"/>
      <c r="P45" s="796"/>
      <c r="Q45" s="796"/>
      <c r="R45" s="796"/>
      <c r="S45" s="796"/>
      <c r="T45" s="796"/>
      <c r="U45" s="796"/>
      <c r="Y45" s="4"/>
      <c r="AG45" s="787"/>
      <c r="AH45" s="787"/>
      <c r="AI45" s="787"/>
      <c r="AJ45" s="787"/>
      <c r="AK45" s="787"/>
      <c r="AL45" s="787"/>
      <c r="AM45" s="787"/>
      <c r="AN45" s="787"/>
      <c r="AO45" s="787"/>
    </row>
    <row r="46" spans="1:41" ht="15.2" customHeight="1" thickBot="1">
      <c r="A46" s="761" t="s">
        <v>229</v>
      </c>
      <c r="B46" s="762"/>
      <c r="C46" s="762"/>
      <c r="D46" s="762"/>
      <c r="E46" s="762"/>
      <c r="F46" s="762"/>
      <c r="G46" s="762"/>
      <c r="H46" s="762"/>
      <c r="I46" s="762"/>
      <c r="J46" s="763"/>
      <c r="K46" s="796"/>
      <c r="L46" s="796"/>
      <c r="M46" s="796"/>
      <c r="N46" s="796"/>
      <c r="O46" s="796"/>
      <c r="P46" s="796"/>
      <c r="Q46" s="796"/>
      <c r="R46" s="796"/>
      <c r="S46" s="796"/>
      <c r="T46" s="796"/>
      <c r="U46" s="796"/>
      <c r="Y46" s="4"/>
      <c r="AG46" s="787"/>
      <c r="AH46" s="787"/>
      <c r="AI46" s="787"/>
      <c r="AJ46" s="787"/>
      <c r="AK46" s="787"/>
      <c r="AL46" s="787"/>
      <c r="AM46" s="787"/>
      <c r="AN46" s="787"/>
      <c r="AO46" s="787"/>
    </row>
    <row r="47" spans="1:41" ht="15.2" customHeight="1">
      <c r="A47" s="1020"/>
      <c r="B47" s="1020"/>
      <c r="C47" s="1020"/>
      <c r="D47" s="1020"/>
      <c r="E47" s="1020"/>
      <c r="F47" s="1020"/>
      <c r="G47" s="1020"/>
      <c r="H47" s="1020"/>
      <c r="I47" s="1020"/>
      <c r="J47" s="1020"/>
      <c r="K47" s="796"/>
      <c r="L47" s="796"/>
      <c r="M47" s="796"/>
      <c r="N47" s="796"/>
      <c r="O47" s="796"/>
      <c r="P47" s="796"/>
      <c r="Q47" s="796"/>
      <c r="R47" s="796"/>
      <c r="S47" s="796"/>
      <c r="T47" s="796"/>
      <c r="U47" s="796"/>
      <c r="Y47" s="4"/>
      <c r="AG47" s="787"/>
      <c r="AH47" s="787"/>
      <c r="AI47" s="787"/>
      <c r="AJ47" s="787"/>
      <c r="AK47" s="787"/>
      <c r="AL47" s="787"/>
      <c r="AM47" s="787"/>
      <c r="AN47" s="787"/>
      <c r="AO47" s="787"/>
    </row>
    <row r="48" spans="1:41" ht="15.2" customHeight="1">
      <c r="A48" s="1021"/>
      <c r="B48" s="1021"/>
      <c r="C48" s="1021"/>
      <c r="D48" s="1021"/>
      <c r="E48" s="1021"/>
      <c r="F48" s="1021"/>
      <c r="G48" s="1021"/>
      <c r="H48" s="1021"/>
      <c r="I48" s="1021"/>
      <c r="J48" s="1021"/>
      <c r="K48" s="796"/>
      <c r="L48" s="796"/>
      <c r="M48" s="796"/>
      <c r="N48" s="796"/>
      <c r="O48" s="796"/>
      <c r="P48" s="796"/>
      <c r="Q48" s="796"/>
      <c r="R48" s="796"/>
      <c r="S48" s="796"/>
      <c r="T48" s="796"/>
      <c r="U48" s="796"/>
      <c r="Y48" s="4"/>
      <c r="AG48" s="787"/>
      <c r="AH48" s="787"/>
      <c r="AI48" s="787"/>
      <c r="AJ48" s="787"/>
      <c r="AK48" s="787"/>
      <c r="AL48" s="787"/>
      <c r="AM48" s="787"/>
      <c r="AN48" s="787"/>
      <c r="AO48" s="787"/>
    </row>
    <row r="49" spans="1:41" ht="15.2" customHeight="1">
      <c r="A49" s="1021"/>
      <c r="B49" s="1021"/>
      <c r="C49" s="1021"/>
      <c r="D49" s="1021"/>
      <c r="E49" s="1021"/>
      <c r="F49" s="1021"/>
      <c r="G49" s="1021"/>
      <c r="H49" s="1021"/>
      <c r="I49" s="1021"/>
      <c r="J49" s="1021"/>
      <c r="K49" s="796"/>
      <c r="L49" s="796"/>
      <c r="M49" s="796"/>
      <c r="N49" s="796"/>
      <c r="O49" s="796"/>
      <c r="P49" s="796"/>
      <c r="Q49" s="796"/>
      <c r="R49" s="796"/>
      <c r="S49" s="796"/>
      <c r="T49" s="796"/>
      <c r="U49" s="796"/>
      <c r="Y49" s="4"/>
      <c r="AG49" s="787"/>
      <c r="AH49" s="787"/>
      <c r="AI49" s="787"/>
      <c r="AJ49" s="787"/>
      <c r="AK49" s="787"/>
      <c r="AL49" s="787"/>
      <c r="AM49" s="787"/>
      <c r="AN49" s="787"/>
      <c r="AO49" s="787"/>
    </row>
    <row r="50" spans="1:41" ht="15.2" customHeight="1">
      <c r="A50" s="1021"/>
      <c r="B50" s="1021"/>
      <c r="C50" s="1021"/>
      <c r="D50" s="1021"/>
      <c r="E50" s="1021"/>
      <c r="F50" s="1021"/>
      <c r="G50" s="1021"/>
      <c r="H50" s="1021"/>
      <c r="I50" s="1021"/>
      <c r="J50" s="1021"/>
      <c r="K50" s="796"/>
      <c r="L50" s="796"/>
      <c r="M50" s="796"/>
      <c r="N50" s="796"/>
      <c r="O50" s="796"/>
      <c r="P50" s="796"/>
      <c r="Q50" s="796"/>
      <c r="R50" s="796"/>
      <c r="S50" s="796"/>
      <c r="T50" s="796"/>
      <c r="U50" s="796"/>
      <c r="Y50" s="4"/>
      <c r="AG50" s="787"/>
      <c r="AH50" s="787"/>
      <c r="AI50" s="787"/>
      <c r="AJ50" s="787"/>
      <c r="AK50" s="787"/>
      <c r="AL50" s="787"/>
      <c r="AM50" s="787"/>
      <c r="AN50" s="787"/>
      <c r="AO50" s="787"/>
    </row>
    <row r="51" spans="1:41" ht="15.2" customHeight="1" thickBot="1">
      <c r="A51" s="1021"/>
      <c r="B51" s="1021"/>
      <c r="C51" s="1021"/>
      <c r="D51" s="1021"/>
      <c r="E51" s="1021"/>
      <c r="F51" s="1021"/>
      <c r="G51" s="1021"/>
      <c r="H51" s="1021"/>
      <c r="I51" s="1021"/>
      <c r="J51" s="1021"/>
      <c r="K51" s="796"/>
      <c r="L51" s="796"/>
      <c r="M51" s="796"/>
      <c r="N51" s="796"/>
      <c r="O51" s="796"/>
      <c r="P51" s="796"/>
      <c r="Q51" s="796"/>
      <c r="R51" s="796"/>
      <c r="S51" s="796"/>
      <c r="T51" s="796"/>
      <c r="U51" s="796"/>
      <c r="Y51" s="4"/>
      <c r="AG51" s="1022"/>
      <c r="AH51" s="1022"/>
      <c r="AI51" s="787"/>
      <c r="AJ51" s="787"/>
      <c r="AK51" s="787"/>
      <c r="AL51" s="787"/>
      <c r="AM51" s="787"/>
      <c r="AN51" s="787"/>
      <c r="AO51" s="787"/>
    </row>
    <row r="52" spans="1:41" ht="15.2" customHeight="1">
      <c r="A52" s="84"/>
      <c r="B52" s="84"/>
      <c r="C52" s="84"/>
      <c r="D52" s="84"/>
      <c r="E52" s="84"/>
      <c r="F52" s="833" t="str">
        <f>START!$D$11</f>
        <v>Ellis Andersen | Branch Manager</v>
      </c>
      <c r="G52" s="834"/>
      <c r="H52" s="834"/>
      <c r="I52" s="834"/>
      <c r="J52" s="835"/>
      <c r="K52" s="968" t="s">
        <v>146</v>
      </c>
      <c r="L52" s="969"/>
      <c r="M52" s="969"/>
      <c r="N52" s="969"/>
      <c r="O52" s="969"/>
      <c r="P52" s="969"/>
      <c r="Q52" s="969"/>
      <c r="R52" s="969"/>
      <c r="S52" s="969"/>
      <c r="T52" s="969"/>
      <c r="U52" s="970"/>
      <c r="V52" s="1016" t="s">
        <v>147</v>
      </c>
      <c r="W52" s="732"/>
      <c r="X52" s="732"/>
      <c r="Y52" s="732"/>
      <c r="Z52" s="732"/>
      <c r="AA52" s="732"/>
      <c r="AB52" s="732"/>
      <c r="AC52" s="732"/>
      <c r="AD52" s="732"/>
      <c r="AE52" s="732"/>
      <c r="AF52" s="1017"/>
      <c r="AG52" s="529" t="s">
        <v>181</v>
      </c>
      <c r="AH52" s="531"/>
      <c r="AI52" s="787"/>
      <c r="AJ52" s="787"/>
      <c r="AK52" s="787"/>
      <c r="AL52" s="787"/>
      <c r="AM52" s="787"/>
      <c r="AN52" s="787"/>
      <c r="AO52" s="787"/>
    </row>
    <row r="53" spans="1:41" ht="15.2" customHeight="1" thickBot="1">
      <c r="A53" s="84"/>
      <c r="B53" s="84"/>
      <c r="C53" s="84"/>
      <c r="D53" s="84"/>
      <c r="E53" s="84"/>
      <c r="F53" s="836"/>
      <c r="G53" s="837"/>
      <c r="H53" s="837"/>
      <c r="I53" s="837"/>
      <c r="J53" s="838"/>
      <c r="K53" s="813"/>
      <c r="L53" s="814"/>
      <c r="M53" s="814"/>
      <c r="N53" s="814"/>
      <c r="O53" s="814"/>
      <c r="P53" s="814"/>
      <c r="Q53" s="814"/>
      <c r="R53" s="814"/>
      <c r="S53" s="814"/>
      <c r="T53" s="814"/>
      <c r="U53" s="815"/>
      <c r="V53" s="1018"/>
      <c r="W53" s="734"/>
      <c r="X53" s="734"/>
      <c r="Y53" s="734"/>
      <c r="Z53" s="734"/>
      <c r="AA53" s="734"/>
      <c r="AB53" s="734"/>
      <c r="AC53" s="734"/>
      <c r="AD53" s="734"/>
      <c r="AE53" s="734"/>
      <c r="AF53" s="1019"/>
      <c r="AG53" s="532"/>
      <c r="AH53" s="534"/>
      <c r="AI53" s="787"/>
      <c r="AJ53" s="787"/>
      <c r="AK53" s="787"/>
      <c r="AL53" s="787"/>
      <c r="AM53" s="787"/>
      <c r="AN53" s="787"/>
      <c r="AO53" s="787"/>
    </row>
    <row r="54" spans="1:41" ht="15.2" customHeight="1">
      <c r="A54" s="84"/>
      <c r="B54" s="84"/>
      <c r="C54" s="84"/>
      <c r="D54" s="84"/>
      <c r="E54" s="84"/>
      <c r="F54" s="672" t="str">
        <f>START!$D$13</f>
        <v>Direct/Fax: (949) 892-1736</v>
      </c>
      <c r="G54" s="673"/>
      <c r="H54" s="673"/>
      <c r="I54" s="673"/>
      <c r="J54" s="923"/>
      <c r="K54" s="816" t="s">
        <v>149</v>
      </c>
      <c r="L54" s="817"/>
      <c r="M54" s="921" t="str">
        <f>V54&amp;" "&amp;W54&amp;""&amp;V55&amp;" "&amp;W55&amp;" "&amp;X55&amp;" "&amp;AF55&amp;" "&amp;V56</f>
        <v xml:space="preserve">Hi Matthew, this is Ellis Andersen :blush: with West Capital Lending. I just received your inquiry to take about $740000 :moneybag: of equity from your home. I know you're shopping for the best deal so I will check with our most competitive lenders within our Broker Network. </v>
      </c>
      <c r="N54" s="822"/>
      <c r="O54" s="822"/>
      <c r="P54" s="822"/>
      <c r="Q54" s="822"/>
      <c r="R54" s="822"/>
      <c r="S54" s="822"/>
      <c r="T54" s="822"/>
      <c r="U54" s="823"/>
      <c r="V54" s="19" t="s">
        <v>150</v>
      </c>
      <c r="W54" s="931" t="str">
        <f>LEADS!$D$3</f>
        <v>Matthew</v>
      </c>
      <c r="X54" s="931"/>
      <c r="Y54" s="931"/>
      <c r="Z54" s="19"/>
      <c r="AA54" s="19"/>
      <c r="AB54" s="19"/>
      <c r="AC54" s="19"/>
      <c r="AD54" s="19"/>
      <c r="AE54" s="19"/>
      <c r="AF54" s="19"/>
      <c r="AG54" s="932" t="s">
        <v>193</v>
      </c>
      <c r="AH54" s="739" t="s">
        <v>194</v>
      </c>
      <c r="AI54" s="787"/>
      <c r="AJ54" s="787"/>
      <c r="AK54" s="787"/>
      <c r="AL54" s="787"/>
      <c r="AM54" s="787"/>
      <c r="AN54" s="787"/>
      <c r="AO54" s="787"/>
    </row>
    <row r="55" spans="1:41" ht="15.2" customHeight="1" thickBot="1">
      <c r="A55" s="84"/>
      <c r="B55" s="84"/>
      <c r="C55" s="84"/>
      <c r="D55" s="84"/>
      <c r="E55" s="84"/>
      <c r="F55" s="672" t="str">
        <f>START!$D$14</f>
        <v>Email: eandersen@westcapitallending.com</v>
      </c>
      <c r="G55" s="673"/>
      <c r="H55" s="673"/>
      <c r="I55" s="673"/>
      <c r="J55" s="923"/>
      <c r="K55" s="818"/>
      <c r="L55" s="819"/>
      <c r="M55" s="790"/>
      <c r="N55" s="726"/>
      <c r="O55" s="726"/>
      <c r="P55" s="726"/>
      <c r="Q55" s="726"/>
      <c r="R55" s="726"/>
      <c r="S55" s="726"/>
      <c r="T55" s="726"/>
      <c r="U55" s="727"/>
      <c r="V55" t="s">
        <v>153</v>
      </c>
      <c r="W55" t="str">
        <f>START!E23</f>
        <v>Ellis Andersen</v>
      </c>
      <c r="X55" t="s">
        <v>154</v>
      </c>
      <c r="AD55" s="19" t="s">
        <v>151</v>
      </c>
      <c r="AE55" s="19">
        <f>E86</f>
        <v>740000</v>
      </c>
      <c r="AF55" s="19" t="str">
        <f>AD55&amp;""&amp;AE55</f>
        <v>$740000</v>
      </c>
      <c r="AG55" s="933"/>
      <c r="AH55" s="740"/>
      <c r="AI55" s="787"/>
      <c r="AJ55" s="787"/>
      <c r="AK55" s="787"/>
      <c r="AL55" s="787"/>
      <c r="AM55" s="787"/>
      <c r="AN55" s="787"/>
      <c r="AO55" s="787"/>
    </row>
    <row r="56" spans="1:41" ht="15.2" customHeight="1">
      <c r="A56" s="84"/>
      <c r="B56" s="84"/>
      <c r="C56" s="84"/>
      <c r="D56" s="84"/>
      <c r="E56" s="84"/>
      <c r="F56" s="672" t="str">
        <f>START!$D$15</f>
        <v>34 Executive Park Ste 180, Irvine, CA 92614</v>
      </c>
      <c r="G56" s="673"/>
      <c r="H56" s="673"/>
      <c r="I56" s="673"/>
      <c r="J56" s="923"/>
      <c r="K56" s="818"/>
      <c r="L56" s="819"/>
      <c r="M56" s="726" t="s">
        <v>155</v>
      </c>
      <c r="N56" s="726"/>
      <c r="O56" s="726"/>
      <c r="P56" s="726"/>
      <c r="Q56" s="726"/>
      <c r="R56" s="726"/>
      <c r="S56" s="726"/>
      <c r="T56" s="726"/>
      <c r="U56" s="727"/>
      <c r="V56" s="723" t="s">
        <v>156</v>
      </c>
      <c r="W56" s="723"/>
      <c r="X56" s="723"/>
      <c r="Y56" s="723"/>
      <c r="Z56" s="723"/>
      <c r="AA56" s="723"/>
      <c r="AB56" s="723"/>
      <c r="AC56" s="723"/>
      <c r="AD56" s="723"/>
      <c r="AE56" s="723"/>
      <c r="AF56" s="723"/>
      <c r="AG56" s="932" t="s">
        <v>197</v>
      </c>
      <c r="AH56" s="743">
        <v>7.7499999999999999E-2</v>
      </c>
      <c r="AI56" s="787"/>
      <c r="AJ56" s="787"/>
      <c r="AK56" s="787"/>
      <c r="AL56" s="787"/>
      <c r="AM56" s="787"/>
      <c r="AN56" s="787"/>
      <c r="AO56" s="787"/>
    </row>
    <row r="57" spans="1:41" ht="15.2" customHeight="1" thickBot="1">
      <c r="A57" s="84"/>
      <c r="B57" s="84"/>
      <c r="C57" s="84"/>
      <c r="D57" s="84"/>
      <c r="E57" s="84"/>
      <c r="F57" s="672" t="str">
        <f>START!$D$16</f>
        <v>NMLS 1912260 | NMLS 02196940</v>
      </c>
      <c r="G57" s="673"/>
      <c r="H57" s="673"/>
      <c r="I57" s="673"/>
      <c r="J57" s="923"/>
      <c r="K57" s="818"/>
      <c r="L57" s="819"/>
      <c r="M57" s="726" t="str">
        <f>V59&amp;" "&amp;AA59</f>
        <v>This is your current address: 15244 W Auburn Ave, Denver, CO, 80228</v>
      </c>
      <c r="N57" s="726"/>
      <c r="O57" s="726"/>
      <c r="P57" s="726"/>
      <c r="Q57" s="726"/>
      <c r="R57" s="726"/>
      <c r="S57" s="726"/>
      <c r="T57" s="726"/>
      <c r="U57" s="727"/>
      <c r="V57" s="723"/>
      <c r="W57" s="723"/>
      <c r="X57" s="723"/>
      <c r="Y57" s="723"/>
      <c r="Z57" s="723"/>
      <c r="AA57" s="723"/>
      <c r="AB57" s="723"/>
      <c r="AC57" s="723"/>
      <c r="AD57" s="723"/>
      <c r="AE57" s="723"/>
      <c r="AF57" s="723"/>
      <c r="AG57" s="933"/>
      <c r="AH57" s="744"/>
      <c r="AI57" s="787"/>
      <c r="AJ57" s="787"/>
      <c r="AK57" s="787"/>
      <c r="AL57" s="787"/>
      <c r="AM57" s="787"/>
      <c r="AN57" s="787"/>
      <c r="AO57" s="787"/>
    </row>
    <row r="58" spans="1:41" ht="15.2" customHeight="1" thickBot="1">
      <c r="A58" s="84"/>
      <c r="B58" s="84"/>
      <c r="C58" s="84"/>
      <c r="D58" s="84"/>
      <c r="E58" s="84"/>
      <c r="F58" s="713" t="str">
        <f>START!$D$17</f>
        <v>Website: www.westcapitallending.com</v>
      </c>
      <c r="G58" s="714"/>
      <c r="H58" s="714"/>
      <c r="I58" s="714"/>
      <c r="J58" s="924"/>
      <c r="K58" s="818"/>
      <c r="L58" s="819"/>
      <c r="M58" s="726" t="str">
        <f>V60&amp;" "&amp;AC60&amp;""&amp;AB60</f>
        <v>Home Value is: $1200000</v>
      </c>
      <c r="N58" s="726"/>
      <c r="O58" s="726"/>
      <c r="P58" s="726"/>
      <c r="Q58" s="726"/>
      <c r="R58" s="726"/>
      <c r="S58" s="726"/>
      <c r="T58" s="726"/>
      <c r="U58" s="727"/>
      <c r="V58" s="722" t="s">
        <v>155</v>
      </c>
      <c r="W58" s="722"/>
      <c r="X58" s="722"/>
      <c r="Y58" s="722"/>
      <c r="Z58" s="19"/>
      <c r="AA58" s="19"/>
      <c r="AB58" s="19"/>
      <c r="AC58" s="19"/>
      <c r="AD58" s="19"/>
      <c r="AE58" s="19"/>
      <c r="AF58" s="19"/>
      <c r="AG58" s="932" t="s">
        <v>163</v>
      </c>
      <c r="AH58" s="743">
        <f>AH56+0.00125</f>
        <v>7.8750000000000001E-2</v>
      </c>
      <c r="AI58" s="787"/>
      <c r="AJ58" s="787"/>
      <c r="AK58" s="787"/>
      <c r="AL58" s="787"/>
      <c r="AM58" s="787"/>
      <c r="AN58" s="787"/>
      <c r="AO58" s="787"/>
    </row>
    <row r="59" spans="1:41" ht="15.2" customHeight="1" thickBot="1">
      <c r="A59" s="84"/>
      <c r="B59" s="84"/>
      <c r="C59" s="84"/>
      <c r="D59" s="84"/>
      <c r="E59" s="84"/>
      <c r="F59" s="84"/>
      <c r="G59" s="84"/>
      <c r="H59" s="84"/>
      <c r="I59" s="84"/>
      <c r="J59" s="84"/>
      <c r="K59" s="818"/>
      <c r="L59" s="819"/>
      <c r="M59" s="726" t="str">
        <f>V61&amp;" "&amp;AC61&amp;""&amp;AB61</f>
        <v>Your Current First Mortgage Balance is: $340000</v>
      </c>
      <c r="N59" s="726"/>
      <c r="O59" s="726"/>
      <c r="P59" s="726"/>
      <c r="Q59" s="726"/>
      <c r="R59" s="726"/>
      <c r="S59" s="726"/>
      <c r="T59" s="726"/>
      <c r="U59" s="727"/>
      <c r="V59" s="722" t="s">
        <v>160</v>
      </c>
      <c r="W59" s="722"/>
      <c r="X59" s="722"/>
      <c r="Y59" s="722"/>
      <c r="Z59" s="19"/>
      <c r="AA59" s="19" t="str">
        <f>LEADS!$I$3</f>
        <v>15244 W Auburn Ave, Denver, CO, 80228</v>
      </c>
      <c r="AB59" s="19"/>
      <c r="AC59" s="19" t="str">
        <f>START!$E$24</f>
        <v>[Ellis w/ West Capital Lending]</v>
      </c>
      <c r="AD59" s="19"/>
      <c r="AE59" s="19"/>
      <c r="AF59" s="19"/>
      <c r="AG59" s="933"/>
      <c r="AH59" s="744"/>
      <c r="AI59" s="787"/>
      <c r="AJ59" s="787"/>
      <c r="AK59" s="787"/>
      <c r="AL59" s="787"/>
      <c r="AM59" s="787"/>
      <c r="AN59" s="787"/>
      <c r="AO59" s="787"/>
    </row>
    <row r="60" spans="1:41" ht="15.2" customHeight="1">
      <c r="A60" s="960" t="s">
        <v>67</v>
      </c>
      <c r="B60" s="961"/>
      <c r="C60" s="982">
        <f ca="1">TODAY()</f>
        <v>45196</v>
      </c>
      <c r="D60" s="983"/>
      <c r="E60" s="984"/>
      <c r="F60" s="677" t="s">
        <v>161</v>
      </c>
      <c r="G60" s="678"/>
      <c r="H60" s="678"/>
      <c r="I60" s="678"/>
      <c r="J60" s="679"/>
      <c r="K60" s="818"/>
      <c r="L60" s="819"/>
      <c r="M60" s="726" t="str">
        <f>V62&amp;" "&amp;AC62&amp;""&amp;AB62</f>
        <v>Your Desired Cash Out is: $740000</v>
      </c>
      <c r="N60" s="726"/>
      <c r="O60" s="726"/>
      <c r="P60" s="726"/>
      <c r="Q60" s="726"/>
      <c r="R60" s="726"/>
      <c r="S60" s="726"/>
      <c r="T60" s="726"/>
      <c r="U60" s="727"/>
      <c r="V60" s="722" t="s">
        <v>162</v>
      </c>
      <c r="W60" s="722"/>
      <c r="X60" s="722"/>
      <c r="Y60" s="722"/>
      <c r="Z60" s="19"/>
      <c r="AA60" s="19"/>
      <c r="AB60" s="20">
        <f>$H$13</f>
        <v>1200000</v>
      </c>
      <c r="AC60" s="19" t="s">
        <v>151</v>
      </c>
      <c r="AE60" s="19"/>
      <c r="AF60" s="19"/>
      <c r="AG60" s="932" t="s">
        <v>205</v>
      </c>
      <c r="AH60" s="745">
        <f>(C64*0.025)+1500</f>
        <v>20000</v>
      </c>
      <c r="AI60" s="787"/>
      <c r="AJ60" s="787"/>
      <c r="AK60" s="787"/>
      <c r="AL60" s="787"/>
      <c r="AM60" s="787"/>
      <c r="AN60" s="787"/>
      <c r="AO60" s="787"/>
    </row>
    <row r="61" spans="1:41" ht="15.2" customHeight="1" thickBot="1">
      <c r="A61" s="962" t="s">
        <v>164</v>
      </c>
      <c r="B61" s="963"/>
      <c r="C61" s="797" t="str">
        <f>LEADS!$D$3&amp;" "&amp;LEADS!$E$3</f>
        <v>Matthew Pasiuk</v>
      </c>
      <c r="D61" s="798"/>
      <c r="E61" s="799"/>
      <c r="F61" s="680"/>
      <c r="G61" s="681"/>
      <c r="H61" s="681"/>
      <c r="I61" s="681"/>
      <c r="J61" s="682"/>
      <c r="K61" s="818"/>
      <c r="L61" s="819"/>
      <c r="M61" s="726" t="s">
        <v>165</v>
      </c>
      <c r="N61" s="726"/>
      <c r="O61" s="726"/>
      <c r="P61" s="726"/>
      <c r="Q61" s="726"/>
      <c r="R61" s="726"/>
      <c r="S61" s="726"/>
      <c r="T61" s="726"/>
      <c r="U61" s="727"/>
      <c r="V61" s="722" t="s">
        <v>166</v>
      </c>
      <c r="W61" s="722"/>
      <c r="X61" s="722"/>
      <c r="Y61" s="722"/>
      <c r="Z61" s="19"/>
      <c r="AA61" s="19"/>
      <c r="AB61" s="20">
        <f>$C$21</f>
        <v>340000</v>
      </c>
      <c r="AC61" s="19" t="s">
        <v>151</v>
      </c>
      <c r="AD61" s="19"/>
      <c r="AE61" s="19"/>
      <c r="AF61" s="19"/>
      <c r="AG61" s="933"/>
      <c r="AH61" s="746"/>
      <c r="AI61" s="787"/>
      <c r="AJ61" s="787"/>
      <c r="AK61" s="787"/>
      <c r="AL61" s="787"/>
      <c r="AM61" s="787"/>
      <c r="AN61" s="787"/>
      <c r="AO61" s="787"/>
    </row>
    <row r="62" spans="1:41" ht="15.2" customHeight="1">
      <c r="A62" s="964" t="s">
        <v>167</v>
      </c>
      <c r="B62" s="965"/>
      <c r="C62" s="797" t="str">
        <f>LEADS!$G$3</f>
        <v>mattpasiuk@gmail.com</v>
      </c>
      <c r="D62" s="798"/>
      <c r="E62" s="799"/>
      <c r="F62" s="683" t="str">
        <f>LEADS!$I$3</f>
        <v>15244 W Auburn Ave, Denver, CO, 80228</v>
      </c>
      <c r="G62" s="639"/>
      <c r="H62" s="639"/>
      <c r="I62" s="639"/>
      <c r="J62" s="641"/>
      <c r="K62" s="818"/>
      <c r="L62" s="819"/>
      <c r="M62" s="726" t="s">
        <v>168</v>
      </c>
      <c r="N62" s="726"/>
      <c r="O62" s="726"/>
      <c r="P62" s="726"/>
      <c r="Q62" s="726"/>
      <c r="R62" s="726"/>
      <c r="S62" s="726"/>
      <c r="T62" s="726"/>
      <c r="U62" s="727"/>
      <c r="V62" s="722" t="s">
        <v>169</v>
      </c>
      <c r="W62" s="722"/>
      <c r="X62" s="722"/>
      <c r="Y62" s="722"/>
      <c r="Z62" s="19"/>
      <c r="AA62" s="19"/>
      <c r="AB62" s="20">
        <f>C64</f>
        <v>740000</v>
      </c>
      <c r="AC62" s="19" t="s">
        <v>151</v>
      </c>
      <c r="AD62" s="19"/>
      <c r="AE62" s="19"/>
      <c r="AF62" s="19"/>
      <c r="AG62" s="1023"/>
      <c r="AH62" s="1023"/>
      <c r="AI62" s="787"/>
      <c r="AJ62" s="787"/>
      <c r="AK62" s="787"/>
      <c r="AL62" s="787"/>
      <c r="AM62" s="787"/>
      <c r="AN62" s="787"/>
      <c r="AO62" s="787"/>
    </row>
    <row r="63" spans="1:41" ht="15.2" customHeight="1" thickBot="1">
      <c r="A63" s="964" t="s">
        <v>171</v>
      </c>
      <c r="B63" s="965"/>
      <c r="C63" s="797" t="str">
        <f>LEADS!$F$3</f>
        <v>(720)788-0594</v>
      </c>
      <c r="D63" s="798"/>
      <c r="E63" s="799"/>
      <c r="F63" s="684"/>
      <c r="G63" s="640"/>
      <c r="H63" s="640"/>
      <c r="I63" s="640"/>
      <c r="J63" s="642"/>
      <c r="K63" s="818"/>
      <c r="L63" s="819"/>
      <c r="M63" s="726" t="s">
        <v>172</v>
      </c>
      <c r="N63" s="726"/>
      <c r="O63" s="726"/>
      <c r="P63" s="726"/>
      <c r="Q63" s="726"/>
      <c r="R63" s="726"/>
      <c r="S63" s="726"/>
      <c r="T63" s="726"/>
      <c r="U63" s="727"/>
      <c r="V63" s="723" t="s">
        <v>235</v>
      </c>
      <c r="W63" s="723"/>
      <c r="X63" s="723"/>
      <c r="Y63" s="723"/>
      <c r="Z63" s="723"/>
      <c r="AA63" s="723"/>
      <c r="AB63" s="723"/>
      <c r="AC63" s="723"/>
      <c r="AD63" s="723"/>
      <c r="AE63" s="723"/>
      <c r="AF63" s="723"/>
      <c r="AG63" s="1024"/>
      <c r="AH63" s="1024"/>
      <c r="AI63" s="787"/>
      <c r="AJ63" s="787"/>
      <c r="AK63" s="787"/>
      <c r="AL63" s="787"/>
      <c r="AM63" s="787"/>
      <c r="AN63" s="787"/>
      <c r="AO63" s="787"/>
    </row>
    <row r="64" spans="1:41" ht="15.2" customHeight="1" thickBot="1">
      <c r="A64" s="966" t="s">
        <v>174</v>
      </c>
      <c r="B64" s="967"/>
      <c r="C64" s="985">
        <f>LEADS!$P$3</f>
        <v>740000</v>
      </c>
      <c r="D64" s="986"/>
      <c r="E64" s="987"/>
      <c r="F64" s="980" t="s">
        <v>175</v>
      </c>
      <c r="G64" s="981"/>
      <c r="H64" s="890">
        <f>LEADS!$L$3</f>
        <v>1200000</v>
      </c>
      <c r="I64" s="890"/>
      <c r="J64" s="891"/>
      <c r="K64" s="818"/>
      <c r="L64" s="819"/>
      <c r="M64" s="726"/>
      <c r="N64" s="726"/>
      <c r="O64" s="726"/>
      <c r="P64" s="726"/>
      <c r="Q64" s="726"/>
      <c r="R64" s="726"/>
      <c r="S64" s="726"/>
      <c r="T64" s="726"/>
      <c r="U64" s="727"/>
      <c r="V64" s="723"/>
      <c r="W64" s="723"/>
      <c r="X64" s="723"/>
      <c r="Y64" s="723"/>
      <c r="Z64" s="723"/>
      <c r="AA64" s="723"/>
      <c r="AB64" s="723"/>
      <c r="AC64" s="723"/>
      <c r="AD64" s="723"/>
      <c r="AE64" s="723"/>
      <c r="AF64" s="723"/>
      <c r="AG64" s="1024"/>
      <c r="AH64" s="1024"/>
      <c r="AI64" s="787"/>
      <c r="AJ64" s="787"/>
      <c r="AK64" s="787"/>
      <c r="AL64" s="787"/>
      <c r="AM64" s="787"/>
      <c r="AN64" s="787"/>
      <c r="AO64" s="787"/>
    </row>
    <row r="65" spans="1:41" ht="15.2" customHeight="1" thickBot="1">
      <c r="A65" s="89"/>
      <c r="B65" s="89"/>
      <c r="C65" s="89"/>
      <c r="D65" s="89"/>
      <c r="E65" s="89"/>
      <c r="F65" s="89"/>
      <c r="G65" s="89"/>
      <c r="H65" s="89"/>
      <c r="I65" s="89"/>
      <c r="J65" s="89"/>
      <c r="K65" s="793"/>
      <c r="L65" s="794"/>
      <c r="M65" s="728" t="s">
        <v>177</v>
      </c>
      <c r="N65" s="728"/>
      <c r="O65" s="728"/>
      <c r="P65" s="728"/>
      <c r="Q65" s="728"/>
      <c r="R65" s="728"/>
      <c r="S65" s="728"/>
      <c r="T65" s="728"/>
      <c r="U65" s="729"/>
      <c r="V65" s="723" t="s">
        <v>178</v>
      </c>
      <c r="W65" s="723"/>
      <c r="X65" s="723"/>
      <c r="Y65" s="723"/>
      <c r="Z65" s="723"/>
      <c r="AA65" s="723"/>
      <c r="AB65" s="723"/>
      <c r="AC65" s="723"/>
      <c r="AD65" s="723"/>
      <c r="AE65" s="723"/>
      <c r="AF65" s="723"/>
      <c r="AG65" s="1024"/>
      <c r="AH65" s="1024"/>
      <c r="AI65" s="787"/>
      <c r="AJ65" s="787"/>
      <c r="AK65" s="787"/>
      <c r="AL65" s="787"/>
      <c r="AM65" s="787"/>
      <c r="AN65" s="787"/>
      <c r="AO65" s="787"/>
    </row>
    <row r="66" spans="1:41" ht="15.2" customHeight="1">
      <c r="A66" s="998" t="s">
        <v>179</v>
      </c>
      <c r="B66" s="999"/>
      <c r="C66" s="999"/>
      <c r="D66" s="1000"/>
      <c r="E66" s="996" t="s">
        <v>181</v>
      </c>
      <c r="F66" s="915"/>
      <c r="G66" s="915"/>
      <c r="H66" s="915"/>
      <c r="I66" s="915"/>
      <c r="J66" s="916"/>
      <c r="K66" s="662" t="s">
        <v>42</v>
      </c>
      <c r="L66" s="663"/>
      <c r="M66" s="724" t="str">
        <f>W54&amp;" "&amp;V63&amp;" - "&amp;AC59</f>
        <v>Matthew , I just wanted to follow up with you did you get the text above :point_up_2:  - [Ellis w/ West Capital Lending]</v>
      </c>
      <c r="N66" s="724"/>
      <c r="O66" s="724"/>
      <c r="P66" s="724"/>
      <c r="Q66" s="724"/>
      <c r="R66" s="724"/>
      <c r="S66" s="724"/>
      <c r="T66" s="724"/>
      <c r="U66" s="725"/>
      <c r="V66" s="723"/>
      <c r="W66" s="723"/>
      <c r="X66" s="723"/>
      <c r="Y66" s="723"/>
      <c r="Z66" s="723"/>
      <c r="AA66" s="723"/>
      <c r="AB66" s="723"/>
      <c r="AC66" s="723"/>
      <c r="AD66" s="723"/>
      <c r="AE66" s="723"/>
      <c r="AF66" s="723"/>
      <c r="AG66" s="1024"/>
      <c r="AH66" s="1024"/>
      <c r="AI66" s="787"/>
      <c r="AJ66" s="787"/>
      <c r="AK66" s="787"/>
      <c r="AL66" s="787"/>
      <c r="AM66" s="787"/>
      <c r="AN66" s="787"/>
      <c r="AO66" s="787"/>
    </row>
    <row r="67" spans="1:41" ht="15.2" customHeight="1" thickBot="1">
      <c r="A67" s="1001"/>
      <c r="B67" s="1002"/>
      <c r="C67" s="1002"/>
      <c r="D67" s="1003"/>
      <c r="E67" s="1004"/>
      <c r="F67" s="1005"/>
      <c r="G67" s="1005"/>
      <c r="H67" s="1005"/>
      <c r="I67" s="1005"/>
      <c r="J67" s="1006"/>
      <c r="K67" s="662"/>
      <c r="L67" s="663"/>
      <c r="M67" s="728"/>
      <c r="N67" s="728"/>
      <c r="O67" s="728"/>
      <c r="P67" s="728"/>
      <c r="Q67" s="728"/>
      <c r="R67" s="728"/>
      <c r="S67" s="728"/>
      <c r="T67" s="728"/>
      <c r="U67" s="729"/>
      <c r="V67" s="723" t="s">
        <v>183</v>
      </c>
      <c r="W67" s="723"/>
      <c r="X67" s="723"/>
      <c r="Y67" s="723"/>
      <c r="Z67" s="723"/>
      <c r="AA67" s="723"/>
      <c r="AB67" s="723"/>
      <c r="AC67" s="723"/>
      <c r="AD67" s="723"/>
      <c r="AE67" s="723"/>
      <c r="AF67" s="723"/>
      <c r="AG67" s="1024"/>
      <c r="AH67" s="1024"/>
      <c r="AI67" s="787"/>
      <c r="AJ67" s="787"/>
      <c r="AK67" s="787"/>
      <c r="AL67" s="787"/>
      <c r="AM67" s="787"/>
      <c r="AN67" s="787"/>
      <c r="AO67" s="787"/>
    </row>
    <row r="68" spans="1:41" ht="15.2" customHeight="1">
      <c r="A68" s="974" t="s">
        <v>113</v>
      </c>
      <c r="B68" s="975"/>
      <c r="C68" s="975"/>
      <c r="D68" s="976"/>
      <c r="E68" s="926" t="s">
        <v>184</v>
      </c>
      <c r="F68" s="926"/>
      <c r="G68" s="926"/>
      <c r="H68" s="926"/>
      <c r="I68" s="926"/>
      <c r="J68" s="927"/>
      <c r="K68" s="662" t="s">
        <v>186</v>
      </c>
      <c r="L68" s="663"/>
      <c r="M68" s="632" t="str">
        <f>$V$3&amp;""&amp;V65&amp;" "&amp;AC59</f>
        <v>Hi, Great News! The Market took a heavy dip today :chart_with_downwards_trend: if you are at all still interested, now would be a great time to lock in your rate. :lock: [Ellis w/ West Capital Lending]</v>
      </c>
      <c r="N68" s="633"/>
      <c r="O68" s="633"/>
      <c r="P68" s="633"/>
      <c r="Q68" s="633"/>
      <c r="R68" s="633"/>
      <c r="S68" s="633"/>
      <c r="T68" s="633"/>
      <c r="U68" s="634"/>
      <c r="V68" s="723"/>
      <c r="W68" s="723"/>
      <c r="X68" s="723"/>
      <c r="Y68" s="723"/>
      <c r="Z68" s="723"/>
      <c r="AA68" s="723"/>
      <c r="AB68" s="723"/>
      <c r="AC68" s="723"/>
      <c r="AD68" s="723"/>
      <c r="AE68" s="723"/>
      <c r="AF68" s="723"/>
      <c r="AG68" s="1024"/>
      <c r="AH68" s="1024"/>
      <c r="AI68" s="787"/>
      <c r="AJ68" s="787"/>
      <c r="AK68" s="787"/>
      <c r="AL68" s="787"/>
      <c r="AM68" s="787"/>
      <c r="AN68" s="787"/>
      <c r="AO68" s="787"/>
    </row>
    <row r="69" spans="1:41" ht="15.2" customHeight="1">
      <c r="A69" s="971"/>
      <c r="B69" s="972"/>
      <c r="C69" s="972"/>
      <c r="D69" s="973"/>
      <c r="E69" s="929"/>
      <c r="F69" s="929"/>
      <c r="G69" s="929"/>
      <c r="H69" s="929"/>
      <c r="I69" s="929"/>
      <c r="J69" s="930"/>
      <c r="K69" s="662"/>
      <c r="L69" s="663"/>
      <c r="M69" s="632"/>
      <c r="N69" s="633"/>
      <c r="O69" s="633"/>
      <c r="P69" s="633"/>
      <c r="Q69" s="633"/>
      <c r="R69" s="633"/>
      <c r="S69" s="633"/>
      <c r="T69" s="633"/>
      <c r="U69" s="634"/>
      <c r="V69" s="723" t="s">
        <v>188</v>
      </c>
      <c r="W69" s="723"/>
      <c r="X69" s="723"/>
      <c r="Y69" s="723"/>
      <c r="Z69" s="723"/>
      <c r="AA69" s="723"/>
      <c r="AB69" s="723"/>
      <c r="AC69" s="723"/>
      <c r="AD69" s="723"/>
      <c r="AE69" s="723"/>
      <c r="AF69" s="723"/>
      <c r="AG69" s="1024"/>
      <c r="AH69" s="1024"/>
      <c r="AI69" s="787"/>
      <c r="AJ69" s="787"/>
      <c r="AK69" s="787"/>
      <c r="AL69" s="787"/>
      <c r="AM69" s="787"/>
      <c r="AN69" s="787"/>
      <c r="AO69" s="787"/>
    </row>
    <row r="70" spans="1:41" ht="15.2" customHeight="1">
      <c r="A70" s="971" t="s">
        <v>189</v>
      </c>
      <c r="B70" s="972"/>
      <c r="C70" s="972"/>
      <c r="D70" s="973"/>
      <c r="E70" s="895" t="s">
        <v>237</v>
      </c>
      <c r="F70" s="895"/>
      <c r="G70" s="895"/>
      <c r="H70" s="895"/>
      <c r="I70" s="895"/>
      <c r="J70" s="896"/>
      <c r="K70" s="662"/>
      <c r="L70" s="663"/>
      <c r="M70" s="632"/>
      <c r="N70" s="633"/>
      <c r="O70" s="633"/>
      <c r="P70" s="633"/>
      <c r="Q70" s="633"/>
      <c r="R70" s="633"/>
      <c r="S70" s="633"/>
      <c r="T70" s="633"/>
      <c r="U70" s="634"/>
      <c r="V70" s="723"/>
      <c r="W70" s="723"/>
      <c r="X70" s="723"/>
      <c r="Y70" s="723"/>
      <c r="Z70" s="723"/>
      <c r="AA70" s="723"/>
      <c r="AB70" s="723"/>
      <c r="AC70" s="723"/>
      <c r="AD70" s="723"/>
      <c r="AE70" s="723"/>
      <c r="AF70" s="723"/>
      <c r="AG70" s="1024"/>
      <c r="AH70" s="1024"/>
      <c r="AI70" s="787"/>
      <c r="AJ70" s="787"/>
      <c r="AK70" s="787"/>
      <c r="AL70" s="787"/>
      <c r="AM70" s="787"/>
      <c r="AN70" s="787"/>
      <c r="AO70" s="787"/>
    </row>
    <row r="71" spans="1:41" ht="15.2" customHeight="1">
      <c r="A71" s="971"/>
      <c r="B71" s="972"/>
      <c r="C71" s="972"/>
      <c r="D71" s="973"/>
      <c r="E71" s="895"/>
      <c r="F71" s="895"/>
      <c r="G71" s="895"/>
      <c r="H71" s="895"/>
      <c r="I71" s="895"/>
      <c r="J71" s="896"/>
      <c r="K71" s="662" t="s">
        <v>191</v>
      </c>
      <c r="L71" s="663"/>
      <c r="M71" s="632" t="str">
        <f>$V$3&amp;""&amp;V67&amp;" "&amp;AC59</f>
        <v>Hi, If the quote I sent you was not what you were looking for I can send you additional options? Did you want to look at a Line of Credit :credit_card: or an Equity Loan :moneybag: instead? [Ellis w/ West Capital Lending]</v>
      </c>
      <c r="N71" s="633"/>
      <c r="O71" s="633"/>
      <c r="P71" s="633"/>
      <c r="Q71" s="633"/>
      <c r="R71" s="633"/>
      <c r="S71" s="633"/>
      <c r="T71" s="633"/>
      <c r="U71" s="634"/>
      <c r="V71" s="723" t="s">
        <v>192</v>
      </c>
      <c r="W71" s="723"/>
      <c r="X71" s="723"/>
      <c r="Y71" s="723"/>
      <c r="Z71" s="723"/>
      <c r="AA71" s="723"/>
      <c r="AB71" s="723"/>
      <c r="AC71" s="723"/>
      <c r="AD71" s="723"/>
      <c r="AE71" s="723"/>
      <c r="AF71" s="723"/>
      <c r="AG71" s="1024"/>
      <c r="AH71" s="1024"/>
      <c r="AI71" s="787"/>
      <c r="AJ71" s="787"/>
      <c r="AK71" s="787"/>
      <c r="AL71" s="787"/>
      <c r="AM71" s="787"/>
      <c r="AN71" s="787"/>
      <c r="AO71" s="787"/>
    </row>
    <row r="72" spans="1:41" ht="15.2" customHeight="1">
      <c r="A72" s="971" t="s">
        <v>260</v>
      </c>
      <c r="B72" s="972"/>
      <c r="C72" s="972"/>
      <c r="D72" s="973"/>
      <c r="E72" s="895">
        <f>LEADS!$M$3</f>
        <v>340000</v>
      </c>
      <c r="F72" s="895"/>
      <c r="G72" s="895"/>
      <c r="H72" s="895"/>
      <c r="I72" s="895"/>
      <c r="J72" s="896"/>
      <c r="K72" s="662"/>
      <c r="L72" s="663"/>
      <c r="M72" s="632"/>
      <c r="N72" s="633"/>
      <c r="O72" s="633"/>
      <c r="P72" s="633"/>
      <c r="Q72" s="633"/>
      <c r="R72" s="633"/>
      <c r="S72" s="633"/>
      <c r="T72" s="633"/>
      <c r="U72" s="634"/>
      <c r="V72" s="723"/>
      <c r="W72" s="723"/>
      <c r="X72" s="723"/>
      <c r="Y72" s="723"/>
      <c r="Z72" s="723"/>
      <c r="AA72" s="723"/>
      <c r="AB72" s="723"/>
      <c r="AC72" s="723"/>
      <c r="AD72" s="723"/>
      <c r="AE72" s="723"/>
      <c r="AF72" s="723"/>
      <c r="AG72" s="1024"/>
      <c r="AH72" s="1024"/>
      <c r="AI72" s="787"/>
      <c r="AJ72" s="787"/>
      <c r="AK72" s="787"/>
      <c r="AL72" s="787"/>
      <c r="AM72" s="787"/>
      <c r="AN72" s="787"/>
      <c r="AO72" s="787"/>
    </row>
    <row r="73" spans="1:41" ht="15.2" customHeight="1">
      <c r="A73" s="971"/>
      <c r="B73" s="972"/>
      <c r="C73" s="972"/>
      <c r="D73" s="973"/>
      <c r="E73" s="895"/>
      <c r="F73" s="895"/>
      <c r="G73" s="895"/>
      <c r="H73" s="895"/>
      <c r="I73" s="895"/>
      <c r="J73" s="896"/>
      <c r="K73" s="662"/>
      <c r="L73" s="663"/>
      <c r="M73" s="632"/>
      <c r="N73" s="633"/>
      <c r="O73" s="633"/>
      <c r="P73" s="633"/>
      <c r="Q73" s="633"/>
      <c r="R73" s="633"/>
      <c r="S73" s="633"/>
      <c r="T73" s="633"/>
      <c r="U73" s="634"/>
      <c r="V73" s="723" t="s">
        <v>195</v>
      </c>
      <c r="W73" s="723"/>
      <c r="X73" s="723"/>
      <c r="Y73" s="723"/>
      <c r="Z73" s="723"/>
      <c r="AA73" s="723"/>
      <c r="AB73" s="723"/>
      <c r="AC73" s="723"/>
      <c r="AD73" s="723"/>
      <c r="AE73" s="723"/>
      <c r="AF73" s="723"/>
      <c r="AG73" s="1024"/>
      <c r="AH73" s="1024"/>
      <c r="AI73" s="787"/>
      <c r="AJ73" s="787"/>
      <c r="AK73" s="787"/>
      <c r="AL73" s="787"/>
      <c r="AM73" s="787"/>
      <c r="AN73" s="787"/>
      <c r="AO73" s="787"/>
    </row>
    <row r="74" spans="1:41" ht="15.2" customHeight="1">
      <c r="A74" s="971" t="s">
        <v>261</v>
      </c>
      <c r="B74" s="972"/>
      <c r="C74" s="972"/>
      <c r="D74" s="973"/>
      <c r="E74" s="895">
        <f>$C$13</f>
        <v>740000</v>
      </c>
      <c r="F74" s="895"/>
      <c r="G74" s="895"/>
      <c r="H74" s="895"/>
      <c r="I74" s="895"/>
      <c r="J74" s="896"/>
      <c r="K74" s="662" t="s">
        <v>196</v>
      </c>
      <c r="L74" s="663"/>
      <c r="M74" s="632" t="str">
        <f>$V$3&amp;""&amp;V69&amp;" "&amp;AC59</f>
        <v>Hi, just wanted to follow up with you did you get the text above :point_up_2:  [Ellis w/ West Capital Lending]</v>
      </c>
      <c r="N74" s="633"/>
      <c r="O74" s="633"/>
      <c r="P74" s="633"/>
      <c r="Q74" s="633"/>
      <c r="R74" s="633"/>
      <c r="S74" s="633"/>
      <c r="T74" s="633"/>
      <c r="U74" s="634"/>
      <c r="V74" s="723"/>
      <c r="W74" s="723"/>
      <c r="X74" s="723"/>
      <c r="Y74" s="723"/>
      <c r="Z74" s="723"/>
      <c r="AA74" s="723"/>
      <c r="AB74" s="723"/>
      <c r="AC74" s="723"/>
      <c r="AD74" s="723"/>
      <c r="AE74" s="723"/>
      <c r="AF74" s="723"/>
      <c r="AG74" s="1024"/>
      <c r="AH74" s="1024"/>
      <c r="AI74" s="787"/>
      <c r="AJ74" s="787"/>
      <c r="AK74" s="787"/>
      <c r="AL74" s="787"/>
      <c r="AM74" s="787"/>
      <c r="AN74" s="787"/>
      <c r="AO74" s="787"/>
    </row>
    <row r="75" spans="1:41" ht="15.2" customHeight="1" thickBot="1">
      <c r="A75" s="971"/>
      <c r="B75" s="972"/>
      <c r="C75" s="972"/>
      <c r="D75" s="973"/>
      <c r="E75" s="895"/>
      <c r="F75" s="895"/>
      <c r="G75" s="895"/>
      <c r="H75" s="895"/>
      <c r="I75" s="895"/>
      <c r="J75" s="896"/>
      <c r="K75" s="662"/>
      <c r="L75" s="663"/>
      <c r="M75" s="632"/>
      <c r="N75" s="633"/>
      <c r="O75" s="633"/>
      <c r="P75" s="633"/>
      <c r="Q75" s="633"/>
      <c r="R75" s="633"/>
      <c r="S75" s="633"/>
      <c r="T75" s="633"/>
      <c r="U75" s="634"/>
      <c r="V75" s="723" t="s">
        <v>198</v>
      </c>
      <c r="W75" s="723"/>
      <c r="X75" s="723" t="s">
        <v>199</v>
      </c>
      <c r="Y75" s="723"/>
      <c r="Z75" s="723"/>
      <c r="AA75" s="723"/>
      <c r="AB75" s="723"/>
      <c r="AC75" s="723"/>
      <c r="AD75" s="723"/>
      <c r="AE75" s="723"/>
      <c r="AF75" s="723"/>
      <c r="AG75" s="1024"/>
      <c r="AH75" s="1024"/>
      <c r="AI75" s="787"/>
      <c r="AJ75" s="787"/>
      <c r="AK75" s="787"/>
      <c r="AL75" s="787"/>
      <c r="AM75" s="787"/>
      <c r="AN75" s="787"/>
      <c r="AO75" s="787"/>
    </row>
    <row r="76" spans="1:41" ht="15.2" customHeight="1">
      <c r="A76" s="974" t="s">
        <v>262</v>
      </c>
      <c r="B76" s="975"/>
      <c r="C76" s="975"/>
      <c r="D76" s="976"/>
      <c r="E76" s="853" t="s">
        <v>263</v>
      </c>
      <c r="F76" s="853"/>
      <c r="G76" s="854"/>
      <c r="H76" s="853" t="s">
        <v>264</v>
      </c>
      <c r="I76" s="853"/>
      <c r="J76" s="854"/>
      <c r="K76" s="662" t="s">
        <v>201</v>
      </c>
      <c r="L76" s="663"/>
      <c r="M76" s="632" t="str">
        <f>$V$3&amp;""&amp;V71&amp;" "&amp;AC59</f>
        <v>Hi, I know you may already be in process with another lender. :bank: Are you satisified with rate and service? :blush: :pensive: [Ellis w/ West Capital Lending]</v>
      </c>
      <c r="N76" s="633"/>
      <c r="O76" s="633"/>
      <c r="P76" s="633"/>
      <c r="Q76" s="633"/>
      <c r="R76" s="633"/>
      <c r="S76" s="633"/>
      <c r="T76" s="633"/>
      <c r="U76" s="634"/>
      <c r="V76" s="723"/>
      <c r="W76" s="723"/>
      <c r="X76" s="723"/>
      <c r="Y76" s="723"/>
      <c r="Z76" s="723"/>
      <c r="AA76" s="723"/>
      <c r="AB76" s="723"/>
      <c r="AC76" s="723"/>
      <c r="AD76" s="723"/>
      <c r="AE76" s="723"/>
      <c r="AF76" s="723"/>
      <c r="AG76" s="1024"/>
      <c r="AH76" s="1024"/>
      <c r="AI76" s="787"/>
      <c r="AJ76" s="787"/>
      <c r="AK76" s="787"/>
      <c r="AL76" s="787"/>
      <c r="AM76" s="787"/>
      <c r="AN76" s="787"/>
      <c r="AO76" s="787"/>
    </row>
    <row r="77" spans="1:41" ht="15.2" customHeight="1" thickBot="1">
      <c r="A77" s="977"/>
      <c r="B77" s="978"/>
      <c r="C77" s="978"/>
      <c r="D77" s="979"/>
      <c r="E77" s="855"/>
      <c r="F77" s="855"/>
      <c r="G77" s="856"/>
      <c r="H77" s="855"/>
      <c r="I77" s="855"/>
      <c r="J77" s="856"/>
      <c r="K77" s="662"/>
      <c r="L77" s="663"/>
      <c r="M77" s="632"/>
      <c r="N77" s="633"/>
      <c r="O77" s="633"/>
      <c r="P77" s="633"/>
      <c r="Q77" s="633"/>
      <c r="R77" s="633"/>
      <c r="S77" s="633"/>
      <c r="T77" s="633"/>
      <c r="U77" s="634"/>
      <c r="V77" s="723" t="s">
        <v>202</v>
      </c>
      <c r="W77" s="723"/>
      <c r="X77" s="723"/>
      <c r="Y77" s="723"/>
      <c r="Z77" s="723"/>
      <c r="AA77" s="723"/>
      <c r="AB77" s="723"/>
      <c r="AC77" s="723"/>
      <c r="AD77" s="723"/>
      <c r="AE77" s="723"/>
      <c r="AF77" s="723"/>
      <c r="AG77" s="1024"/>
      <c r="AH77" s="1024"/>
      <c r="AI77" s="787"/>
      <c r="AJ77" s="787"/>
      <c r="AK77" s="787"/>
      <c r="AL77" s="787"/>
      <c r="AM77" s="787"/>
      <c r="AN77" s="787"/>
      <c r="AO77" s="787"/>
    </row>
    <row r="78" spans="1:41" ht="15.2" customHeight="1">
      <c r="A78" s="971" t="s">
        <v>203</v>
      </c>
      <c r="B78" s="972"/>
      <c r="C78" s="972"/>
      <c r="D78" s="973"/>
      <c r="E78" s="858">
        <f>AH56</f>
        <v>7.7499999999999999E-2</v>
      </c>
      <c r="F78" s="858"/>
      <c r="G78" s="858"/>
      <c r="H78" s="858"/>
      <c r="I78" s="858"/>
      <c r="J78" s="859"/>
      <c r="K78" s="662" t="s">
        <v>204</v>
      </c>
      <c r="L78" s="663"/>
      <c r="M78" s="632" t="str">
        <f>$V$3&amp;""&amp;V73&amp;" "&amp;AC59</f>
        <v>Hi, if you changed your mind let me know so I can stop contacting you if you wish? [Ellis w/ West Capital Lending]</v>
      </c>
      <c r="N78" s="633"/>
      <c r="O78" s="633"/>
      <c r="P78" s="633"/>
      <c r="Q78" s="633"/>
      <c r="R78" s="633"/>
      <c r="S78" s="633"/>
      <c r="T78" s="633"/>
      <c r="U78" s="634"/>
      <c r="V78" s="723"/>
      <c r="W78" s="723"/>
      <c r="X78" s="723"/>
      <c r="Y78" s="723"/>
      <c r="Z78" s="723"/>
      <c r="AA78" s="723"/>
      <c r="AB78" s="723"/>
      <c r="AC78" s="723"/>
      <c r="AD78" s="723"/>
      <c r="AE78" s="723"/>
      <c r="AF78" s="723"/>
      <c r="AG78" s="1024"/>
      <c r="AH78" s="1024"/>
      <c r="AI78" s="787"/>
      <c r="AJ78" s="787"/>
      <c r="AK78" s="787"/>
      <c r="AL78" s="787"/>
      <c r="AM78" s="787"/>
      <c r="AN78" s="787"/>
      <c r="AO78" s="787"/>
    </row>
    <row r="79" spans="1:41" ht="15.2" customHeight="1">
      <c r="A79" s="971"/>
      <c r="B79" s="972"/>
      <c r="C79" s="972"/>
      <c r="D79" s="973"/>
      <c r="E79" s="858"/>
      <c r="F79" s="858"/>
      <c r="G79" s="858"/>
      <c r="H79" s="858"/>
      <c r="I79" s="858"/>
      <c r="J79" s="859"/>
      <c r="K79" s="662"/>
      <c r="L79" s="663"/>
      <c r="M79" s="632"/>
      <c r="N79" s="633"/>
      <c r="O79" s="633"/>
      <c r="P79" s="633"/>
      <c r="Q79" s="633"/>
      <c r="R79" s="633"/>
      <c r="S79" s="633"/>
      <c r="T79" s="633"/>
      <c r="U79" s="634"/>
      <c r="V79" s="723" t="s">
        <v>206</v>
      </c>
      <c r="W79" s="723"/>
      <c r="X79" s="723"/>
      <c r="Y79" s="723"/>
      <c r="Z79" s="723"/>
      <c r="AA79" s="723"/>
      <c r="AB79" s="723"/>
      <c r="AC79" s="723"/>
      <c r="AD79" s="723"/>
      <c r="AE79" s="723"/>
      <c r="AF79" s="723"/>
      <c r="AG79" s="1024"/>
      <c r="AH79" s="1024"/>
      <c r="AI79" s="787"/>
      <c r="AJ79" s="787"/>
      <c r="AK79" s="787"/>
      <c r="AL79" s="787"/>
      <c r="AM79" s="787"/>
      <c r="AN79" s="787"/>
      <c r="AO79" s="787"/>
    </row>
    <row r="80" spans="1:41" ht="15.2" customHeight="1">
      <c r="A80" s="971" t="s">
        <v>163</v>
      </c>
      <c r="B80" s="972"/>
      <c r="C80" s="972"/>
      <c r="D80" s="973"/>
      <c r="E80" s="858">
        <f>AH58</f>
        <v>7.8750000000000001E-2</v>
      </c>
      <c r="F80" s="858"/>
      <c r="G80" s="858"/>
      <c r="H80" s="858"/>
      <c r="I80" s="858"/>
      <c r="J80" s="859"/>
      <c r="K80" s="664" t="s">
        <v>233</v>
      </c>
      <c r="L80" s="665"/>
      <c r="M80" s="632" t="str">
        <f>$V$3&amp;""&amp;V75&amp;" "&amp;AC62&amp;""&amp;AB62&amp;" "&amp;X75&amp;" "&amp;AC59</f>
        <v>Hi, did you still want to take out the $740000 :money_with_wings: in cash from your home? [Ellis w/ West Capital Lending]</v>
      </c>
      <c r="N80" s="633"/>
      <c r="O80" s="633"/>
      <c r="P80" s="633"/>
      <c r="Q80" s="633"/>
      <c r="R80" s="633"/>
      <c r="S80" s="633"/>
      <c r="T80" s="633"/>
      <c r="U80" s="634"/>
      <c r="V80" s="723"/>
      <c r="W80" s="723"/>
      <c r="X80" s="723"/>
      <c r="Y80" s="723"/>
      <c r="Z80" s="723"/>
      <c r="AA80" s="723"/>
      <c r="AB80" s="723"/>
      <c r="AC80" s="723"/>
      <c r="AD80" s="723"/>
      <c r="AE80" s="723"/>
      <c r="AF80" s="723"/>
      <c r="AG80" s="1024"/>
      <c r="AH80" s="1024"/>
      <c r="AI80" s="787"/>
      <c r="AJ80" s="787"/>
      <c r="AK80" s="787"/>
      <c r="AL80" s="787"/>
      <c r="AM80" s="787"/>
      <c r="AN80" s="787"/>
      <c r="AO80" s="787"/>
    </row>
    <row r="81" spans="1:41" ht="15.2" customHeight="1">
      <c r="A81" s="971"/>
      <c r="B81" s="972"/>
      <c r="C81" s="972"/>
      <c r="D81" s="973"/>
      <c r="E81" s="858"/>
      <c r="F81" s="858"/>
      <c r="G81" s="858"/>
      <c r="H81" s="858"/>
      <c r="I81" s="858"/>
      <c r="J81" s="859"/>
      <c r="K81" s="664"/>
      <c r="L81" s="665"/>
      <c r="M81" s="632"/>
      <c r="N81" s="633"/>
      <c r="O81" s="633"/>
      <c r="P81" s="633"/>
      <c r="Q81" s="633"/>
      <c r="R81" s="633"/>
      <c r="S81" s="633"/>
      <c r="T81" s="633"/>
      <c r="U81" s="634"/>
      <c r="V81" s="723" t="s">
        <v>208</v>
      </c>
      <c r="W81" s="723"/>
      <c r="X81" s="723"/>
      <c r="Y81" s="723"/>
      <c r="Z81" s="723"/>
      <c r="AA81" s="723"/>
      <c r="AB81" s="723"/>
      <c r="AC81" s="723"/>
      <c r="AD81" s="723"/>
      <c r="AE81" s="723"/>
      <c r="AF81" s="723"/>
      <c r="AG81" s="1024"/>
      <c r="AH81" s="1024"/>
      <c r="AI81" s="787"/>
      <c r="AJ81" s="787"/>
      <c r="AK81" s="787"/>
      <c r="AL81" s="787"/>
      <c r="AM81" s="787"/>
      <c r="AN81" s="787"/>
      <c r="AO81" s="787"/>
    </row>
    <row r="82" spans="1:41" ht="15.2" customHeight="1">
      <c r="A82" s="971" t="s">
        <v>209</v>
      </c>
      <c r="B82" s="972"/>
      <c r="C82" s="972"/>
      <c r="D82" s="973"/>
      <c r="E82" s="861">
        <f>AH60</f>
        <v>20000</v>
      </c>
      <c r="F82" s="861"/>
      <c r="G82" s="861"/>
      <c r="H82" s="861"/>
      <c r="I82" s="861"/>
      <c r="J82" s="862"/>
      <c r="K82" s="791" t="s">
        <v>210</v>
      </c>
      <c r="L82" s="792"/>
      <c r="M82" s="942" t="str">
        <f>$V$3&amp;""&amp;V77&amp;" "&amp;AC59</f>
        <v>Hi, generally when I do not receive a response it is because the client was told they didn't qualify. I am broker and I can work with any credit or income profile. [Ellis w/ West Capital Lending]</v>
      </c>
      <c r="N82" s="943"/>
      <c r="O82" s="943"/>
      <c r="P82" s="943"/>
      <c r="Q82" s="943"/>
      <c r="R82" s="943"/>
      <c r="S82" s="943"/>
      <c r="T82" s="943"/>
      <c r="U82" s="944"/>
      <c r="V82" s="723"/>
      <c r="W82" s="723"/>
      <c r="X82" s="723"/>
      <c r="Y82" s="723"/>
      <c r="Z82" s="723"/>
      <c r="AA82" s="723"/>
      <c r="AB82" s="723"/>
      <c r="AC82" s="723"/>
      <c r="AD82" s="723"/>
      <c r="AE82" s="723"/>
      <c r="AF82" s="723"/>
      <c r="AG82" s="1024"/>
      <c r="AH82" s="1024"/>
      <c r="AI82" s="787"/>
      <c r="AJ82" s="787"/>
      <c r="AK82" s="787"/>
      <c r="AL82" s="787"/>
      <c r="AM82" s="787"/>
      <c r="AN82" s="787"/>
      <c r="AO82" s="787"/>
    </row>
    <row r="83" spans="1:41" ht="15.2" customHeight="1" thickBot="1">
      <c r="A83" s="971"/>
      <c r="B83" s="972"/>
      <c r="C83" s="972"/>
      <c r="D83" s="973"/>
      <c r="E83" s="861"/>
      <c r="F83" s="861"/>
      <c r="G83" s="861"/>
      <c r="H83" s="861"/>
      <c r="I83" s="861"/>
      <c r="J83" s="862"/>
      <c r="K83" s="818"/>
      <c r="L83" s="819"/>
      <c r="M83" s="1013"/>
      <c r="N83" s="1014"/>
      <c r="O83" s="1014"/>
      <c r="P83" s="1014"/>
      <c r="Q83" s="1014"/>
      <c r="R83" s="1014"/>
      <c r="S83" s="1014"/>
      <c r="T83" s="1014"/>
      <c r="U83" s="1015"/>
      <c r="V83" s="723" t="s">
        <v>212</v>
      </c>
      <c r="W83" s="723"/>
      <c r="X83" s="723"/>
      <c r="Y83" s="723"/>
      <c r="Z83" s="723"/>
      <c r="AA83" s="723"/>
      <c r="AB83" s="723"/>
      <c r="AC83" s="723"/>
      <c r="AD83" s="723"/>
      <c r="AE83" s="723"/>
      <c r="AF83" s="723"/>
      <c r="AG83" s="1024"/>
      <c r="AH83" s="1024"/>
      <c r="AI83" s="787"/>
      <c r="AJ83" s="787"/>
      <c r="AK83" s="787"/>
      <c r="AL83" s="787"/>
      <c r="AM83" s="787"/>
      <c r="AN83" s="787"/>
      <c r="AO83" s="787"/>
    </row>
    <row r="84" spans="1:41" ht="15.2" customHeight="1">
      <c r="A84" s="974" t="s">
        <v>213</v>
      </c>
      <c r="B84" s="975"/>
      <c r="C84" s="975"/>
      <c r="D84" s="976"/>
      <c r="E84" s="866">
        <f>ABS(IPMT(E78/12,1,360,C64))</f>
        <v>4779.166666666667</v>
      </c>
      <c r="F84" s="867"/>
      <c r="G84" s="867"/>
      <c r="H84" s="867"/>
      <c r="I84" s="867"/>
      <c r="J84" s="868"/>
      <c r="K84" s="791" t="s">
        <v>214</v>
      </c>
      <c r="L84" s="792"/>
      <c r="M84" s="921" t="str">
        <f>$V$3&amp;""&amp;V79&amp;" "&amp;AC59</f>
        <v>Hi, home values are trending up in your area. :zap: Have you had an evaluation done recently? [Ellis w/ West Capital Lending]</v>
      </c>
      <c r="N84" s="822"/>
      <c r="O84" s="822"/>
      <c r="P84" s="822"/>
      <c r="Q84" s="822"/>
      <c r="R84" s="822"/>
      <c r="S84" s="822"/>
      <c r="T84" s="822"/>
      <c r="U84" s="823"/>
      <c r="V84" s="723"/>
      <c r="W84" s="723"/>
      <c r="X84" s="723"/>
      <c r="Y84" s="723"/>
      <c r="Z84" s="723"/>
      <c r="AA84" s="723"/>
      <c r="AB84" s="723"/>
      <c r="AC84" s="723"/>
      <c r="AD84" s="723"/>
      <c r="AE84" s="723"/>
      <c r="AF84" s="723"/>
      <c r="AG84" s="1024"/>
      <c r="AH84" s="1024"/>
      <c r="AI84" s="787"/>
      <c r="AJ84" s="787"/>
      <c r="AK84" s="787"/>
      <c r="AL84" s="787"/>
      <c r="AM84" s="787"/>
      <c r="AN84" s="787"/>
      <c r="AO84" s="787"/>
    </row>
    <row r="85" spans="1:41" ht="15.2" customHeight="1" thickBot="1">
      <c r="A85" s="977"/>
      <c r="B85" s="978"/>
      <c r="C85" s="978"/>
      <c r="D85" s="979"/>
      <c r="E85" s="869"/>
      <c r="F85" s="870"/>
      <c r="G85" s="870"/>
      <c r="H85" s="870"/>
      <c r="I85" s="870"/>
      <c r="J85" s="871"/>
      <c r="K85" s="793"/>
      <c r="L85" s="794"/>
      <c r="M85" s="939"/>
      <c r="N85" s="940"/>
      <c r="O85" s="940"/>
      <c r="P85" s="940"/>
      <c r="Q85" s="940"/>
      <c r="R85" s="940"/>
      <c r="S85" s="940"/>
      <c r="T85" s="940"/>
      <c r="U85" s="941"/>
      <c r="V85" t="s">
        <v>241</v>
      </c>
      <c r="X85" s="19"/>
      <c r="Y85" s="19"/>
      <c r="Z85" s="19"/>
      <c r="AA85" t="s">
        <v>242</v>
      </c>
      <c r="AC85" s="19"/>
      <c r="AD85" t="s">
        <v>215</v>
      </c>
      <c r="AE85" s="19"/>
      <c r="AF85" s="19"/>
      <c r="AG85" s="1024"/>
      <c r="AH85" s="1024"/>
      <c r="AI85" s="787"/>
      <c r="AJ85" s="787"/>
      <c r="AK85" s="787"/>
      <c r="AL85" s="787"/>
      <c r="AM85" s="787"/>
      <c r="AN85" s="787"/>
      <c r="AO85" s="787"/>
    </row>
    <row r="86" spans="1:41" ht="15.2" customHeight="1">
      <c r="A86" s="974" t="s">
        <v>265</v>
      </c>
      <c r="B86" s="975"/>
      <c r="C86" s="975">
        <f>C64</f>
        <v>740000</v>
      </c>
      <c r="D86" s="976"/>
      <c r="E86" s="864">
        <f>$C$13</f>
        <v>740000</v>
      </c>
      <c r="F86" s="864"/>
      <c r="G86" s="864"/>
      <c r="H86" s="864"/>
      <c r="I86" s="864"/>
      <c r="J86" s="865"/>
      <c r="K86" s="791" t="s">
        <v>216</v>
      </c>
      <c r="L86" s="792"/>
      <c r="M86" s="921" t="str">
        <f>$V$3&amp;""&amp;V81&amp;" "&amp;AC59</f>
        <v>Hi, a lot of my clients are calling to consolidate their debt. Do you carry any High Interest Balances? [Ellis w/ West Capital Lending]</v>
      </c>
      <c r="N86" s="822"/>
      <c r="O86" s="822"/>
      <c r="P86" s="822"/>
      <c r="Q86" s="822"/>
      <c r="R86" s="822"/>
      <c r="S86" s="822"/>
      <c r="T86" s="822"/>
      <c r="U86" s="823"/>
      <c r="V86" t="s">
        <v>243</v>
      </c>
      <c r="W86" s="1">
        <v>325</v>
      </c>
      <c r="X86" t="s">
        <v>244</v>
      </c>
      <c r="Y86" s="1">
        <v>26.5</v>
      </c>
      <c r="Z86" s="19"/>
      <c r="AA86" t="s">
        <v>245</v>
      </c>
      <c r="AB86">
        <v>350</v>
      </c>
      <c r="AC86" s="19"/>
      <c r="AD86" t="s">
        <v>217</v>
      </c>
      <c r="AF86" s="19"/>
      <c r="AG86" s="1024"/>
      <c r="AH86" s="1024"/>
      <c r="AI86" s="787"/>
      <c r="AJ86" s="787"/>
      <c r="AK86" s="787"/>
      <c r="AL86" s="787"/>
      <c r="AM86" s="787"/>
      <c r="AN86" s="787"/>
      <c r="AO86" s="787"/>
    </row>
    <row r="87" spans="1:41" ht="15.2" customHeight="1" thickBot="1">
      <c r="A87" s="977"/>
      <c r="B87" s="978"/>
      <c r="C87" s="978"/>
      <c r="D87" s="979"/>
      <c r="E87" s="876"/>
      <c r="F87" s="876"/>
      <c r="G87" s="876"/>
      <c r="H87" s="876"/>
      <c r="I87" s="876"/>
      <c r="J87" s="877"/>
      <c r="K87" s="793"/>
      <c r="L87" s="794"/>
      <c r="M87" s="922"/>
      <c r="N87" s="728"/>
      <c r="O87" s="728"/>
      <c r="P87" s="728"/>
      <c r="Q87" s="728"/>
      <c r="R87" s="728"/>
      <c r="S87" s="728"/>
      <c r="T87" s="728"/>
      <c r="U87" s="729"/>
      <c r="V87" t="s">
        <v>246</v>
      </c>
      <c r="W87" s="1">
        <f>Y52*0.02</f>
        <v>0</v>
      </c>
      <c r="X87" t="s">
        <v>247</v>
      </c>
      <c r="Y87" s="1">
        <v>2.5</v>
      </c>
      <c r="Z87" s="19"/>
      <c r="AA87" t="s">
        <v>248</v>
      </c>
      <c r="AB87">
        <v>600</v>
      </c>
      <c r="AC87" s="19"/>
      <c r="AD87" t="s">
        <v>218</v>
      </c>
      <c r="AF87" s="19"/>
      <c r="AG87" s="1024"/>
      <c r="AH87" s="1024"/>
      <c r="AI87" s="787"/>
      <c r="AJ87" s="787"/>
      <c r="AK87" s="787"/>
      <c r="AL87" s="787"/>
      <c r="AM87" s="787"/>
      <c r="AN87" s="787"/>
      <c r="AO87" s="787"/>
    </row>
    <row r="88" spans="1:41" ht="15.2" customHeight="1" thickBot="1">
      <c r="A88" s="971" t="s">
        <v>219</v>
      </c>
      <c r="B88" s="972"/>
      <c r="C88" s="972"/>
      <c r="D88" s="973"/>
      <c r="E88" s="765" t="s">
        <v>33</v>
      </c>
      <c r="F88" s="767"/>
      <c r="G88" s="765" t="s">
        <v>34</v>
      </c>
      <c r="H88" s="767"/>
      <c r="I88" s="765" t="s">
        <v>35</v>
      </c>
      <c r="J88" s="767"/>
      <c r="K88" s="950" t="s">
        <v>220</v>
      </c>
      <c r="L88" s="951"/>
      <c r="M88" s="784" t="str">
        <f>V83&amp;" "&amp;AC59</f>
        <v>Do I have the right person? [Ellis w/ West Capital Lending]</v>
      </c>
      <c r="N88" s="785"/>
      <c r="O88" s="785"/>
      <c r="P88" s="785"/>
      <c r="Q88" s="785"/>
      <c r="R88" s="785"/>
      <c r="S88" s="785"/>
      <c r="T88" s="785"/>
      <c r="U88" s="786"/>
      <c r="V88" t="s">
        <v>249</v>
      </c>
      <c r="W88" s="1">
        <v>45</v>
      </c>
      <c r="X88" t="s">
        <v>250</v>
      </c>
      <c r="Y88" s="1">
        <v>79</v>
      </c>
      <c r="Z88" s="19"/>
      <c r="AA88" t="s">
        <v>251</v>
      </c>
      <c r="AB88">
        <v>650</v>
      </c>
      <c r="AC88" s="19"/>
      <c r="AD88" t="s">
        <v>221</v>
      </c>
      <c r="AF88" s="19"/>
      <c r="AG88" s="1024"/>
      <c r="AH88" s="1024"/>
      <c r="AI88" s="787"/>
      <c r="AJ88" s="787"/>
      <c r="AK88" s="787"/>
      <c r="AL88" s="787"/>
      <c r="AM88" s="787"/>
      <c r="AN88" s="787"/>
      <c r="AO88" s="787"/>
    </row>
    <row r="89" spans="1:41" ht="15.2" customHeight="1" thickBot="1">
      <c r="A89" s="971"/>
      <c r="B89" s="972"/>
      <c r="C89" s="972"/>
      <c r="D89" s="973"/>
      <c r="E89" s="768"/>
      <c r="F89" s="770"/>
      <c r="G89" s="768"/>
      <c r="H89" s="770"/>
      <c r="I89" s="768"/>
      <c r="J89" s="770"/>
      <c r="K89" s="795"/>
      <c r="L89" s="795"/>
      <c r="M89" s="795"/>
      <c r="N89" s="795"/>
      <c r="O89" s="795"/>
      <c r="P89" s="795"/>
      <c r="Q89" s="795"/>
      <c r="R89" s="795"/>
      <c r="S89" s="795"/>
      <c r="T89" s="795"/>
      <c r="U89" s="795"/>
      <c r="V89" t="s">
        <v>252</v>
      </c>
      <c r="W89" s="1">
        <v>5.5</v>
      </c>
      <c r="X89" t="s">
        <v>253</v>
      </c>
      <c r="Y89" s="1">
        <v>145</v>
      </c>
      <c r="Z89" s="19"/>
      <c r="AA89" t="s">
        <v>254</v>
      </c>
      <c r="AB89">
        <v>130</v>
      </c>
      <c r="AC89" s="19"/>
      <c r="AD89" t="s">
        <v>222</v>
      </c>
      <c r="AF89" s="19"/>
      <c r="AG89" s="1024"/>
      <c r="AH89" s="1024"/>
      <c r="AI89" s="787"/>
      <c r="AJ89" s="787"/>
      <c r="AK89" s="787"/>
      <c r="AL89" s="787"/>
      <c r="AM89" s="787"/>
      <c r="AN89" s="787"/>
      <c r="AO89" s="787"/>
    </row>
    <row r="90" spans="1:41" ht="15.2" customHeight="1">
      <c r="A90" s="971"/>
      <c r="B90" s="972"/>
      <c r="C90" s="972"/>
      <c r="D90" s="973"/>
      <c r="E90" s="765" t="s">
        <v>223</v>
      </c>
      <c r="F90" s="767"/>
      <c r="G90" s="765" t="s">
        <v>224</v>
      </c>
      <c r="H90" s="767"/>
      <c r="I90" s="765" t="s">
        <v>225</v>
      </c>
      <c r="J90" s="767"/>
      <c r="K90" s="796"/>
      <c r="L90" s="796"/>
      <c r="M90" s="796"/>
      <c r="N90" s="796"/>
      <c r="O90" s="796"/>
      <c r="P90" s="796"/>
      <c r="Q90" s="796"/>
      <c r="R90" s="796"/>
      <c r="S90" s="796"/>
      <c r="T90" s="796"/>
      <c r="U90" s="796"/>
      <c r="V90" t="s">
        <v>255</v>
      </c>
      <c r="W90" s="1">
        <v>6</v>
      </c>
      <c r="X90" t="s">
        <v>256</v>
      </c>
      <c r="Y90" s="1">
        <v>145</v>
      </c>
      <c r="AA90" t="s">
        <v>257</v>
      </c>
      <c r="AD90" t="s">
        <v>158</v>
      </c>
      <c r="AG90" s="1024"/>
      <c r="AH90" s="1024"/>
      <c r="AI90" s="787"/>
      <c r="AJ90" s="787"/>
      <c r="AK90" s="787"/>
      <c r="AL90" s="787"/>
      <c r="AM90" s="787"/>
      <c r="AN90" s="787"/>
      <c r="AO90" s="787"/>
    </row>
    <row r="91" spans="1:41" ht="15.2" customHeight="1" thickBot="1">
      <c r="A91" s="977"/>
      <c r="B91" s="978"/>
      <c r="C91" s="978"/>
      <c r="D91" s="979"/>
      <c r="E91" s="768"/>
      <c r="F91" s="770"/>
      <c r="G91" s="768"/>
      <c r="H91" s="770"/>
      <c r="I91" s="768"/>
      <c r="J91" s="770"/>
      <c r="K91" s="796"/>
      <c r="L91" s="796"/>
      <c r="M91" s="796"/>
      <c r="N91" s="796"/>
      <c r="O91" s="796"/>
      <c r="P91" s="796"/>
      <c r="Q91" s="796"/>
      <c r="R91" s="796"/>
      <c r="S91" s="796"/>
      <c r="T91" s="796"/>
      <c r="U91" s="796"/>
      <c r="V91" t="s">
        <v>258</v>
      </c>
      <c r="W91" s="1">
        <v>24.95</v>
      </c>
      <c r="X91" t="s">
        <v>259</v>
      </c>
      <c r="Y91" s="1">
        <v>249</v>
      </c>
      <c r="AD91" t="s">
        <v>211</v>
      </c>
      <c r="AE91">
        <f>IF(AH65="5 Year Fixed",60,IF(AH65="10 Year Fixed",120,IF(AH65="15 Year Fixed",180,IF(AH65="20 Year Fixed",240,IF(AH65="25 Year Fixed",300,IF(AH65="30 Year Fixed",360,0))))))</f>
        <v>0</v>
      </c>
      <c r="AG91" s="1024"/>
      <c r="AH91" s="1024"/>
      <c r="AI91" s="787"/>
      <c r="AJ91" s="787"/>
      <c r="AK91" s="787"/>
      <c r="AL91" s="787"/>
      <c r="AM91" s="787"/>
      <c r="AN91" s="787"/>
      <c r="AO91" s="787"/>
    </row>
    <row r="92" spans="1:41" ht="15.2" customHeight="1">
      <c r="A92" s="775"/>
      <c r="B92" s="776"/>
      <c r="C92" s="776"/>
      <c r="D92" s="776"/>
      <c r="E92" s="776"/>
      <c r="F92" s="776"/>
      <c r="G92" s="776"/>
      <c r="H92" s="776"/>
      <c r="I92" s="776"/>
      <c r="J92" s="777"/>
      <c r="K92" s="796"/>
      <c r="L92" s="796"/>
      <c r="M92" s="796"/>
      <c r="N92" s="796"/>
      <c r="O92" s="796"/>
      <c r="P92" s="796"/>
      <c r="Q92" s="796"/>
      <c r="R92" s="796"/>
      <c r="S92" s="796"/>
      <c r="T92" s="796"/>
      <c r="U92" s="796"/>
      <c r="X92" t="s">
        <v>130</v>
      </c>
      <c r="Y92" s="4">
        <f>SUM(W86:W91,Y86:Y91)</f>
        <v>1053.45</v>
      </c>
      <c r="AD92" t="s">
        <v>226</v>
      </c>
      <c r="AE92">
        <f>IF(AH73="5 Year Fixed",60,IF(AH73="10 Year Fixed",120,IF(AH73="15 Year Fixed",180,IF(AH73="20 Year Fixed",240,IF(AH73="25 Year Fixed",300,IF(AH73="30 Year Fixed",360,0))))))</f>
        <v>0</v>
      </c>
      <c r="AG92" s="1024"/>
      <c r="AH92" s="1024"/>
      <c r="AI92" s="787"/>
      <c r="AJ92" s="787"/>
      <c r="AK92" s="787"/>
      <c r="AL92" s="787"/>
      <c r="AM92" s="787"/>
      <c r="AN92" s="787"/>
      <c r="AO92" s="787"/>
    </row>
    <row r="93" spans="1:41" ht="15.2" customHeight="1">
      <c r="A93" s="778"/>
      <c r="B93" s="779"/>
      <c r="C93" s="779"/>
      <c r="D93" s="779"/>
      <c r="E93" s="779"/>
      <c r="F93" s="779"/>
      <c r="G93" s="779"/>
      <c r="H93" s="779"/>
      <c r="I93" s="779"/>
      <c r="J93" s="780"/>
      <c r="K93" s="796"/>
      <c r="L93" s="796"/>
      <c r="M93" s="796"/>
      <c r="N93" s="796"/>
      <c r="O93" s="796"/>
      <c r="P93" s="796"/>
      <c r="Q93" s="796"/>
      <c r="R93" s="796"/>
      <c r="S93" s="796"/>
      <c r="T93" s="796"/>
      <c r="U93" s="796"/>
      <c r="Y93" s="4"/>
      <c r="AG93" s="1024"/>
      <c r="AH93" s="1024"/>
      <c r="AI93" s="787"/>
      <c r="AJ93" s="787"/>
      <c r="AK93" s="787"/>
      <c r="AL93" s="787"/>
      <c r="AM93" s="787"/>
      <c r="AN93" s="787"/>
      <c r="AO93" s="787"/>
    </row>
    <row r="94" spans="1:41" ht="15.2" customHeight="1" thickBot="1">
      <c r="A94" s="781"/>
      <c r="B94" s="782"/>
      <c r="C94" s="782"/>
      <c r="D94" s="782"/>
      <c r="E94" s="782"/>
      <c r="F94" s="782"/>
      <c r="G94" s="782"/>
      <c r="H94" s="782"/>
      <c r="I94" s="782"/>
      <c r="J94" s="783"/>
      <c r="K94" s="796"/>
      <c r="L94" s="796"/>
      <c r="M94" s="796"/>
      <c r="N94" s="796"/>
      <c r="O94" s="796"/>
      <c r="P94" s="796"/>
      <c r="Q94" s="796"/>
      <c r="R94" s="796"/>
      <c r="S94" s="796"/>
      <c r="T94" s="796"/>
      <c r="U94" s="796"/>
      <c r="Y94" s="4"/>
      <c r="AG94" s="1024"/>
      <c r="AH94" s="1024"/>
      <c r="AI94" s="787"/>
      <c r="AJ94" s="787"/>
      <c r="AK94" s="787"/>
      <c r="AL94" s="787"/>
      <c r="AM94" s="787"/>
      <c r="AN94" s="787"/>
      <c r="AO94" s="787"/>
    </row>
    <row r="95" spans="1:41" ht="15.2" customHeight="1">
      <c r="A95" s="758" t="str">
        <f>F52&amp;" - "&amp;START!$E$25</f>
        <v>Ellis Andersen | Branch Manager - (949) 892-1736</v>
      </c>
      <c r="B95" s="759"/>
      <c r="C95" s="759"/>
      <c r="D95" s="759"/>
      <c r="E95" s="759"/>
      <c r="F95" s="759"/>
      <c r="G95" s="759"/>
      <c r="H95" s="759"/>
      <c r="I95" s="759"/>
      <c r="J95" s="760"/>
      <c r="K95" s="796"/>
      <c r="L95" s="796"/>
      <c r="M95" s="796"/>
      <c r="N95" s="796"/>
      <c r="O95" s="796"/>
      <c r="P95" s="796"/>
      <c r="Q95" s="796"/>
      <c r="R95" s="796"/>
      <c r="S95" s="796"/>
      <c r="T95" s="796"/>
      <c r="U95" s="796"/>
      <c r="Y95" s="4"/>
      <c r="AG95" s="1024"/>
      <c r="AH95" s="1024"/>
      <c r="AI95" s="787"/>
      <c r="AJ95" s="787"/>
      <c r="AK95" s="787"/>
      <c r="AL95" s="787"/>
      <c r="AM95" s="787"/>
      <c r="AN95" s="787"/>
      <c r="AO95" s="787"/>
    </row>
    <row r="96" spans="1:41" ht="15.2" customHeight="1">
      <c r="A96" s="758"/>
      <c r="B96" s="759"/>
      <c r="C96" s="759"/>
      <c r="D96" s="759"/>
      <c r="E96" s="759"/>
      <c r="F96" s="759"/>
      <c r="G96" s="759"/>
      <c r="H96" s="759"/>
      <c r="I96" s="759"/>
      <c r="J96" s="760"/>
      <c r="K96" s="796"/>
      <c r="L96" s="796"/>
      <c r="M96" s="796"/>
      <c r="N96" s="796"/>
      <c r="O96" s="796"/>
      <c r="P96" s="796"/>
      <c r="Q96" s="796"/>
      <c r="R96" s="796"/>
      <c r="S96" s="796"/>
      <c r="T96" s="796"/>
      <c r="U96" s="796"/>
      <c r="Y96" s="4"/>
      <c r="AG96" s="1024"/>
      <c r="AH96" s="1024"/>
      <c r="AI96" s="787"/>
      <c r="AJ96" s="787"/>
      <c r="AK96" s="787"/>
      <c r="AL96" s="787"/>
      <c r="AM96" s="787"/>
      <c r="AN96" s="787"/>
      <c r="AO96" s="787"/>
    </row>
    <row r="97" spans="1:41" ht="15.2" customHeight="1" thickBot="1">
      <c r="A97" s="761" t="s">
        <v>229</v>
      </c>
      <c r="B97" s="762"/>
      <c r="C97" s="762"/>
      <c r="D97" s="762"/>
      <c r="E97" s="762"/>
      <c r="F97" s="762"/>
      <c r="G97" s="762"/>
      <c r="H97" s="762"/>
      <c r="I97" s="762"/>
      <c r="J97" s="763"/>
      <c r="K97" s="796"/>
      <c r="L97" s="796"/>
      <c r="M97" s="796"/>
      <c r="N97" s="796"/>
      <c r="O97" s="796"/>
      <c r="P97" s="796"/>
      <c r="Q97" s="796"/>
      <c r="R97" s="796"/>
      <c r="S97" s="796"/>
      <c r="T97" s="796"/>
      <c r="U97" s="796"/>
      <c r="AG97" s="1024"/>
      <c r="AH97" s="1024"/>
      <c r="AI97" s="787"/>
      <c r="AJ97" s="787"/>
      <c r="AK97" s="787"/>
      <c r="AL97" s="787"/>
      <c r="AM97" s="787"/>
      <c r="AN97" s="787"/>
      <c r="AO97" s="787"/>
    </row>
    <row r="98" spans="1:41" ht="15.2" customHeight="1">
      <c r="A98" s="1020"/>
      <c r="B98" s="1020"/>
      <c r="C98" s="1020"/>
      <c r="D98" s="1020"/>
      <c r="E98" s="1020"/>
      <c r="F98" s="1020"/>
      <c r="G98" s="1020"/>
      <c r="H98" s="1020"/>
      <c r="I98" s="1020"/>
      <c r="J98" s="1020"/>
      <c r="K98" s="796"/>
      <c r="L98" s="796"/>
      <c r="M98" s="796"/>
      <c r="N98" s="796"/>
      <c r="O98" s="796"/>
      <c r="P98" s="796"/>
      <c r="Q98" s="796"/>
      <c r="R98" s="796"/>
      <c r="S98" s="796"/>
      <c r="T98" s="796"/>
      <c r="U98" s="796"/>
      <c r="V98" s="487"/>
      <c r="W98" s="487"/>
      <c r="X98" s="487"/>
      <c r="Y98" s="487"/>
      <c r="Z98" s="487"/>
      <c r="AA98" s="487"/>
      <c r="AB98" s="487"/>
      <c r="AC98" s="487"/>
      <c r="AD98" s="487"/>
      <c r="AE98" s="487"/>
      <c r="AF98" s="487"/>
      <c r="AG98" s="1024"/>
      <c r="AH98" s="1024"/>
      <c r="AI98" s="787"/>
      <c r="AJ98" s="787"/>
      <c r="AK98" s="787"/>
      <c r="AL98" s="787"/>
      <c r="AM98" s="787"/>
      <c r="AN98" s="787"/>
      <c r="AO98" s="787"/>
    </row>
    <row r="99" spans="1:41" ht="15.2" customHeight="1">
      <c r="A99" s="1021"/>
      <c r="B99" s="1021"/>
      <c r="C99" s="1021"/>
      <c r="D99" s="1021"/>
      <c r="E99" s="1021"/>
      <c r="F99" s="1021"/>
      <c r="G99" s="1021"/>
      <c r="H99" s="1021"/>
      <c r="I99" s="1021"/>
      <c r="J99" s="1021"/>
      <c r="K99" s="796"/>
      <c r="L99" s="796"/>
      <c r="M99" s="796"/>
      <c r="N99" s="796"/>
      <c r="O99" s="796"/>
      <c r="P99" s="796"/>
      <c r="Q99" s="796"/>
      <c r="R99" s="796"/>
      <c r="S99" s="796"/>
      <c r="T99" s="796"/>
      <c r="U99" s="796"/>
      <c r="V99" s="487"/>
      <c r="W99" s="487"/>
      <c r="X99" s="487"/>
      <c r="Y99" s="487"/>
      <c r="Z99" s="487"/>
      <c r="AA99" s="487"/>
      <c r="AB99" s="487"/>
      <c r="AC99" s="487"/>
      <c r="AD99" s="487"/>
      <c r="AE99" s="487"/>
      <c r="AF99" s="487"/>
      <c r="AG99" s="1024"/>
      <c r="AH99" s="1024"/>
      <c r="AI99" s="787"/>
      <c r="AJ99" s="787"/>
      <c r="AK99" s="787"/>
      <c r="AL99" s="787"/>
      <c r="AM99" s="787"/>
      <c r="AN99" s="787"/>
      <c r="AO99" s="787"/>
    </row>
    <row r="100" spans="1:41" ht="15.2" customHeight="1">
      <c r="A100" s="1021"/>
      <c r="B100" s="1021"/>
      <c r="C100" s="1021"/>
      <c r="D100" s="1021"/>
      <c r="E100" s="1021"/>
      <c r="F100" s="1021"/>
      <c r="G100" s="1021"/>
      <c r="H100" s="1021"/>
      <c r="I100" s="1021"/>
      <c r="J100" s="1021"/>
      <c r="K100" s="796"/>
      <c r="L100" s="796"/>
      <c r="M100" s="796"/>
      <c r="N100" s="796"/>
      <c r="O100" s="796"/>
      <c r="P100" s="796"/>
      <c r="Q100" s="796"/>
      <c r="R100" s="796"/>
      <c r="S100" s="796"/>
      <c r="T100" s="796"/>
      <c r="U100" s="796"/>
      <c r="V100" s="487"/>
      <c r="W100" s="487"/>
      <c r="X100" s="487"/>
      <c r="Y100" s="487"/>
      <c r="Z100" s="487"/>
      <c r="AA100" s="487"/>
      <c r="AB100" s="487"/>
      <c r="AC100" s="487"/>
      <c r="AD100" s="487"/>
      <c r="AE100" s="487"/>
      <c r="AF100" s="487"/>
      <c r="AG100" s="1024"/>
      <c r="AH100" s="1024"/>
      <c r="AI100" s="787"/>
      <c r="AJ100" s="787"/>
      <c r="AK100" s="787"/>
      <c r="AL100" s="787"/>
      <c r="AM100" s="787"/>
      <c r="AN100" s="787"/>
      <c r="AO100" s="787"/>
    </row>
    <row r="101" spans="1:41" ht="15.2" customHeight="1" thickBot="1">
      <c r="A101" s="1021"/>
      <c r="B101" s="1021"/>
      <c r="C101" s="1021"/>
      <c r="D101" s="1021"/>
      <c r="E101" s="1021"/>
      <c r="F101" s="1021"/>
      <c r="G101" s="1021"/>
      <c r="H101" s="1021"/>
      <c r="I101" s="1021"/>
      <c r="J101" s="1021"/>
      <c r="K101" s="796"/>
      <c r="L101" s="796"/>
      <c r="M101" s="796"/>
      <c r="N101" s="796"/>
      <c r="O101" s="796"/>
      <c r="P101" s="796"/>
      <c r="Q101" s="796"/>
      <c r="R101" s="796"/>
      <c r="S101" s="796"/>
      <c r="T101" s="796"/>
      <c r="U101" s="796"/>
      <c r="V101" s="487"/>
      <c r="W101" s="487"/>
      <c r="X101" s="487"/>
      <c r="Y101" s="487"/>
      <c r="Z101" s="487"/>
      <c r="AA101" s="487"/>
      <c r="AB101" s="487"/>
      <c r="AC101" s="487"/>
      <c r="AD101" s="487"/>
      <c r="AE101" s="487"/>
      <c r="AF101" s="487"/>
      <c r="AG101" s="1025"/>
      <c r="AH101" s="1025"/>
      <c r="AI101" s="787"/>
      <c r="AJ101" s="787"/>
      <c r="AK101" s="787"/>
      <c r="AL101" s="787"/>
      <c r="AM101" s="787"/>
      <c r="AN101" s="787"/>
      <c r="AO101" s="787"/>
    </row>
    <row r="102" spans="1:41" ht="15.2" customHeight="1">
      <c r="A102" s="84"/>
      <c r="B102" s="84"/>
      <c r="C102" s="84"/>
      <c r="D102" s="84"/>
      <c r="E102" s="84"/>
      <c r="F102" s="833" t="str">
        <f>START!$D$11</f>
        <v>Ellis Andersen | Branch Manager</v>
      </c>
      <c r="G102" s="834"/>
      <c r="H102" s="834"/>
      <c r="I102" s="834"/>
      <c r="J102" s="835"/>
      <c r="K102" s="968" t="s">
        <v>146</v>
      </c>
      <c r="L102" s="969"/>
      <c r="M102" s="969"/>
      <c r="N102" s="969"/>
      <c r="O102" s="969"/>
      <c r="P102" s="969"/>
      <c r="Q102" s="969"/>
      <c r="R102" s="969"/>
      <c r="S102" s="969"/>
      <c r="T102" s="969"/>
      <c r="U102" s="970"/>
      <c r="V102" s="732" t="s">
        <v>147</v>
      </c>
      <c r="W102" s="732"/>
      <c r="X102" s="732"/>
      <c r="Y102" s="732"/>
      <c r="Z102" s="732"/>
      <c r="AA102" s="732"/>
      <c r="AB102" s="732"/>
      <c r="AC102" s="732"/>
      <c r="AD102" s="732"/>
      <c r="AE102" s="732"/>
      <c r="AF102" s="733"/>
      <c r="AG102" s="529" t="s">
        <v>182</v>
      </c>
      <c r="AH102" s="531"/>
      <c r="AI102" s="787"/>
      <c r="AJ102" s="787"/>
      <c r="AK102" s="787"/>
      <c r="AL102" s="787"/>
      <c r="AM102" s="787"/>
      <c r="AN102" s="787"/>
      <c r="AO102" s="787"/>
    </row>
    <row r="103" spans="1:41" ht="15.2" customHeight="1" thickBot="1">
      <c r="A103" s="84"/>
      <c r="B103" s="84"/>
      <c r="C103" s="84"/>
      <c r="D103" s="84"/>
      <c r="E103" s="84"/>
      <c r="F103" s="836"/>
      <c r="G103" s="837"/>
      <c r="H103" s="837"/>
      <c r="I103" s="837"/>
      <c r="J103" s="838"/>
      <c r="K103" s="813"/>
      <c r="L103" s="814"/>
      <c r="M103" s="814"/>
      <c r="N103" s="814"/>
      <c r="O103" s="814"/>
      <c r="P103" s="814"/>
      <c r="Q103" s="814"/>
      <c r="R103" s="814"/>
      <c r="S103" s="814"/>
      <c r="T103" s="814"/>
      <c r="U103" s="815"/>
      <c r="V103" s="734"/>
      <c r="W103" s="734"/>
      <c r="X103" s="734"/>
      <c r="Y103" s="734"/>
      <c r="Z103" s="734"/>
      <c r="AA103" s="734"/>
      <c r="AB103" s="734"/>
      <c r="AC103" s="734"/>
      <c r="AD103" s="734"/>
      <c r="AE103" s="734"/>
      <c r="AF103" s="735"/>
      <c r="AG103" s="532"/>
      <c r="AH103" s="534"/>
      <c r="AI103" s="787"/>
      <c r="AJ103" s="787"/>
      <c r="AK103" s="787"/>
      <c r="AL103" s="787"/>
      <c r="AM103" s="787"/>
      <c r="AN103" s="787"/>
      <c r="AO103" s="787"/>
    </row>
    <row r="104" spans="1:41" ht="15.2" customHeight="1">
      <c r="A104" s="84"/>
      <c r="B104" s="84"/>
      <c r="C104" s="84"/>
      <c r="D104" s="84"/>
      <c r="E104" s="84"/>
      <c r="F104" s="672" t="str">
        <f>START!$D$13</f>
        <v>Direct/Fax: (949) 892-1736</v>
      </c>
      <c r="G104" s="673"/>
      <c r="H104" s="673"/>
      <c r="I104" s="673"/>
      <c r="J104" s="923"/>
      <c r="K104" s="816" t="s">
        <v>149</v>
      </c>
      <c r="L104" s="817"/>
      <c r="M104" s="822" t="str">
        <f>V104&amp;" "&amp;W104&amp;""&amp;V105&amp;" "&amp;W105&amp;" "&amp;X105&amp;" "&amp;AF105&amp;" "&amp;V106</f>
        <v xml:space="preserve">Hi Matthew, this is Ellis Andersen :blush: with West Capital Lending. I just received your inquiry to take about $740000 :moneybag: of equity from your home. I know you're shopping for the best deal so I will check with our most competitive lenders within our Broker Network. </v>
      </c>
      <c r="N104" s="822"/>
      <c r="O104" s="822"/>
      <c r="P104" s="822"/>
      <c r="Q104" s="822"/>
      <c r="R104" s="822"/>
      <c r="S104" s="822"/>
      <c r="T104" s="822"/>
      <c r="U104" s="823"/>
      <c r="V104" s="19" t="s">
        <v>150</v>
      </c>
      <c r="W104" s="931" t="str">
        <f>LEADS!$D$3</f>
        <v>Matthew</v>
      </c>
      <c r="X104" s="931"/>
      <c r="Y104" s="931"/>
      <c r="Z104" s="19"/>
      <c r="AA104" s="19"/>
      <c r="AB104" s="19"/>
      <c r="AC104" s="19"/>
      <c r="AD104" s="19"/>
      <c r="AE104" s="19"/>
      <c r="AF104" s="19"/>
      <c r="AG104" s="934" t="s">
        <v>211</v>
      </c>
      <c r="AH104" s="739" t="s">
        <v>158</v>
      </c>
      <c r="AI104" s="787"/>
      <c r="AJ104" s="787"/>
      <c r="AK104" s="787"/>
      <c r="AL104" s="787"/>
      <c r="AM104" s="787"/>
      <c r="AN104" s="787"/>
      <c r="AO104" s="787"/>
    </row>
    <row r="105" spans="1:41" ht="15.2" customHeight="1" thickBot="1">
      <c r="A105" s="84"/>
      <c r="B105" s="84"/>
      <c r="C105" s="84"/>
      <c r="D105" s="84"/>
      <c r="E105" s="84"/>
      <c r="F105" s="672" t="str">
        <f>START!$D$14</f>
        <v>Email: eandersen@westcapitallending.com</v>
      </c>
      <c r="G105" s="673"/>
      <c r="H105" s="673"/>
      <c r="I105" s="673"/>
      <c r="J105" s="923"/>
      <c r="K105" s="818"/>
      <c r="L105" s="819"/>
      <c r="M105" s="726"/>
      <c r="N105" s="726"/>
      <c r="O105" s="726"/>
      <c r="P105" s="726"/>
      <c r="Q105" s="726"/>
      <c r="R105" s="726"/>
      <c r="S105" s="726"/>
      <c r="T105" s="726"/>
      <c r="U105" s="727"/>
      <c r="V105" t="s">
        <v>153</v>
      </c>
      <c r="W105" t="str">
        <f>START!E23</f>
        <v>Ellis Andersen</v>
      </c>
      <c r="X105" t="s">
        <v>154</v>
      </c>
      <c r="AD105" s="19" t="s">
        <v>151</v>
      </c>
      <c r="AE105" s="19">
        <f>E136</f>
        <v>740000</v>
      </c>
      <c r="AF105" s="19" t="str">
        <f>AD105&amp;""&amp;AE105</f>
        <v>$740000</v>
      </c>
      <c r="AG105" s="935"/>
      <c r="AH105" s="740"/>
      <c r="AI105" s="787"/>
      <c r="AJ105" s="787"/>
      <c r="AK105" s="787"/>
      <c r="AL105" s="787"/>
      <c r="AM105" s="787"/>
      <c r="AN105" s="787"/>
      <c r="AO105" s="787"/>
    </row>
    <row r="106" spans="1:41" ht="15.2" customHeight="1">
      <c r="A106" s="84"/>
      <c r="B106" s="84"/>
      <c r="C106" s="84"/>
      <c r="D106" s="84"/>
      <c r="E106" s="84"/>
      <c r="F106" s="672" t="str">
        <f>START!$D$15</f>
        <v>34 Executive Park Ste 180, Irvine, CA 92614</v>
      </c>
      <c r="G106" s="673"/>
      <c r="H106" s="673"/>
      <c r="I106" s="673"/>
      <c r="J106" s="923"/>
      <c r="K106" s="818"/>
      <c r="L106" s="819"/>
      <c r="M106" s="726" t="s">
        <v>155</v>
      </c>
      <c r="N106" s="726"/>
      <c r="O106" s="726"/>
      <c r="P106" s="726"/>
      <c r="Q106" s="726"/>
      <c r="R106" s="726"/>
      <c r="S106" s="726"/>
      <c r="T106" s="726"/>
      <c r="U106" s="727"/>
      <c r="V106" s="723" t="s">
        <v>156</v>
      </c>
      <c r="W106" s="723"/>
      <c r="X106" s="723"/>
      <c r="Y106" s="723"/>
      <c r="Z106" s="723"/>
      <c r="AA106" s="723"/>
      <c r="AB106" s="723"/>
      <c r="AC106" s="723"/>
      <c r="AD106" s="723"/>
      <c r="AE106" s="723"/>
      <c r="AF106" s="723"/>
      <c r="AG106" s="934" t="s">
        <v>159</v>
      </c>
      <c r="AH106" s="743">
        <v>7.9899999999999999E-2</v>
      </c>
      <c r="AI106" s="787"/>
      <c r="AJ106" s="787"/>
      <c r="AK106" s="787"/>
      <c r="AL106" s="787"/>
      <c r="AM106" s="787"/>
      <c r="AN106" s="787"/>
      <c r="AO106" s="787"/>
    </row>
    <row r="107" spans="1:41" ht="15.2" customHeight="1" thickBot="1">
      <c r="A107" s="84"/>
      <c r="B107" s="84"/>
      <c r="C107" s="84"/>
      <c r="D107" s="84"/>
      <c r="E107" s="84"/>
      <c r="F107" s="672" t="str">
        <f>START!$D$16</f>
        <v>NMLS 1912260 | NMLS 02196940</v>
      </c>
      <c r="G107" s="673"/>
      <c r="H107" s="673"/>
      <c r="I107" s="673"/>
      <c r="J107" s="923"/>
      <c r="K107" s="818"/>
      <c r="L107" s="819"/>
      <c r="M107" s="726" t="str">
        <f>V109&amp;" "&amp;AA109</f>
        <v>This is your current address: 15244 W Auburn Ave, Denver, CO, 80228</v>
      </c>
      <c r="N107" s="726"/>
      <c r="O107" s="726"/>
      <c r="P107" s="726"/>
      <c r="Q107" s="726"/>
      <c r="R107" s="726"/>
      <c r="S107" s="726"/>
      <c r="T107" s="726"/>
      <c r="U107" s="727"/>
      <c r="V107" s="723"/>
      <c r="W107" s="723"/>
      <c r="X107" s="723"/>
      <c r="Y107" s="723"/>
      <c r="Z107" s="723"/>
      <c r="AA107" s="723"/>
      <c r="AB107" s="723"/>
      <c r="AC107" s="723"/>
      <c r="AD107" s="723"/>
      <c r="AE107" s="723"/>
      <c r="AF107" s="723"/>
      <c r="AG107" s="935"/>
      <c r="AH107" s="744"/>
      <c r="AI107" s="787"/>
      <c r="AJ107" s="787"/>
      <c r="AK107" s="787"/>
      <c r="AL107" s="787"/>
      <c r="AM107" s="787"/>
      <c r="AN107" s="787"/>
      <c r="AO107" s="787"/>
    </row>
    <row r="108" spans="1:41" ht="15.2" customHeight="1" thickBot="1">
      <c r="A108" s="84"/>
      <c r="B108" s="84"/>
      <c r="C108" s="84"/>
      <c r="D108" s="84"/>
      <c r="E108" s="84"/>
      <c r="F108" s="713" t="str">
        <f>START!$D$17</f>
        <v>Website: www.westcapitallending.com</v>
      </c>
      <c r="G108" s="714"/>
      <c r="H108" s="714"/>
      <c r="I108" s="714"/>
      <c r="J108" s="924"/>
      <c r="K108" s="818"/>
      <c r="L108" s="819"/>
      <c r="M108" s="726" t="str">
        <f>V110&amp;" "&amp;AC110&amp;""&amp;AB110</f>
        <v>Home Value is: $1200000</v>
      </c>
      <c r="N108" s="726"/>
      <c r="O108" s="726"/>
      <c r="P108" s="726"/>
      <c r="Q108" s="726"/>
      <c r="R108" s="726"/>
      <c r="S108" s="726"/>
      <c r="T108" s="726"/>
      <c r="U108" s="727"/>
      <c r="V108" s="722" t="s">
        <v>155</v>
      </c>
      <c r="W108" s="722"/>
      <c r="X108" s="722"/>
      <c r="Y108" s="722"/>
      <c r="Z108" s="19"/>
      <c r="AA108" s="19"/>
      <c r="AB108" s="19"/>
      <c r="AC108" s="19"/>
      <c r="AD108" s="19"/>
      <c r="AE108" s="19"/>
      <c r="AF108" s="19"/>
      <c r="AG108" s="934" t="s">
        <v>163</v>
      </c>
      <c r="AH108" s="743">
        <f>AH106+0.00125</f>
        <v>8.115E-2</v>
      </c>
      <c r="AI108" s="787"/>
      <c r="AJ108" s="787"/>
      <c r="AK108" s="787"/>
      <c r="AL108" s="787"/>
      <c r="AM108" s="787"/>
      <c r="AN108" s="787"/>
      <c r="AO108" s="787"/>
    </row>
    <row r="109" spans="1:41" ht="15.2" customHeight="1" thickBot="1">
      <c r="A109" s="84"/>
      <c r="B109" s="84"/>
      <c r="C109" s="84"/>
      <c r="D109" s="84"/>
      <c r="E109" s="84"/>
      <c r="F109" s="84"/>
      <c r="G109" s="84"/>
      <c r="H109" s="84"/>
      <c r="I109" s="84"/>
      <c r="J109" s="84"/>
      <c r="K109" s="818"/>
      <c r="L109" s="819"/>
      <c r="M109" s="726" t="str">
        <f>V111&amp;" "&amp;AC111&amp;""&amp;AB111</f>
        <v>Your Current First Mortgage Balance is: $340000</v>
      </c>
      <c r="N109" s="726"/>
      <c r="O109" s="726"/>
      <c r="P109" s="726"/>
      <c r="Q109" s="726"/>
      <c r="R109" s="726"/>
      <c r="S109" s="726"/>
      <c r="T109" s="726"/>
      <c r="U109" s="727"/>
      <c r="V109" s="722" t="s">
        <v>160</v>
      </c>
      <c r="W109" s="722"/>
      <c r="X109" s="722"/>
      <c r="Y109" s="722"/>
      <c r="Z109" s="19"/>
      <c r="AA109" s="19" t="str">
        <f>LEADS!$I$3</f>
        <v>15244 W Auburn Ave, Denver, CO, 80228</v>
      </c>
      <c r="AB109" s="19"/>
      <c r="AC109" s="19" t="str">
        <f>START!$E$24</f>
        <v>[Ellis w/ West Capital Lending]</v>
      </c>
      <c r="AD109" s="19"/>
      <c r="AE109" s="19"/>
      <c r="AF109" s="19"/>
      <c r="AG109" s="935"/>
      <c r="AH109" s="744"/>
      <c r="AI109" s="787"/>
      <c r="AJ109" s="787"/>
      <c r="AK109" s="787"/>
      <c r="AL109" s="787"/>
      <c r="AM109" s="787"/>
      <c r="AN109" s="787"/>
      <c r="AO109" s="787"/>
    </row>
    <row r="110" spans="1:41" ht="15.2" customHeight="1">
      <c r="A110" s="960" t="s">
        <v>67</v>
      </c>
      <c r="B110" s="961"/>
      <c r="C110" s="982">
        <f ca="1">TODAY()</f>
        <v>45196</v>
      </c>
      <c r="D110" s="983"/>
      <c r="E110" s="984"/>
      <c r="F110" s="677" t="s">
        <v>161</v>
      </c>
      <c r="G110" s="678"/>
      <c r="H110" s="678"/>
      <c r="I110" s="678"/>
      <c r="J110" s="679"/>
      <c r="K110" s="818"/>
      <c r="L110" s="819"/>
      <c r="M110" s="726" t="str">
        <f>V112&amp;" "&amp;AC112&amp;""&amp;AB112</f>
        <v>Your Desired Cash Out is: $740000</v>
      </c>
      <c r="N110" s="726"/>
      <c r="O110" s="726"/>
      <c r="P110" s="726"/>
      <c r="Q110" s="726"/>
      <c r="R110" s="726"/>
      <c r="S110" s="726"/>
      <c r="T110" s="726"/>
      <c r="U110" s="727"/>
      <c r="V110" s="722" t="s">
        <v>162</v>
      </c>
      <c r="W110" s="722"/>
      <c r="X110" s="722"/>
      <c r="Y110" s="722"/>
      <c r="Z110" s="19"/>
      <c r="AA110" s="19"/>
      <c r="AB110" s="20">
        <f>$H$13</f>
        <v>1200000</v>
      </c>
      <c r="AC110" s="19" t="s">
        <v>151</v>
      </c>
      <c r="AE110" s="19"/>
      <c r="AF110" s="19"/>
      <c r="AG110" s="934" t="s">
        <v>170</v>
      </c>
      <c r="AH110" s="745">
        <f>(C114*0.025)+1500</f>
        <v>20000</v>
      </c>
      <c r="AI110" s="787"/>
      <c r="AJ110" s="787"/>
      <c r="AK110" s="787"/>
      <c r="AL110" s="787"/>
      <c r="AM110" s="787"/>
      <c r="AN110" s="787"/>
      <c r="AO110" s="787"/>
    </row>
    <row r="111" spans="1:41" ht="15.2" customHeight="1" thickBot="1">
      <c r="A111" s="962" t="s">
        <v>164</v>
      </c>
      <c r="B111" s="963"/>
      <c r="C111" s="797" t="str">
        <f>LEADS!$D$3&amp;" "&amp;LEADS!$E$3</f>
        <v>Matthew Pasiuk</v>
      </c>
      <c r="D111" s="798"/>
      <c r="E111" s="799"/>
      <c r="F111" s="680"/>
      <c r="G111" s="681"/>
      <c r="H111" s="681"/>
      <c r="I111" s="681"/>
      <c r="J111" s="682"/>
      <c r="K111" s="818"/>
      <c r="L111" s="819"/>
      <c r="M111" s="726" t="s">
        <v>165</v>
      </c>
      <c r="N111" s="726"/>
      <c r="O111" s="726"/>
      <c r="P111" s="726"/>
      <c r="Q111" s="726"/>
      <c r="R111" s="726"/>
      <c r="S111" s="726"/>
      <c r="T111" s="726"/>
      <c r="U111" s="727"/>
      <c r="V111" s="722" t="s">
        <v>166</v>
      </c>
      <c r="W111" s="722"/>
      <c r="X111" s="722"/>
      <c r="Y111" s="722"/>
      <c r="Z111" s="19"/>
      <c r="AA111" s="19"/>
      <c r="AB111" s="20">
        <f>$C$21</f>
        <v>340000</v>
      </c>
      <c r="AC111" s="19" t="s">
        <v>151</v>
      </c>
      <c r="AD111" s="19"/>
      <c r="AE111" s="19"/>
      <c r="AF111" s="19"/>
      <c r="AG111" s="935"/>
      <c r="AH111" s="746"/>
      <c r="AI111" s="787"/>
      <c r="AJ111" s="787"/>
      <c r="AK111" s="787"/>
      <c r="AL111" s="787"/>
      <c r="AM111" s="787"/>
      <c r="AN111" s="787"/>
      <c r="AO111" s="787"/>
    </row>
    <row r="112" spans="1:41" ht="15.2" customHeight="1">
      <c r="A112" s="964" t="s">
        <v>167</v>
      </c>
      <c r="B112" s="965"/>
      <c r="C112" s="797" t="str">
        <f>LEADS!$G$3</f>
        <v>mattpasiuk@gmail.com</v>
      </c>
      <c r="D112" s="798"/>
      <c r="E112" s="799"/>
      <c r="F112" s="683" t="str">
        <f>LEADS!$I$3</f>
        <v>15244 W Auburn Ave, Denver, CO, 80228</v>
      </c>
      <c r="G112" s="639"/>
      <c r="H112" s="639"/>
      <c r="I112" s="639"/>
      <c r="J112" s="641"/>
      <c r="K112" s="818"/>
      <c r="L112" s="819"/>
      <c r="M112" s="726" t="s">
        <v>168</v>
      </c>
      <c r="N112" s="726"/>
      <c r="O112" s="726"/>
      <c r="P112" s="726"/>
      <c r="Q112" s="726"/>
      <c r="R112" s="726"/>
      <c r="S112" s="726"/>
      <c r="T112" s="726"/>
      <c r="U112" s="727"/>
      <c r="V112" s="722" t="s">
        <v>169</v>
      </c>
      <c r="W112" s="722"/>
      <c r="X112" s="722"/>
      <c r="Y112" s="722"/>
      <c r="Z112" s="19"/>
      <c r="AA112" s="19"/>
      <c r="AB112" s="20">
        <f>C114</f>
        <v>740000</v>
      </c>
      <c r="AC112" s="19" t="s">
        <v>151</v>
      </c>
      <c r="AD112" s="19"/>
      <c r="AE112" s="19"/>
      <c r="AF112" s="19"/>
      <c r="AG112" s="948" t="s">
        <v>226</v>
      </c>
      <c r="AH112" s="739" t="s">
        <v>221</v>
      </c>
      <c r="AI112" s="787"/>
      <c r="AJ112" s="787"/>
      <c r="AK112" s="787"/>
      <c r="AL112" s="787"/>
      <c r="AM112" s="787"/>
      <c r="AN112" s="787"/>
      <c r="AO112" s="787"/>
    </row>
    <row r="113" spans="1:41" ht="15.2" customHeight="1" thickBot="1">
      <c r="A113" s="964" t="s">
        <v>171</v>
      </c>
      <c r="B113" s="965"/>
      <c r="C113" s="797" t="str">
        <f>LEADS!$F$3</f>
        <v>(720)788-0594</v>
      </c>
      <c r="D113" s="798"/>
      <c r="E113" s="799"/>
      <c r="F113" s="684"/>
      <c r="G113" s="640"/>
      <c r="H113" s="640"/>
      <c r="I113" s="640"/>
      <c r="J113" s="642"/>
      <c r="K113" s="818"/>
      <c r="L113" s="819"/>
      <c r="M113" s="726" t="s">
        <v>172</v>
      </c>
      <c r="N113" s="726"/>
      <c r="O113" s="726"/>
      <c r="P113" s="726"/>
      <c r="Q113" s="726"/>
      <c r="R113" s="726"/>
      <c r="S113" s="726"/>
      <c r="T113" s="726"/>
      <c r="U113" s="727"/>
      <c r="V113" s="723" t="s">
        <v>235</v>
      </c>
      <c r="W113" s="723"/>
      <c r="X113" s="723"/>
      <c r="Y113" s="723"/>
      <c r="Z113" s="723"/>
      <c r="AA113" s="723"/>
      <c r="AB113" s="723"/>
      <c r="AC113" s="723"/>
      <c r="AD113" s="723"/>
      <c r="AE113" s="723"/>
      <c r="AF113" s="723"/>
      <c r="AG113" s="949"/>
      <c r="AH113" s="740"/>
      <c r="AI113" s="787"/>
      <c r="AJ113" s="787"/>
      <c r="AK113" s="787"/>
      <c r="AL113" s="787"/>
      <c r="AM113" s="787"/>
      <c r="AN113" s="787"/>
      <c r="AO113" s="787"/>
    </row>
    <row r="114" spans="1:41" ht="15.2" customHeight="1" thickBot="1">
      <c r="A114" s="966" t="s">
        <v>174</v>
      </c>
      <c r="B114" s="967"/>
      <c r="C114" s="985">
        <f>LEADS!$P$3</f>
        <v>740000</v>
      </c>
      <c r="D114" s="986"/>
      <c r="E114" s="987"/>
      <c r="F114" s="980" t="s">
        <v>175</v>
      </c>
      <c r="G114" s="981"/>
      <c r="H114" s="890">
        <f>LEADS!$L$3</f>
        <v>1200000</v>
      </c>
      <c r="I114" s="890"/>
      <c r="J114" s="891"/>
      <c r="K114" s="818"/>
      <c r="L114" s="819"/>
      <c r="M114" s="726"/>
      <c r="N114" s="726"/>
      <c r="O114" s="726"/>
      <c r="P114" s="726"/>
      <c r="Q114" s="726"/>
      <c r="R114" s="726"/>
      <c r="S114" s="726"/>
      <c r="T114" s="726"/>
      <c r="U114" s="727"/>
      <c r="V114" s="723"/>
      <c r="W114" s="723"/>
      <c r="X114" s="723"/>
      <c r="Y114" s="723"/>
      <c r="Z114" s="723"/>
      <c r="AA114" s="723"/>
      <c r="AB114" s="723"/>
      <c r="AC114" s="723"/>
      <c r="AD114" s="723"/>
      <c r="AE114" s="723"/>
      <c r="AF114" s="723"/>
      <c r="AG114" s="948" t="s">
        <v>176</v>
      </c>
      <c r="AH114" s="743">
        <v>7.7499999999999999E-2</v>
      </c>
      <c r="AI114" s="787"/>
      <c r="AJ114" s="787"/>
      <c r="AK114" s="787"/>
      <c r="AL114" s="787"/>
      <c r="AM114" s="787"/>
      <c r="AN114" s="787"/>
      <c r="AO114" s="787"/>
    </row>
    <row r="115" spans="1:41" ht="15.2" customHeight="1" thickBot="1">
      <c r="A115" s="89"/>
      <c r="B115" s="89"/>
      <c r="C115" s="89"/>
      <c r="D115" s="89"/>
      <c r="E115" s="89"/>
      <c r="F115" s="89"/>
      <c r="G115" s="89"/>
      <c r="H115" s="89"/>
      <c r="I115" s="89"/>
      <c r="J115" s="89"/>
      <c r="K115" s="793"/>
      <c r="L115" s="794"/>
      <c r="M115" s="728" t="s">
        <v>177</v>
      </c>
      <c r="N115" s="728"/>
      <c r="O115" s="728"/>
      <c r="P115" s="728"/>
      <c r="Q115" s="728"/>
      <c r="R115" s="728"/>
      <c r="S115" s="728"/>
      <c r="T115" s="728"/>
      <c r="U115" s="729"/>
      <c r="V115" s="723" t="s">
        <v>178</v>
      </c>
      <c r="W115" s="723"/>
      <c r="X115" s="723"/>
      <c r="Y115" s="723"/>
      <c r="Z115" s="723"/>
      <c r="AA115" s="723"/>
      <c r="AB115" s="723"/>
      <c r="AC115" s="723"/>
      <c r="AD115" s="723"/>
      <c r="AE115" s="723"/>
      <c r="AF115" s="723"/>
      <c r="AG115" s="949"/>
      <c r="AH115" s="744"/>
      <c r="AI115" s="787"/>
      <c r="AJ115" s="787"/>
      <c r="AK115" s="787"/>
      <c r="AL115" s="787"/>
      <c r="AM115" s="787"/>
      <c r="AN115" s="787"/>
      <c r="AO115" s="787"/>
    </row>
    <row r="116" spans="1:41" ht="15.2" customHeight="1">
      <c r="A116" s="998" t="s">
        <v>179</v>
      </c>
      <c r="B116" s="999"/>
      <c r="C116" s="999"/>
      <c r="D116" s="1000"/>
      <c r="E116" s="996" t="s">
        <v>182</v>
      </c>
      <c r="F116" s="915"/>
      <c r="G116" s="915"/>
      <c r="H116" s="915"/>
      <c r="I116" s="915"/>
      <c r="J116" s="916"/>
      <c r="K116" s="662" t="s">
        <v>42</v>
      </c>
      <c r="L116" s="663"/>
      <c r="M116" s="724" t="str">
        <f>W104&amp;" "&amp;V113&amp;" - "&amp;AC109</f>
        <v>Matthew , I just wanted to follow up with you did you get the text above :point_up_2:  - [Ellis w/ West Capital Lending]</v>
      </c>
      <c r="N116" s="724"/>
      <c r="O116" s="724"/>
      <c r="P116" s="724"/>
      <c r="Q116" s="724"/>
      <c r="R116" s="724"/>
      <c r="S116" s="724"/>
      <c r="T116" s="724"/>
      <c r="U116" s="725"/>
      <c r="V116" s="723"/>
      <c r="W116" s="723"/>
      <c r="X116" s="723"/>
      <c r="Y116" s="723"/>
      <c r="Z116" s="723"/>
      <c r="AA116" s="723"/>
      <c r="AB116" s="723"/>
      <c r="AC116" s="723"/>
      <c r="AD116" s="723"/>
      <c r="AE116" s="723"/>
      <c r="AF116" s="723"/>
      <c r="AG116" s="948" t="s">
        <v>163</v>
      </c>
      <c r="AH116" s="743">
        <f>AH114+0.00125</f>
        <v>7.8750000000000001E-2</v>
      </c>
      <c r="AI116" s="787"/>
      <c r="AJ116" s="787"/>
      <c r="AK116" s="787"/>
      <c r="AL116" s="787"/>
      <c r="AM116" s="787"/>
      <c r="AN116" s="787"/>
      <c r="AO116" s="787"/>
    </row>
    <row r="117" spans="1:41" ht="15.2" customHeight="1" thickBot="1">
      <c r="A117" s="1001"/>
      <c r="B117" s="1002"/>
      <c r="C117" s="1002"/>
      <c r="D117" s="1003"/>
      <c r="E117" s="997"/>
      <c r="F117" s="917"/>
      <c r="G117" s="917"/>
      <c r="H117" s="917"/>
      <c r="I117" s="917"/>
      <c r="J117" s="918"/>
      <c r="K117" s="662"/>
      <c r="L117" s="663"/>
      <c r="M117" s="728"/>
      <c r="N117" s="728"/>
      <c r="O117" s="728"/>
      <c r="P117" s="728"/>
      <c r="Q117" s="728"/>
      <c r="R117" s="728"/>
      <c r="S117" s="728"/>
      <c r="T117" s="728"/>
      <c r="U117" s="729"/>
      <c r="V117" s="723" t="s">
        <v>183</v>
      </c>
      <c r="W117" s="723"/>
      <c r="X117" s="723"/>
      <c r="Y117" s="723"/>
      <c r="Z117" s="723"/>
      <c r="AA117" s="723"/>
      <c r="AB117" s="723"/>
      <c r="AC117" s="723"/>
      <c r="AD117" s="723"/>
      <c r="AE117" s="723"/>
      <c r="AF117" s="723"/>
      <c r="AG117" s="949"/>
      <c r="AH117" s="744"/>
      <c r="AI117" s="787"/>
      <c r="AJ117" s="787"/>
      <c r="AK117" s="787"/>
      <c r="AL117" s="787"/>
      <c r="AM117" s="787"/>
      <c r="AN117" s="787"/>
      <c r="AO117" s="787"/>
    </row>
    <row r="118" spans="1:41" ht="15.2" customHeight="1">
      <c r="A118" s="974" t="s">
        <v>113</v>
      </c>
      <c r="B118" s="975"/>
      <c r="C118" s="975"/>
      <c r="D118" s="976"/>
      <c r="E118" s="926" t="s">
        <v>236</v>
      </c>
      <c r="F118" s="926"/>
      <c r="G118" s="926"/>
      <c r="H118" s="926"/>
      <c r="I118" s="926"/>
      <c r="J118" s="927"/>
      <c r="K118" s="662" t="s">
        <v>186</v>
      </c>
      <c r="L118" s="663"/>
      <c r="M118" s="632" t="str">
        <f>$V$3&amp;""&amp;V115&amp;" "&amp;AC109</f>
        <v>Hi, Great News! The Market took a heavy dip today :chart_with_downwards_trend: if you are at all still interested, now would be a great time to lock in your rate. :lock: [Ellis w/ West Capital Lending]</v>
      </c>
      <c r="N118" s="633"/>
      <c r="O118" s="633"/>
      <c r="P118" s="633"/>
      <c r="Q118" s="633"/>
      <c r="R118" s="633"/>
      <c r="S118" s="633"/>
      <c r="T118" s="633"/>
      <c r="U118" s="634"/>
      <c r="V118" s="723"/>
      <c r="W118" s="723"/>
      <c r="X118" s="723"/>
      <c r="Y118" s="723"/>
      <c r="Z118" s="723"/>
      <c r="AA118" s="723"/>
      <c r="AB118" s="723"/>
      <c r="AC118" s="723"/>
      <c r="AD118" s="723"/>
      <c r="AE118" s="723"/>
      <c r="AF118" s="723"/>
      <c r="AG118" s="948" t="s">
        <v>187</v>
      </c>
      <c r="AH118" s="745">
        <f>(C114*0.025)+1500</f>
        <v>20000</v>
      </c>
      <c r="AI118" s="787"/>
      <c r="AJ118" s="787"/>
      <c r="AK118" s="787"/>
      <c r="AL118" s="787"/>
      <c r="AM118" s="787"/>
      <c r="AN118" s="787"/>
      <c r="AO118" s="787"/>
    </row>
    <row r="119" spans="1:41" ht="15.2" customHeight="1" thickBot="1">
      <c r="A119" s="971"/>
      <c r="B119" s="972"/>
      <c r="C119" s="972"/>
      <c r="D119" s="973"/>
      <c r="E119" s="929"/>
      <c r="F119" s="929"/>
      <c r="G119" s="929"/>
      <c r="H119" s="929"/>
      <c r="I119" s="929"/>
      <c r="J119" s="930"/>
      <c r="K119" s="662"/>
      <c r="L119" s="663"/>
      <c r="M119" s="632"/>
      <c r="N119" s="633"/>
      <c r="O119" s="633"/>
      <c r="P119" s="633"/>
      <c r="Q119" s="633"/>
      <c r="R119" s="633"/>
      <c r="S119" s="633"/>
      <c r="T119" s="633"/>
      <c r="U119" s="634"/>
      <c r="V119" s="723" t="s">
        <v>188</v>
      </c>
      <c r="W119" s="723"/>
      <c r="X119" s="723"/>
      <c r="Y119" s="723"/>
      <c r="Z119" s="723"/>
      <c r="AA119" s="723"/>
      <c r="AB119" s="723"/>
      <c r="AC119" s="723"/>
      <c r="AD119" s="723"/>
      <c r="AE119" s="723"/>
      <c r="AF119" s="723"/>
      <c r="AG119" s="949"/>
      <c r="AH119" s="746"/>
      <c r="AI119" s="787"/>
      <c r="AJ119" s="787"/>
      <c r="AK119" s="787"/>
      <c r="AL119" s="787"/>
      <c r="AM119" s="787"/>
      <c r="AN119" s="787"/>
      <c r="AO119" s="787"/>
    </row>
    <row r="120" spans="1:41" ht="15.2" customHeight="1">
      <c r="A120" s="971" t="s">
        <v>189</v>
      </c>
      <c r="B120" s="972"/>
      <c r="C120" s="972"/>
      <c r="D120" s="973"/>
      <c r="E120" s="895" t="s">
        <v>238</v>
      </c>
      <c r="F120" s="895"/>
      <c r="G120" s="895"/>
      <c r="H120" s="895"/>
      <c r="I120" s="895"/>
      <c r="J120" s="896"/>
      <c r="K120" s="662"/>
      <c r="L120" s="663"/>
      <c r="M120" s="632"/>
      <c r="N120" s="633"/>
      <c r="O120" s="633"/>
      <c r="P120" s="633"/>
      <c r="Q120" s="633"/>
      <c r="R120" s="633"/>
      <c r="S120" s="633"/>
      <c r="T120" s="633"/>
      <c r="U120" s="634"/>
      <c r="V120" s="723"/>
      <c r="W120" s="723"/>
      <c r="X120" s="723"/>
      <c r="Y120" s="723"/>
      <c r="Z120" s="723"/>
      <c r="AA120" s="723"/>
      <c r="AB120" s="723"/>
      <c r="AC120" s="723"/>
      <c r="AD120" s="723"/>
      <c r="AE120" s="723"/>
      <c r="AF120" s="723"/>
      <c r="AG120" s="788"/>
      <c r="AH120" s="788"/>
      <c r="AI120" s="787"/>
      <c r="AJ120" s="787"/>
      <c r="AK120" s="787"/>
      <c r="AL120" s="787"/>
      <c r="AM120" s="787"/>
      <c r="AN120" s="787"/>
      <c r="AO120" s="787"/>
    </row>
    <row r="121" spans="1:41" ht="15.2" customHeight="1">
      <c r="A121" s="971"/>
      <c r="B121" s="972"/>
      <c r="C121" s="972"/>
      <c r="D121" s="973"/>
      <c r="E121" s="895"/>
      <c r="F121" s="895"/>
      <c r="G121" s="895"/>
      <c r="H121" s="895"/>
      <c r="I121" s="895"/>
      <c r="J121" s="896"/>
      <c r="K121" s="662" t="s">
        <v>191</v>
      </c>
      <c r="L121" s="663"/>
      <c r="M121" s="632" t="str">
        <f>$V$3&amp;""&amp;V117&amp;" "&amp;AC109</f>
        <v>Hi, If the quote I sent you was not what you were looking for I can send you additional options? Did you want to look at a Line of Credit :credit_card: or an Equity Loan :moneybag: instead? [Ellis w/ West Capital Lending]</v>
      </c>
      <c r="N121" s="633"/>
      <c r="O121" s="633"/>
      <c r="P121" s="633"/>
      <c r="Q121" s="633"/>
      <c r="R121" s="633"/>
      <c r="S121" s="633"/>
      <c r="T121" s="633"/>
      <c r="U121" s="634"/>
      <c r="V121" s="723" t="s">
        <v>192</v>
      </c>
      <c r="W121" s="723"/>
      <c r="X121" s="723"/>
      <c r="Y121" s="723"/>
      <c r="Z121" s="723"/>
      <c r="AA121" s="723"/>
      <c r="AB121" s="723"/>
      <c r="AC121" s="723"/>
      <c r="AD121" s="723"/>
      <c r="AE121" s="723"/>
      <c r="AF121" s="723"/>
      <c r="AG121" s="787"/>
      <c r="AH121" s="787"/>
      <c r="AI121" s="787"/>
      <c r="AJ121" s="787"/>
      <c r="AK121" s="787"/>
      <c r="AL121" s="787"/>
      <c r="AM121" s="787"/>
      <c r="AN121" s="787"/>
      <c r="AO121" s="787"/>
    </row>
    <row r="122" spans="1:41" ht="15.2" customHeight="1">
      <c r="A122" s="971" t="s">
        <v>260</v>
      </c>
      <c r="B122" s="972"/>
      <c r="C122" s="972"/>
      <c r="D122" s="973"/>
      <c r="E122" s="895">
        <f>LEADS!$M$3</f>
        <v>340000</v>
      </c>
      <c r="F122" s="895"/>
      <c r="G122" s="895"/>
      <c r="H122" s="895"/>
      <c r="I122" s="895"/>
      <c r="J122" s="896"/>
      <c r="K122" s="662"/>
      <c r="L122" s="663"/>
      <c r="M122" s="632"/>
      <c r="N122" s="633"/>
      <c r="O122" s="633"/>
      <c r="P122" s="633"/>
      <c r="Q122" s="633"/>
      <c r="R122" s="633"/>
      <c r="S122" s="633"/>
      <c r="T122" s="633"/>
      <c r="U122" s="634"/>
      <c r="V122" s="723"/>
      <c r="W122" s="723"/>
      <c r="X122" s="723"/>
      <c r="Y122" s="723"/>
      <c r="Z122" s="723"/>
      <c r="AA122" s="723"/>
      <c r="AB122" s="723"/>
      <c r="AC122" s="723"/>
      <c r="AD122" s="723"/>
      <c r="AE122" s="723"/>
      <c r="AF122" s="723"/>
      <c r="AG122" s="787"/>
      <c r="AH122" s="787"/>
      <c r="AI122" s="787"/>
      <c r="AJ122" s="787"/>
      <c r="AK122" s="787"/>
      <c r="AL122" s="787"/>
      <c r="AM122" s="787"/>
      <c r="AN122" s="787"/>
      <c r="AO122" s="787"/>
    </row>
    <row r="123" spans="1:41" ht="15.2" customHeight="1" thickBot="1">
      <c r="A123" s="971"/>
      <c r="B123" s="972"/>
      <c r="C123" s="972"/>
      <c r="D123" s="973"/>
      <c r="E123" s="895"/>
      <c r="F123" s="895"/>
      <c r="G123" s="895"/>
      <c r="H123" s="895"/>
      <c r="I123" s="895"/>
      <c r="J123" s="896"/>
      <c r="K123" s="662"/>
      <c r="L123" s="663"/>
      <c r="M123" s="632"/>
      <c r="N123" s="633"/>
      <c r="O123" s="633"/>
      <c r="P123" s="633"/>
      <c r="Q123" s="633"/>
      <c r="R123" s="633"/>
      <c r="S123" s="633"/>
      <c r="T123" s="633"/>
      <c r="U123" s="634"/>
      <c r="V123" s="723" t="s">
        <v>195</v>
      </c>
      <c r="W123" s="723"/>
      <c r="X123" s="723"/>
      <c r="Y123" s="723"/>
      <c r="Z123" s="723"/>
      <c r="AA123" s="723"/>
      <c r="AB123" s="723"/>
      <c r="AC123" s="723"/>
      <c r="AD123" s="723"/>
      <c r="AE123" s="723"/>
      <c r="AF123" s="723"/>
      <c r="AG123" s="787"/>
      <c r="AH123" s="787"/>
      <c r="AI123" s="787"/>
      <c r="AJ123" s="787"/>
      <c r="AK123" s="787"/>
      <c r="AL123" s="787"/>
      <c r="AM123" s="787"/>
      <c r="AN123" s="787"/>
      <c r="AO123" s="787"/>
    </row>
    <row r="124" spans="1:41" ht="15.2" customHeight="1">
      <c r="A124" s="974" t="s">
        <v>266</v>
      </c>
      <c r="B124" s="975"/>
      <c r="C124" s="975"/>
      <c r="D124" s="976"/>
      <c r="E124" s="1007">
        <f>C114+E132</f>
        <v>760000</v>
      </c>
      <c r="F124" s="1007"/>
      <c r="G124" s="1007"/>
      <c r="H124" s="1009">
        <f>C114+H132</f>
        <v>760000</v>
      </c>
      <c r="I124" s="1007"/>
      <c r="J124" s="1010"/>
      <c r="K124" s="662" t="s">
        <v>196</v>
      </c>
      <c r="L124" s="663"/>
      <c r="M124" s="632" t="str">
        <f>$V$3&amp;""&amp;V119&amp;" "&amp;AC109</f>
        <v>Hi, just wanted to follow up with you did you get the text above :point_up_2:  [Ellis w/ West Capital Lending]</v>
      </c>
      <c r="N124" s="633"/>
      <c r="O124" s="633"/>
      <c r="P124" s="633"/>
      <c r="Q124" s="633"/>
      <c r="R124" s="633"/>
      <c r="S124" s="633"/>
      <c r="T124" s="633"/>
      <c r="U124" s="634"/>
      <c r="V124" s="723"/>
      <c r="W124" s="723"/>
      <c r="X124" s="723"/>
      <c r="Y124" s="723"/>
      <c r="Z124" s="723"/>
      <c r="AA124" s="723"/>
      <c r="AB124" s="723"/>
      <c r="AC124" s="723"/>
      <c r="AD124" s="723"/>
      <c r="AE124" s="723"/>
      <c r="AF124" s="723"/>
      <c r="AG124" s="787"/>
      <c r="AH124" s="787"/>
      <c r="AI124" s="787"/>
      <c r="AJ124" s="787"/>
      <c r="AK124" s="787"/>
      <c r="AL124" s="787"/>
      <c r="AM124" s="787"/>
      <c r="AN124" s="787"/>
      <c r="AO124" s="787"/>
    </row>
    <row r="125" spans="1:41" ht="15.2" customHeight="1" thickBot="1">
      <c r="A125" s="977"/>
      <c r="B125" s="978"/>
      <c r="C125" s="978"/>
      <c r="D125" s="979"/>
      <c r="E125" s="1008"/>
      <c r="F125" s="1008"/>
      <c r="G125" s="1008"/>
      <c r="H125" s="1011"/>
      <c r="I125" s="1008"/>
      <c r="J125" s="1012"/>
      <c r="K125" s="662"/>
      <c r="L125" s="663"/>
      <c r="M125" s="632"/>
      <c r="N125" s="633"/>
      <c r="O125" s="633"/>
      <c r="P125" s="633"/>
      <c r="Q125" s="633"/>
      <c r="R125" s="633"/>
      <c r="S125" s="633"/>
      <c r="T125" s="633"/>
      <c r="U125" s="634"/>
      <c r="V125" s="723" t="s">
        <v>198</v>
      </c>
      <c r="W125" s="723"/>
      <c r="X125" s="723" t="s">
        <v>199</v>
      </c>
      <c r="Y125" s="723"/>
      <c r="Z125" s="723"/>
      <c r="AA125" s="723"/>
      <c r="AB125" s="723"/>
      <c r="AC125" s="723"/>
      <c r="AD125" s="723"/>
      <c r="AE125" s="723"/>
      <c r="AF125" s="723"/>
      <c r="AG125" s="787"/>
      <c r="AH125" s="787"/>
      <c r="AI125" s="787"/>
      <c r="AJ125" s="787"/>
      <c r="AK125" s="787"/>
      <c r="AL125" s="787"/>
      <c r="AM125" s="787"/>
      <c r="AN125" s="787"/>
      <c r="AO125" s="787"/>
    </row>
    <row r="126" spans="1:41" ht="15.2" customHeight="1">
      <c r="A126" s="974" t="s">
        <v>262</v>
      </c>
      <c r="B126" s="975"/>
      <c r="C126" s="975"/>
      <c r="D126" s="976"/>
      <c r="E126" s="853" t="str">
        <f>AH104</f>
        <v>30 Year Fixed</v>
      </c>
      <c r="F126" s="853"/>
      <c r="G126" s="854"/>
      <c r="H126" s="853" t="str">
        <f>AH112</f>
        <v>20 Year Fixed</v>
      </c>
      <c r="I126" s="853"/>
      <c r="J126" s="854"/>
      <c r="K126" s="662" t="s">
        <v>201</v>
      </c>
      <c r="L126" s="663"/>
      <c r="M126" s="632" t="str">
        <f>$V$3&amp;""&amp;V121&amp;" "&amp;AC109</f>
        <v>Hi, I know you may already be in process with another lender. :bank: Are you satisified with rate and service? :blush: :pensive: [Ellis w/ West Capital Lending]</v>
      </c>
      <c r="N126" s="633"/>
      <c r="O126" s="633"/>
      <c r="P126" s="633"/>
      <c r="Q126" s="633"/>
      <c r="R126" s="633"/>
      <c r="S126" s="633"/>
      <c r="T126" s="633"/>
      <c r="U126" s="634"/>
      <c r="V126" s="723"/>
      <c r="W126" s="723"/>
      <c r="X126" s="723"/>
      <c r="Y126" s="723"/>
      <c r="Z126" s="723"/>
      <c r="AA126" s="723"/>
      <c r="AB126" s="723"/>
      <c r="AC126" s="723"/>
      <c r="AD126" s="723"/>
      <c r="AE126" s="723"/>
      <c r="AF126" s="723"/>
      <c r="AG126" s="787"/>
      <c r="AH126" s="787"/>
      <c r="AI126" s="787"/>
      <c r="AJ126" s="787"/>
      <c r="AK126" s="787"/>
      <c r="AL126" s="787"/>
      <c r="AM126" s="787"/>
      <c r="AN126" s="787"/>
      <c r="AO126" s="787"/>
    </row>
    <row r="127" spans="1:41" ht="15.2" customHeight="1" thickBot="1">
      <c r="A127" s="977"/>
      <c r="B127" s="978"/>
      <c r="C127" s="978"/>
      <c r="D127" s="979"/>
      <c r="E127" s="855"/>
      <c r="F127" s="855"/>
      <c r="G127" s="856"/>
      <c r="H127" s="855"/>
      <c r="I127" s="855"/>
      <c r="J127" s="856"/>
      <c r="K127" s="662"/>
      <c r="L127" s="663"/>
      <c r="M127" s="632"/>
      <c r="N127" s="633"/>
      <c r="O127" s="633"/>
      <c r="P127" s="633"/>
      <c r="Q127" s="633"/>
      <c r="R127" s="633"/>
      <c r="S127" s="633"/>
      <c r="T127" s="633"/>
      <c r="U127" s="634"/>
      <c r="V127" s="723" t="s">
        <v>202</v>
      </c>
      <c r="W127" s="723"/>
      <c r="X127" s="723"/>
      <c r="Y127" s="723"/>
      <c r="Z127" s="723"/>
      <c r="AA127" s="723"/>
      <c r="AB127" s="723"/>
      <c r="AC127" s="723"/>
      <c r="AD127" s="723"/>
      <c r="AE127" s="723"/>
      <c r="AF127" s="723"/>
      <c r="AG127" s="787"/>
      <c r="AH127" s="787"/>
      <c r="AI127" s="787"/>
      <c r="AJ127" s="787"/>
      <c r="AK127" s="787"/>
      <c r="AL127" s="787"/>
      <c r="AM127" s="787"/>
      <c r="AN127" s="787"/>
      <c r="AO127" s="787"/>
    </row>
    <row r="128" spans="1:41" ht="15.2" customHeight="1">
      <c r="A128" s="971" t="s">
        <v>203</v>
      </c>
      <c r="B128" s="972"/>
      <c r="C128" s="972"/>
      <c r="D128" s="973"/>
      <c r="E128" s="858">
        <f>AH106</f>
        <v>7.9899999999999999E-2</v>
      </c>
      <c r="F128" s="858"/>
      <c r="G128" s="859"/>
      <c r="H128" s="858">
        <f>AH114</f>
        <v>7.7499999999999999E-2</v>
      </c>
      <c r="I128" s="858"/>
      <c r="J128" s="859"/>
      <c r="K128" s="662" t="s">
        <v>204</v>
      </c>
      <c r="L128" s="663"/>
      <c r="M128" s="632" t="str">
        <f>$V$3&amp;""&amp;V123&amp;" "&amp;AC109</f>
        <v>Hi, if you changed your mind let me know so I can stop contacting you if you wish? [Ellis w/ West Capital Lending]</v>
      </c>
      <c r="N128" s="633"/>
      <c r="O128" s="633"/>
      <c r="P128" s="633"/>
      <c r="Q128" s="633"/>
      <c r="R128" s="633"/>
      <c r="S128" s="633"/>
      <c r="T128" s="633"/>
      <c r="U128" s="634"/>
      <c r="V128" s="723"/>
      <c r="W128" s="723"/>
      <c r="X128" s="723"/>
      <c r="Y128" s="723"/>
      <c r="Z128" s="723"/>
      <c r="AA128" s="723"/>
      <c r="AB128" s="723"/>
      <c r="AC128" s="723"/>
      <c r="AD128" s="723"/>
      <c r="AE128" s="723"/>
      <c r="AF128" s="723"/>
      <c r="AG128" s="787"/>
      <c r="AH128" s="787"/>
      <c r="AI128" s="787"/>
      <c r="AJ128" s="787"/>
      <c r="AK128" s="787"/>
      <c r="AL128" s="787"/>
      <c r="AM128" s="787"/>
      <c r="AN128" s="787"/>
      <c r="AO128" s="787"/>
    </row>
    <row r="129" spans="1:41" ht="15.2" customHeight="1">
      <c r="A129" s="971"/>
      <c r="B129" s="972"/>
      <c r="C129" s="972"/>
      <c r="D129" s="973"/>
      <c r="E129" s="858"/>
      <c r="F129" s="858"/>
      <c r="G129" s="859"/>
      <c r="H129" s="858"/>
      <c r="I129" s="858"/>
      <c r="J129" s="859"/>
      <c r="K129" s="662"/>
      <c r="L129" s="663"/>
      <c r="M129" s="632"/>
      <c r="N129" s="633"/>
      <c r="O129" s="633"/>
      <c r="P129" s="633"/>
      <c r="Q129" s="633"/>
      <c r="R129" s="633"/>
      <c r="S129" s="633"/>
      <c r="T129" s="633"/>
      <c r="U129" s="634"/>
      <c r="V129" s="723" t="s">
        <v>206</v>
      </c>
      <c r="W129" s="723"/>
      <c r="X129" s="723"/>
      <c r="Y129" s="723"/>
      <c r="Z129" s="723"/>
      <c r="AA129" s="723"/>
      <c r="AB129" s="723"/>
      <c r="AC129" s="723"/>
      <c r="AD129" s="723"/>
      <c r="AE129" s="723"/>
      <c r="AF129" s="723"/>
      <c r="AG129" s="787"/>
      <c r="AH129" s="787"/>
      <c r="AI129" s="787"/>
      <c r="AJ129" s="787"/>
      <c r="AK129" s="787"/>
      <c r="AL129" s="787"/>
      <c r="AM129" s="787"/>
      <c r="AN129" s="787"/>
      <c r="AO129" s="787"/>
    </row>
    <row r="130" spans="1:41" ht="15.2" customHeight="1">
      <c r="A130" s="971" t="s">
        <v>163</v>
      </c>
      <c r="B130" s="972"/>
      <c r="C130" s="972"/>
      <c r="D130" s="973"/>
      <c r="E130" s="858">
        <f>AH108</f>
        <v>8.115E-2</v>
      </c>
      <c r="F130" s="858"/>
      <c r="G130" s="859"/>
      <c r="H130" s="858">
        <f>AH116</f>
        <v>7.8750000000000001E-2</v>
      </c>
      <c r="I130" s="858"/>
      <c r="J130" s="859"/>
      <c r="K130" s="664" t="s">
        <v>233</v>
      </c>
      <c r="L130" s="665"/>
      <c r="M130" s="632" t="str">
        <f>$V$3&amp;""&amp;V125&amp;" "&amp;AC112&amp;""&amp;AB112&amp;" "&amp;X125&amp;" "&amp;AC109</f>
        <v>Hi, did you still want to take out the $740000 :money_with_wings: in cash from your home? [Ellis w/ West Capital Lending]</v>
      </c>
      <c r="N130" s="633"/>
      <c r="O130" s="633"/>
      <c r="P130" s="633"/>
      <c r="Q130" s="633"/>
      <c r="R130" s="633"/>
      <c r="S130" s="633"/>
      <c r="T130" s="633"/>
      <c r="U130" s="634"/>
      <c r="V130" s="723"/>
      <c r="W130" s="723"/>
      <c r="X130" s="723"/>
      <c r="Y130" s="723"/>
      <c r="Z130" s="723"/>
      <c r="AA130" s="723"/>
      <c r="AB130" s="723"/>
      <c r="AC130" s="723"/>
      <c r="AD130" s="723"/>
      <c r="AE130" s="723"/>
      <c r="AF130" s="723"/>
      <c r="AG130" s="787"/>
      <c r="AH130" s="787"/>
      <c r="AI130" s="787"/>
      <c r="AJ130" s="787"/>
      <c r="AK130" s="787"/>
      <c r="AL130" s="787"/>
      <c r="AM130" s="787"/>
      <c r="AN130" s="787"/>
      <c r="AO130" s="787"/>
    </row>
    <row r="131" spans="1:41" ht="15.2" customHeight="1">
      <c r="A131" s="971"/>
      <c r="B131" s="972"/>
      <c r="C131" s="972"/>
      <c r="D131" s="973"/>
      <c r="E131" s="858"/>
      <c r="F131" s="858"/>
      <c r="G131" s="859"/>
      <c r="H131" s="858"/>
      <c r="I131" s="858"/>
      <c r="J131" s="859"/>
      <c r="K131" s="664"/>
      <c r="L131" s="665"/>
      <c r="M131" s="632"/>
      <c r="N131" s="633"/>
      <c r="O131" s="633"/>
      <c r="P131" s="633"/>
      <c r="Q131" s="633"/>
      <c r="R131" s="633"/>
      <c r="S131" s="633"/>
      <c r="T131" s="633"/>
      <c r="U131" s="634"/>
      <c r="V131" s="723" t="s">
        <v>208</v>
      </c>
      <c r="W131" s="723"/>
      <c r="X131" s="723"/>
      <c r="Y131" s="723"/>
      <c r="Z131" s="723"/>
      <c r="AA131" s="723"/>
      <c r="AB131" s="723"/>
      <c r="AC131" s="723"/>
      <c r="AD131" s="723"/>
      <c r="AE131" s="723"/>
      <c r="AF131" s="723"/>
      <c r="AG131" s="787"/>
      <c r="AH131" s="787"/>
      <c r="AI131" s="787"/>
      <c r="AJ131" s="787"/>
      <c r="AK131" s="787"/>
      <c r="AL131" s="787"/>
      <c r="AM131" s="787"/>
      <c r="AN131" s="787"/>
      <c r="AO131" s="787"/>
    </row>
    <row r="132" spans="1:41" ht="15.2" customHeight="1">
      <c r="A132" s="971" t="s">
        <v>209</v>
      </c>
      <c r="B132" s="972"/>
      <c r="C132" s="972"/>
      <c r="D132" s="973"/>
      <c r="E132" s="861">
        <f>AH110</f>
        <v>20000</v>
      </c>
      <c r="F132" s="861"/>
      <c r="G132" s="862"/>
      <c r="H132" s="861">
        <f>AH118</f>
        <v>20000</v>
      </c>
      <c r="I132" s="861"/>
      <c r="J132" s="862"/>
      <c r="K132" s="791" t="s">
        <v>210</v>
      </c>
      <c r="L132" s="792"/>
      <c r="M132" s="942" t="str">
        <f>$V$3&amp;""&amp;V127&amp;" "&amp;AC109</f>
        <v>Hi, generally when I do not receive a response it is because the client was told they didn't qualify. I am broker and I can work with any credit or income profile. [Ellis w/ West Capital Lending]</v>
      </c>
      <c r="N132" s="943"/>
      <c r="O132" s="943"/>
      <c r="P132" s="943"/>
      <c r="Q132" s="943"/>
      <c r="R132" s="943"/>
      <c r="S132" s="943"/>
      <c r="T132" s="943"/>
      <c r="U132" s="944"/>
      <c r="V132" s="723"/>
      <c r="W132" s="723"/>
      <c r="X132" s="723"/>
      <c r="Y132" s="723"/>
      <c r="Z132" s="723"/>
      <c r="AA132" s="723"/>
      <c r="AB132" s="723"/>
      <c r="AC132" s="723"/>
      <c r="AD132" s="723"/>
      <c r="AE132" s="723"/>
      <c r="AF132" s="723"/>
      <c r="AG132" s="787"/>
      <c r="AH132" s="787"/>
      <c r="AI132" s="787"/>
      <c r="AJ132" s="787"/>
      <c r="AK132" s="787"/>
      <c r="AL132" s="787"/>
      <c r="AM132" s="787"/>
      <c r="AN132" s="787"/>
      <c r="AO132" s="787"/>
    </row>
    <row r="133" spans="1:41" ht="15.2" customHeight="1" thickBot="1">
      <c r="A133" s="971"/>
      <c r="B133" s="972"/>
      <c r="C133" s="972"/>
      <c r="D133" s="973"/>
      <c r="E133" s="861"/>
      <c r="F133" s="861"/>
      <c r="G133" s="862"/>
      <c r="H133" s="861"/>
      <c r="I133" s="861"/>
      <c r="J133" s="862"/>
      <c r="K133" s="818"/>
      <c r="L133" s="819"/>
      <c r="M133" s="1013"/>
      <c r="N133" s="1014"/>
      <c r="O133" s="1014"/>
      <c r="P133" s="1014"/>
      <c r="Q133" s="1014"/>
      <c r="R133" s="1014"/>
      <c r="S133" s="1014"/>
      <c r="T133" s="1014"/>
      <c r="U133" s="1015"/>
      <c r="V133" s="723" t="s">
        <v>212</v>
      </c>
      <c r="W133" s="723"/>
      <c r="X133" s="723"/>
      <c r="Y133" s="723"/>
      <c r="Z133" s="723"/>
      <c r="AA133" s="723"/>
      <c r="AB133" s="723"/>
      <c r="AC133" s="723"/>
      <c r="AD133" s="723"/>
      <c r="AE133" s="723"/>
      <c r="AF133" s="723"/>
      <c r="AG133" s="787"/>
      <c r="AH133" s="787"/>
      <c r="AI133" s="787"/>
      <c r="AJ133" s="787"/>
      <c r="AK133" s="787"/>
      <c r="AL133" s="787"/>
      <c r="AM133" s="787"/>
      <c r="AN133" s="787"/>
      <c r="AO133" s="787"/>
    </row>
    <row r="134" spans="1:41" ht="15.2" customHeight="1">
      <c r="A134" s="974" t="s">
        <v>213</v>
      </c>
      <c r="B134" s="975"/>
      <c r="C134" s="975"/>
      <c r="D134" s="976"/>
      <c r="E134" s="867">
        <f>ABS(PMT(E128/12, AE141,E124, 0))</f>
        <v>5571.3135626692683</v>
      </c>
      <c r="F134" s="867"/>
      <c r="G134" s="868"/>
      <c r="H134" s="867">
        <f>ABS(PMT(H128/12, AE142,E124, 0))</f>
        <v>6239.2090878482159</v>
      </c>
      <c r="I134" s="867"/>
      <c r="J134" s="868"/>
      <c r="K134" s="791" t="s">
        <v>214</v>
      </c>
      <c r="L134" s="792"/>
      <c r="M134" s="921" t="str">
        <f>$V$3&amp;""&amp;V129&amp;" "&amp;AC109</f>
        <v>Hi, home values are trending up in your area. :zap: Have you had an evaluation done recently? [Ellis w/ West Capital Lending]</v>
      </c>
      <c r="N134" s="822"/>
      <c r="O134" s="822"/>
      <c r="P134" s="822"/>
      <c r="Q134" s="822"/>
      <c r="R134" s="822"/>
      <c r="S134" s="822"/>
      <c r="T134" s="822"/>
      <c r="U134" s="823"/>
      <c r="V134" s="723"/>
      <c r="W134" s="723"/>
      <c r="X134" s="723"/>
      <c r="Y134" s="723"/>
      <c r="Z134" s="723"/>
      <c r="AA134" s="723"/>
      <c r="AB134" s="723"/>
      <c r="AC134" s="723"/>
      <c r="AD134" s="723"/>
      <c r="AE134" s="723"/>
      <c r="AF134" s="723"/>
      <c r="AG134" s="787"/>
      <c r="AH134" s="787"/>
      <c r="AI134" s="787"/>
      <c r="AJ134" s="787"/>
      <c r="AK134" s="787"/>
      <c r="AL134" s="787"/>
      <c r="AM134" s="787"/>
      <c r="AN134" s="787"/>
      <c r="AO134" s="787"/>
    </row>
    <row r="135" spans="1:41" ht="15.2" customHeight="1" thickBot="1">
      <c r="A135" s="977"/>
      <c r="B135" s="978"/>
      <c r="C135" s="978"/>
      <c r="D135" s="979"/>
      <c r="E135" s="870"/>
      <c r="F135" s="870"/>
      <c r="G135" s="871"/>
      <c r="H135" s="870"/>
      <c r="I135" s="870"/>
      <c r="J135" s="871"/>
      <c r="K135" s="793"/>
      <c r="L135" s="794"/>
      <c r="M135" s="939"/>
      <c r="N135" s="940"/>
      <c r="O135" s="940"/>
      <c r="P135" s="940"/>
      <c r="Q135" s="940"/>
      <c r="R135" s="940"/>
      <c r="S135" s="940"/>
      <c r="T135" s="940"/>
      <c r="U135" s="941"/>
      <c r="V135" t="s">
        <v>241</v>
      </c>
      <c r="X135" s="19"/>
      <c r="Y135" s="19"/>
      <c r="Z135" s="19"/>
      <c r="AA135" t="s">
        <v>242</v>
      </c>
      <c r="AC135" s="19"/>
      <c r="AD135" t="s">
        <v>215</v>
      </c>
      <c r="AE135" s="19"/>
      <c r="AF135" s="19"/>
      <c r="AG135" s="787"/>
      <c r="AH135" s="787"/>
      <c r="AI135" s="787"/>
      <c r="AJ135" s="787"/>
      <c r="AK135" s="787"/>
      <c r="AL135" s="787"/>
      <c r="AM135" s="787"/>
      <c r="AN135" s="787"/>
      <c r="AO135" s="787"/>
    </row>
    <row r="136" spans="1:41" ht="15.2" customHeight="1">
      <c r="A136" s="974" t="s">
        <v>265</v>
      </c>
      <c r="B136" s="975"/>
      <c r="C136" s="975">
        <f>C114</f>
        <v>740000</v>
      </c>
      <c r="D136" s="976"/>
      <c r="E136" s="873">
        <f>E124-E132</f>
        <v>740000</v>
      </c>
      <c r="F136" s="873"/>
      <c r="G136" s="874"/>
      <c r="H136" s="873">
        <f>E124-H132</f>
        <v>740000</v>
      </c>
      <c r="I136" s="873"/>
      <c r="J136" s="874"/>
      <c r="K136" s="791" t="s">
        <v>216</v>
      </c>
      <c r="L136" s="792"/>
      <c r="M136" s="921" t="str">
        <f>$V$3&amp;""&amp;V131&amp;" "&amp;AC109</f>
        <v>Hi, a lot of my clients are calling to consolidate their debt. Do you carry any High Interest Balances? [Ellis w/ West Capital Lending]</v>
      </c>
      <c r="N136" s="822"/>
      <c r="O136" s="822"/>
      <c r="P136" s="822"/>
      <c r="Q136" s="822"/>
      <c r="R136" s="822"/>
      <c r="S136" s="822"/>
      <c r="T136" s="822"/>
      <c r="U136" s="823"/>
      <c r="V136" t="s">
        <v>243</v>
      </c>
      <c r="W136" s="1">
        <v>325</v>
      </c>
      <c r="X136" t="s">
        <v>244</v>
      </c>
      <c r="Y136" s="1">
        <v>26.5</v>
      </c>
      <c r="Z136" s="19"/>
      <c r="AA136" t="s">
        <v>245</v>
      </c>
      <c r="AB136">
        <v>350</v>
      </c>
      <c r="AC136" s="19"/>
      <c r="AD136" t="s">
        <v>217</v>
      </c>
      <c r="AF136" s="19"/>
      <c r="AG136" s="787"/>
      <c r="AH136" s="787"/>
      <c r="AI136" s="787"/>
      <c r="AJ136" s="787"/>
      <c r="AK136" s="787"/>
      <c r="AL136" s="787"/>
      <c r="AM136" s="787"/>
      <c r="AN136" s="787"/>
      <c r="AO136" s="787"/>
    </row>
    <row r="137" spans="1:41" ht="15.2" customHeight="1" thickBot="1">
      <c r="A137" s="977"/>
      <c r="B137" s="978"/>
      <c r="C137" s="978"/>
      <c r="D137" s="979"/>
      <c r="E137" s="876"/>
      <c r="F137" s="876"/>
      <c r="G137" s="877"/>
      <c r="H137" s="876"/>
      <c r="I137" s="876"/>
      <c r="J137" s="877"/>
      <c r="K137" s="793"/>
      <c r="L137" s="794"/>
      <c r="M137" s="922"/>
      <c r="N137" s="728"/>
      <c r="O137" s="728"/>
      <c r="P137" s="728"/>
      <c r="Q137" s="728"/>
      <c r="R137" s="728"/>
      <c r="S137" s="728"/>
      <c r="T137" s="728"/>
      <c r="U137" s="729"/>
      <c r="V137" t="s">
        <v>246</v>
      </c>
      <c r="W137" s="1">
        <f>Y102*0.02</f>
        <v>0</v>
      </c>
      <c r="X137" t="s">
        <v>247</v>
      </c>
      <c r="Y137" s="1">
        <v>2.5</v>
      </c>
      <c r="Z137" s="19"/>
      <c r="AA137" t="s">
        <v>248</v>
      </c>
      <c r="AB137">
        <v>600</v>
      </c>
      <c r="AC137" s="19"/>
      <c r="AD137" t="s">
        <v>218</v>
      </c>
      <c r="AF137" s="19"/>
      <c r="AG137" s="787"/>
      <c r="AH137" s="787"/>
      <c r="AI137" s="787"/>
      <c r="AJ137" s="787"/>
      <c r="AK137" s="787"/>
      <c r="AL137" s="787"/>
      <c r="AM137" s="787"/>
      <c r="AN137" s="787"/>
      <c r="AO137" s="787"/>
    </row>
    <row r="138" spans="1:41" ht="15.2" customHeight="1" thickBot="1">
      <c r="A138" s="974" t="s">
        <v>219</v>
      </c>
      <c r="B138" s="975"/>
      <c r="C138" s="975"/>
      <c r="D138" s="976"/>
      <c r="E138" s="765" t="s">
        <v>33</v>
      </c>
      <c r="F138" s="767"/>
      <c r="G138" s="765" t="s">
        <v>34</v>
      </c>
      <c r="H138" s="767"/>
      <c r="I138" s="765" t="s">
        <v>35</v>
      </c>
      <c r="J138" s="767"/>
      <c r="K138" s="950" t="s">
        <v>220</v>
      </c>
      <c r="L138" s="951"/>
      <c r="M138" s="784" t="str">
        <f>V133&amp;" "&amp;AC109</f>
        <v>Do I have the right person? [Ellis w/ West Capital Lending]</v>
      </c>
      <c r="N138" s="785"/>
      <c r="O138" s="785"/>
      <c r="P138" s="785"/>
      <c r="Q138" s="785"/>
      <c r="R138" s="785"/>
      <c r="S138" s="785"/>
      <c r="T138" s="785"/>
      <c r="U138" s="786"/>
      <c r="V138" t="s">
        <v>249</v>
      </c>
      <c r="W138" s="1">
        <v>45</v>
      </c>
      <c r="X138" t="s">
        <v>250</v>
      </c>
      <c r="Y138" s="1">
        <v>79</v>
      </c>
      <c r="Z138" s="19"/>
      <c r="AA138" t="s">
        <v>251</v>
      </c>
      <c r="AB138">
        <v>650</v>
      </c>
      <c r="AC138" s="19"/>
      <c r="AD138" t="s">
        <v>221</v>
      </c>
      <c r="AF138" s="19"/>
      <c r="AG138" s="787"/>
      <c r="AH138" s="787"/>
      <c r="AI138" s="787"/>
      <c r="AJ138" s="787"/>
      <c r="AK138" s="787"/>
      <c r="AL138" s="787"/>
      <c r="AM138" s="787"/>
      <c r="AN138" s="787"/>
      <c r="AO138" s="787"/>
    </row>
    <row r="139" spans="1:41" ht="15.2" customHeight="1" thickBot="1">
      <c r="A139" s="971"/>
      <c r="B139" s="972"/>
      <c r="C139" s="972"/>
      <c r="D139" s="973"/>
      <c r="E139" s="768"/>
      <c r="F139" s="770"/>
      <c r="G139" s="768"/>
      <c r="H139" s="770"/>
      <c r="I139" s="768"/>
      <c r="J139" s="770"/>
      <c r="K139" s="795"/>
      <c r="L139" s="795"/>
      <c r="M139" s="795"/>
      <c r="N139" s="795"/>
      <c r="O139" s="795"/>
      <c r="P139" s="795"/>
      <c r="Q139" s="795"/>
      <c r="R139" s="795"/>
      <c r="S139" s="795"/>
      <c r="T139" s="795"/>
      <c r="U139" s="795"/>
      <c r="V139" t="s">
        <v>252</v>
      </c>
      <c r="W139" s="1">
        <v>5.5</v>
      </c>
      <c r="X139" t="s">
        <v>253</v>
      </c>
      <c r="Y139" s="1">
        <v>145</v>
      </c>
      <c r="Z139" s="19"/>
      <c r="AA139" t="s">
        <v>254</v>
      </c>
      <c r="AB139">
        <v>130</v>
      </c>
      <c r="AC139" s="19"/>
      <c r="AD139" t="s">
        <v>222</v>
      </c>
      <c r="AF139" s="19"/>
      <c r="AG139" s="787"/>
      <c r="AH139" s="787"/>
      <c r="AI139" s="787"/>
      <c r="AJ139" s="787"/>
      <c r="AK139" s="787"/>
      <c r="AL139" s="787"/>
      <c r="AM139" s="787"/>
      <c r="AN139" s="787"/>
      <c r="AO139" s="787"/>
    </row>
    <row r="140" spans="1:41" ht="15.2" customHeight="1">
      <c r="A140" s="971"/>
      <c r="B140" s="972"/>
      <c r="C140" s="972"/>
      <c r="D140" s="973"/>
      <c r="E140" s="765" t="s">
        <v>223</v>
      </c>
      <c r="F140" s="767"/>
      <c r="G140" s="765" t="s">
        <v>224</v>
      </c>
      <c r="H140" s="767"/>
      <c r="I140" s="765" t="s">
        <v>225</v>
      </c>
      <c r="J140" s="767"/>
      <c r="K140" s="796"/>
      <c r="L140" s="796"/>
      <c r="M140" s="796"/>
      <c r="N140" s="796"/>
      <c r="O140" s="796"/>
      <c r="P140" s="796"/>
      <c r="Q140" s="796"/>
      <c r="R140" s="796"/>
      <c r="S140" s="796"/>
      <c r="T140" s="796"/>
      <c r="U140" s="796"/>
      <c r="V140" t="s">
        <v>255</v>
      </c>
      <c r="W140" s="1">
        <v>6</v>
      </c>
      <c r="X140" t="s">
        <v>256</v>
      </c>
      <c r="Y140" s="1">
        <v>145</v>
      </c>
      <c r="AA140" t="s">
        <v>257</v>
      </c>
      <c r="AD140" t="s">
        <v>158</v>
      </c>
      <c r="AG140" s="787"/>
      <c r="AH140" s="787"/>
      <c r="AI140" s="787"/>
      <c r="AJ140" s="787"/>
      <c r="AK140" s="787"/>
      <c r="AL140" s="787"/>
      <c r="AM140" s="787"/>
      <c r="AN140" s="787"/>
      <c r="AO140" s="787"/>
    </row>
    <row r="141" spans="1:41" ht="15.2" customHeight="1" thickBot="1">
      <c r="A141" s="977"/>
      <c r="B141" s="978"/>
      <c r="C141" s="978"/>
      <c r="D141" s="979"/>
      <c r="E141" s="768"/>
      <c r="F141" s="770"/>
      <c r="G141" s="768"/>
      <c r="H141" s="770"/>
      <c r="I141" s="768"/>
      <c r="J141" s="770"/>
      <c r="K141" s="796"/>
      <c r="L141" s="796"/>
      <c r="M141" s="796"/>
      <c r="N141" s="796"/>
      <c r="O141" s="796"/>
      <c r="P141" s="796"/>
      <c r="Q141" s="796"/>
      <c r="R141" s="796"/>
      <c r="S141" s="796"/>
      <c r="T141" s="796"/>
      <c r="U141" s="796"/>
      <c r="V141" t="s">
        <v>258</v>
      </c>
      <c r="W141" s="1">
        <v>24.95</v>
      </c>
      <c r="X141" t="s">
        <v>259</v>
      </c>
      <c r="Y141" s="1">
        <v>249</v>
      </c>
      <c r="AD141" t="s">
        <v>211</v>
      </c>
      <c r="AE141">
        <f>IF(AH104="5 Year Fixed",60,IF(AH104="10 Year Fixed",120,IF(AH104="15 Year Fixed",180,IF(AH104="20 Year Fixed",240,IF(AH104="25 Year Fixed",300,IF(AH104="30 Year Fixed",360,0))))))</f>
        <v>360</v>
      </c>
      <c r="AG141" s="787"/>
      <c r="AH141" s="787"/>
      <c r="AI141" s="787"/>
      <c r="AJ141" s="787"/>
      <c r="AK141" s="787"/>
      <c r="AL141" s="787"/>
      <c r="AM141" s="787"/>
      <c r="AN141" s="787"/>
      <c r="AO141" s="787"/>
    </row>
    <row r="142" spans="1:41" ht="15.2" customHeight="1">
      <c r="A142" s="775"/>
      <c r="B142" s="776"/>
      <c r="C142" s="776"/>
      <c r="D142" s="776"/>
      <c r="E142" s="776"/>
      <c r="F142" s="776"/>
      <c r="G142" s="776"/>
      <c r="H142" s="776"/>
      <c r="I142" s="776"/>
      <c r="J142" s="777"/>
      <c r="K142" s="796"/>
      <c r="L142" s="796"/>
      <c r="M142" s="796"/>
      <c r="N142" s="796"/>
      <c r="O142" s="796"/>
      <c r="P142" s="796"/>
      <c r="Q142" s="796"/>
      <c r="R142" s="796"/>
      <c r="S142" s="796"/>
      <c r="T142" s="796"/>
      <c r="U142" s="796"/>
      <c r="X142" t="s">
        <v>130</v>
      </c>
      <c r="Y142" s="4">
        <f>SUM(W136:W141,Y136:Y141)</f>
        <v>1053.45</v>
      </c>
      <c r="AD142" t="s">
        <v>226</v>
      </c>
      <c r="AE142">
        <f>IF(AH112="5 Year Fixed",60,IF(AH112="10 Year Fixed",120,IF(AH112="15 Year Fixed",180,IF(AH112="20 Year Fixed",240,IF(AH112="25 Year Fixed",300,IF(AH112="30 Year Fixed",360,0))))))</f>
        <v>240</v>
      </c>
      <c r="AG142" s="787"/>
      <c r="AH142" s="787"/>
      <c r="AI142" s="787"/>
      <c r="AJ142" s="787"/>
      <c r="AK142" s="787"/>
      <c r="AL142" s="787"/>
      <c r="AM142" s="787"/>
      <c r="AN142" s="787"/>
      <c r="AO142" s="787"/>
    </row>
    <row r="143" spans="1:41" ht="15.2" customHeight="1">
      <c r="A143" s="778"/>
      <c r="B143" s="779"/>
      <c r="C143" s="779"/>
      <c r="D143" s="779"/>
      <c r="E143" s="779"/>
      <c r="F143" s="779"/>
      <c r="G143" s="779"/>
      <c r="H143" s="779"/>
      <c r="I143" s="779"/>
      <c r="J143" s="780"/>
      <c r="K143" s="796"/>
      <c r="L143" s="796"/>
      <c r="M143" s="796"/>
      <c r="N143" s="796"/>
      <c r="O143" s="796"/>
      <c r="P143" s="796"/>
      <c r="Q143" s="796"/>
      <c r="R143" s="796"/>
      <c r="S143" s="796"/>
      <c r="T143" s="796"/>
      <c r="U143" s="796"/>
      <c r="Y143" s="4"/>
      <c r="AG143" s="787"/>
      <c r="AH143" s="787"/>
      <c r="AI143" s="787"/>
      <c r="AJ143" s="787"/>
      <c r="AK143" s="787"/>
      <c r="AL143" s="787"/>
      <c r="AM143" s="787"/>
      <c r="AN143" s="787"/>
      <c r="AO143" s="787"/>
    </row>
    <row r="144" spans="1:41" ht="15.2" customHeight="1" thickBot="1">
      <c r="A144" s="781"/>
      <c r="B144" s="782"/>
      <c r="C144" s="782"/>
      <c r="D144" s="782"/>
      <c r="E144" s="782"/>
      <c r="F144" s="782"/>
      <c r="G144" s="782"/>
      <c r="H144" s="782"/>
      <c r="I144" s="782"/>
      <c r="J144" s="783"/>
      <c r="K144" s="796"/>
      <c r="L144" s="796"/>
      <c r="M144" s="796"/>
      <c r="N144" s="796"/>
      <c r="O144" s="796"/>
      <c r="P144" s="796"/>
      <c r="Q144" s="796"/>
      <c r="R144" s="796"/>
      <c r="S144" s="796"/>
      <c r="T144" s="796"/>
      <c r="U144" s="796"/>
      <c r="Y144" s="4"/>
      <c r="AG144" s="787"/>
      <c r="AH144" s="787"/>
      <c r="AI144" s="787"/>
      <c r="AJ144" s="787"/>
      <c r="AK144" s="787"/>
      <c r="AL144" s="787"/>
      <c r="AM144" s="787"/>
      <c r="AN144" s="787"/>
      <c r="AO144" s="787"/>
    </row>
    <row r="145" spans="1:41" ht="15.2" customHeight="1">
      <c r="A145" s="758" t="str">
        <f>F102&amp;" - "&amp;START!$E$25</f>
        <v>Ellis Andersen | Branch Manager - (949) 892-1736</v>
      </c>
      <c r="B145" s="759"/>
      <c r="C145" s="759"/>
      <c r="D145" s="759"/>
      <c r="E145" s="759"/>
      <c r="F145" s="759"/>
      <c r="G145" s="759"/>
      <c r="H145" s="759"/>
      <c r="I145" s="759"/>
      <c r="J145" s="760"/>
      <c r="K145" s="796"/>
      <c r="L145" s="796"/>
      <c r="M145" s="796"/>
      <c r="N145" s="796"/>
      <c r="O145" s="796"/>
      <c r="P145" s="796"/>
      <c r="Q145" s="796"/>
      <c r="R145" s="796"/>
      <c r="S145" s="796"/>
      <c r="T145" s="796"/>
      <c r="U145" s="796"/>
      <c r="AG145" s="787"/>
      <c r="AH145" s="787"/>
      <c r="AI145" s="787"/>
      <c r="AJ145" s="787"/>
      <c r="AK145" s="787"/>
      <c r="AL145" s="787"/>
      <c r="AM145" s="787"/>
      <c r="AN145" s="787"/>
      <c r="AO145" s="787"/>
    </row>
    <row r="146" spans="1:41" ht="15.2" customHeight="1">
      <c r="A146" s="758"/>
      <c r="B146" s="759"/>
      <c r="C146" s="759"/>
      <c r="D146" s="759"/>
      <c r="E146" s="759"/>
      <c r="F146" s="759"/>
      <c r="G146" s="759"/>
      <c r="H146" s="759"/>
      <c r="I146" s="759"/>
      <c r="J146" s="760"/>
      <c r="K146" s="796"/>
      <c r="L146" s="796"/>
      <c r="M146" s="796"/>
      <c r="N146" s="796"/>
      <c r="O146" s="796"/>
      <c r="P146" s="796"/>
      <c r="Q146" s="796"/>
      <c r="R146" s="796"/>
      <c r="S146" s="796"/>
      <c r="T146" s="796"/>
      <c r="U146" s="796"/>
      <c r="AG146" s="787"/>
      <c r="AH146" s="787"/>
      <c r="AI146" s="787"/>
      <c r="AJ146" s="787"/>
      <c r="AK146" s="787"/>
      <c r="AL146" s="787"/>
      <c r="AM146" s="787"/>
      <c r="AN146" s="787"/>
      <c r="AO146" s="787"/>
    </row>
    <row r="147" spans="1:41" ht="15.2" customHeight="1" thickBot="1">
      <c r="A147" s="761" t="s">
        <v>229</v>
      </c>
      <c r="B147" s="762"/>
      <c r="C147" s="762"/>
      <c r="D147" s="762"/>
      <c r="E147" s="762"/>
      <c r="F147" s="762"/>
      <c r="G147" s="762"/>
      <c r="H147" s="762"/>
      <c r="I147" s="762"/>
      <c r="J147" s="763"/>
      <c r="K147" s="796"/>
      <c r="L147" s="796"/>
      <c r="M147" s="796"/>
      <c r="N147" s="796"/>
      <c r="O147" s="796"/>
      <c r="P147" s="796"/>
      <c r="Q147" s="796"/>
      <c r="R147" s="796"/>
      <c r="S147" s="796"/>
      <c r="T147" s="796"/>
      <c r="U147" s="796"/>
      <c r="AG147" s="787"/>
      <c r="AH147" s="787"/>
      <c r="AI147" s="787"/>
      <c r="AJ147" s="787"/>
      <c r="AK147" s="787"/>
      <c r="AL147" s="787"/>
      <c r="AM147" s="787"/>
      <c r="AN147" s="787"/>
      <c r="AO147" s="787"/>
    </row>
    <row r="148" spans="1:41">
      <c r="A148" s="776"/>
      <c r="B148" s="776"/>
      <c r="C148" s="776"/>
      <c r="D148" s="776"/>
      <c r="E148" s="776"/>
      <c r="F148" s="776"/>
      <c r="G148" s="776"/>
      <c r="H148" s="776"/>
      <c r="I148" s="776"/>
      <c r="J148" s="776"/>
      <c r="K148" s="796"/>
      <c r="L148" s="796"/>
      <c r="M148" s="796"/>
      <c r="N148" s="796"/>
      <c r="O148" s="796"/>
      <c r="P148" s="796"/>
      <c r="Q148" s="796"/>
      <c r="R148" s="796"/>
      <c r="S148" s="796"/>
      <c r="T148" s="796"/>
      <c r="U148" s="796"/>
      <c r="AG148" s="787"/>
      <c r="AH148" s="787"/>
      <c r="AI148" s="787"/>
      <c r="AJ148" s="787"/>
      <c r="AK148" s="787"/>
      <c r="AL148" s="787"/>
      <c r="AM148" s="787"/>
      <c r="AN148" s="787"/>
      <c r="AO148" s="787"/>
    </row>
    <row r="149" spans="1:41">
      <c r="A149" s="779"/>
      <c r="B149" s="779"/>
      <c r="C149" s="779"/>
      <c r="D149" s="779"/>
      <c r="E149" s="779"/>
      <c r="F149" s="779"/>
      <c r="G149" s="779"/>
      <c r="H149" s="779"/>
      <c r="I149" s="779"/>
      <c r="J149" s="779"/>
      <c r="K149" s="796"/>
      <c r="L149" s="796"/>
      <c r="M149" s="796"/>
      <c r="N149" s="796"/>
      <c r="O149" s="796"/>
      <c r="P149" s="796"/>
      <c r="Q149" s="796"/>
      <c r="R149" s="796"/>
      <c r="S149" s="796"/>
      <c r="T149" s="796"/>
      <c r="U149" s="796"/>
      <c r="AG149" s="787"/>
      <c r="AH149" s="787"/>
      <c r="AI149" s="787"/>
      <c r="AJ149" s="787"/>
      <c r="AK149" s="787"/>
      <c r="AL149" s="787"/>
      <c r="AM149" s="787"/>
      <c r="AN149" s="787"/>
      <c r="AO149" s="787"/>
    </row>
    <row r="150" spans="1:41">
      <c r="A150" s="779"/>
      <c r="B150" s="779"/>
      <c r="C150" s="779"/>
      <c r="D150" s="779"/>
      <c r="E150" s="779"/>
      <c r="F150" s="779"/>
      <c r="G150" s="779"/>
      <c r="H150" s="779"/>
      <c r="I150" s="779"/>
      <c r="J150" s="779"/>
      <c r="K150" s="796"/>
      <c r="L150" s="796"/>
      <c r="M150" s="796"/>
      <c r="N150" s="796"/>
      <c r="O150" s="796"/>
      <c r="P150" s="796"/>
      <c r="Q150" s="796"/>
      <c r="R150" s="796"/>
      <c r="S150" s="796"/>
      <c r="T150" s="796"/>
      <c r="U150" s="796"/>
      <c r="AG150" s="787"/>
      <c r="AH150" s="787"/>
      <c r="AI150" s="787"/>
      <c r="AJ150" s="787"/>
      <c r="AK150" s="787"/>
      <c r="AL150" s="787"/>
      <c r="AM150" s="787"/>
      <c r="AN150" s="787"/>
      <c r="AO150" s="787"/>
    </row>
    <row r="151" spans="1:41">
      <c r="A151" s="779"/>
      <c r="B151" s="779"/>
      <c r="C151" s="779"/>
      <c r="D151" s="779"/>
      <c r="E151" s="779"/>
      <c r="F151" s="779"/>
      <c r="G151" s="779"/>
      <c r="H151" s="779"/>
      <c r="I151" s="779"/>
      <c r="J151" s="779"/>
      <c r="K151" s="796"/>
      <c r="L151" s="796"/>
      <c r="M151" s="796"/>
      <c r="N151" s="796"/>
      <c r="O151" s="796"/>
      <c r="P151" s="796"/>
      <c r="Q151" s="796"/>
      <c r="R151" s="796"/>
      <c r="S151" s="796"/>
      <c r="T151" s="796"/>
      <c r="U151" s="796"/>
      <c r="AG151" s="787"/>
      <c r="AH151" s="787"/>
      <c r="AI151" s="787"/>
      <c r="AJ151" s="787"/>
      <c r="AK151" s="787"/>
      <c r="AL151" s="787"/>
      <c r="AM151" s="787"/>
      <c r="AN151" s="787"/>
      <c r="AO151" s="787"/>
    </row>
    <row r="152" spans="1:41">
      <c r="A152" s="779"/>
      <c r="B152" s="779"/>
      <c r="C152" s="779"/>
      <c r="D152" s="779"/>
      <c r="E152" s="779"/>
      <c r="F152" s="779"/>
      <c r="G152" s="779"/>
      <c r="H152" s="779"/>
      <c r="I152" s="779"/>
      <c r="J152" s="779"/>
      <c r="K152" s="796"/>
      <c r="L152" s="796"/>
      <c r="M152" s="796"/>
      <c r="N152" s="796"/>
      <c r="O152" s="796"/>
      <c r="P152" s="796"/>
      <c r="Q152" s="796"/>
      <c r="R152" s="796"/>
      <c r="S152" s="796"/>
      <c r="T152" s="796"/>
      <c r="U152" s="796"/>
      <c r="AG152" s="787"/>
      <c r="AH152" s="787"/>
      <c r="AI152" s="787"/>
      <c r="AJ152" s="787"/>
      <c r="AK152" s="787"/>
      <c r="AL152" s="787"/>
      <c r="AM152" s="787"/>
      <c r="AN152" s="787"/>
      <c r="AO152" s="787"/>
    </row>
  </sheetData>
  <sheetProtection algorithmName="SHA-512" hashValue="2CQiBo+RUKHWLV7um//qVxQA/OOcj39kpxCyjFUGqZaHeMNE+A4ZngSWWydAimuRL5GgEapRSrTeIG3AxTGgCQ==" saltValue="DKmGjWl6hQkVS0r6A8DXbQ==" spinCount="100000" sheet="1" objects="1" scenarios="1"/>
  <protectedRanges>
    <protectedRange sqref="AH14:AH29 AH5:AH10 AH56:AH61 AH104:AH119" name="Intro HELOC HELOAN"/>
    <protectedRange sqref="AH14:AH29 AH4:AH10 AH55:AH61 AH104:AH119" name="Intro Cash Out"/>
    <protectedRange sqref="AH14:AH29 AH3:AH10 AH54:AH61 AH104:AH119" name="Inro 3 Option"/>
  </protectedRanges>
  <customSheetViews>
    <customSheetView guid="{82FC3B1B-7B28-4E2A-B7A0-4534A26F3642}" scale="70" showPageBreaks="1" view="pageLayout">
      <selection activeCell="G41" sqref="G41"/>
      <pageMargins left="0" right="0" top="0" bottom="0" header="0" footer="0"/>
      <pageSetup orientation="portrait" r:id="rId1"/>
      <headerFooter>
        <oddHeader>&amp;C&amp;"-,Bold"&amp;28&amp;K00B0F0HELOC / HELOAN PROPOSAL</oddHeader>
        <oddFooter>&amp;C&amp;"-,Bold"&amp;16&amp;K00B0F0Thank You for choosing LoanVault for your Financing Needs!</oddFooter>
      </headerFooter>
    </customSheetView>
  </customSheetViews>
  <mergeCells count="402">
    <mergeCell ref="E138:F139"/>
    <mergeCell ref="G138:H139"/>
    <mergeCell ref="A120:D121"/>
    <mergeCell ref="E120:J121"/>
    <mergeCell ref="K86:L87"/>
    <mergeCell ref="M86:U87"/>
    <mergeCell ref="K88:L88"/>
    <mergeCell ref="M88:U88"/>
    <mergeCell ref="A148:J152"/>
    <mergeCell ref="K139:U152"/>
    <mergeCell ref="A112:B112"/>
    <mergeCell ref="C112:E112"/>
    <mergeCell ref="M112:U112"/>
    <mergeCell ref="A113:B113"/>
    <mergeCell ref="E140:F141"/>
    <mergeCell ref="G140:H141"/>
    <mergeCell ref="I140:J141"/>
    <mergeCell ref="E136:G137"/>
    <mergeCell ref="H136:J137"/>
    <mergeCell ref="E132:G133"/>
    <mergeCell ref="E134:G135"/>
    <mergeCell ref="H132:J133"/>
    <mergeCell ref="H134:J135"/>
    <mergeCell ref="I138:J139"/>
    <mergeCell ref="AG120:AH152"/>
    <mergeCell ref="AI1:AO152"/>
    <mergeCell ref="A47:J51"/>
    <mergeCell ref="K38:U51"/>
    <mergeCell ref="AG30:AH51"/>
    <mergeCell ref="AG62:AH101"/>
    <mergeCell ref="A44:J45"/>
    <mergeCell ref="A46:J46"/>
    <mergeCell ref="A95:J96"/>
    <mergeCell ref="A97:J97"/>
    <mergeCell ref="A92:J94"/>
    <mergeCell ref="A142:J144"/>
    <mergeCell ref="A145:J146"/>
    <mergeCell ref="A147:J147"/>
    <mergeCell ref="A41:J43"/>
    <mergeCell ref="H128:J129"/>
    <mergeCell ref="F102:J103"/>
    <mergeCell ref="A138:D141"/>
    <mergeCell ref="K89:U101"/>
    <mergeCell ref="A98:J101"/>
    <mergeCell ref="F112:J113"/>
    <mergeCell ref="A110:B110"/>
    <mergeCell ref="C110:E110"/>
    <mergeCell ref="F110:J111"/>
    <mergeCell ref="C60:E60"/>
    <mergeCell ref="F60:J61"/>
    <mergeCell ref="AG102:AH103"/>
    <mergeCell ref="AG104:AG105"/>
    <mergeCell ref="AG106:AG107"/>
    <mergeCell ref="AG108:AG109"/>
    <mergeCell ref="AH106:AH107"/>
    <mergeCell ref="AH108:AH109"/>
    <mergeCell ref="AH104:AH105"/>
    <mergeCell ref="K102:U103"/>
    <mergeCell ref="F104:J104"/>
    <mergeCell ref="E86:J87"/>
    <mergeCell ref="K82:L83"/>
    <mergeCell ref="M82:U83"/>
    <mergeCell ref="K84:L85"/>
    <mergeCell ref="M84:U85"/>
    <mergeCell ref="M109:U109"/>
    <mergeCell ref="C61:E61"/>
    <mergeCell ref="C62:E62"/>
    <mergeCell ref="F62:J63"/>
    <mergeCell ref="C63:E63"/>
    <mergeCell ref="E76:G77"/>
    <mergeCell ref="H76:J77"/>
    <mergeCell ref="E78:J79"/>
    <mergeCell ref="AG12:AH13"/>
    <mergeCell ref="V129:AF130"/>
    <mergeCell ref="AG118:AG119"/>
    <mergeCell ref="AH118:AH119"/>
    <mergeCell ref="AG110:AG111"/>
    <mergeCell ref="AH110:AH111"/>
    <mergeCell ref="V109:Y109"/>
    <mergeCell ref="AG112:AG113"/>
    <mergeCell ref="AH112:AH113"/>
    <mergeCell ref="AG114:AG115"/>
    <mergeCell ref="AH114:AH115"/>
    <mergeCell ref="AG116:AG117"/>
    <mergeCell ref="AH116:AH117"/>
    <mergeCell ref="V123:AF124"/>
    <mergeCell ref="V52:AF53"/>
    <mergeCell ref="AG52:AH53"/>
    <mergeCell ref="V81:AF82"/>
    <mergeCell ref="V102:AF103"/>
    <mergeCell ref="V108:Y108"/>
    <mergeCell ref="V112:Y112"/>
    <mergeCell ref="V83:AF84"/>
    <mergeCell ref="V73:AF74"/>
    <mergeCell ref="V75:AF76"/>
    <mergeCell ref="V77:AF78"/>
    <mergeCell ref="K130:L131"/>
    <mergeCell ref="M130:U131"/>
    <mergeCell ref="A132:D133"/>
    <mergeCell ref="K132:L133"/>
    <mergeCell ref="M132:U133"/>
    <mergeCell ref="A134:D135"/>
    <mergeCell ref="K134:L135"/>
    <mergeCell ref="M134:U135"/>
    <mergeCell ref="H130:J131"/>
    <mergeCell ref="E130:G131"/>
    <mergeCell ref="A136:D137"/>
    <mergeCell ref="K136:L137"/>
    <mergeCell ref="M136:U137"/>
    <mergeCell ref="K121:L123"/>
    <mergeCell ref="M121:U123"/>
    <mergeCell ref="V121:AF122"/>
    <mergeCell ref="A122:D123"/>
    <mergeCell ref="E122:J123"/>
    <mergeCell ref="K138:L138"/>
    <mergeCell ref="M138:U138"/>
    <mergeCell ref="V131:AF132"/>
    <mergeCell ref="V133:AF134"/>
    <mergeCell ref="A124:D125"/>
    <mergeCell ref="K124:L125"/>
    <mergeCell ref="M124:U125"/>
    <mergeCell ref="V125:AF126"/>
    <mergeCell ref="A126:D127"/>
    <mergeCell ref="E126:G127"/>
    <mergeCell ref="H126:J127"/>
    <mergeCell ref="K126:L127"/>
    <mergeCell ref="M126:U127"/>
    <mergeCell ref="V127:AF128"/>
    <mergeCell ref="A128:D129"/>
    <mergeCell ref="A130:D131"/>
    <mergeCell ref="K128:L129"/>
    <mergeCell ref="M128:U129"/>
    <mergeCell ref="M115:U115"/>
    <mergeCell ref="V115:AF116"/>
    <mergeCell ref="E128:G129"/>
    <mergeCell ref="E124:G125"/>
    <mergeCell ref="H124:J125"/>
    <mergeCell ref="A116:D117"/>
    <mergeCell ref="E116:J117"/>
    <mergeCell ref="K116:L117"/>
    <mergeCell ref="M116:U117"/>
    <mergeCell ref="V117:AF118"/>
    <mergeCell ref="A118:D119"/>
    <mergeCell ref="E118:J119"/>
    <mergeCell ref="K118:L120"/>
    <mergeCell ref="M118:U120"/>
    <mergeCell ref="V119:AF120"/>
    <mergeCell ref="M110:U110"/>
    <mergeCell ref="V110:Y110"/>
    <mergeCell ref="A111:B111"/>
    <mergeCell ref="C111:E111"/>
    <mergeCell ref="M111:U111"/>
    <mergeCell ref="V111:Y111"/>
    <mergeCell ref="K104:L115"/>
    <mergeCell ref="M104:U105"/>
    <mergeCell ref="W104:Y104"/>
    <mergeCell ref="F105:J105"/>
    <mergeCell ref="F106:J106"/>
    <mergeCell ref="M106:U106"/>
    <mergeCell ref="V106:AF107"/>
    <mergeCell ref="F107:J107"/>
    <mergeCell ref="M107:U107"/>
    <mergeCell ref="F108:J108"/>
    <mergeCell ref="M108:U108"/>
    <mergeCell ref="C113:E113"/>
    <mergeCell ref="M113:U114"/>
    <mergeCell ref="V113:AF114"/>
    <mergeCell ref="A114:B114"/>
    <mergeCell ref="C114:E114"/>
    <mergeCell ref="F114:G114"/>
    <mergeCell ref="H114:J114"/>
    <mergeCell ref="C64:E64"/>
    <mergeCell ref="F64:G64"/>
    <mergeCell ref="E90:F91"/>
    <mergeCell ref="G90:H91"/>
    <mergeCell ref="A68:D69"/>
    <mergeCell ref="A70:D71"/>
    <mergeCell ref="A82:D83"/>
    <mergeCell ref="A84:D85"/>
    <mergeCell ref="A86:D87"/>
    <mergeCell ref="E68:J69"/>
    <mergeCell ref="E70:J71"/>
    <mergeCell ref="E72:J73"/>
    <mergeCell ref="E74:J75"/>
    <mergeCell ref="I90:J91"/>
    <mergeCell ref="E88:F89"/>
    <mergeCell ref="G88:H89"/>
    <mergeCell ref="I88:J89"/>
    <mergeCell ref="A66:D67"/>
    <mergeCell ref="E66:J67"/>
    <mergeCell ref="A88:D91"/>
    <mergeCell ref="E80:J81"/>
    <mergeCell ref="E82:J83"/>
    <mergeCell ref="H64:J64"/>
    <mergeCell ref="F54:J54"/>
    <mergeCell ref="K54:L65"/>
    <mergeCell ref="M54:U55"/>
    <mergeCell ref="W54:Y54"/>
    <mergeCell ref="AG54:AG55"/>
    <mergeCell ref="AH54:AH55"/>
    <mergeCell ref="F55:J55"/>
    <mergeCell ref="F56:J56"/>
    <mergeCell ref="M56:U56"/>
    <mergeCell ref="V56:AF57"/>
    <mergeCell ref="F57:J57"/>
    <mergeCell ref="F58:J58"/>
    <mergeCell ref="V58:Y58"/>
    <mergeCell ref="V59:Y59"/>
    <mergeCell ref="V63:AF64"/>
    <mergeCell ref="M65:U65"/>
    <mergeCell ref="V61:Y61"/>
    <mergeCell ref="V62:Y62"/>
    <mergeCell ref="V65:AF66"/>
    <mergeCell ref="AG56:AG57"/>
    <mergeCell ref="AH56:AH57"/>
    <mergeCell ref="AG58:AG59"/>
    <mergeCell ref="M58:U58"/>
    <mergeCell ref="M59:U59"/>
    <mergeCell ref="A37:B40"/>
    <mergeCell ref="C37:D38"/>
    <mergeCell ref="C39:D40"/>
    <mergeCell ref="I37:J38"/>
    <mergeCell ref="I39:J40"/>
    <mergeCell ref="E33:F34"/>
    <mergeCell ref="C33:D34"/>
    <mergeCell ref="A33:B34"/>
    <mergeCell ref="G33:H34"/>
    <mergeCell ref="I33:J34"/>
    <mergeCell ref="G27:H28"/>
    <mergeCell ref="G31:H32"/>
    <mergeCell ref="I27:J28"/>
    <mergeCell ref="I31:J32"/>
    <mergeCell ref="AH24:AH25"/>
    <mergeCell ref="AG26:AG27"/>
    <mergeCell ref="AH26:AH27"/>
    <mergeCell ref="AG28:AG29"/>
    <mergeCell ref="AH28:AH29"/>
    <mergeCell ref="G29:H30"/>
    <mergeCell ref="I29:J30"/>
    <mergeCell ref="K27:L28"/>
    <mergeCell ref="K25:L26"/>
    <mergeCell ref="C27:F28"/>
    <mergeCell ref="C31:F32"/>
    <mergeCell ref="A15:B16"/>
    <mergeCell ref="A17:B18"/>
    <mergeCell ref="A19:B20"/>
    <mergeCell ref="A21:B22"/>
    <mergeCell ref="A23:B24"/>
    <mergeCell ref="A25:B26"/>
    <mergeCell ref="A27:B28"/>
    <mergeCell ref="A31:B32"/>
    <mergeCell ref="C15:F16"/>
    <mergeCell ref="A29:B30"/>
    <mergeCell ref="C29:F30"/>
    <mergeCell ref="A9:B9"/>
    <mergeCell ref="A10:B10"/>
    <mergeCell ref="A11:B11"/>
    <mergeCell ref="A12:B12"/>
    <mergeCell ref="A13:B13"/>
    <mergeCell ref="C17:F18"/>
    <mergeCell ref="C19:F20"/>
    <mergeCell ref="C21:F22"/>
    <mergeCell ref="C23:F24"/>
    <mergeCell ref="F9:J10"/>
    <mergeCell ref="F11:J12"/>
    <mergeCell ref="F13:G13"/>
    <mergeCell ref="H13:J13"/>
    <mergeCell ref="C9:E9"/>
    <mergeCell ref="C10:E10"/>
    <mergeCell ref="C11:E11"/>
    <mergeCell ref="C12:E12"/>
    <mergeCell ref="C13:E13"/>
    <mergeCell ref="K78:L79"/>
    <mergeCell ref="M78:U79"/>
    <mergeCell ref="K80:L81"/>
    <mergeCell ref="M80:U81"/>
    <mergeCell ref="K74:L75"/>
    <mergeCell ref="M74:U75"/>
    <mergeCell ref="K76:L77"/>
    <mergeCell ref="M76:U77"/>
    <mergeCell ref="K66:L67"/>
    <mergeCell ref="M66:U67"/>
    <mergeCell ref="K68:L70"/>
    <mergeCell ref="M68:U70"/>
    <mergeCell ref="K35:L36"/>
    <mergeCell ref="K37:L37"/>
    <mergeCell ref="K29:L30"/>
    <mergeCell ref="K33:L34"/>
    <mergeCell ref="K31:L32"/>
    <mergeCell ref="E84:J85"/>
    <mergeCell ref="A35:B36"/>
    <mergeCell ref="C35:F36"/>
    <mergeCell ref="G35:J36"/>
    <mergeCell ref="A60:B60"/>
    <mergeCell ref="A61:B61"/>
    <mergeCell ref="A62:B62"/>
    <mergeCell ref="A63:B63"/>
    <mergeCell ref="A64:B64"/>
    <mergeCell ref="F52:J53"/>
    <mergeCell ref="K52:U53"/>
    <mergeCell ref="M57:U57"/>
    <mergeCell ref="K71:L73"/>
    <mergeCell ref="M71:U73"/>
    <mergeCell ref="A72:D73"/>
    <mergeCell ref="A74:D75"/>
    <mergeCell ref="A76:D77"/>
    <mergeCell ref="A78:D79"/>
    <mergeCell ref="A80:D81"/>
    <mergeCell ref="V79:AF80"/>
    <mergeCell ref="V67:AF68"/>
    <mergeCell ref="V69:AF70"/>
    <mergeCell ref="V71:AF72"/>
    <mergeCell ref="AH58:AH59"/>
    <mergeCell ref="V60:Y60"/>
    <mergeCell ref="AG60:AG61"/>
    <mergeCell ref="AH60:AH61"/>
    <mergeCell ref="M60:U60"/>
    <mergeCell ref="M61:U61"/>
    <mergeCell ref="M62:U62"/>
    <mergeCell ref="M63:U64"/>
    <mergeCell ref="AG14:AG15"/>
    <mergeCell ref="AH14:AH15"/>
    <mergeCell ref="AH18:AH19"/>
    <mergeCell ref="AG16:AG17"/>
    <mergeCell ref="AH16:AH17"/>
    <mergeCell ref="M25:U26"/>
    <mergeCell ref="M27:U28"/>
    <mergeCell ref="M35:U36"/>
    <mergeCell ref="M37:U37"/>
    <mergeCell ref="M29:U30"/>
    <mergeCell ref="M33:U34"/>
    <mergeCell ref="M31:U32"/>
    <mergeCell ref="AG20:AG21"/>
    <mergeCell ref="AH20:AH21"/>
    <mergeCell ref="AG22:AG23"/>
    <mergeCell ref="AH22:AH23"/>
    <mergeCell ref="AG24:AG25"/>
    <mergeCell ref="M15:U16"/>
    <mergeCell ref="AG1:AH2"/>
    <mergeCell ref="AG3:AG4"/>
    <mergeCell ref="AH3:AH4"/>
    <mergeCell ref="AG5:AG6"/>
    <mergeCell ref="AH5:AH6"/>
    <mergeCell ref="AG9:AG10"/>
    <mergeCell ref="AH9:AH10"/>
    <mergeCell ref="AG7:AG8"/>
    <mergeCell ref="AH7:AH8"/>
    <mergeCell ref="V1:AF2"/>
    <mergeCell ref="V24:AF25"/>
    <mergeCell ref="V26:AF27"/>
    <mergeCell ref="V28:AF29"/>
    <mergeCell ref="V30:AF31"/>
    <mergeCell ref="V32:AF33"/>
    <mergeCell ref="V14:AF15"/>
    <mergeCell ref="V16:AF17"/>
    <mergeCell ref="V18:AF19"/>
    <mergeCell ref="V20:AF21"/>
    <mergeCell ref="V22:AF23"/>
    <mergeCell ref="V9:Y9"/>
    <mergeCell ref="V10:Y10"/>
    <mergeCell ref="V11:Y11"/>
    <mergeCell ref="V12:AF13"/>
    <mergeCell ref="W3:Y3"/>
    <mergeCell ref="V5:AF6"/>
    <mergeCell ref="V7:Y7"/>
    <mergeCell ref="V8:Y8"/>
    <mergeCell ref="F1:J2"/>
    <mergeCell ref="F3:J3"/>
    <mergeCell ref="F4:J4"/>
    <mergeCell ref="F5:J5"/>
    <mergeCell ref="F6:J6"/>
    <mergeCell ref="F7:J7"/>
    <mergeCell ref="C25:F26"/>
    <mergeCell ref="G17:J18"/>
    <mergeCell ref="G19:J20"/>
    <mergeCell ref="G21:J22"/>
    <mergeCell ref="G23:J24"/>
    <mergeCell ref="I25:J26"/>
    <mergeCell ref="AG11:AH11"/>
    <mergeCell ref="E37:H38"/>
    <mergeCell ref="E39:H40"/>
    <mergeCell ref="G15:J16"/>
    <mergeCell ref="G25:H26"/>
    <mergeCell ref="K1:U2"/>
    <mergeCell ref="K3:L14"/>
    <mergeCell ref="M3:U4"/>
    <mergeCell ref="M5:U5"/>
    <mergeCell ref="M6:U6"/>
    <mergeCell ref="M7:U7"/>
    <mergeCell ref="M8:U8"/>
    <mergeCell ref="M9:U9"/>
    <mergeCell ref="M10:U10"/>
    <mergeCell ref="M11:U11"/>
    <mergeCell ref="M14:U14"/>
    <mergeCell ref="M12:U13"/>
    <mergeCell ref="K15:L16"/>
    <mergeCell ref="K17:L19"/>
    <mergeCell ref="M17:U19"/>
    <mergeCell ref="K20:L22"/>
    <mergeCell ref="M20:U22"/>
    <mergeCell ref="K23:L24"/>
    <mergeCell ref="M23:U24"/>
  </mergeCells>
  <dataValidations count="1">
    <dataValidation type="list" allowBlank="1" showInputMessage="1" showErrorMessage="1" sqref="AH14 AH22 AH104 AH112" xr:uid="{19BAB1B4-2A55-48B8-B9D0-2EFF9A586C68}">
      <formula1>$AD$34:$AD$39</formula1>
    </dataValidation>
  </dataValidations>
  <pageMargins left="0.25" right="0.2529757217847769" top="0.25" bottom="0.25" header="0.3" footer="0.3"/>
  <pageSetup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EAC1B-B130-42C7-AA2C-995D3668E17A}">
  <sheetPr codeName="Sheet21">
    <tabColor rgb="FF92D050"/>
  </sheetPr>
  <dimension ref="A1:AU51"/>
  <sheetViews>
    <sheetView view="pageLayout" zoomScale="70" zoomScaleNormal="100" zoomScaleSheetLayoutView="85" zoomScalePageLayoutView="70" workbookViewId="0">
      <selection activeCell="P14" sqref="P14:X14"/>
    </sheetView>
  </sheetViews>
  <sheetFormatPr defaultColWidth="8.85546875" defaultRowHeight="15" outlineLevelCol="1"/>
  <cols>
    <col min="1" max="1" width="17.140625" style="90" customWidth="1"/>
    <col min="2" max="13" width="7" style="90" customWidth="1"/>
    <col min="14" max="14" width="8.85546875" style="78"/>
    <col min="15" max="15" width="11" style="78" bestFit="1" customWidth="1"/>
    <col min="16" max="16" width="8.85546875" style="78"/>
    <col min="17" max="17" width="10" style="78" customWidth="1"/>
    <col min="18" max="24" width="8.85546875" style="78"/>
    <col min="25" max="35" width="8.85546875" hidden="1" customWidth="1" outlineLevel="1"/>
    <col min="36" max="36" width="13.85546875" customWidth="1" collapsed="1"/>
    <col min="37" max="37" width="20.7109375" customWidth="1"/>
    <col min="39" max="39" width="20" customWidth="1"/>
    <col min="40" max="40" width="16.85546875" customWidth="1"/>
    <col min="41" max="43" width="7" customWidth="1"/>
    <col min="45" max="47" width="8.85546875" customWidth="1" outlineLevel="1"/>
  </cols>
  <sheetData>
    <row r="1" spans="1:46" ht="15.2" customHeight="1">
      <c r="A1" s="83"/>
      <c r="B1" s="83"/>
      <c r="C1" s="83"/>
      <c r="D1" s="83"/>
      <c r="E1" s="83"/>
      <c r="F1" s="83"/>
      <c r="G1" s="833" t="str">
        <f>START!$D$11</f>
        <v>Ellis Andersen | Branch Manager</v>
      </c>
      <c r="H1" s="834"/>
      <c r="I1" s="834"/>
      <c r="J1" s="834"/>
      <c r="K1" s="834"/>
      <c r="L1" s="834"/>
      <c r="M1" s="835"/>
      <c r="N1" s="810" t="s">
        <v>146</v>
      </c>
      <c r="O1" s="811"/>
      <c r="P1" s="811"/>
      <c r="Q1" s="811"/>
      <c r="R1" s="811"/>
      <c r="S1" s="811"/>
      <c r="T1" s="811"/>
      <c r="U1" s="811"/>
      <c r="V1" s="811"/>
      <c r="W1" s="811"/>
      <c r="X1" s="812"/>
      <c r="Y1" s="732" t="s">
        <v>147</v>
      </c>
      <c r="Z1" s="732"/>
      <c r="AA1" s="732"/>
      <c r="AB1" s="732"/>
      <c r="AC1" s="732"/>
      <c r="AD1" s="732"/>
      <c r="AE1" s="732"/>
      <c r="AF1" s="732"/>
      <c r="AG1" s="732"/>
      <c r="AH1" s="732"/>
      <c r="AI1" s="732"/>
      <c r="AJ1" s="1069" t="s">
        <v>267</v>
      </c>
      <c r="AK1" s="745">
        <v>2300000</v>
      </c>
      <c r="AL1" s="787"/>
      <c r="AM1" s="1032" t="s">
        <v>67</v>
      </c>
      <c r="AN1" s="982">
        <f ca="1">TODAY()</f>
        <v>45196</v>
      </c>
      <c r="AO1" s="983"/>
      <c r="AP1" s="983"/>
      <c r="AQ1" s="984"/>
      <c r="AS1" t="s">
        <v>215</v>
      </c>
    </row>
    <row r="2" spans="1:46" ht="15.2" customHeight="1" thickBot="1">
      <c r="A2" s="83"/>
      <c r="B2" s="83"/>
      <c r="C2" s="83"/>
      <c r="D2" s="83"/>
      <c r="E2" s="83"/>
      <c r="F2" s="83"/>
      <c r="G2" s="836"/>
      <c r="H2" s="837"/>
      <c r="I2" s="837"/>
      <c r="J2" s="837"/>
      <c r="K2" s="837"/>
      <c r="L2" s="837"/>
      <c r="M2" s="838"/>
      <c r="N2" s="813"/>
      <c r="O2" s="814"/>
      <c r="P2" s="814"/>
      <c r="Q2" s="814"/>
      <c r="R2" s="814"/>
      <c r="S2" s="814"/>
      <c r="T2" s="814"/>
      <c r="U2" s="814"/>
      <c r="V2" s="814"/>
      <c r="W2" s="814"/>
      <c r="X2" s="815"/>
      <c r="Y2" s="734"/>
      <c r="Z2" s="734"/>
      <c r="AA2" s="734"/>
      <c r="AB2" s="734"/>
      <c r="AC2" s="734"/>
      <c r="AD2" s="734"/>
      <c r="AE2" s="734"/>
      <c r="AF2" s="734"/>
      <c r="AG2" s="734"/>
      <c r="AH2" s="734"/>
      <c r="AI2" s="734"/>
      <c r="AJ2" s="1070"/>
      <c r="AK2" s="746"/>
      <c r="AL2" s="787"/>
      <c r="AM2" s="1033"/>
      <c r="AN2" s="1041"/>
      <c r="AO2" s="1042"/>
      <c r="AP2" s="1042"/>
      <c r="AQ2" s="1043"/>
      <c r="AS2" t="s">
        <v>217</v>
      </c>
    </row>
    <row r="3" spans="1:46" ht="15.2" customHeight="1">
      <c r="A3" s="83"/>
      <c r="B3" s="83"/>
      <c r="C3" s="83"/>
      <c r="D3" s="83"/>
      <c r="E3" s="83"/>
      <c r="F3" s="83"/>
      <c r="G3" s="666" t="str">
        <f>START!$D$13</f>
        <v>Direct/Fax: (949) 892-1736</v>
      </c>
      <c r="H3" s="667"/>
      <c r="I3" s="667"/>
      <c r="J3" s="667"/>
      <c r="K3" s="667"/>
      <c r="L3" s="667"/>
      <c r="M3" s="668"/>
      <c r="N3" s="816" t="s">
        <v>149</v>
      </c>
      <c r="O3" s="817"/>
      <c r="P3" s="822" t="str">
        <f>Y3&amp;" "&amp;Z3&amp;""&amp;Y4&amp;" "&amp;Z4&amp;" "&amp;AA4&amp;" "&amp;Y5</f>
        <v xml:space="preserve">Hi Matthew, this is Ellis Andersen :blush: with West Capital Lending. I just received your inquiry regarding your Home Purchase :house: I know you're shopping for the best deal so I will check with our most competitive lenders within our Broker Network. </v>
      </c>
      <c r="Q3" s="822"/>
      <c r="R3" s="822"/>
      <c r="S3" s="822"/>
      <c r="T3" s="822"/>
      <c r="U3" s="822"/>
      <c r="V3" s="822"/>
      <c r="W3" s="822"/>
      <c r="X3" s="823"/>
      <c r="Y3" t="s">
        <v>150</v>
      </c>
      <c r="Z3" s="722" t="str">
        <f>LEADS!$D$3</f>
        <v>Matthew</v>
      </c>
      <c r="AA3" s="722"/>
      <c r="AB3" s="722"/>
      <c r="AH3" t="s">
        <v>151</v>
      </c>
      <c r="AJ3" s="788"/>
      <c r="AK3" s="788"/>
      <c r="AL3" s="787"/>
      <c r="AM3" s="1032" t="s">
        <v>164</v>
      </c>
      <c r="AN3" s="1034" t="str">
        <f>LEADS!$D$3&amp;" "&amp;LEADS!$E$3</f>
        <v>Matthew Pasiuk</v>
      </c>
      <c r="AO3" s="1035"/>
      <c r="AP3" s="1035"/>
      <c r="AQ3" s="1036"/>
      <c r="AS3" t="s">
        <v>218</v>
      </c>
    </row>
    <row r="4" spans="1:46" ht="15.2" customHeight="1" thickBot="1">
      <c r="A4" s="83"/>
      <c r="B4" s="83"/>
      <c r="C4" s="83"/>
      <c r="D4" s="83"/>
      <c r="E4" s="83"/>
      <c r="F4" s="83"/>
      <c r="G4" s="666" t="str">
        <f>START!$D$14</f>
        <v>Email: eandersen@westcapitallending.com</v>
      </c>
      <c r="H4" s="667"/>
      <c r="I4" s="667"/>
      <c r="J4" s="667"/>
      <c r="K4" s="667"/>
      <c r="L4" s="667"/>
      <c r="M4" s="668"/>
      <c r="N4" s="818"/>
      <c r="O4" s="819"/>
      <c r="P4" s="726"/>
      <c r="Q4" s="726"/>
      <c r="R4" s="726"/>
      <c r="S4" s="726"/>
      <c r="T4" s="726"/>
      <c r="U4" s="726"/>
      <c r="V4" s="726"/>
      <c r="W4" s="726"/>
      <c r="X4" s="727"/>
      <c r="Y4" t="s">
        <v>153</v>
      </c>
      <c r="Z4" t="str">
        <f>START!$E$23</f>
        <v>Ellis Andersen</v>
      </c>
      <c r="AA4" s="736" t="s">
        <v>268</v>
      </c>
      <c r="AB4" s="736"/>
      <c r="AC4" s="736"/>
      <c r="AD4" s="736"/>
      <c r="AE4" s="736"/>
      <c r="AF4" s="736"/>
      <c r="AG4" s="736"/>
      <c r="AH4" s="22" t="str">
        <f>B13</f>
        <v>primary</v>
      </c>
      <c r="AI4" t="str">
        <f>AH3&amp;""&amp;AH4</f>
        <v>$primary</v>
      </c>
      <c r="AJ4" s="1022"/>
      <c r="AK4" s="1022"/>
      <c r="AL4" s="787"/>
      <c r="AM4" s="1033"/>
      <c r="AN4" s="1037"/>
      <c r="AO4" s="1038"/>
      <c r="AP4" s="1038"/>
      <c r="AQ4" s="1039"/>
      <c r="AS4" t="s">
        <v>221</v>
      </c>
    </row>
    <row r="5" spans="1:46" ht="15.2" customHeight="1">
      <c r="A5" s="83"/>
      <c r="B5" s="83"/>
      <c r="C5" s="83"/>
      <c r="D5" s="83"/>
      <c r="E5" s="83"/>
      <c r="F5" s="83"/>
      <c r="G5" s="666" t="str">
        <f>START!$D$15</f>
        <v>34 Executive Park Ste 180, Irvine, CA 92614</v>
      </c>
      <c r="H5" s="667"/>
      <c r="I5" s="667"/>
      <c r="J5" s="667"/>
      <c r="K5" s="667"/>
      <c r="L5" s="667"/>
      <c r="M5" s="668"/>
      <c r="N5" s="818"/>
      <c r="O5" s="819"/>
      <c r="P5" s="726" t="s">
        <v>155</v>
      </c>
      <c r="Q5" s="726"/>
      <c r="R5" s="726"/>
      <c r="S5" s="726"/>
      <c r="T5" s="726"/>
      <c r="U5" s="726"/>
      <c r="V5" s="726"/>
      <c r="W5" s="726"/>
      <c r="X5" s="727"/>
      <c r="Y5" s="723" t="s">
        <v>269</v>
      </c>
      <c r="Z5" s="723"/>
      <c r="AA5" s="723"/>
      <c r="AB5" s="723"/>
      <c r="AC5" s="723"/>
      <c r="AD5" s="723"/>
      <c r="AE5" s="723"/>
      <c r="AF5" s="723"/>
      <c r="AG5" s="723"/>
      <c r="AH5" s="723"/>
      <c r="AI5" s="723"/>
      <c r="AJ5" s="839" t="s">
        <v>230</v>
      </c>
      <c r="AK5" s="840"/>
      <c r="AL5" s="787"/>
      <c r="AM5" s="1032" t="s">
        <v>167</v>
      </c>
      <c r="AN5" s="1034" t="str">
        <f>LEADS!$G$3</f>
        <v>mattpasiuk@gmail.com</v>
      </c>
      <c r="AO5" s="1035"/>
      <c r="AP5" s="1035"/>
      <c r="AQ5" s="1036"/>
      <c r="AS5" t="s">
        <v>222</v>
      </c>
    </row>
    <row r="6" spans="1:46" ht="15.2" customHeight="1" thickBot="1">
      <c r="A6" s="83"/>
      <c r="B6" s="83"/>
      <c r="C6" s="83"/>
      <c r="D6" s="83"/>
      <c r="E6" s="83"/>
      <c r="F6" s="83"/>
      <c r="G6" s="666" t="str">
        <f>START!$D$16</f>
        <v>NMLS 1912260 | NMLS 02196940</v>
      </c>
      <c r="H6" s="667"/>
      <c r="I6" s="667"/>
      <c r="J6" s="667"/>
      <c r="K6" s="667"/>
      <c r="L6" s="667"/>
      <c r="M6" s="668"/>
      <c r="N6" s="818"/>
      <c r="O6" s="819"/>
      <c r="P6" s="726" t="str">
        <f>Y9&amp;" "&amp;AF9&amp;""&amp;AE9</f>
        <v>Home Purchase Price: $340000</v>
      </c>
      <c r="Q6" s="726"/>
      <c r="R6" s="726"/>
      <c r="S6" s="726"/>
      <c r="T6" s="726"/>
      <c r="U6" s="726"/>
      <c r="V6" s="726"/>
      <c r="W6" s="726"/>
      <c r="X6" s="727"/>
      <c r="Y6" s="723"/>
      <c r="Z6" s="723"/>
      <c r="AA6" s="723"/>
      <c r="AB6" s="723"/>
      <c r="AC6" s="723"/>
      <c r="AD6" s="723"/>
      <c r="AE6" s="723"/>
      <c r="AF6" s="723"/>
      <c r="AG6" s="723"/>
      <c r="AH6" s="723"/>
      <c r="AI6" s="723"/>
      <c r="AJ6" s="841"/>
      <c r="AK6" s="842"/>
      <c r="AL6" s="787"/>
      <c r="AM6" s="1033"/>
      <c r="AN6" s="1037"/>
      <c r="AO6" s="1038"/>
      <c r="AP6" s="1038"/>
      <c r="AQ6" s="1039"/>
      <c r="AS6" t="s">
        <v>158</v>
      </c>
    </row>
    <row r="7" spans="1:46" ht="15.2" customHeight="1" thickBot="1">
      <c r="A7" s="83"/>
      <c r="B7" s="83"/>
      <c r="C7" s="83"/>
      <c r="D7" s="83"/>
      <c r="E7" s="83"/>
      <c r="F7" s="83"/>
      <c r="G7" s="674" t="str">
        <f>START!$D$17</f>
        <v>Website: www.westcapitallending.com</v>
      </c>
      <c r="H7" s="675"/>
      <c r="I7" s="675"/>
      <c r="J7" s="675"/>
      <c r="K7" s="675"/>
      <c r="L7" s="675"/>
      <c r="M7" s="676"/>
      <c r="N7" s="818"/>
      <c r="O7" s="819"/>
      <c r="P7" s="726" t="str">
        <f>Y10&amp;" "&amp;AD10&amp;""&amp;AF10</f>
        <v>Down Payment Amount: 10%</v>
      </c>
      <c r="Q7" s="726"/>
      <c r="R7" s="726"/>
      <c r="S7" s="726"/>
      <c r="T7" s="726"/>
      <c r="U7" s="726"/>
      <c r="V7" s="726"/>
      <c r="W7" s="726"/>
      <c r="X7" s="727"/>
      <c r="Y7" s="736" t="s">
        <v>155</v>
      </c>
      <c r="Z7" s="736"/>
      <c r="AA7" s="736"/>
      <c r="AB7" s="736"/>
      <c r="AJ7" s="739" t="s">
        <v>152</v>
      </c>
      <c r="AK7" s="739" t="s">
        <v>49</v>
      </c>
      <c r="AL7" s="787"/>
      <c r="AM7" s="1032" t="s">
        <v>171</v>
      </c>
      <c r="AN7" s="1034" t="str">
        <f>LEADS!$F$3</f>
        <v>(720)788-0594</v>
      </c>
      <c r="AO7" s="1035"/>
      <c r="AP7" s="1035"/>
      <c r="AQ7" s="1036"/>
    </row>
    <row r="8" spans="1:46" ht="15.2" customHeight="1" thickBot="1">
      <c r="A8" s="83"/>
      <c r="B8" s="83"/>
      <c r="C8" s="83"/>
      <c r="D8" s="83"/>
      <c r="E8" s="83"/>
      <c r="F8" s="83"/>
      <c r="G8" s="83"/>
      <c r="H8" s="83"/>
      <c r="I8" s="83"/>
      <c r="J8" s="83"/>
      <c r="K8" s="83"/>
      <c r="L8" s="83"/>
      <c r="M8" s="83"/>
      <c r="N8" s="818"/>
      <c r="O8" s="819"/>
      <c r="P8" s="726" t="str">
        <f>Y11&amp;" "&amp;AE11</f>
        <v>Desired Term: 30 Year Fixed</v>
      </c>
      <c r="Q8" s="726"/>
      <c r="R8" s="726"/>
      <c r="S8" s="726"/>
      <c r="T8" s="726"/>
      <c r="U8" s="726"/>
      <c r="V8" s="726"/>
      <c r="W8" s="726"/>
      <c r="X8" s="727"/>
      <c r="Y8" s="736" t="s">
        <v>160</v>
      </c>
      <c r="Z8" s="736"/>
      <c r="AA8" s="736"/>
      <c r="AB8" s="736"/>
      <c r="AD8" t="str">
        <f>LEADS!$I$3</f>
        <v>15244 W Auburn Ave, Denver, CO, 80228</v>
      </c>
      <c r="AJ8" s="740"/>
      <c r="AK8" s="740"/>
      <c r="AL8" s="787"/>
      <c r="AM8" s="1033"/>
      <c r="AN8" s="1037"/>
      <c r="AO8" s="1038"/>
      <c r="AP8" s="1038"/>
      <c r="AQ8" s="1039"/>
      <c r="AS8" t="s">
        <v>211</v>
      </c>
      <c r="AT8">
        <f>IF(AK9="5 Year Fixed",60,IF(AK9="10 Year Fixed",120,IF(AK9="15 Year Fixed",180,IF(AK9="20 Year Fixed",240,IF(AK9="25 Year Fixed",300,IF(AK9="30 Year Fixed",360,0))))))</f>
        <v>360</v>
      </c>
    </row>
    <row r="9" spans="1:46" ht="15.2" customHeight="1">
      <c r="A9" s="85" t="s">
        <v>67</v>
      </c>
      <c r="B9" s="800">
        <f ca="1">TODAY()</f>
        <v>45196</v>
      </c>
      <c r="C9" s="801"/>
      <c r="D9" s="801"/>
      <c r="E9" s="801"/>
      <c r="F9" s="802"/>
      <c r="G9" s="677" t="s">
        <v>161</v>
      </c>
      <c r="H9" s="678"/>
      <c r="I9" s="678"/>
      <c r="J9" s="678"/>
      <c r="K9" s="678"/>
      <c r="L9" s="678"/>
      <c r="M9" s="679"/>
      <c r="N9" s="818"/>
      <c r="O9" s="819"/>
      <c r="P9" s="726" t="s">
        <v>165</v>
      </c>
      <c r="Q9" s="726"/>
      <c r="R9" s="726"/>
      <c r="S9" s="726"/>
      <c r="T9" s="726"/>
      <c r="U9" s="726"/>
      <c r="V9" s="726"/>
      <c r="W9" s="726"/>
      <c r="X9" s="727"/>
      <c r="Y9" s="736" t="s">
        <v>270</v>
      </c>
      <c r="Z9" s="736"/>
      <c r="AA9" s="736"/>
      <c r="AB9" s="736"/>
      <c r="AE9" s="22">
        <f>AN15</f>
        <v>340000</v>
      </c>
      <c r="AF9" t="s">
        <v>151</v>
      </c>
      <c r="AG9" t="str">
        <f>START!$E$24</f>
        <v>[Ellis w/ West Capital Lending]</v>
      </c>
      <c r="AJ9" s="739" t="s">
        <v>193</v>
      </c>
      <c r="AK9" s="739" t="s">
        <v>158</v>
      </c>
      <c r="AL9" s="787"/>
      <c r="AM9" s="1032" t="s">
        <v>271</v>
      </c>
      <c r="AN9" s="1034" t="str">
        <f>LEADS!$G$3</f>
        <v>mattpasiuk@gmail.com</v>
      </c>
      <c r="AO9" s="1035"/>
      <c r="AP9" s="1035"/>
      <c r="AQ9" s="1036"/>
      <c r="AS9" t="s">
        <v>226</v>
      </c>
      <c r="AT9">
        <f>IF(AK24="5 Year Fixed",60,IF(AK24="10 Year Fixed",120,IF(AK24="15 Year Fixed",180,IF(AK24="20 Year Fixed",240,IF(AK24="25 Year Fixed",300,IF(AK24="30 Year Fixed",360,0))))))</f>
        <v>360</v>
      </c>
    </row>
    <row r="10" spans="1:46" ht="15.2" customHeight="1" thickBot="1">
      <c r="A10" s="95" t="s">
        <v>164</v>
      </c>
      <c r="B10" s="690" t="str">
        <f>LEADS!$D$3&amp;" "&amp;LEADS!$E$3</f>
        <v>Matthew Pasiuk</v>
      </c>
      <c r="C10" s="691"/>
      <c r="D10" s="691"/>
      <c r="E10" s="691"/>
      <c r="F10" s="692"/>
      <c r="G10" s="680"/>
      <c r="H10" s="681"/>
      <c r="I10" s="681"/>
      <c r="J10" s="681"/>
      <c r="K10" s="681"/>
      <c r="L10" s="681"/>
      <c r="M10" s="682"/>
      <c r="N10" s="818"/>
      <c r="O10" s="819"/>
      <c r="P10" s="726" t="s">
        <v>168</v>
      </c>
      <c r="Q10" s="726"/>
      <c r="R10" s="726"/>
      <c r="S10" s="726"/>
      <c r="T10" s="726"/>
      <c r="U10" s="726"/>
      <c r="V10" s="726"/>
      <c r="W10" s="726"/>
      <c r="X10" s="727"/>
      <c r="Y10" s="736" t="s">
        <v>272</v>
      </c>
      <c r="Z10" s="736"/>
      <c r="AA10" s="736"/>
      <c r="AB10" s="736"/>
      <c r="AD10">
        <f>AE10*100</f>
        <v>9.9999999999999982</v>
      </c>
      <c r="AE10" s="463">
        <f>AP11</f>
        <v>9.9999999999999978E-2</v>
      </c>
      <c r="AF10" t="s">
        <v>273</v>
      </c>
      <c r="AJ10" s="740"/>
      <c r="AK10" s="740"/>
      <c r="AL10" s="787"/>
      <c r="AM10" s="1033"/>
      <c r="AN10" s="1037"/>
      <c r="AO10" s="1038"/>
      <c r="AP10" s="1038"/>
      <c r="AQ10" s="1039"/>
      <c r="AS10" t="s">
        <v>227</v>
      </c>
      <c r="AT10">
        <f>IF(AK39="5 Year Fixed",60,IF(AK39="10 Year Fixed",120,IF(AK39="15 Year Fixed",180,IF(AK39="20 Year Fixed",240,IF(AK39="25 Year Fixed",300,IF(AK39="30 Year Fixed",360,0))))))</f>
        <v>360</v>
      </c>
    </row>
    <row r="11" spans="1:46" ht="15.2" customHeight="1">
      <c r="A11" s="87" t="s">
        <v>167</v>
      </c>
      <c r="B11" s="690" t="str">
        <f>LEADS!$G$3</f>
        <v>mattpasiuk@gmail.com</v>
      </c>
      <c r="C11" s="691"/>
      <c r="D11" s="691"/>
      <c r="E11" s="691"/>
      <c r="F11" s="692"/>
      <c r="G11" s="882" t="str">
        <f>LEADS!$I$3</f>
        <v>15244 W Auburn Ave, Denver, CO, 80228</v>
      </c>
      <c r="H11" s="883"/>
      <c r="I11" s="883"/>
      <c r="J11" s="883"/>
      <c r="K11" s="883"/>
      <c r="L11" s="883"/>
      <c r="M11" s="884"/>
      <c r="N11" s="818"/>
      <c r="O11" s="819"/>
      <c r="P11" s="726" t="s">
        <v>274</v>
      </c>
      <c r="Q11" s="726"/>
      <c r="R11" s="726"/>
      <c r="S11" s="726"/>
      <c r="T11" s="726"/>
      <c r="U11" s="726"/>
      <c r="V11" s="726"/>
      <c r="W11" s="726"/>
      <c r="X11" s="727"/>
      <c r="Y11" s="736" t="s">
        <v>275</v>
      </c>
      <c r="Z11" s="736"/>
      <c r="AA11" s="736"/>
      <c r="AB11" s="736"/>
      <c r="AE11" s="21" t="s">
        <v>158</v>
      </c>
      <c r="AF11" t="s">
        <v>151</v>
      </c>
      <c r="AJ11" s="1067" t="s">
        <v>276</v>
      </c>
      <c r="AK11" s="1065">
        <v>3.5000000000000003E-2</v>
      </c>
      <c r="AL11" s="787"/>
      <c r="AM11" s="1047" t="s">
        <v>277</v>
      </c>
      <c r="AN11" s="1050">
        <f>LEADS!M3*(1-LEADS!$R$3)</f>
        <v>33999.999999999993</v>
      </c>
      <c r="AO11" s="1051"/>
      <c r="AP11" s="1026">
        <f>AN11/AN15</f>
        <v>9.9999999999999978E-2</v>
      </c>
      <c r="AQ11" s="1027"/>
    </row>
    <row r="12" spans="1:46" ht="15.2" customHeight="1" thickBot="1">
      <c r="A12" s="87" t="s">
        <v>171</v>
      </c>
      <c r="B12" s="690" t="str">
        <f>LEADS!$F$3</f>
        <v>(720)788-0594</v>
      </c>
      <c r="C12" s="691"/>
      <c r="D12" s="691"/>
      <c r="E12" s="691"/>
      <c r="F12" s="692"/>
      <c r="G12" s="882"/>
      <c r="H12" s="883"/>
      <c r="I12" s="883"/>
      <c r="J12" s="883"/>
      <c r="K12" s="883"/>
      <c r="L12" s="883"/>
      <c r="M12" s="884"/>
      <c r="N12" s="818"/>
      <c r="O12" s="819"/>
      <c r="P12" s="726"/>
      <c r="Q12" s="726"/>
      <c r="R12" s="726"/>
      <c r="S12" s="726"/>
      <c r="T12" s="726"/>
      <c r="U12" s="726"/>
      <c r="V12" s="726"/>
      <c r="W12" s="726"/>
      <c r="X12" s="727"/>
      <c r="Y12" s="723" t="s">
        <v>173</v>
      </c>
      <c r="Z12" s="723"/>
      <c r="AA12" s="723"/>
      <c r="AB12" s="723"/>
      <c r="AC12" s="723"/>
      <c r="AD12" s="723"/>
      <c r="AE12" s="723"/>
      <c r="AF12" s="723"/>
      <c r="AG12" s="723"/>
      <c r="AH12" s="723"/>
      <c r="AI12" s="723"/>
      <c r="AJ12" s="1068"/>
      <c r="AK12" s="1066"/>
      <c r="AL12" s="787"/>
      <c r="AM12" s="1048"/>
      <c r="AN12" s="708"/>
      <c r="AO12" s="694"/>
      <c r="AP12" s="1028"/>
      <c r="AQ12" s="1029"/>
    </row>
    <row r="13" spans="1:46" ht="15.2" customHeight="1" thickBot="1">
      <c r="A13" s="96" t="s">
        <v>85</v>
      </c>
      <c r="B13" s="898" t="str">
        <f>LEADS!T3</f>
        <v>primary</v>
      </c>
      <c r="C13" s="899"/>
      <c r="D13" s="899"/>
      <c r="E13" s="899"/>
      <c r="F13" s="900"/>
      <c r="G13" s="685" t="s">
        <v>278</v>
      </c>
      <c r="H13" s="889"/>
      <c r="I13" s="889"/>
      <c r="J13" s="890">
        <f>AK1</f>
        <v>2300000</v>
      </c>
      <c r="K13" s="890"/>
      <c r="L13" s="890"/>
      <c r="M13" s="891"/>
      <c r="N13" s="818"/>
      <c r="O13" s="819"/>
      <c r="P13" s="728" t="s">
        <v>279</v>
      </c>
      <c r="Q13" s="728"/>
      <c r="R13" s="728"/>
      <c r="S13" s="728"/>
      <c r="T13" s="728"/>
      <c r="U13" s="728"/>
      <c r="V13" s="728"/>
      <c r="W13" s="728"/>
      <c r="X13" s="729"/>
      <c r="Y13" s="723"/>
      <c r="Z13" s="723"/>
      <c r="AA13" s="723"/>
      <c r="AB13" s="723"/>
      <c r="AC13" s="723"/>
      <c r="AD13" s="723"/>
      <c r="AE13" s="723"/>
      <c r="AF13" s="723"/>
      <c r="AG13" s="723"/>
      <c r="AH13" s="723"/>
      <c r="AI13" s="723"/>
      <c r="AJ13" s="739" t="s">
        <v>197</v>
      </c>
      <c r="AK13" s="743">
        <v>5.9900000000000002E-2</v>
      </c>
      <c r="AL13" s="787"/>
      <c r="AM13" s="1048"/>
      <c r="AN13" s="708"/>
      <c r="AO13" s="694"/>
      <c r="AP13" s="1028"/>
      <c r="AQ13" s="1029"/>
    </row>
    <row r="14" spans="1:46" ht="15.2" customHeight="1" thickBot="1">
      <c r="A14" s="89"/>
      <c r="B14" s="89"/>
      <c r="C14" s="89"/>
      <c r="D14" s="89"/>
      <c r="E14" s="89"/>
      <c r="F14" s="89"/>
      <c r="G14" s="89"/>
      <c r="H14" s="89"/>
      <c r="I14" s="89"/>
      <c r="J14" s="89"/>
      <c r="K14" s="89"/>
      <c r="L14" s="89"/>
      <c r="M14" s="89"/>
      <c r="N14" s="820"/>
      <c r="O14" s="821"/>
      <c r="P14" s="726" t="str">
        <f>Z36&amp;" - "&amp;Z37&amp;" - "&amp;Z38</f>
        <v>Ellis Andersen - Direct/Fax: (949) 892-1736 - Email: eandersen@westcapitallending.com</v>
      </c>
      <c r="Q14" s="726"/>
      <c r="R14" s="726"/>
      <c r="S14" s="726"/>
      <c r="T14" s="726"/>
      <c r="U14" s="726"/>
      <c r="V14" s="726"/>
      <c r="W14" s="726"/>
      <c r="X14" s="727"/>
      <c r="Y14" s="723" t="s">
        <v>178</v>
      </c>
      <c r="Z14" s="723"/>
      <c r="AA14" s="723"/>
      <c r="AB14" s="723"/>
      <c r="AC14" s="723"/>
      <c r="AD14" s="723"/>
      <c r="AE14" s="723"/>
      <c r="AF14" s="723"/>
      <c r="AG14" s="723"/>
      <c r="AH14" s="723"/>
      <c r="AI14" s="723"/>
      <c r="AJ14" s="740"/>
      <c r="AK14" s="744"/>
      <c r="AL14" s="787"/>
      <c r="AM14" s="1049"/>
      <c r="AN14" s="708"/>
      <c r="AO14" s="694"/>
      <c r="AP14" s="1030"/>
      <c r="AQ14" s="1031"/>
    </row>
    <row r="15" spans="1:46" ht="15.2" customHeight="1">
      <c r="A15" s="901" t="s">
        <v>179</v>
      </c>
      <c r="B15" s="657" t="s">
        <v>230</v>
      </c>
      <c r="C15" s="657"/>
      <c r="D15" s="657"/>
      <c r="E15" s="660"/>
      <c r="F15" s="656" t="s">
        <v>231</v>
      </c>
      <c r="G15" s="657"/>
      <c r="H15" s="657"/>
      <c r="I15" s="660"/>
      <c r="J15" s="657" t="s">
        <v>232</v>
      </c>
      <c r="K15" s="657"/>
      <c r="L15" s="657"/>
      <c r="M15" s="660"/>
      <c r="N15" s="880" t="s">
        <v>42</v>
      </c>
      <c r="O15" s="881"/>
      <c r="P15" s="724" t="str">
        <f>Z3&amp;" "&amp;Y12&amp;""&amp;AG9</f>
        <v>Matthew , I just wanted to follow up with you did you get the text above :point_up_2: - [Ellis w/ West Capital Lending]</v>
      </c>
      <c r="Q15" s="724"/>
      <c r="R15" s="724"/>
      <c r="S15" s="724"/>
      <c r="T15" s="724"/>
      <c r="U15" s="724"/>
      <c r="V15" s="724"/>
      <c r="W15" s="724"/>
      <c r="X15" s="725"/>
      <c r="Y15" s="723"/>
      <c r="Z15" s="723"/>
      <c r="AA15" s="723"/>
      <c r="AB15" s="723"/>
      <c r="AC15" s="723"/>
      <c r="AD15" s="723"/>
      <c r="AE15" s="723"/>
      <c r="AF15" s="723"/>
      <c r="AG15" s="723"/>
      <c r="AH15" s="723"/>
      <c r="AI15" s="723"/>
      <c r="AJ15" s="739" t="s">
        <v>163</v>
      </c>
      <c r="AK15" s="743">
        <f>RATE(AT8,-B31,(B25-B34),0)*12</f>
        <v>6.0660652775024498E-2</v>
      </c>
      <c r="AL15" s="787"/>
      <c r="AM15" s="1032" t="s">
        <v>278</v>
      </c>
      <c r="AN15" s="1044">
        <f>LEADS!$M$3</f>
        <v>340000</v>
      </c>
      <c r="AO15" s="1045"/>
      <c r="AP15" s="1045"/>
      <c r="AQ15" s="1046"/>
    </row>
    <row r="16" spans="1:46" ht="15.2" customHeight="1" thickBot="1">
      <c r="A16" s="902"/>
      <c r="B16" s="892"/>
      <c r="C16" s="892"/>
      <c r="D16" s="892"/>
      <c r="E16" s="893"/>
      <c r="F16" s="894"/>
      <c r="G16" s="892"/>
      <c r="H16" s="892"/>
      <c r="I16" s="893"/>
      <c r="J16" s="892"/>
      <c r="K16" s="892"/>
      <c r="L16" s="892"/>
      <c r="M16" s="893"/>
      <c r="N16" s="662"/>
      <c r="O16" s="663"/>
      <c r="P16" s="728"/>
      <c r="Q16" s="728"/>
      <c r="R16" s="728"/>
      <c r="S16" s="728"/>
      <c r="T16" s="728"/>
      <c r="U16" s="728"/>
      <c r="V16" s="728"/>
      <c r="W16" s="728"/>
      <c r="X16" s="729"/>
      <c r="Y16" s="723" t="s">
        <v>188</v>
      </c>
      <c r="Z16" s="723"/>
      <c r="AA16" s="723"/>
      <c r="AB16" s="723"/>
      <c r="AC16" s="723"/>
      <c r="AD16" s="723"/>
      <c r="AE16" s="723"/>
      <c r="AF16" s="723"/>
      <c r="AG16" s="723"/>
      <c r="AH16" s="723"/>
      <c r="AI16" s="723"/>
      <c r="AJ16" s="740"/>
      <c r="AK16" s="744"/>
      <c r="AL16" s="787"/>
      <c r="AM16" s="1040"/>
      <c r="AN16" s="985"/>
      <c r="AO16" s="986"/>
      <c r="AP16" s="986"/>
      <c r="AQ16" s="987"/>
    </row>
    <row r="17" spans="1:43" ht="15.2" customHeight="1">
      <c r="A17" s="827" t="s">
        <v>157</v>
      </c>
      <c r="B17" s="847" t="str">
        <f>AK9</f>
        <v>30 Year Fixed</v>
      </c>
      <c r="C17" s="848"/>
      <c r="D17" s="848"/>
      <c r="E17" s="849"/>
      <c r="F17" s="847" t="str">
        <f>AK24</f>
        <v>30 Year Fixed</v>
      </c>
      <c r="G17" s="848"/>
      <c r="H17" s="848"/>
      <c r="I17" s="849"/>
      <c r="J17" s="853" t="str">
        <f>AK39</f>
        <v>30 Year Fixed</v>
      </c>
      <c r="K17" s="853"/>
      <c r="L17" s="853"/>
      <c r="M17" s="854"/>
      <c r="N17" s="662" t="s">
        <v>186</v>
      </c>
      <c r="O17" s="663"/>
      <c r="P17" s="632" t="str">
        <f>$Z$3&amp;""&amp;Y14&amp;" "&amp;AG9</f>
        <v>Matthew, Great News! The Market took a heavy dip today :chart_with_downwards_trend: if you are at all still interested, now would be a great time to lock in your rate. :lock: [Ellis w/ West Capital Lending]</v>
      </c>
      <c r="Q17" s="633"/>
      <c r="R17" s="633"/>
      <c r="S17" s="633"/>
      <c r="T17" s="633"/>
      <c r="U17" s="633"/>
      <c r="V17" s="633"/>
      <c r="W17" s="633"/>
      <c r="X17" s="634"/>
      <c r="Y17" s="723"/>
      <c r="Z17" s="723"/>
      <c r="AA17" s="723"/>
      <c r="AB17" s="723"/>
      <c r="AC17" s="723"/>
      <c r="AD17" s="723"/>
      <c r="AE17" s="723"/>
      <c r="AF17" s="723"/>
      <c r="AG17" s="723"/>
      <c r="AH17" s="723"/>
      <c r="AI17" s="723"/>
      <c r="AJ17" s="739" t="s">
        <v>205</v>
      </c>
      <c r="AK17" s="745">
        <v>18000</v>
      </c>
      <c r="AL17" s="787"/>
      <c r="AM17" s="788"/>
      <c r="AN17" s="788"/>
      <c r="AO17" s="788"/>
      <c r="AP17" s="788"/>
      <c r="AQ17" s="788"/>
    </row>
    <row r="18" spans="1:43" ht="15.2" customHeight="1" thickBot="1">
      <c r="A18" s="828"/>
      <c r="B18" s="850"/>
      <c r="C18" s="851"/>
      <c r="D18" s="851"/>
      <c r="E18" s="852"/>
      <c r="F18" s="850"/>
      <c r="G18" s="851"/>
      <c r="H18" s="851"/>
      <c r="I18" s="852"/>
      <c r="J18" s="855"/>
      <c r="K18" s="855"/>
      <c r="L18" s="855"/>
      <c r="M18" s="856"/>
      <c r="N18" s="662"/>
      <c r="O18" s="663"/>
      <c r="P18" s="632"/>
      <c r="Q18" s="633"/>
      <c r="R18" s="633"/>
      <c r="S18" s="633"/>
      <c r="T18" s="633"/>
      <c r="U18" s="633"/>
      <c r="V18" s="633"/>
      <c r="W18" s="633"/>
      <c r="X18" s="634"/>
      <c r="Y18" s="723" t="s">
        <v>192</v>
      </c>
      <c r="Z18" s="723"/>
      <c r="AA18" s="723"/>
      <c r="AB18" s="723"/>
      <c r="AC18" s="723"/>
      <c r="AD18" s="723"/>
      <c r="AE18" s="723"/>
      <c r="AF18" s="723"/>
      <c r="AG18" s="723"/>
      <c r="AH18" s="723"/>
      <c r="AI18" s="723"/>
      <c r="AJ18" s="740"/>
      <c r="AK18" s="746"/>
      <c r="AL18" s="787"/>
      <c r="AM18" s="787"/>
      <c r="AN18" s="787"/>
      <c r="AO18" s="787"/>
      <c r="AP18" s="787"/>
      <c r="AQ18" s="787"/>
    </row>
    <row r="19" spans="1:43" ht="15.2" customHeight="1" thickBot="1">
      <c r="A19" s="827" t="s">
        <v>189</v>
      </c>
      <c r="B19" s="845" t="str">
        <f>AK7</f>
        <v>Conventional</v>
      </c>
      <c r="C19" s="845"/>
      <c r="D19" s="845"/>
      <c r="E19" s="846"/>
      <c r="F19" s="844" t="str">
        <f>AK22</f>
        <v>Conventional</v>
      </c>
      <c r="G19" s="845"/>
      <c r="H19" s="845"/>
      <c r="I19" s="846"/>
      <c r="J19" s="845" t="str">
        <f>AK37</f>
        <v>Conventional</v>
      </c>
      <c r="K19" s="845"/>
      <c r="L19" s="845"/>
      <c r="M19" s="846"/>
      <c r="N19" s="662"/>
      <c r="O19" s="663"/>
      <c r="P19" s="632"/>
      <c r="Q19" s="633"/>
      <c r="R19" s="633"/>
      <c r="S19" s="633"/>
      <c r="T19" s="633"/>
      <c r="U19" s="633"/>
      <c r="V19" s="633"/>
      <c r="W19" s="633"/>
      <c r="X19" s="634"/>
      <c r="Y19" s="723"/>
      <c r="Z19" s="723"/>
      <c r="AA19" s="723"/>
      <c r="AB19" s="723"/>
      <c r="AC19" s="723"/>
      <c r="AD19" s="723"/>
      <c r="AE19" s="723"/>
      <c r="AF19" s="723"/>
      <c r="AG19" s="723"/>
      <c r="AH19" s="723"/>
      <c r="AI19" s="723"/>
      <c r="AJ19" s="492"/>
      <c r="AK19" s="492"/>
      <c r="AL19" s="787"/>
      <c r="AM19" s="787"/>
      <c r="AN19" s="787"/>
      <c r="AO19" s="787"/>
      <c r="AP19" s="787"/>
      <c r="AQ19" s="787"/>
    </row>
    <row r="20" spans="1:43" ht="15.2" customHeight="1">
      <c r="A20" s="828"/>
      <c r="B20" s="845"/>
      <c r="C20" s="845"/>
      <c r="D20" s="845"/>
      <c r="E20" s="846"/>
      <c r="F20" s="844"/>
      <c r="G20" s="845"/>
      <c r="H20" s="845"/>
      <c r="I20" s="846"/>
      <c r="J20" s="845"/>
      <c r="K20" s="845"/>
      <c r="L20" s="845"/>
      <c r="M20" s="846"/>
      <c r="N20" s="791" t="s">
        <v>196</v>
      </c>
      <c r="O20" s="792"/>
      <c r="P20" s="789" t="str">
        <f>$Z$3&amp;""&amp;Y16&amp;" "&amp;AG9</f>
        <v>Matthew, just wanted to follow up with you did you get the text above :point_up_2:  [Ellis w/ West Capital Lending]</v>
      </c>
      <c r="Q20" s="724"/>
      <c r="R20" s="724"/>
      <c r="S20" s="724"/>
      <c r="T20" s="724"/>
      <c r="U20" s="724"/>
      <c r="V20" s="724"/>
      <c r="W20" s="724"/>
      <c r="X20" s="725"/>
      <c r="Y20" s="723" t="s">
        <v>195</v>
      </c>
      <c r="Z20" s="723"/>
      <c r="AA20" s="723"/>
      <c r="AB20" s="723"/>
      <c r="AC20" s="723"/>
      <c r="AD20" s="723"/>
      <c r="AE20" s="723"/>
      <c r="AF20" s="723"/>
      <c r="AG20" s="723"/>
      <c r="AH20" s="723"/>
      <c r="AI20" s="723"/>
      <c r="AJ20" s="488" t="s">
        <v>231</v>
      </c>
      <c r="AK20" s="489"/>
      <c r="AL20" s="787"/>
      <c r="AM20" s="787"/>
      <c r="AN20" s="787"/>
      <c r="AO20" s="787"/>
      <c r="AP20" s="787"/>
      <c r="AQ20" s="787"/>
    </row>
    <row r="21" spans="1:43" ht="15.2" customHeight="1" thickBot="1">
      <c r="A21" s="828" t="s">
        <v>278</v>
      </c>
      <c r="B21" s="895">
        <f>AK1</f>
        <v>2300000</v>
      </c>
      <c r="C21" s="895"/>
      <c r="D21" s="895"/>
      <c r="E21" s="896"/>
      <c r="F21" s="895">
        <f>AK1</f>
        <v>2300000</v>
      </c>
      <c r="G21" s="895"/>
      <c r="H21" s="895"/>
      <c r="I21" s="896"/>
      <c r="J21" s="895">
        <f>AK1</f>
        <v>2300000</v>
      </c>
      <c r="K21" s="895"/>
      <c r="L21" s="895"/>
      <c r="M21" s="896"/>
      <c r="N21" s="793"/>
      <c r="O21" s="794"/>
      <c r="P21" s="922"/>
      <c r="Q21" s="728"/>
      <c r="R21" s="728"/>
      <c r="S21" s="728"/>
      <c r="T21" s="728"/>
      <c r="U21" s="728"/>
      <c r="V21" s="728"/>
      <c r="W21" s="728"/>
      <c r="X21" s="729"/>
      <c r="Y21" s="723"/>
      <c r="Z21" s="723"/>
      <c r="AA21" s="723"/>
      <c r="AB21" s="723"/>
      <c r="AC21" s="723"/>
      <c r="AD21" s="723"/>
      <c r="AE21" s="723"/>
      <c r="AF21" s="723"/>
      <c r="AG21" s="723"/>
      <c r="AH21" s="723"/>
      <c r="AI21" s="723"/>
      <c r="AJ21" s="490"/>
      <c r="AK21" s="491"/>
      <c r="AL21" s="787"/>
      <c r="AM21" s="787"/>
      <c r="AN21" s="787"/>
      <c r="AO21" s="787"/>
      <c r="AP21" s="787"/>
      <c r="AQ21" s="787"/>
    </row>
    <row r="22" spans="1:43" ht="15.2" customHeight="1">
      <c r="A22" s="828"/>
      <c r="B22" s="895"/>
      <c r="C22" s="895"/>
      <c r="D22" s="895"/>
      <c r="E22" s="896"/>
      <c r="F22" s="895"/>
      <c r="G22" s="895"/>
      <c r="H22" s="895"/>
      <c r="I22" s="896"/>
      <c r="J22" s="895"/>
      <c r="K22" s="895"/>
      <c r="L22" s="895"/>
      <c r="M22" s="896"/>
      <c r="N22" s="791" t="s">
        <v>201</v>
      </c>
      <c r="O22" s="792"/>
      <c r="P22" s="789" t="str">
        <f>$Z$3&amp;""&amp;Y18&amp;" "&amp;AG9</f>
        <v>Matthew, I know you may already be in process with another lender. :bank: Are you satisified with rate and service? :blush: :pensive: [Ellis w/ West Capital Lending]</v>
      </c>
      <c r="Q22" s="724"/>
      <c r="R22" s="724"/>
      <c r="S22" s="724"/>
      <c r="T22" s="724"/>
      <c r="U22" s="724"/>
      <c r="V22" s="724"/>
      <c r="W22" s="724"/>
      <c r="X22" s="725"/>
      <c r="Y22" s="723" t="s">
        <v>280</v>
      </c>
      <c r="Z22" s="723"/>
      <c r="AA22" s="723" t="s">
        <v>199</v>
      </c>
      <c r="AB22" s="723"/>
      <c r="AC22" s="723"/>
      <c r="AD22" s="723"/>
      <c r="AE22" s="723"/>
      <c r="AF22" s="723"/>
      <c r="AG22" s="723"/>
      <c r="AH22" s="723"/>
      <c r="AI22" s="723"/>
      <c r="AJ22" s="739" t="s">
        <v>152</v>
      </c>
      <c r="AK22" s="739" t="s">
        <v>49</v>
      </c>
      <c r="AL22" s="787"/>
      <c r="AM22" s="787"/>
      <c r="AN22" s="787"/>
      <c r="AO22" s="787"/>
      <c r="AP22" s="787"/>
      <c r="AQ22" s="787"/>
    </row>
    <row r="23" spans="1:43" ht="15.2" customHeight="1" thickBot="1">
      <c r="A23" s="828" t="s">
        <v>276</v>
      </c>
      <c r="B23" s="1061">
        <f>AK11</f>
        <v>3.5000000000000003E-2</v>
      </c>
      <c r="C23" s="1062"/>
      <c r="D23" s="1062"/>
      <c r="E23" s="1063"/>
      <c r="F23" s="1064">
        <f>AK26</f>
        <v>0.25</v>
      </c>
      <c r="G23" s="1062"/>
      <c r="H23" s="1062"/>
      <c r="I23" s="1063"/>
      <c r="J23" s="1062">
        <f>AK41</f>
        <v>0.2</v>
      </c>
      <c r="K23" s="1062"/>
      <c r="L23" s="1062"/>
      <c r="M23" s="1063"/>
      <c r="N23" s="793"/>
      <c r="O23" s="794"/>
      <c r="P23" s="922"/>
      <c r="Q23" s="728"/>
      <c r="R23" s="728"/>
      <c r="S23" s="728"/>
      <c r="T23" s="728"/>
      <c r="U23" s="728"/>
      <c r="V23" s="728"/>
      <c r="W23" s="728"/>
      <c r="X23" s="729"/>
      <c r="Y23" s="723"/>
      <c r="Z23" s="723"/>
      <c r="AA23" s="723"/>
      <c r="AB23" s="723"/>
      <c r="AC23" s="723"/>
      <c r="AD23" s="723"/>
      <c r="AE23" s="723"/>
      <c r="AF23" s="723"/>
      <c r="AG23" s="723"/>
      <c r="AH23" s="723"/>
      <c r="AI23" s="723"/>
      <c r="AJ23" s="740"/>
      <c r="AK23" s="740"/>
      <c r="AL23" s="787"/>
      <c r="AM23" s="787"/>
      <c r="AN23" s="787"/>
      <c r="AO23" s="787"/>
      <c r="AP23" s="787"/>
      <c r="AQ23" s="787"/>
    </row>
    <row r="24" spans="1:43" ht="15.2" customHeight="1">
      <c r="A24" s="828"/>
      <c r="B24" s="1061"/>
      <c r="C24" s="1062"/>
      <c r="D24" s="1062"/>
      <c r="E24" s="1063"/>
      <c r="F24" s="1064"/>
      <c r="G24" s="1062"/>
      <c r="H24" s="1062"/>
      <c r="I24" s="1063"/>
      <c r="J24" s="1062"/>
      <c r="K24" s="1062"/>
      <c r="L24" s="1062"/>
      <c r="M24" s="1063"/>
      <c r="N24" s="791" t="s">
        <v>204</v>
      </c>
      <c r="O24" s="792"/>
      <c r="P24" s="789" t="str">
        <f>$Z$3&amp;""&amp;Y20&amp;" "&amp;AG9</f>
        <v>Matthew, if you changed your mind let me know so I can stop contacting you if you wish? [Ellis w/ West Capital Lending]</v>
      </c>
      <c r="Q24" s="724"/>
      <c r="R24" s="724"/>
      <c r="S24" s="724"/>
      <c r="T24" s="724"/>
      <c r="U24" s="724"/>
      <c r="V24" s="724"/>
      <c r="W24" s="724"/>
      <c r="X24" s="725"/>
      <c r="Y24" s="723" t="s">
        <v>202</v>
      </c>
      <c r="Z24" s="723"/>
      <c r="AA24" s="723"/>
      <c r="AB24" s="723"/>
      <c r="AC24" s="723"/>
      <c r="AD24" s="723"/>
      <c r="AE24" s="723"/>
      <c r="AF24" s="723"/>
      <c r="AG24" s="723"/>
      <c r="AH24" s="723"/>
      <c r="AI24" s="723"/>
      <c r="AJ24" s="739" t="s">
        <v>193</v>
      </c>
      <c r="AK24" s="739" t="s">
        <v>158</v>
      </c>
      <c r="AL24" s="787"/>
      <c r="AM24" s="787"/>
      <c r="AN24" s="787"/>
      <c r="AO24" s="787"/>
      <c r="AP24" s="787"/>
      <c r="AQ24" s="787"/>
    </row>
    <row r="25" spans="1:43" ht="15.2" customHeight="1" thickBot="1">
      <c r="A25" s="828" t="s">
        <v>106</v>
      </c>
      <c r="B25" s="895">
        <f>B21*(1-B23)</f>
        <v>2219500</v>
      </c>
      <c r="C25" s="895"/>
      <c r="D25" s="895"/>
      <c r="E25" s="896"/>
      <c r="F25" s="895">
        <f>F21*(1-F23)</f>
        <v>1725000</v>
      </c>
      <c r="G25" s="895"/>
      <c r="H25" s="895"/>
      <c r="I25" s="896"/>
      <c r="J25" s="895">
        <f>J21*(1-J23)</f>
        <v>1840000</v>
      </c>
      <c r="K25" s="895"/>
      <c r="L25" s="895"/>
      <c r="M25" s="896"/>
      <c r="N25" s="793"/>
      <c r="O25" s="794"/>
      <c r="P25" s="922"/>
      <c r="Q25" s="728"/>
      <c r="R25" s="728"/>
      <c r="S25" s="728"/>
      <c r="T25" s="728"/>
      <c r="U25" s="728"/>
      <c r="V25" s="728"/>
      <c r="W25" s="728"/>
      <c r="X25" s="729"/>
      <c r="Y25" s="723"/>
      <c r="Z25" s="723"/>
      <c r="AA25" s="723"/>
      <c r="AB25" s="723"/>
      <c r="AC25" s="723"/>
      <c r="AD25" s="723"/>
      <c r="AE25" s="723"/>
      <c r="AF25" s="723"/>
      <c r="AG25" s="723"/>
      <c r="AH25" s="723"/>
      <c r="AI25" s="723"/>
      <c r="AJ25" s="740"/>
      <c r="AK25" s="740"/>
      <c r="AL25" s="787"/>
      <c r="AM25" s="787"/>
      <c r="AN25" s="787"/>
      <c r="AO25" s="787"/>
      <c r="AP25" s="787"/>
      <c r="AQ25" s="787"/>
    </row>
    <row r="26" spans="1:43" ht="15.2" customHeight="1">
      <c r="A26" s="828"/>
      <c r="B26" s="895"/>
      <c r="C26" s="895"/>
      <c r="D26" s="895"/>
      <c r="E26" s="896"/>
      <c r="F26" s="895"/>
      <c r="G26" s="895"/>
      <c r="H26" s="895"/>
      <c r="I26" s="896"/>
      <c r="J26" s="895"/>
      <c r="K26" s="895"/>
      <c r="L26" s="895"/>
      <c r="M26" s="896"/>
      <c r="N26" s="952" t="s">
        <v>233</v>
      </c>
      <c r="O26" s="953"/>
      <c r="P26" s="789" t="str">
        <f>$Z$3&amp;""&amp;Y22&amp;" "&amp;AG9</f>
        <v>Matthew, are you still in the market to purchase a new home? :house: [Ellis w/ West Capital Lending]</v>
      </c>
      <c r="Q26" s="724"/>
      <c r="R26" s="724"/>
      <c r="S26" s="724"/>
      <c r="T26" s="724"/>
      <c r="U26" s="724"/>
      <c r="V26" s="724"/>
      <c r="W26" s="724"/>
      <c r="X26" s="725"/>
      <c r="Y26" s="723" t="s">
        <v>281</v>
      </c>
      <c r="Z26" s="723"/>
      <c r="AA26" s="723"/>
      <c r="AB26" s="723"/>
      <c r="AC26" s="723"/>
      <c r="AD26" s="723"/>
      <c r="AE26" s="723"/>
      <c r="AF26" s="723"/>
      <c r="AG26" s="723"/>
      <c r="AH26" s="723"/>
      <c r="AI26" s="723"/>
      <c r="AJ26" s="1067" t="s">
        <v>276</v>
      </c>
      <c r="AK26" s="1065">
        <v>0.25</v>
      </c>
      <c r="AL26" s="787"/>
      <c r="AM26" s="787"/>
      <c r="AN26" s="787"/>
      <c r="AO26" s="787"/>
      <c r="AP26" s="787"/>
      <c r="AQ26" s="787"/>
    </row>
    <row r="27" spans="1:43" ht="15.2" customHeight="1" thickBot="1">
      <c r="A27" s="828" t="s">
        <v>203</v>
      </c>
      <c r="B27" s="858">
        <f>AK13</f>
        <v>5.9900000000000002E-2</v>
      </c>
      <c r="C27" s="858"/>
      <c r="D27" s="858"/>
      <c r="E27" s="859"/>
      <c r="F27" s="857">
        <f>AK28</f>
        <v>6.25E-2</v>
      </c>
      <c r="G27" s="858"/>
      <c r="H27" s="858"/>
      <c r="I27" s="859"/>
      <c r="J27" s="858">
        <f>AK43</f>
        <v>6.5000000000000002E-2</v>
      </c>
      <c r="K27" s="858"/>
      <c r="L27" s="858"/>
      <c r="M27" s="859"/>
      <c r="N27" s="954"/>
      <c r="O27" s="955"/>
      <c r="P27" s="922"/>
      <c r="Q27" s="728"/>
      <c r="R27" s="728"/>
      <c r="S27" s="728"/>
      <c r="T27" s="728"/>
      <c r="U27" s="728"/>
      <c r="V27" s="728"/>
      <c r="W27" s="728"/>
      <c r="X27" s="729"/>
      <c r="Y27" s="723"/>
      <c r="Z27" s="723"/>
      <c r="AA27" s="723"/>
      <c r="AB27" s="723"/>
      <c r="AC27" s="723"/>
      <c r="AD27" s="723"/>
      <c r="AE27" s="723"/>
      <c r="AF27" s="723"/>
      <c r="AG27" s="723"/>
      <c r="AH27" s="723"/>
      <c r="AI27" s="723"/>
      <c r="AJ27" s="1068"/>
      <c r="AK27" s="1066"/>
      <c r="AL27" s="787"/>
      <c r="AM27" s="787"/>
      <c r="AN27" s="787"/>
      <c r="AO27" s="787"/>
      <c r="AP27" s="787"/>
      <c r="AQ27" s="787"/>
    </row>
    <row r="28" spans="1:43" ht="15.2" customHeight="1">
      <c r="A28" s="828"/>
      <c r="B28" s="858"/>
      <c r="C28" s="858"/>
      <c r="D28" s="858"/>
      <c r="E28" s="859"/>
      <c r="F28" s="857"/>
      <c r="G28" s="858"/>
      <c r="H28" s="858"/>
      <c r="I28" s="859"/>
      <c r="J28" s="858"/>
      <c r="K28" s="858"/>
      <c r="L28" s="858"/>
      <c r="M28" s="859"/>
      <c r="N28" s="791" t="s">
        <v>210</v>
      </c>
      <c r="O28" s="792"/>
      <c r="P28" s="942" t="str">
        <f>$Z$3&amp;""&amp;Y24&amp;" "&amp;AG9</f>
        <v>Matthew, generally when I do not receive a response it is because the client was told they didn't qualify. I am broker and I can work with any credit or income profile. [Ellis w/ West Capital Lending]</v>
      </c>
      <c r="Q28" s="943"/>
      <c r="R28" s="943"/>
      <c r="S28" s="943"/>
      <c r="T28" s="943"/>
      <c r="U28" s="943"/>
      <c r="V28" s="943"/>
      <c r="W28" s="943"/>
      <c r="X28" s="944"/>
      <c r="Y28" s="723" t="s">
        <v>282</v>
      </c>
      <c r="Z28" s="723"/>
      <c r="AA28" s="723"/>
      <c r="AB28" s="723"/>
      <c r="AC28" s="723"/>
      <c r="AD28" s="723"/>
      <c r="AE28" s="723"/>
      <c r="AF28" s="723"/>
      <c r="AG28" s="723"/>
      <c r="AH28" s="723"/>
      <c r="AI28" s="723"/>
      <c r="AJ28" s="739" t="s">
        <v>197</v>
      </c>
      <c r="AK28" s="743">
        <v>6.25E-2</v>
      </c>
      <c r="AL28" s="787"/>
      <c r="AM28" s="787"/>
      <c r="AN28" s="787"/>
      <c r="AO28" s="787"/>
      <c r="AP28" s="787"/>
      <c r="AQ28" s="787"/>
    </row>
    <row r="29" spans="1:43" ht="15.2" customHeight="1" thickBot="1">
      <c r="A29" s="828" t="s">
        <v>163</v>
      </c>
      <c r="B29" s="858">
        <f>AK15</f>
        <v>6.0660652775024498E-2</v>
      </c>
      <c r="C29" s="858"/>
      <c r="D29" s="858"/>
      <c r="E29" s="859"/>
      <c r="F29" s="857">
        <f>AK30</f>
        <v>6.3106735104221934E-2</v>
      </c>
      <c r="G29" s="858"/>
      <c r="H29" s="858"/>
      <c r="I29" s="859"/>
      <c r="J29" s="858">
        <f>AK45</f>
        <v>6.5445614639491667E-2</v>
      </c>
      <c r="K29" s="858"/>
      <c r="L29" s="858"/>
      <c r="M29" s="859"/>
      <c r="N29" s="818"/>
      <c r="O29" s="819"/>
      <c r="P29" s="1058"/>
      <c r="Q29" s="1059"/>
      <c r="R29" s="1059"/>
      <c r="S29" s="1059"/>
      <c r="T29" s="1059"/>
      <c r="U29" s="1059"/>
      <c r="V29" s="1059"/>
      <c r="W29" s="1059"/>
      <c r="X29" s="1060"/>
      <c r="Y29" s="723"/>
      <c r="Z29" s="723"/>
      <c r="AA29" s="723"/>
      <c r="AB29" s="723"/>
      <c r="AC29" s="723"/>
      <c r="AD29" s="723"/>
      <c r="AE29" s="723"/>
      <c r="AF29" s="723"/>
      <c r="AG29" s="723"/>
      <c r="AH29" s="723"/>
      <c r="AI29" s="723"/>
      <c r="AJ29" s="740"/>
      <c r="AK29" s="744"/>
      <c r="AL29" s="787"/>
      <c r="AM29" s="787"/>
      <c r="AN29" s="787"/>
      <c r="AO29" s="787"/>
      <c r="AP29" s="787"/>
      <c r="AQ29" s="787"/>
    </row>
    <row r="30" spans="1:43" ht="15.2" customHeight="1" thickBot="1">
      <c r="A30" s="829"/>
      <c r="B30" s="858"/>
      <c r="C30" s="858"/>
      <c r="D30" s="858"/>
      <c r="E30" s="859"/>
      <c r="F30" s="857"/>
      <c r="G30" s="858"/>
      <c r="H30" s="858"/>
      <c r="I30" s="859"/>
      <c r="J30" s="858"/>
      <c r="K30" s="858"/>
      <c r="L30" s="858"/>
      <c r="M30" s="859"/>
      <c r="N30" s="793"/>
      <c r="O30" s="794"/>
      <c r="P30" s="1013"/>
      <c r="Q30" s="1014"/>
      <c r="R30" s="1014"/>
      <c r="S30" s="1014"/>
      <c r="T30" s="1014"/>
      <c r="U30" s="1014"/>
      <c r="V30" s="1014"/>
      <c r="W30" s="1014"/>
      <c r="X30" s="1015"/>
      <c r="Y30" s="723" t="s">
        <v>212</v>
      </c>
      <c r="Z30" s="723"/>
      <c r="AA30" s="723"/>
      <c r="AB30" s="723"/>
      <c r="AC30" s="723"/>
      <c r="AD30" s="723"/>
      <c r="AE30" s="723"/>
      <c r="AF30" s="723"/>
      <c r="AG30" s="723"/>
      <c r="AH30" s="723"/>
      <c r="AI30" s="723"/>
      <c r="AJ30" s="739" t="s">
        <v>163</v>
      </c>
      <c r="AK30" s="743">
        <f>RATE(AT9,-F31,(F25-F34),0)*12</f>
        <v>6.3106735104221934E-2</v>
      </c>
      <c r="AL30" s="787"/>
      <c r="AM30" s="787"/>
      <c r="AN30" s="787"/>
      <c r="AO30" s="787"/>
      <c r="AP30" s="787"/>
      <c r="AQ30" s="787"/>
    </row>
    <row r="31" spans="1:43" ht="15.2" customHeight="1" thickBot="1">
      <c r="A31" s="827" t="s">
        <v>213</v>
      </c>
      <c r="B31" s="866">
        <f>ABS(PMT(B27/12, AT8,B25, 0))</f>
        <v>13292.757673202183</v>
      </c>
      <c r="C31" s="867"/>
      <c r="D31" s="867"/>
      <c r="E31" s="868"/>
      <c r="F31" s="866">
        <f>ABS(PMT(F27/12, AT9,F25, 0))</f>
        <v>10621.121707355254</v>
      </c>
      <c r="G31" s="867"/>
      <c r="H31" s="867"/>
      <c r="I31" s="868"/>
      <c r="J31" s="866">
        <f>ABS(PMT(J27/12, AT10,J25, 0))</f>
        <v>11630.051632270533</v>
      </c>
      <c r="K31" s="867"/>
      <c r="L31" s="867"/>
      <c r="M31" s="868"/>
      <c r="N31" s="791" t="s">
        <v>283</v>
      </c>
      <c r="O31" s="792"/>
      <c r="P31" s="789" t="str">
        <f>$Z$3&amp;""&amp;Y26&amp;" "&amp;AG9</f>
        <v>Matthew, the market has shifted. We are officially is a Buyers Market! Were you still interested [Ellis w/ West Capital Lending]</v>
      </c>
      <c r="Q31" s="724"/>
      <c r="R31" s="724"/>
      <c r="S31" s="724"/>
      <c r="T31" s="724"/>
      <c r="U31" s="724"/>
      <c r="V31" s="724"/>
      <c r="W31" s="724"/>
      <c r="X31" s="725"/>
      <c r="Y31" s="723"/>
      <c r="Z31" s="723"/>
      <c r="AA31" s="723"/>
      <c r="AB31" s="723"/>
      <c r="AC31" s="723"/>
      <c r="AD31" s="723"/>
      <c r="AE31" s="723"/>
      <c r="AF31" s="723"/>
      <c r="AG31" s="723"/>
      <c r="AH31" s="723"/>
      <c r="AI31" s="723"/>
      <c r="AJ31" s="740"/>
      <c r="AK31" s="744"/>
      <c r="AL31" s="787"/>
      <c r="AM31" s="787"/>
      <c r="AN31" s="787"/>
      <c r="AO31" s="787"/>
      <c r="AP31" s="787"/>
      <c r="AQ31" s="787"/>
    </row>
    <row r="32" spans="1:43" ht="15.2" customHeight="1">
      <c r="A32" s="828"/>
      <c r="B32" s="1055"/>
      <c r="C32" s="1056"/>
      <c r="D32" s="1056"/>
      <c r="E32" s="1057"/>
      <c r="F32" s="1055"/>
      <c r="G32" s="1056"/>
      <c r="H32" s="1056"/>
      <c r="I32" s="1057"/>
      <c r="J32" s="1055"/>
      <c r="K32" s="1056"/>
      <c r="L32" s="1056"/>
      <c r="M32" s="1057"/>
      <c r="N32" s="793"/>
      <c r="O32" s="794"/>
      <c r="P32" s="922"/>
      <c r="Q32" s="728"/>
      <c r="R32" s="728"/>
      <c r="S32" s="728"/>
      <c r="T32" s="728"/>
      <c r="U32" s="728"/>
      <c r="V32" s="728"/>
      <c r="W32" s="728"/>
      <c r="X32" s="729"/>
      <c r="Y32" s="723"/>
      <c r="Z32" s="723"/>
      <c r="AA32" s="723"/>
      <c r="AB32" s="723"/>
      <c r="AC32" s="723"/>
      <c r="AD32" s="723"/>
      <c r="AE32" s="723"/>
      <c r="AF32" s="723"/>
      <c r="AG32" s="723"/>
      <c r="AH32" s="723"/>
      <c r="AI32" s="723"/>
      <c r="AJ32" s="739" t="s">
        <v>205</v>
      </c>
      <c r="AK32" s="745">
        <v>11000</v>
      </c>
      <c r="AL32" s="787"/>
      <c r="AM32" s="787"/>
      <c r="AN32" s="787"/>
      <c r="AO32" s="787"/>
      <c r="AP32" s="787"/>
      <c r="AQ32" s="787"/>
    </row>
    <row r="33" spans="1:43" ht="15.2" customHeight="1" thickBot="1">
      <c r="A33" s="829"/>
      <c r="B33" s="869"/>
      <c r="C33" s="870"/>
      <c r="D33" s="870"/>
      <c r="E33" s="871"/>
      <c r="F33" s="869"/>
      <c r="G33" s="870"/>
      <c r="H33" s="870"/>
      <c r="I33" s="871"/>
      <c r="J33" s="869"/>
      <c r="K33" s="870"/>
      <c r="L33" s="870"/>
      <c r="M33" s="871"/>
      <c r="N33" s="662" t="s">
        <v>284</v>
      </c>
      <c r="O33" s="663"/>
      <c r="P33" s="632" t="str">
        <f>$Z$3&amp;""&amp;Y28&amp;" "&amp;AG9</f>
        <v>Matthew, are you still looking for a better deal? Are you confident you are getting the best rate? [Ellis w/ West Capital Lending]</v>
      </c>
      <c r="Q33" s="633"/>
      <c r="R33" s="633"/>
      <c r="S33" s="633"/>
      <c r="T33" s="633"/>
      <c r="U33" s="633"/>
      <c r="V33" s="633"/>
      <c r="W33" s="633"/>
      <c r="X33" s="634"/>
      <c r="Y33" s="723"/>
      <c r="Z33" s="723"/>
      <c r="AA33" s="723"/>
      <c r="AB33" s="723"/>
      <c r="AC33" s="723"/>
      <c r="AD33" s="723"/>
      <c r="AE33" s="723"/>
      <c r="AF33" s="723"/>
      <c r="AG33" s="723"/>
      <c r="AH33" s="723"/>
      <c r="AI33" s="723"/>
      <c r="AJ33" s="740"/>
      <c r="AK33" s="746"/>
      <c r="AL33" s="787"/>
      <c r="AM33" s="787"/>
      <c r="AN33" s="787"/>
      <c r="AO33" s="787"/>
      <c r="AP33" s="787"/>
      <c r="AQ33" s="787"/>
    </row>
    <row r="34" spans="1:43" ht="15.2" customHeight="1" thickBot="1">
      <c r="A34" s="828" t="s">
        <v>209</v>
      </c>
      <c r="B34" s="861">
        <f>AK17</f>
        <v>18000</v>
      </c>
      <c r="C34" s="861"/>
      <c r="D34" s="861"/>
      <c r="E34" s="862"/>
      <c r="F34" s="860">
        <f>AK32</f>
        <v>11000</v>
      </c>
      <c r="G34" s="861"/>
      <c r="H34" s="861"/>
      <c r="I34" s="862"/>
      <c r="J34" s="861">
        <f>AK47</f>
        <v>8500</v>
      </c>
      <c r="K34" s="861"/>
      <c r="L34" s="861"/>
      <c r="M34" s="862"/>
      <c r="N34" s="662"/>
      <c r="O34" s="663"/>
      <c r="P34" s="632"/>
      <c r="Q34" s="633"/>
      <c r="R34" s="633"/>
      <c r="S34" s="633"/>
      <c r="T34" s="633"/>
      <c r="U34" s="633"/>
      <c r="V34" s="633"/>
      <c r="W34" s="633"/>
      <c r="X34" s="634"/>
      <c r="AJ34" s="492"/>
      <c r="AK34" s="492"/>
      <c r="AL34" s="787"/>
      <c r="AM34" s="787"/>
      <c r="AN34" s="787"/>
      <c r="AO34" s="787"/>
      <c r="AP34" s="787"/>
      <c r="AQ34" s="787"/>
    </row>
    <row r="35" spans="1:43" ht="15.2" customHeight="1" thickBot="1">
      <c r="A35" s="828"/>
      <c r="B35" s="861"/>
      <c r="C35" s="861"/>
      <c r="D35" s="861"/>
      <c r="E35" s="862"/>
      <c r="F35" s="860"/>
      <c r="G35" s="861"/>
      <c r="H35" s="861"/>
      <c r="I35" s="862"/>
      <c r="J35" s="861"/>
      <c r="K35" s="861"/>
      <c r="L35" s="861"/>
      <c r="M35" s="862"/>
      <c r="N35" s="771" t="s">
        <v>220</v>
      </c>
      <c r="O35" s="772"/>
      <c r="P35" s="784" t="str">
        <f>Y30&amp;" "&amp;AG9</f>
        <v>Do I have the right person? [Ellis w/ West Capital Lending]</v>
      </c>
      <c r="Q35" s="785"/>
      <c r="R35" s="785"/>
      <c r="S35" s="785"/>
      <c r="T35" s="785"/>
      <c r="U35" s="785"/>
      <c r="V35" s="785"/>
      <c r="W35" s="785"/>
      <c r="X35" s="786"/>
      <c r="AJ35" s="488" t="s">
        <v>232</v>
      </c>
      <c r="AK35" s="489"/>
      <c r="AL35" s="787"/>
      <c r="AM35" s="787"/>
      <c r="AN35" s="787"/>
      <c r="AO35" s="787"/>
      <c r="AP35" s="787"/>
      <c r="AQ35" s="787"/>
    </row>
    <row r="36" spans="1:43" ht="15.2" customHeight="1" thickBot="1">
      <c r="A36" s="827" t="s">
        <v>285</v>
      </c>
      <c r="B36" s="873">
        <f>(B21*B23)+B34</f>
        <v>98500.000000000015</v>
      </c>
      <c r="C36" s="873"/>
      <c r="D36" s="873"/>
      <c r="E36" s="874"/>
      <c r="F36" s="872">
        <f>(F21*F23)+F34</f>
        <v>586000</v>
      </c>
      <c r="G36" s="873"/>
      <c r="H36" s="873"/>
      <c r="I36" s="874"/>
      <c r="J36" s="872">
        <f>(J21*J23)+J34</f>
        <v>468500</v>
      </c>
      <c r="K36" s="873"/>
      <c r="L36" s="873"/>
      <c r="M36" s="874"/>
      <c r="N36" s="795"/>
      <c r="O36" s="795"/>
      <c r="P36" s="795"/>
      <c r="Q36" s="795"/>
      <c r="R36" s="795"/>
      <c r="S36" s="795"/>
      <c r="T36" s="795"/>
      <c r="U36" s="795"/>
      <c r="V36" s="795"/>
      <c r="W36" s="795"/>
      <c r="X36" s="795"/>
      <c r="Z36" t="str">
        <f>START!E22</f>
        <v>Ellis Andersen</v>
      </c>
      <c r="AJ36" s="490"/>
      <c r="AK36" s="491"/>
      <c r="AL36" s="787"/>
      <c r="AM36" s="787"/>
      <c r="AN36" s="787"/>
      <c r="AO36" s="787"/>
      <c r="AP36" s="787"/>
      <c r="AQ36" s="787"/>
    </row>
    <row r="37" spans="1:43" ht="15.2" customHeight="1" thickBot="1">
      <c r="A37" s="829"/>
      <c r="B37" s="876"/>
      <c r="C37" s="876"/>
      <c r="D37" s="876"/>
      <c r="E37" s="877"/>
      <c r="F37" s="875"/>
      <c r="G37" s="876"/>
      <c r="H37" s="876"/>
      <c r="I37" s="877"/>
      <c r="J37" s="875"/>
      <c r="K37" s="876"/>
      <c r="L37" s="876"/>
      <c r="M37" s="877"/>
      <c r="N37" s="796"/>
      <c r="O37" s="796"/>
      <c r="P37" s="796"/>
      <c r="Q37" s="796"/>
      <c r="R37" s="796"/>
      <c r="S37" s="796"/>
      <c r="T37" s="796"/>
      <c r="U37" s="796"/>
      <c r="V37" s="796"/>
      <c r="W37" s="796"/>
      <c r="X37" s="796"/>
      <c r="Z37" t="str">
        <f>START!D13</f>
        <v>Direct/Fax: (949) 892-1736</v>
      </c>
      <c r="AJ37" s="739" t="s">
        <v>152</v>
      </c>
      <c r="AK37" s="739" t="s">
        <v>49</v>
      </c>
      <c r="AL37" s="787"/>
      <c r="AM37" s="787"/>
      <c r="AN37" s="787"/>
      <c r="AO37" s="787"/>
      <c r="AP37" s="787"/>
      <c r="AQ37" s="787"/>
    </row>
    <row r="38" spans="1:43" ht="15.2" customHeight="1" thickBot="1">
      <c r="A38" s="1071" t="s">
        <v>286</v>
      </c>
      <c r="B38" s="1072"/>
      <c r="C38" s="1072"/>
      <c r="D38" s="1072"/>
      <c r="E38" s="1072"/>
      <c r="F38" s="1072"/>
      <c r="G38" s="1072"/>
      <c r="H38" s="1072"/>
      <c r="I38" s="1072"/>
      <c r="J38" s="1072"/>
      <c r="K38" s="1072"/>
      <c r="L38" s="1072"/>
      <c r="M38" s="1073"/>
      <c r="N38" s="796"/>
      <c r="O38" s="796"/>
      <c r="P38" s="796"/>
      <c r="Q38" s="796"/>
      <c r="R38" s="796"/>
      <c r="S38" s="796"/>
      <c r="T38" s="796"/>
      <c r="U38" s="796"/>
      <c r="V38" s="796"/>
      <c r="W38" s="796"/>
      <c r="X38" s="796"/>
      <c r="Z38" t="str">
        <f>START!D14</f>
        <v>Email: eandersen@westcapitallending.com</v>
      </c>
      <c r="AJ38" s="740"/>
      <c r="AK38" s="740"/>
      <c r="AL38" s="787"/>
      <c r="AM38" s="787"/>
      <c r="AN38" s="787"/>
      <c r="AO38" s="787"/>
      <c r="AP38" s="787"/>
      <c r="AQ38" s="787"/>
    </row>
    <row r="39" spans="1:43" ht="15.2" customHeight="1" thickBot="1">
      <c r="A39" s="1074"/>
      <c r="B39" s="1075"/>
      <c r="C39" s="1075"/>
      <c r="D39" s="1075"/>
      <c r="E39" s="1075"/>
      <c r="F39" s="1075"/>
      <c r="G39" s="1075"/>
      <c r="H39" s="1075"/>
      <c r="I39" s="1075"/>
      <c r="J39" s="1075"/>
      <c r="K39" s="1075"/>
      <c r="L39" s="1075"/>
      <c r="M39" s="1076"/>
      <c r="N39" s="796"/>
      <c r="O39" s="796"/>
      <c r="P39" s="796"/>
      <c r="Q39" s="796"/>
      <c r="R39" s="796"/>
      <c r="S39" s="796"/>
      <c r="T39" s="796"/>
      <c r="U39" s="796"/>
      <c r="V39" s="796"/>
      <c r="W39" s="796"/>
      <c r="X39" s="796"/>
      <c r="AJ39" s="739" t="s">
        <v>193</v>
      </c>
      <c r="AK39" s="739" t="s">
        <v>158</v>
      </c>
      <c r="AL39" s="787"/>
      <c r="AM39" s="787"/>
      <c r="AN39" s="787"/>
      <c r="AO39" s="787"/>
      <c r="AP39" s="787"/>
      <c r="AQ39" s="787"/>
    </row>
    <row r="40" spans="1:43" ht="15.2" customHeight="1" thickBot="1">
      <c r="A40" s="1052" t="s">
        <v>219</v>
      </c>
      <c r="B40" s="765" t="s">
        <v>287</v>
      </c>
      <c r="C40" s="766"/>
      <c r="D40" s="766"/>
      <c r="E40" s="767"/>
      <c r="F40" s="765" t="s">
        <v>288</v>
      </c>
      <c r="G40" s="766"/>
      <c r="H40" s="766"/>
      <c r="I40" s="767"/>
      <c r="J40" s="765" t="s">
        <v>289</v>
      </c>
      <c r="K40" s="766"/>
      <c r="L40" s="766"/>
      <c r="M40" s="767"/>
      <c r="N40" s="796"/>
      <c r="O40" s="796"/>
      <c r="P40" s="796"/>
      <c r="Q40" s="796"/>
      <c r="R40" s="796"/>
      <c r="S40" s="796"/>
      <c r="T40" s="796"/>
      <c r="U40" s="796"/>
      <c r="V40" s="796"/>
      <c r="W40" s="796"/>
      <c r="X40" s="796"/>
      <c r="AJ40" s="740"/>
      <c r="AK40" s="740"/>
      <c r="AL40" s="787"/>
      <c r="AM40" s="787"/>
      <c r="AN40" s="787"/>
      <c r="AO40" s="787"/>
      <c r="AP40" s="787"/>
      <c r="AQ40" s="787"/>
    </row>
    <row r="41" spans="1:43" ht="15.2" customHeight="1" thickBot="1">
      <c r="A41" s="1053"/>
      <c r="B41" s="768"/>
      <c r="C41" s="769"/>
      <c r="D41" s="769"/>
      <c r="E41" s="770"/>
      <c r="F41" s="768"/>
      <c r="G41" s="769"/>
      <c r="H41" s="769"/>
      <c r="I41" s="770"/>
      <c r="J41" s="768"/>
      <c r="K41" s="769"/>
      <c r="L41" s="769"/>
      <c r="M41" s="770"/>
      <c r="N41" s="796"/>
      <c r="O41" s="796"/>
      <c r="P41" s="796"/>
      <c r="Q41" s="796"/>
      <c r="R41" s="796"/>
      <c r="S41" s="796"/>
      <c r="T41" s="796"/>
      <c r="U41" s="796"/>
      <c r="V41" s="796"/>
      <c r="W41" s="796"/>
      <c r="X41" s="796"/>
      <c r="AJ41" s="1067" t="s">
        <v>276</v>
      </c>
      <c r="AK41" s="1065">
        <v>0.2</v>
      </c>
      <c r="AL41" s="787"/>
      <c r="AM41" s="787"/>
      <c r="AN41" s="787"/>
      <c r="AO41" s="787"/>
      <c r="AP41" s="787"/>
      <c r="AQ41" s="787"/>
    </row>
    <row r="42" spans="1:43" ht="15.2" customHeight="1" thickBot="1">
      <c r="A42" s="1053"/>
      <c r="B42" s="765" t="s">
        <v>223</v>
      </c>
      <c r="C42" s="766"/>
      <c r="D42" s="766"/>
      <c r="E42" s="767"/>
      <c r="F42" s="765" t="s">
        <v>234</v>
      </c>
      <c r="G42" s="766"/>
      <c r="H42" s="766"/>
      <c r="I42" s="767"/>
      <c r="J42" s="765" t="s">
        <v>225</v>
      </c>
      <c r="K42" s="766"/>
      <c r="L42" s="766"/>
      <c r="M42" s="767"/>
      <c r="N42" s="796"/>
      <c r="O42" s="796"/>
      <c r="P42" s="796"/>
      <c r="Q42" s="796"/>
      <c r="R42" s="796"/>
      <c r="S42" s="796"/>
      <c r="T42" s="796"/>
      <c r="U42" s="796"/>
      <c r="V42" s="796"/>
      <c r="W42" s="796"/>
      <c r="X42" s="796"/>
      <c r="AJ42" s="1068"/>
      <c r="AK42" s="1066"/>
      <c r="AL42" s="787"/>
      <c r="AM42" s="787"/>
      <c r="AN42" s="787"/>
      <c r="AO42" s="787"/>
      <c r="AP42" s="787"/>
      <c r="AQ42" s="787"/>
    </row>
    <row r="43" spans="1:43" ht="15.2" customHeight="1" thickBot="1">
      <c r="A43" s="1054"/>
      <c r="B43" s="768"/>
      <c r="C43" s="769"/>
      <c r="D43" s="769"/>
      <c r="E43" s="770"/>
      <c r="F43" s="768"/>
      <c r="G43" s="769"/>
      <c r="H43" s="769"/>
      <c r="I43" s="770"/>
      <c r="J43" s="768"/>
      <c r="K43" s="769"/>
      <c r="L43" s="769"/>
      <c r="M43" s="770"/>
      <c r="N43" s="796"/>
      <c r="O43" s="796"/>
      <c r="P43" s="796"/>
      <c r="Q43" s="796"/>
      <c r="R43" s="796"/>
      <c r="S43" s="796"/>
      <c r="T43" s="796"/>
      <c r="U43" s="796"/>
      <c r="V43" s="796"/>
      <c r="W43" s="796"/>
      <c r="X43" s="796"/>
      <c r="AJ43" s="739" t="s">
        <v>197</v>
      </c>
      <c r="AK43" s="743">
        <v>6.5000000000000002E-2</v>
      </c>
      <c r="AL43" s="787"/>
      <c r="AM43" s="787"/>
      <c r="AN43" s="787"/>
      <c r="AO43" s="787"/>
      <c r="AP43" s="787"/>
      <c r="AQ43" s="787"/>
    </row>
    <row r="44" spans="1:43" ht="15.2" customHeight="1" thickBot="1">
      <c r="A44" s="775"/>
      <c r="B44" s="776"/>
      <c r="C44" s="776"/>
      <c r="D44" s="776"/>
      <c r="E44" s="776"/>
      <c r="F44" s="776"/>
      <c r="G44" s="776"/>
      <c r="H44" s="776"/>
      <c r="I44" s="776"/>
      <c r="J44" s="776"/>
      <c r="K44" s="776"/>
      <c r="L44" s="776"/>
      <c r="M44" s="777"/>
      <c r="N44" s="796"/>
      <c r="O44" s="796"/>
      <c r="P44" s="796"/>
      <c r="Q44" s="796"/>
      <c r="R44" s="796"/>
      <c r="S44" s="796"/>
      <c r="T44" s="796"/>
      <c r="U44" s="796"/>
      <c r="V44" s="796"/>
      <c r="W44" s="796"/>
      <c r="X44" s="796"/>
      <c r="AJ44" s="740"/>
      <c r="AK44" s="744"/>
      <c r="AL44" s="787"/>
      <c r="AM44" s="787"/>
      <c r="AN44" s="787"/>
      <c r="AO44" s="787"/>
      <c r="AP44" s="787"/>
      <c r="AQ44" s="787"/>
    </row>
    <row r="45" spans="1:43" ht="15" customHeight="1">
      <c r="A45" s="778"/>
      <c r="B45" s="779"/>
      <c r="C45" s="779"/>
      <c r="D45" s="779"/>
      <c r="E45" s="779"/>
      <c r="F45" s="779"/>
      <c r="G45" s="779"/>
      <c r="H45" s="779"/>
      <c r="I45" s="779"/>
      <c r="J45" s="779"/>
      <c r="K45" s="779"/>
      <c r="L45" s="779"/>
      <c r="M45" s="780"/>
      <c r="N45" s="796"/>
      <c r="O45" s="796"/>
      <c r="P45" s="796"/>
      <c r="Q45" s="796"/>
      <c r="R45" s="796"/>
      <c r="S45" s="796"/>
      <c r="T45" s="796"/>
      <c r="U45" s="796"/>
      <c r="V45" s="796"/>
      <c r="W45" s="796"/>
      <c r="X45" s="796"/>
      <c r="AJ45" s="739" t="s">
        <v>163</v>
      </c>
      <c r="AK45" s="743">
        <f>RATE(AT10,-J31,(J25-J34),0)*12</f>
        <v>6.5445614639491667E-2</v>
      </c>
      <c r="AL45" s="787"/>
      <c r="AM45" s="787"/>
      <c r="AN45" s="787"/>
      <c r="AO45" s="787"/>
      <c r="AP45" s="787"/>
      <c r="AQ45" s="787"/>
    </row>
    <row r="46" spans="1:43" ht="15.75" thickBot="1">
      <c r="A46" s="781"/>
      <c r="B46" s="782"/>
      <c r="C46" s="782"/>
      <c r="D46" s="782"/>
      <c r="E46" s="782"/>
      <c r="F46" s="782"/>
      <c r="G46" s="782"/>
      <c r="H46" s="782"/>
      <c r="I46" s="782"/>
      <c r="J46" s="782"/>
      <c r="K46" s="782"/>
      <c r="L46" s="782"/>
      <c r="M46" s="783"/>
      <c r="N46" s="796"/>
      <c r="O46" s="796"/>
      <c r="P46" s="796"/>
      <c r="Q46" s="796"/>
      <c r="R46" s="796"/>
      <c r="S46" s="796"/>
      <c r="T46" s="796"/>
      <c r="U46" s="796"/>
      <c r="V46" s="796"/>
      <c r="W46" s="796"/>
      <c r="X46" s="796"/>
      <c r="AJ46" s="740"/>
      <c r="AK46" s="744"/>
      <c r="AL46" s="787"/>
      <c r="AM46" s="787"/>
      <c r="AN46" s="787"/>
      <c r="AO46" s="787"/>
      <c r="AP46" s="787"/>
      <c r="AQ46" s="787"/>
    </row>
    <row r="47" spans="1:43">
      <c r="A47" s="758" t="str">
        <f>G1&amp;" - "&amp;START!$E$25</f>
        <v>Ellis Andersen | Branch Manager - (949) 892-1736</v>
      </c>
      <c r="B47" s="759"/>
      <c r="C47" s="759"/>
      <c r="D47" s="759"/>
      <c r="E47" s="759"/>
      <c r="F47" s="759"/>
      <c r="G47" s="759"/>
      <c r="H47" s="759"/>
      <c r="I47" s="759"/>
      <c r="J47" s="759"/>
      <c r="K47" s="759"/>
      <c r="L47" s="759"/>
      <c r="M47" s="760"/>
      <c r="N47" s="796"/>
      <c r="O47" s="796"/>
      <c r="P47" s="796"/>
      <c r="Q47" s="796"/>
      <c r="R47" s="796"/>
      <c r="S47" s="796"/>
      <c r="T47" s="796"/>
      <c r="U47" s="796"/>
      <c r="V47" s="796"/>
      <c r="W47" s="796"/>
      <c r="X47" s="796"/>
      <c r="AJ47" s="739" t="s">
        <v>205</v>
      </c>
      <c r="AK47" s="745">
        <v>8500</v>
      </c>
      <c r="AL47" s="787"/>
      <c r="AM47" s="787"/>
      <c r="AN47" s="787"/>
      <c r="AO47" s="787"/>
      <c r="AP47" s="787"/>
      <c r="AQ47" s="787"/>
    </row>
    <row r="48" spans="1:43" ht="15.75" thickBot="1">
      <c r="A48" s="758"/>
      <c r="B48" s="759"/>
      <c r="C48" s="759"/>
      <c r="D48" s="759"/>
      <c r="E48" s="759"/>
      <c r="F48" s="759"/>
      <c r="G48" s="759"/>
      <c r="H48" s="759"/>
      <c r="I48" s="759"/>
      <c r="J48" s="759"/>
      <c r="K48" s="759"/>
      <c r="L48" s="759"/>
      <c r="M48" s="760"/>
      <c r="N48" s="796"/>
      <c r="O48" s="796"/>
      <c r="P48" s="796"/>
      <c r="Q48" s="796"/>
      <c r="R48" s="796"/>
      <c r="S48" s="796"/>
      <c r="T48" s="796"/>
      <c r="U48" s="796"/>
      <c r="V48" s="796"/>
      <c r="W48" s="796"/>
      <c r="X48" s="796"/>
      <c r="AJ48" s="740"/>
      <c r="AK48" s="746"/>
      <c r="AL48" s="787"/>
      <c r="AM48" s="787"/>
      <c r="AN48" s="787"/>
      <c r="AO48" s="787"/>
      <c r="AP48" s="787"/>
      <c r="AQ48" s="787"/>
    </row>
    <row r="49" spans="1:43" ht="18.75" thickBot="1">
      <c r="A49" s="761" t="s">
        <v>229</v>
      </c>
      <c r="B49" s="762"/>
      <c r="C49" s="762"/>
      <c r="D49" s="762"/>
      <c r="E49" s="762"/>
      <c r="F49" s="762"/>
      <c r="G49" s="762"/>
      <c r="H49" s="762"/>
      <c r="I49" s="762"/>
      <c r="J49" s="762"/>
      <c r="K49" s="762"/>
      <c r="L49" s="762"/>
      <c r="M49" s="763"/>
      <c r="N49" s="796"/>
      <c r="O49" s="796"/>
      <c r="P49" s="796"/>
      <c r="Q49" s="796"/>
      <c r="R49" s="796"/>
      <c r="S49" s="796"/>
      <c r="T49" s="796"/>
      <c r="U49" s="796"/>
      <c r="V49" s="796"/>
      <c r="W49" s="796"/>
      <c r="X49" s="796"/>
      <c r="AJ49" s="158"/>
      <c r="AK49" s="158"/>
      <c r="AL49" s="787"/>
      <c r="AM49" s="787"/>
      <c r="AN49" s="787"/>
      <c r="AO49" s="787"/>
      <c r="AP49" s="787"/>
      <c r="AQ49" s="787"/>
    </row>
    <row r="50" spans="1:43">
      <c r="A50" s="84"/>
      <c r="B50" s="84"/>
      <c r="C50" s="84"/>
      <c r="D50" s="84"/>
      <c r="E50" s="84"/>
      <c r="F50" s="84"/>
      <c r="G50" s="84"/>
      <c r="H50" s="84"/>
      <c r="I50" s="84"/>
      <c r="J50" s="84"/>
      <c r="K50" s="84"/>
      <c r="L50" s="84"/>
      <c r="M50" s="84"/>
      <c r="N50" s="796"/>
      <c r="O50" s="796"/>
      <c r="P50" s="796"/>
      <c r="Q50" s="796"/>
      <c r="R50" s="796"/>
      <c r="S50" s="796"/>
      <c r="T50" s="796"/>
      <c r="U50" s="796"/>
      <c r="V50" s="796"/>
      <c r="W50" s="796"/>
      <c r="X50" s="796"/>
      <c r="AJ50" s="158"/>
      <c r="AK50" s="158"/>
      <c r="AL50" s="787"/>
      <c r="AM50" s="787"/>
      <c r="AN50" s="787"/>
      <c r="AO50" s="787"/>
      <c r="AP50" s="787"/>
      <c r="AQ50" s="787"/>
    </row>
    <row r="51" spans="1:43">
      <c r="A51" s="84"/>
      <c r="B51" s="84"/>
      <c r="C51" s="84"/>
      <c r="D51" s="84"/>
      <c r="E51" s="84"/>
      <c r="F51" s="84"/>
      <c r="G51" s="84"/>
      <c r="H51" s="84"/>
      <c r="I51" s="84"/>
      <c r="J51" s="84"/>
      <c r="K51" s="84"/>
      <c r="L51" s="84"/>
      <c r="M51" s="84"/>
      <c r="N51" s="796"/>
      <c r="O51" s="796"/>
      <c r="P51" s="796"/>
      <c r="Q51" s="796"/>
      <c r="R51" s="796"/>
      <c r="S51" s="796"/>
      <c r="T51" s="796"/>
      <c r="U51" s="796"/>
      <c r="V51" s="796"/>
      <c r="W51" s="796"/>
      <c r="X51" s="796"/>
      <c r="AJ51" s="158"/>
      <c r="AK51" s="158"/>
      <c r="AL51" s="787"/>
      <c r="AM51" s="787"/>
      <c r="AN51" s="787"/>
      <c r="AO51" s="787"/>
      <c r="AP51" s="787"/>
      <c r="AQ51" s="787"/>
    </row>
  </sheetData>
  <sheetProtection algorithmName="SHA-512" hashValue="C7NSxWvh37pnGuc5pnCAjvY71/DZOdCogvDnplUqGKnUVWsqw49Su7DCOhT6AVc55iwb4SpkucAxmSpmkuf+5A==" saltValue="V14f/b+pq0Q18XgW3mkp5w==" spinCount="100000" sheet="1" objects="1" scenarios="1"/>
  <protectedRanges>
    <protectedRange sqref="AK1 AK37:AK48 AK22:AK33 AK7:AK18" name="Range2"/>
  </protectedRanges>
  <mergeCells count="180">
    <mergeCell ref="AJ47:AJ48"/>
    <mergeCell ref="AJ22:AJ23"/>
    <mergeCell ref="AJ24:AJ25"/>
    <mergeCell ref="AJ26:AJ27"/>
    <mergeCell ref="AJ30:AJ31"/>
    <mergeCell ref="AJ32:AJ33"/>
    <mergeCell ref="AK24:AK25"/>
    <mergeCell ref="AK26:AK27"/>
    <mergeCell ref="AK28:AK29"/>
    <mergeCell ref="AK30:AK31"/>
    <mergeCell ref="AK43:AK44"/>
    <mergeCell ref="AK45:AK46"/>
    <mergeCell ref="AK32:AK33"/>
    <mergeCell ref="AK47:AK48"/>
    <mergeCell ref="AK41:AK42"/>
    <mergeCell ref="AK37:AK38"/>
    <mergeCell ref="AK39:AK40"/>
    <mergeCell ref="AJ28:AJ29"/>
    <mergeCell ref="AJ15:AJ16"/>
    <mergeCell ref="N36:X51"/>
    <mergeCell ref="AM17:AQ51"/>
    <mergeCell ref="AL1:AL51"/>
    <mergeCell ref="A44:M46"/>
    <mergeCell ref="A47:M48"/>
    <mergeCell ref="A49:M49"/>
    <mergeCell ref="G1:M2"/>
    <mergeCell ref="N1:X2"/>
    <mergeCell ref="Y1:AI2"/>
    <mergeCell ref="AJ5:AK6"/>
    <mergeCell ref="G6:M6"/>
    <mergeCell ref="AK13:AK14"/>
    <mergeCell ref="AJ39:AJ40"/>
    <mergeCell ref="AJ1:AJ2"/>
    <mergeCell ref="AK1:AK2"/>
    <mergeCell ref="A38:M39"/>
    <mergeCell ref="AJ9:AJ10"/>
    <mergeCell ref="AK9:AK10"/>
    <mergeCell ref="AJ37:AJ38"/>
    <mergeCell ref="AJ41:AJ42"/>
    <mergeCell ref="AJ43:AJ44"/>
    <mergeCell ref="AJ45:AJ46"/>
    <mergeCell ref="G4:M4"/>
    <mergeCell ref="G3:M3"/>
    <mergeCell ref="N3:O14"/>
    <mergeCell ref="P3:X4"/>
    <mergeCell ref="Z3:AB3"/>
    <mergeCell ref="G5:M5"/>
    <mergeCell ref="P5:X5"/>
    <mergeCell ref="Y5:AI6"/>
    <mergeCell ref="AJ13:AJ14"/>
    <mergeCell ref="G7:M7"/>
    <mergeCell ref="P6:X6"/>
    <mergeCell ref="Y7:AB7"/>
    <mergeCell ref="AJ11:AJ12"/>
    <mergeCell ref="P7:X7"/>
    <mergeCell ref="Y8:AB8"/>
    <mergeCell ref="P8:X8"/>
    <mergeCell ref="AA4:AG4"/>
    <mergeCell ref="AJ7:AJ8"/>
    <mergeCell ref="AK7:AK8"/>
    <mergeCell ref="AJ3:AK4"/>
    <mergeCell ref="P20:X21"/>
    <mergeCell ref="Y20:AI21"/>
    <mergeCell ref="Y22:AI23"/>
    <mergeCell ref="AK15:AK16"/>
    <mergeCell ref="AK22:AK23"/>
    <mergeCell ref="B10:F10"/>
    <mergeCell ref="P9:X9"/>
    <mergeCell ref="Y10:AB10"/>
    <mergeCell ref="B9:F9"/>
    <mergeCell ref="G9:M10"/>
    <mergeCell ref="Y9:AB9"/>
    <mergeCell ref="P14:X14"/>
    <mergeCell ref="B11:F11"/>
    <mergeCell ref="G11:M12"/>
    <mergeCell ref="P10:X10"/>
    <mergeCell ref="Y11:AB11"/>
    <mergeCell ref="B12:F12"/>
    <mergeCell ref="P11:X12"/>
    <mergeCell ref="Y12:AI13"/>
    <mergeCell ref="AJ17:AJ18"/>
    <mergeCell ref="AK17:AK18"/>
    <mergeCell ref="AK11:AK12"/>
    <mergeCell ref="Y18:AI19"/>
    <mergeCell ref="N20:O21"/>
    <mergeCell ref="B13:F13"/>
    <mergeCell ref="G13:I13"/>
    <mergeCell ref="J13:M13"/>
    <mergeCell ref="P13:X13"/>
    <mergeCell ref="Y14:AI15"/>
    <mergeCell ref="N17:O19"/>
    <mergeCell ref="P17:X19"/>
    <mergeCell ref="Y16:AI17"/>
    <mergeCell ref="A15:A16"/>
    <mergeCell ref="B15:E16"/>
    <mergeCell ref="F15:I16"/>
    <mergeCell ref="J15:M16"/>
    <mergeCell ref="N15:O16"/>
    <mergeCell ref="P15:X16"/>
    <mergeCell ref="A23:A24"/>
    <mergeCell ref="B23:E24"/>
    <mergeCell ref="F23:I24"/>
    <mergeCell ref="J23:M24"/>
    <mergeCell ref="A17:A18"/>
    <mergeCell ref="B17:E18"/>
    <mergeCell ref="F17:I18"/>
    <mergeCell ref="J17:M18"/>
    <mergeCell ref="N22:O23"/>
    <mergeCell ref="P22:X23"/>
    <mergeCell ref="A21:A22"/>
    <mergeCell ref="B21:E22"/>
    <mergeCell ref="F21:I22"/>
    <mergeCell ref="J21:M22"/>
    <mergeCell ref="A19:A20"/>
    <mergeCell ref="B19:E20"/>
    <mergeCell ref="F19:I20"/>
    <mergeCell ref="J19:M20"/>
    <mergeCell ref="Y28:AI29"/>
    <mergeCell ref="A27:A28"/>
    <mergeCell ref="B27:E28"/>
    <mergeCell ref="F27:I28"/>
    <mergeCell ref="J27:M28"/>
    <mergeCell ref="N28:O30"/>
    <mergeCell ref="P28:X30"/>
    <mergeCell ref="Y30:AI31"/>
    <mergeCell ref="P24:X25"/>
    <mergeCell ref="N24:O25"/>
    <mergeCell ref="N31:O32"/>
    <mergeCell ref="Y24:AI25"/>
    <mergeCell ref="N26:O27"/>
    <mergeCell ref="A31:A33"/>
    <mergeCell ref="Y32:AI33"/>
    <mergeCell ref="Y26:AI27"/>
    <mergeCell ref="A29:A30"/>
    <mergeCell ref="B29:E30"/>
    <mergeCell ref="F29:I30"/>
    <mergeCell ref="J29:M30"/>
    <mergeCell ref="P33:X34"/>
    <mergeCell ref="A25:A26"/>
    <mergeCell ref="B25:E26"/>
    <mergeCell ref="F25:I26"/>
    <mergeCell ref="J25:M26"/>
    <mergeCell ref="P26:X27"/>
    <mergeCell ref="B42:E43"/>
    <mergeCell ref="F42:I43"/>
    <mergeCell ref="J42:M43"/>
    <mergeCell ref="A40:A43"/>
    <mergeCell ref="B31:E33"/>
    <mergeCell ref="F31:I33"/>
    <mergeCell ref="J31:M33"/>
    <mergeCell ref="A34:A35"/>
    <mergeCell ref="A36:A37"/>
    <mergeCell ref="B40:E41"/>
    <mergeCell ref="F40:I41"/>
    <mergeCell ref="F34:I35"/>
    <mergeCell ref="J34:M35"/>
    <mergeCell ref="B34:E35"/>
    <mergeCell ref="P31:X32"/>
    <mergeCell ref="B36:E37"/>
    <mergeCell ref="F36:I37"/>
    <mergeCell ref="J36:M37"/>
    <mergeCell ref="N33:O34"/>
    <mergeCell ref="J40:M41"/>
    <mergeCell ref="N35:O35"/>
    <mergeCell ref="P35:X35"/>
    <mergeCell ref="AP11:AQ14"/>
    <mergeCell ref="AM5:AM6"/>
    <mergeCell ref="AN5:AQ6"/>
    <mergeCell ref="AM15:AM16"/>
    <mergeCell ref="AN1:AQ2"/>
    <mergeCell ref="AN3:AQ4"/>
    <mergeCell ref="AN9:AQ10"/>
    <mergeCell ref="AN7:AQ8"/>
    <mergeCell ref="AN15:AQ16"/>
    <mergeCell ref="AM11:AM14"/>
    <mergeCell ref="AN11:AO14"/>
    <mergeCell ref="AM1:AM2"/>
    <mergeCell ref="AM3:AM4"/>
    <mergeCell ref="AM9:AM10"/>
    <mergeCell ref="AM7:AM8"/>
  </mergeCells>
  <dataValidations count="1">
    <dataValidation type="list" allowBlank="1" showInputMessage="1" showErrorMessage="1" sqref="AK39 AK24 AK9:AK10" xr:uid="{E5302F1F-205E-4EEC-9AA3-F161BF28855D}">
      <formula1>$AS$1:$AS$6</formula1>
    </dataValidation>
  </dataValidations>
  <pageMargins left="0.25" right="0.2529757217847769" top="0.25" bottom="0.25" header="0.3" footer="0.3"/>
  <pageSetup orientation="portrait" r:id="rId1"/>
  <ignoredErrors>
    <ignoredError sqref="B21 F21 J21" formula="1"/>
  </ignoredError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F34E8-7649-4618-88B2-7307AC39C09B}">
  <sheetPr codeName="Sheet18">
    <tabColor rgb="FF00B0F0"/>
  </sheetPr>
  <dimension ref="B1:H58"/>
  <sheetViews>
    <sheetView topLeftCell="A17" workbookViewId="0">
      <selection activeCell="C9" sqref="C9"/>
    </sheetView>
  </sheetViews>
  <sheetFormatPr defaultRowHeight="15"/>
  <cols>
    <col min="2" max="2" width="5.42578125" customWidth="1"/>
    <col min="3" max="3" width="64.85546875" bestFit="1" customWidth="1"/>
    <col min="4" max="4" width="12.28515625" customWidth="1"/>
    <col min="6" max="6" width="5.42578125" customWidth="1"/>
    <col min="7" max="7" width="60.28515625" customWidth="1"/>
    <col min="8" max="8" width="12.28515625" customWidth="1"/>
    <col min="14" max="14" width="5.42578125" customWidth="1"/>
    <col min="15" max="15" width="4.5703125" customWidth="1"/>
    <col min="16" max="16" width="8.140625" customWidth="1"/>
  </cols>
  <sheetData>
    <row r="1" spans="2:8" ht="15.75" thickBot="1"/>
    <row r="2" spans="2:8">
      <c r="B2" s="576" t="s">
        <v>290</v>
      </c>
      <c r="C2" s="577"/>
      <c r="D2" s="578"/>
      <c r="F2" s="576" t="s">
        <v>291</v>
      </c>
      <c r="G2" s="577"/>
      <c r="H2" s="578"/>
    </row>
    <row r="3" spans="2:8" ht="15.75" thickBot="1">
      <c r="B3" s="579"/>
      <c r="C3" s="580"/>
      <c r="D3" s="581"/>
      <c r="F3" s="579"/>
      <c r="G3" s="580"/>
      <c r="H3" s="581"/>
    </row>
    <row r="4" spans="2:8" ht="15.75" thickBot="1"/>
    <row r="5" spans="2:8" ht="19.5" thickBot="1">
      <c r="B5" s="1077" t="s">
        <v>292</v>
      </c>
      <c r="C5" s="1078"/>
      <c r="D5" s="1079"/>
      <c r="F5" s="1077" t="s">
        <v>293</v>
      </c>
      <c r="G5" s="1078"/>
      <c r="H5" s="1079"/>
    </row>
    <row r="6" spans="2:8" ht="21" customHeight="1" thickBot="1">
      <c r="B6" s="36" t="s">
        <v>66</v>
      </c>
      <c r="C6" s="36" t="s">
        <v>294</v>
      </c>
      <c r="D6" s="37" t="s">
        <v>68</v>
      </c>
      <c r="F6" s="36" t="s">
        <v>66</v>
      </c>
      <c r="G6" s="36" t="s">
        <v>294</v>
      </c>
      <c r="H6" s="37" t="s">
        <v>68</v>
      </c>
    </row>
    <row r="7" spans="2:8" ht="15.75" thickBot="1">
      <c r="B7" s="38">
        <v>1</v>
      </c>
      <c r="C7" s="39" t="s">
        <v>295</v>
      </c>
      <c r="D7" s="40" t="s">
        <v>296</v>
      </c>
      <c r="F7" s="38">
        <v>1</v>
      </c>
      <c r="G7" s="39" t="s">
        <v>297</v>
      </c>
      <c r="H7" s="40" t="s">
        <v>296</v>
      </c>
    </row>
    <row r="8" spans="2:8" ht="15.75" thickBot="1">
      <c r="B8" s="38">
        <v>2</v>
      </c>
      <c r="C8" s="39" t="s">
        <v>298</v>
      </c>
      <c r="D8" s="40" t="s">
        <v>296</v>
      </c>
      <c r="F8" s="38">
        <v>2</v>
      </c>
      <c r="G8" s="39" t="s">
        <v>299</v>
      </c>
      <c r="H8" s="40" t="s">
        <v>296</v>
      </c>
    </row>
    <row r="9" spans="2:8" ht="15.75" thickBot="1">
      <c r="B9" s="38">
        <v>3</v>
      </c>
      <c r="C9" s="39" t="s">
        <v>300</v>
      </c>
      <c r="D9" s="40" t="s">
        <v>301</v>
      </c>
      <c r="F9" s="38">
        <v>3</v>
      </c>
      <c r="G9" s="39" t="s">
        <v>302</v>
      </c>
      <c r="H9" s="40" t="s">
        <v>296</v>
      </c>
    </row>
    <row r="10" spans="2:8" ht="15.75" thickBot="1">
      <c r="B10" s="38">
        <v>4</v>
      </c>
      <c r="C10" s="39" t="s">
        <v>303</v>
      </c>
      <c r="D10" s="40" t="s">
        <v>296</v>
      </c>
      <c r="F10" s="38">
        <v>4</v>
      </c>
      <c r="G10" s="39" t="s">
        <v>304</v>
      </c>
      <c r="H10" s="40" t="s">
        <v>296</v>
      </c>
    </row>
    <row r="11" spans="2:8" ht="15.75" thickBot="1">
      <c r="B11" s="38">
        <v>5</v>
      </c>
      <c r="C11" s="39" t="s">
        <v>305</v>
      </c>
      <c r="D11" s="40" t="s">
        <v>296</v>
      </c>
      <c r="F11" s="38">
        <v>5</v>
      </c>
      <c r="G11" s="39" t="s">
        <v>306</v>
      </c>
      <c r="H11" s="40" t="s">
        <v>296</v>
      </c>
    </row>
    <row r="12" spans="2:8" ht="15.75" thickBot="1">
      <c r="B12" s="38">
        <v>6</v>
      </c>
      <c r="C12" s="39" t="s">
        <v>307</v>
      </c>
      <c r="D12" s="40" t="s">
        <v>296</v>
      </c>
      <c r="F12" s="38">
        <v>6</v>
      </c>
      <c r="G12" s="39" t="s">
        <v>308</v>
      </c>
      <c r="H12" s="40" t="s">
        <v>296</v>
      </c>
    </row>
    <row r="13" spans="2:8" ht="15.75" thickBot="1">
      <c r="F13" s="38">
        <v>7</v>
      </c>
      <c r="G13" s="39" t="s">
        <v>303</v>
      </c>
      <c r="H13" s="40" t="s">
        <v>296</v>
      </c>
    </row>
    <row r="14" spans="2:8" ht="19.5" thickBot="1">
      <c r="B14" s="1077" t="s">
        <v>309</v>
      </c>
      <c r="C14" s="1078"/>
      <c r="D14" s="1079"/>
      <c r="F14" s="38">
        <v>8</v>
      </c>
      <c r="G14" s="39" t="s">
        <v>305</v>
      </c>
      <c r="H14" s="40" t="s">
        <v>296</v>
      </c>
    </row>
    <row r="15" spans="2:8" ht="19.5" thickBot="1">
      <c r="B15" s="36" t="s">
        <v>66</v>
      </c>
      <c r="C15" s="36" t="s">
        <v>294</v>
      </c>
      <c r="D15" s="37" t="s">
        <v>68</v>
      </c>
      <c r="F15" s="38">
        <v>9</v>
      </c>
      <c r="G15" s="39" t="s">
        <v>307</v>
      </c>
      <c r="H15" s="40" t="s">
        <v>296</v>
      </c>
    </row>
    <row r="16" spans="2:8" ht="15.75" thickBot="1">
      <c r="B16" s="38">
        <v>1</v>
      </c>
      <c r="C16" s="39" t="s">
        <v>295</v>
      </c>
      <c r="D16" s="40" t="s">
        <v>296</v>
      </c>
    </row>
    <row r="17" spans="2:8" ht="19.5" thickBot="1">
      <c r="B17" s="38">
        <v>2</v>
      </c>
      <c r="C17" s="39" t="s">
        <v>298</v>
      </c>
      <c r="D17" s="40" t="s">
        <v>296</v>
      </c>
      <c r="F17" s="1077" t="s">
        <v>310</v>
      </c>
      <c r="G17" s="1078"/>
      <c r="H17" s="1079"/>
    </row>
    <row r="18" spans="2:8" ht="19.5" thickBot="1">
      <c r="B18" s="38">
        <v>3</v>
      </c>
      <c r="C18" s="39" t="s">
        <v>300</v>
      </c>
      <c r="D18" s="40" t="s">
        <v>301</v>
      </c>
      <c r="F18" s="36" t="s">
        <v>66</v>
      </c>
      <c r="G18" s="36" t="s">
        <v>294</v>
      </c>
      <c r="H18" s="37" t="s">
        <v>68</v>
      </c>
    </row>
    <row r="19" spans="2:8" ht="15.75" thickBot="1">
      <c r="B19" s="38">
        <v>4</v>
      </c>
      <c r="C19" s="39" t="s">
        <v>311</v>
      </c>
      <c r="D19" s="40" t="s">
        <v>296</v>
      </c>
      <c r="F19" s="38">
        <v>1</v>
      </c>
      <c r="G19" s="39" t="s">
        <v>297</v>
      </c>
      <c r="H19" s="40" t="s">
        <v>296</v>
      </c>
    </row>
    <row r="20" spans="2:8" ht="15.75" thickBot="1">
      <c r="B20" s="38">
        <v>5</v>
      </c>
      <c r="C20" s="39" t="s">
        <v>312</v>
      </c>
      <c r="D20" s="40" t="s">
        <v>296</v>
      </c>
      <c r="F20" s="38">
        <v>2</v>
      </c>
      <c r="G20" s="39" t="s">
        <v>299</v>
      </c>
      <c r="H20" s="40" t="s">
        <v>296</v>
      </c>
    </row>
    <row r="21" spans="2:8" ht="15.75" thickBot="1">
      <c r="B21" s="38">
        <v>6</v>
      </c>
      <c r="C21" s="39" t="s">
        <v>313</v>
      </c>
      <c r="D21" s="40" t="s">
        <v>296</v>
      </c>
      <c r="F21" s="38">
        <v>3</v>
      </c>
      <c r="G21" s="39" t="s">
        <v>302</v>
      </c>
      <c r="H21" s="40" t="s">
        <v>296</v>
      </c>
    </row>
    <row r="22" spans="2:8" ht="15.75" thickBot="1">
      <c r="B22" s="38">
        <v>7</v>
      </c>
      <c r="C22" s="39" t="s">
        <v>314</v>
      </c>
      <c r="D22" s="40" t="s">
        <v>296</v>
      </c>
      <c r="F22" s="38">
        <v>4</v>
      </c>
      <c r="G22" s="39" t="s">
        <v>304</v>
      </c>
      <c r="H22" s="40" t="s">
        <v>296</v>
      </c>
    </row>
    <row r="23" spans="2:8" ht="15.75" thickBot="1">
      <c r="B23" s="38">
        <v>8</v>
      </c>
      <c r="C23" s="39" t="s">
        <v>307</v>
      </c>
      <c r="D23" s="40" t="s">
        <v>296</v>
      </c>
      <c r="F23" s="38">
        <v>5</v>
      </c>
      <c r="G23" s="39" t="s">
        <v>306</v>
      </c>
      <c r="H23" s="40" t="s">
        <v>296</v>
      </c>
    </row>
    <row r="24" spans="2:8" ht="15.75" thickBot="1">
      <c r="F24" s="38">
        <v>6</v>
      </c>
      <c r="G24" s="39" t="s">
        <v>308</v>
      </c>
      <c r="H24" s="40" t="s">
        <v>296</v>
      </c>
    </row>
    <row r="25" spans="2:8" ht="19.5" thickBot="1">
      <c r="B25" s="1077" t="s">
        <v>315</v>
      </c>
      <c r="C25" s="1078"/>
      <c r="D25" s="1079"/>
      <c r="F25" s="38">
        <v>7</v>
      </c>
      <c r="G25" s="39" t="s">
        <v>311</v>
      </c>
      <c r="H25" s="40" t="s">
        <v>296</v>
      </c>
    </row>
    <row r="26" spans="2:8" ht="19.5" thickBot="1">
      <c r="B26" s="36" t="s">
        <v>66</v>
      </c>
      <c r="C26" s="36" t="s">
        <v>294</v>
      </c>
      <c r="D26" s="37" t="s">
        <v>68</v>
      </c>
      <c r="F26" s="38">
        <v>8</v>
      </c>
      <c r="G26" s="39" t="s">
        <v>312</v>
      </c>
      <c r="H26" s="40" t="s">
        <v>301</v>
      </c>
    </row>
    <row r="27" spans="2:8" ht="15.75" thickBot="1">
      <c r="B27" s="38">
        <v>1</v>
      </c>
      <c r="C27" s="39" t="s">
        <v>295</v>
      </c>
      <c r="D27" s="40" t="s">
        <v>296</v>
      </c>
      <c r="F27" s="38">
        <v>9</v>
      </c>
      <c r="G27" s="39" t="s">
        <v>313</v>
      </c>
      <c r="H27" s="40" t="s">
        <v>296</v>
      </c>
    </row>
    <row r="28" spans="2:8" ht="15.75" thickBot="1">
      <c r="B28" s="38">
        <v>2</v>
      </c>
      <c r="C28" s="39" t="s">
        <v>298</v>
      </c>
      <c r="D28" s="40" t="s">
        <v>296</v>
      </c>
      <c r="F28" s="38">
        <v>10</v>
      </c>
      <c r="G28" s="39" t="s">
        <v>314</v>
      </c>
      <c r="H28" s="40" t="s">
        <v>296</v>
      </c>
    </row>
    <row r="29" spans="2:8" ht="15.75" thickBot="1">
      <c r="B29" s="38">
        <v>3</v>
      </c>
      <c r="C29" s="39" t="s">
        <v>300</v>
      </c>
      <c r="D29" s="40" t="s">
        <v>301</v>
      </c>
      <c r="F29" s="38">
        <v>11</v>
      </c>
      <c r="G29" s="39" t="s">
        <v>307</v>
      </c>
      <c r="H29" s="40" t="s">
        <v>296</v>
      </c>
    </row>
    <row r="30" spans="2:8" ht="15.75" thickBot="1">
      <c r="B30" s="38">
        <v>4</v>
      </c>
      <c r="C30" s="39" t="s">
        <v>316</v>
      </c>
      <c r="D30" s="40" t="s">
        <v>296</v>
      </c>
    </row>
    <row r="31" spans="2:8" ht="19.5" thickBot="1">
      <c r="B31" s="38">
        <v>5</v>
      </c>
      <c r="C31" s="39" t="s">
        <v>317</v>
      </c>
      <c r="D31" s="40" t="s">
        <v>296</v>
      </c>
      <c r="F31" s="1077" t="s">
        <v>318</v>
      </c>
      <c r="G31" s="1078"/>
      <c r="H31" s="1079"/>
    </row>
    <row r="32" spans="2:8" ht="19.5" thickBot="1">
      <c r="B32" s="38">
        <v>6</v>
      </c>
      <c r="C32" s="39" t="s">
        <v>319</v>
      </c>
      <c r="D32" s="40" t="s">
        <v>296</v>
      </c>
      <c r="F32" s="36" t="s">
        <v>66</v>
      </c>
      <c r="G32" s="36" t="s">
        <v>294</v>
      </c>
      <c r="H32" s="37" t="s">
        <v>68</v>
      </c>
    </row>
    <row r="33" spans="2:8" ht="15.75" thickBot="1">
      <c r="B33" s="38">
        <v>7</v>
      </c>
      <c r="C33" s="39" t="s">
        <v>307</v>
      </c>
      <c r="D33" s="40" t="s">
        <v>296</v>
      </c>
      <c r="F33" s="38">
        <v>1</v>
      </c>
      <c r="G33" s="39" t="s">
        <v>297</v>
      </c>
      <c r="H33" s="40" t="s">
        <v>296</v>
      </c>
    </row>
    <row r="34" spans="2:8" ht="15.75" thickBot="1">
      <c r="F34" s="38">
        <v>2</v>
      </c>
      <c r="G34" s="39" t="s">
        <v>299</v>
      </c>
      <c r="H34" s="40" t="s">
        <v>296</v>
      </c>
    </row>
    <row r="35" spans="2:8" ht="19.5" thickBot="1">
      <c r="B35" s="1077" t="s">
        <v>320</v>
      </c>
      <c r="C35" s="1078"/>
      <c r="D35" s="1079"/>
      <c r="F35" s="38">
        <v>3</v>
      </c>
      <c r="G35" s="39" t="s">
        <v>302</v>
      </c>
      <c r="H35" s="40" t="s">
        <v>296</v>
      </c>
    </row>
    <row r="36" spans="2:8" ht="19.5" thickBot="1">
      <c r="B36" s="36" t="s">
        <v>66</v>
      </c>
      <c r="C36" s="36" t="s">
        <v>294</v>
      </c>
      <c r="D36" s="37" t="s">
        <v>68</v>
      </c>
      <c r="F36" s="38">
        <v>4</v>
      </c>
      <c r="G36" s="39" t="s">
        <v>304</v>
      </c>
      <c r="H36" s="40" t="s">
        <v>296</v>
      </c>
    </row>
    <row r="37" spans="2:8" ht="15.75" thickBot="1">
      <c r="B37" s="38">
        <v>1</v>
      </c>
      <c r="C37" s="39" t="s">
        <v>321</v>
      </c>
      <c r="D37" s="40" t="s">
        <v>296</v>
      </c>
      <c r="F37" s="38">
        <v>5</v>
      </c>
      <c r="G37" s="39" t="s">
        <v>306</v>
      </c>
      <c r="H37" s="40" t="s">
        <v>296</v>
      </c>
    </row>
    <row r="38" spans="2:8" ht="15.75" thickBot="1">
      <c r="B38" s="38">
        <v>2</v>
      </c>
      <c r="C38" s="39" t="s">
        <v>322</v>
      </c>
      <c r="D38" s="40" t="s">
        <v>296</v>
      </c>
      <c r="F38" s="38">
        <v>6</v>
      </c>
      <c r="G38" s="39" t="s">
        <v>308</v>
      </c>
      <c r="H38" s="40" t="s">
        <v>296</v>
      </c>
    </row>
    <row r="39" spans="2:8" ht="15.75" thickBot="1">
      <c r="B39" s="38">
        <v>3</v>
      </c>
      <c r="C39" s="39" t="s">
        <v>323</v>
      </c>
      <c r="D39" s="40" t="s">
        <v>296</v>
      </c>
      <c r="F39" s="38">
        <v>7</v>
      </c>
      <c r="G39" s="39" t="s">
        <v>316</v>
      </c>
      <c r="H39" s="40" t="s">
        <v>296</v>
      </c>
    </row>
    <row r="40" spans="2:8" ht="15.75" thickBot="1">
      <c r="B40" s="38">
        <v>4</v>
      </c>
      <c r="C40" s="39" t="s">
        <v>324</v>
      </c>
      <c r="D40" s="40" t="s">
        <v>296</v>
      </c>
      <c r="F40" s="38">
        <v>8</v>
      </c>
      <c r="G40" s="39" t="s">
        <v>325</v>
      </c>
      <c r="H40" s="40" t="s">
        <v>296</v>
      </c>
    </row>
    <row r="41" spans="2:8" ht="15.75" thickBot="1">
      <c r="B41" s="38">
        <v>5</v>
      </c>
      <c r="C41" s="39" t="s">
        <v>326</v>
      </c>
      <c r="D41" s="40" t="s">
        <v>296</v>
      </c>
      <c r="F41" s="38">
        <v>9</v>
      </c>
      <c r="G41" s="39" t="s">
        <v>319</v>
      </c>
      <c r="H41" s="40" t="s">
        <v>296</v>
      </c>
    </row>
    <row r="42" spans="2:8" ht="15.75" thickBot="1">
      <c r="B42" s="38">
        <v>6</v>
      </c>
      <c r="C42" s="39" t="s">
        <v>327</v>
      </c>
      <c r="D42" s="40" t="s">
        <v>301</v>
      </c>
      <c r="F42" s="38">
        <v>10</v>
      </c>
      <c r="G42" s="39" t="s">
        <v>307</v>
      </c>
      <c r="H42" s="40" t="s">
        <v>296</v>
      </c>
    </row>
    <row r="43" spans="2:8" ht="15.75" thickBot="1"/>
    <row r="44" spans="2:8" ht="19.5" thickBot="1">
      <c r="B44" s="1077" t="s">
        <v>328</v>
      </c>
      <c r="C44" s="1078"/>
      <c r="D44" s="1079"/>
    </row>
    <row r="45" spans="2:8" ht="15.75" thickBot="1">
      <c r="B45" s="41" t="s">
        <v>66</v>
      </c>
      <c r="C45" s="42" t="s">
        <v>294</v>
      </c>
      <c r="D45" s="43" t="s">
        <v>68</v>
      </c>
    </row>
    <row r="46" spans="2:8" ht="15.75" thickBot="1">
      <c r="B46" s="38">
        <v>1</v>
      </c>
      <c r="C46" s="39" t="s">
        <v>329</v>
      </c>
      <c r="D46" s="40" t="s">
        <v>296</v>
      </c>
    </row>
    <row r="47" spans="2:8" ht="15.75" thickBot="1">
      <c r="B47" s="38">
        <v>2</v>
      </c>
      <c r="C47" s="39" t="s">
        <v>330</v>
      </c>
      <c r="D47" s="40" t="s">
        <v>296</v>
      </c>
    </row>
    <row r="48" spans="2:8" ht="19.5" thickBot="1">
      <c r="B48" s="38">
        <v>3</v>
      </c>
      <c r="C48" s="39" t="s">
        <v>331</v>
      </c>
      <c r="D48" s="40" t="s">
        <v>296</v>
      </c>
      <c r="F48" s="1077" t="s">
        <v>332</v>
      </c>
      <c r="G48" s="1078"/>
      <c r="H48" s="1079"/>
    </row>
    <row r="49" spans="2:8" ht="19.5" thickBot="1">
      <c r="B49" s="38">
        <v>4</v>
      </c>
      <c r="C49" s="39" t="s">
        <v>333</v>
      </c>
      <c r="D49" s="40" t="s">
        <v>296</v>
      </c>
      <c r="F49" s="36" t="s">
        <v>66</v>
      </c>
      <c r="G49" s="36" t="s">
        <v>294</v>
      </c>
      <c r="H49" s="37" t="s">
        <v>68</v>
      </c>
    </row>
    <row r="50" spans="2:8" ht="15.75" thickBot="1">
      <c r="B50" s="38">
        <v>5</v>
      </c>
      <c r="C50" s="39" t="s">
        <v>334</v>
      </c>
      <c r="D50" s="40" t="s">
        <v>296</v>
      </c>
      <c r="F50" s="38">
        <v>1</v>
      </c>
      <c r="G50" s="39" t="s">
        <v>295</v>
      </c>
      <c r="H50" s="40" t="s">
        <v>296</v>
      </c>
    </row>
    <row r="51" spans="2:8" ht="15.75" thickBot="1">
      <c r="B51" s="38">
        <v>6</v>
      </c>
      <c r="C51" s="39" t="s">
        <v>335</v>
      </c>
      <c r="D51" s="40" t="s">
        <v>296</v>
      </c>
      <c r="F51" s="38">
        <v>2</v>
      </c>
      <c r="G51" s="39" t="s">
        <v>298</v>
      </c>
      <c r="H51" s="40" t="s">
        <v>296</v>
      </c>
    </row>
    <row r="52" spans="2:8" ht="15.75" thickBot="1">
      <c r="B52" s="38">
        <v>7</v>
      </c>
      <c r="C52" s="39" t="s">
        <v>336</v>
      </c>
      <c r="D52" s="40" t="s">
        <v>296</v>
      </c>
      <c r="F52" s="38">
        <v>3</v>
      </c>
      <c r="G52" s="39" t="s">
        <v>300</v>
      </c>
      <c r="H52" s="40" t="s">
        <v>301</v>
      </c>
    </row>
    <row r="53" spans="2:8" ht="15.75" thickBot="1">
      <c r="B53" s="38">
        <v>8</v>
      </c>
      <c r="C53" s="39" t="s">
        <v>297</v>
      </c>
      <c r="D53" s="40" t="s">
        <v>296</v>
      </c>
      <c r="F53" s="38">
        <v>4</v>
      </c>
      <c r="G53" s="39" t="s">
        <v>337</v>
      </c>
      <c r="H53" s="40" t="s">
        <v>296</v>
      </c>
    </row>
    <row r="54" spans="2:8" ht="15.75" thickBot="1">
      <c r="B54" s="38">
        <v>9</v>
      </c>
      <c r="C54" s="39" t="s">
        <v>299</v>
      </c>
      <c r="D54" s="40" t="s">
        <v>296</v>
      </c>
      <c r="F54" s="38">
        <v>5</v>
      </c>
      <c r="G54" s="39" t="s">
        <v>307</v>
      </c>
      <c r="H54" s="40" t="s">
        <v>296</v>
      </c>
    </row>
    <row r="55" spans="2:8" ht="15.75" thickBot="1">
      <c r="B55" s="38">
        <v>10</v>
      </c>
      <c r="C55" s="39" t="s">
        <v>302</v>
      </c>
      <c r="D55" s="40" t="s">
        <v>296</v>
      </c>
    </row>
    <row r="56" spans="2:8" ht="15.75" thickBot="1">
      <c r="B56" s="38">
        <v>11</v>
      </c>
      <c r="C56" s="39" t="s">
        <v>304</v>
      </c>
      <c r="D56" s="40" t="s">
        <v>296</v>
      </c>
    </row>
    <row r="57" spans="2:8" ht="15.75" thickBot="1">
      <c r="B57" s="38">
        <v>12</v>
      </c>
      <c r="C57" s="39" t="s">
        <v>306</v>
      </c>
      <c r="D57" s="40" t="s">
        <v>296</v>
      </c>
    </row>
    <row r="58" spans="2:8" ht="15.75" thickBot="1">
      <c r="B58" s="38">
        <v>13</v>
      </c>
      <c r="C58" s="39" t="s">
        <v>308</v>
      </c>
      <c r="D58" s="40" t="s">
        <v>296</v>
      </c>
    </row>
  </sheetData>
  <mergeCells count="11">
    <mergeCell ref="B14:D14"/>
    <mergeCell ref="F48:H48"/>
    <mergeCell ref="B2:D3"/>
    <mergeCell ref="F2:H3"/>
    <mergeCell ref="B5:D5"/>
    <mergeCell ref="F5:H5"/>
    <mergeCell ref="F17:H17"/>
    <mergeCell ref="B25:D25"/>
    <mergeCell ref="F31:H31"/>
    <mergeCell ref="B35:D35"/>
    <mergeCell ref="B44:D44"/>
  </mergeCells>
  <dataValidations count="1">
    <dataValidation type="list" allowBlank="1" showInputMessage="1" showErrorMessage="1" sqref="D7:D12 D16:D23 D37:D42 H7:H15 H19:H29 H33:H42 D27:D33 D46:D58 H50:H54" xr:uid="{FB2A066A-F1C5-43B0-9CDA-91E1E90E60CB}">
      <formula1>"Pending, Received, Illegible, If Applicable"</formula1>
    </dataValidation>
  </dataValidations>
  <pageMargins left="0.7" right="0.7" top="0.75" bottom="0.75" header="0.3" footer="0.3"/>
  <pageSetup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5CD79-F2F0-4782-BC58-A8CC55786A90}">
  <sheetPr codeName="Sheet19">
    <tabColor rgb="FF00B0F0"/>
  </sheetPr>
  <dimension ref="A1:B84"/>
  <sheetViews>
    <sheetView workbookViewId="0">
      <selection activeCell="B27" sqref="B27"/>
    </sheetView>
  </sheetViews>
  <sheetFormatPr defaultRowHeight="15"/>
  <cols>
    <col min="1" max="2" width="63.7109375" customWidth="1"/>
  </cols>
  <sheetData>
    <row r="1" spans="1:2" ht="14.45" customHeight="1">
      <c r="A1" s="99" t="s">
        <v>338</v>
      </c>
      <c r="B1" s="100"/>
    </row>
    <row r="2" spans="1:2" ht="14.45" customHeight="1">
      <c r="A2" s="101" t="s">
        <v>339</v>
      </c>
      <c r="B2" s="102" t="s">
        <v>340</v>
      </c>
    </row>
    <row r="3" spans="1:2" ht="14.45" customHeight="1">
      <c r="A3" s="101" t="s">
        <v>341</v>
      </c>
      <c r="B3" s="102" t="s">
        <v>342</v>
      </c>
    </row>
    <row r="4" spans="1:2" ht="14.45" customHeight="1">
      <c r="A4" s="101" t="s">
        <v>343</v>
      </c>
      <c r="B4" s="102" t="s">
        <v>344</v>
      </c>
    </row>
    <row r="5" spans="1:2" ht="14.45" customHeight="1">
      <c r="A5" s="101" t="s">
        <v>345</v>
      </c>
      <c r="B5" s="102" t="s">
        <v>346</v>
      </c>
    </row>
    <row r="6" spans="1:2" ht="14.45" customHeight="1">
      <c r="A6" s="101" t="s">
        <v>347</v>
      </c>
      <c r="B6" s="102" t="s">
        <v>348</v>
      </c>
    </row>
    <row r="7" spans="1:2" ht="14.45" customHeight="1">
      <c r="A7" s="101" t="s">
        <v>349</v>
      </c>
      <c r="B7" s="102"/>
    </row>
    <row r="8" spans="1:2" ht="14.45" customHeight="1">
      <c r="A8" s="103" t="s">
        <v>350</v>
      </c>
      <c r="B8" s="102" t="s">
        <v>351</v>
      </c>
    </row>
    <row r="9" spans="1:2" ht="14.45" customHeight="1">
      <c r="A9" s="103" t="s">
        <v>352</v>
      </c>
      <c r="B9" s="100" t="s">
        <v>353</v>
      </c>
    </row>
    <row r="10" spans="1:2" ht="14.45" customHeight="1">
      <c r="A10" s="100" t="s">
        <v>354</v>
      </c>
      <c r="B10" s="100" t="s">
        <v>355</v>
      </c>
    </row>
    <row r="11" spans="1:2" ht="14.45" customHeight="1">
      <c r="A11" s="102" t="s">
        <v>356</v>
      </c>
      <c r="B11" s="1080" t="s">
        <v>357</v>
      </c>
    </row>
    <row r="12" spans="1:2" ht="14.45" customHeight="1">
      <c r="A12" s="102" t="s">
        <v>358</v>
      </c>
      <c r="B12" s="1080"/>
    </row>
    <row r="13" spans="1:2" ht="14.45" customHeight="1">
      <c r="A13" s="100" t="s">
        <v>359</v>
      </c>
      <c r="B13" s="100" t="s">
        <v>360</v>
      </c>
    </row>
    <row r="14" spans="1:2" ht="14.45" customHeight="1">
      <c r="A14" s="100" t="s">
        <v>361</v>
      </c>
      <c r="B14" s="100" t="s">
        <v>362</v>
      </c>
    </row>
    <row r="15" spans="1:2" ht="14.45" customHeight="1">
      <c r="A15" s="100" t="s">
        <v>363</v>
      </c>
      <c r="B15" s="100" t="s">
        <v>364</v>
      </c>
    </row>
    <row r="16" spans="1:2" ht="14.45" customHeight="1">
      <c r="A16" s="100" t="s">
        <v>365</v>
      </c>
      <c r="B16" s="100" t="s">
        <v>366</v>
      </c>
    </row>
    <row r="17" spans="1:2" ht="14.45" customHeight="1">
      <c r="A17" s="100" t="s">
        <v>367</v>
      </c>
      <c r="B17" s="100" t="s">
        <v>368</v>
      </c>
    </row>
    <row r="18" spans="1:2" ht="14.45" customHeight="1">
      <c r="A18" s="100" t="s">
        <v>369</v>
      </c>
      <c r="B18" s="100"/>
    </row>
    <row r="19" spans="1:2" ht="14.45" customHeight="1">
      <c r="A19" s="102" t="s">
        <v>370</v>
      </c>
      <c r="B19" s="102" t="s">
        <v>371</v>
      </c>
    </row>
    <row r="20" spans="1:2" ht="14.45" customHeight="1">
      <c r="A20" s="102" t="s">
        <v>372</v>
      </c>
      <c r="B20" s="102" t="s">
        <v>373</v>
      </c>
    </row>
    <row r="21" spans="1:2" ht="14.45" customHeight="1">
      <c r="A21" s="102" t="s">
        <v>374</v>
      </c>
      <c r="B21" s="102" t="s">
        <v>375</v>
      </c>
    </row>
    <row r="22" spans="1:2" ht="14.45" customHeight="1">
      <c r="A22" s="102" t="s">
        <v>376</v>
      </c>
      <c r="B22" s="102" t="s">
        <v>377</v>
      </c>
    </row>
    <row r="23" spans="1:2" ht="14.45" customHeight="1">
      <c r="A23" s="102" t="s">
        <v>378</v>
      </c>
      <c r="B23" s="102"/>
    </row>
    <row r="24" spans="1:2" ht="14.45" customHeight="1">
      <c r="A24" s="102" t="s">
        <v>379</v>
      </c>
      <c r="B24" s="102"/>
    </row>
    <row r="25" spans="1:2" ht="14.45" customHeight="1">
      <c r="A25" s="102" t="s">
        <v>380</v>
      </c>
      <c r="B25" s="102"/>
    </row>
    <row r="26" spans="1:2" ht="14.45" customHeight="1">
      <c r="A26" s="102" t="s">
        <v>381</v>
      </c>
      <c r="B26" s="102"/>
    </row>
    <row r="27" spans="1:2" ht="14.45" customHeight="1">
      <c r="A27" s="102" t="s">
        <v>382</v>
      </c>
      <c r="B27" s="102" t="s">
        <v>383</v>
      </c>
    </row>
    <row r="28" spans="1:2" ht="14.45" customHeight="1">
      <c r="A28" s="102" t="s">
        <v>384</v>
      </c>
      <c r="B28" s="102" t="s">
        <v>385</v>
      </c>
    </row>
    <row r="29" spans="1:2" ht="14.45" customHeight="1">
      <c r="A29" s="102" t="s">
        <v>386</v>
      </c>
      <c r="B29" s="102" t="s">
        <v>387</v>
      </c>
    </row>
    <row r="30" spans="1:2" ht="14.45" customHeight="1">
      <c r="A30" s="102" t="s">
        <v>388</v>
      </c>
      <c r="B30" s="102" t="s">
        <v>389</v>
      </c>
    </row>
    <row r="31" spans="1:2" ht="14.45" customHeight="1">
      <c r="A31" s="103" t="s">
        <v>390</v>
      </c>
      <c r="B31" s="104" t="s">
        <v>391</v>
      </c>
    </row>
    <row r="32" spans="1:2" ht="14.45" customHeight="1">
      <c r="A32" s="100"/>
      <c r="B32" s="100"/>
    </row>
    <row r="33" spans="1:2" ht="14.45" customHeight="1">
      <c r="A33" s="104" t="s">
        <v>392</v>
      </c>
      <c r="B33" s="104" t="s">
        <v>393</v>
      </c>
    </row>
    <row r="34" spans="1:2" ht="14.45" customHeight="1">
      <c r="A34" s="100"/>
      <c r="B34" s="100"/>
    </row>
    <row r="35" spans="1:2" ht="14.45" customHeight="1">
      <c r="A35" s="104" t="s">
        <v>394</v>
      </c>
      <c r="B35" s="104" t="s">
        <v>395</v>
      </c>
    </row>
    <row r="36" spans="1:2" ht="14.45" customHeight="1">
      <c r="A36" s="104" t="s">
        <v>396</v>
      </c>
      <c r="B36" s="104" t="s">
        <v>397</v>
      </c>
    </row>
    <row r="37" spans="1:2" ht="14.45" customHeight="1">
      <c r="A37" s="104" t="s">
        <v>398</v>
      </c>
      <c r="B37" s="104" t="s">
        <v>399</v>
      </c>
    </row>
    <row r="38" spans="1:2" ht="14.45" customHeight="1">
      <c r="A38" s="104" t="s">
        <v>400</v>
      </c>
      <c r="B38" s="104" t="s">
        <v>401</v>
      </c>
    </row>
    <row r="39" spans="1:2" ht="14.45" customHeight="1">
      <c r="A39" s="104" t="s">
        <v>402</v>
      </c>
      <c r="B39" s="104" t="s">
        <v>403</v>
      </c>
    </row>
    <row r="40" spans="1:2" ht="14.45" customHeight="1">
      <c r="A40" s="104" t="s">
        <v>404</v>
      </c>
      <c r="B40" s="104" t="s">
        <v>405</v>
      </c>
    </row>
    <row r="41" spans="1:2" ht="14.45" customHeight="1">
      <c r="A41" s="104" t="s">
        <v>406</v>
      </c>
      <c r="B41" s="104" t="s">
        <v>407</v>
      </c>
    </row>
    <row r="42" spans="1:2" ht="14.45" customHeight="1">
      <c r="A42" s="104" t="s">
        <v>408</v>
      </c>
      <c r="B42" s="104" t="s">
        <v>409</v>
      </c>
    </row>
    <row r="43" spans="1:2" ht="14.45" customHeight="1">
      <c r="A43" s="104" t="s">
        <v>410</v>
      </c>
      <c r="B43" s="104" t="s">
        <v>411</v>
      </c>
    </row>
    <row r="44" spans="1:2" ht="14.45" customHeight="1">
      <c r="A44" s="104" t="s">
        <v>412</v>
      </c>
      <c r="B44" s="104" t="s">
        <v>413</v>
      </c>
    </row>
    <row r="45" spans="1:2" ht="14.45" customHeight="1">
      <c r="A45" s="104" t="s">
        <v>414</v>
      </c>
      <c r="B45" s="104" t="s">
        <v>415</v>
      </c>
    </row>
    <row r="46" spans="1:2" ht="14.45" customHeight="1">
      <c r="A46" s="104" t="s">
        <v>416</v>
      </c>
      <c r="B46" s="104" t="s">
        <v>417</v>
      </c>
    </row>
    <row r="47" spans="1:2" ht="14.45" customHeight="1">
      <c r="A47" s="104" t="s">
        <v>418</v>
      </c>
      <c r="B47" s="104" t="s">
        <v>419</v>
      </c>
    </row>
    <row r="48" spans="1:2" ht="14.45" customHeight="1">
      <c r="A48" s="104" t="s">
        <v>420</v>
      </c>
      <c r="B48" s="104" t="s">
        <v>421</v>
      </c>
    </row>
    <row r="49" spans="1:2" ht="14.45" customHeight="1">
      <c r="A49" s="104" t="s">
        <v>422</v>
      </c>
      <c r="B49" s="104" t="s">
        <v>423</v>
      </c>
    </row>
    <row r="50" spans="1:2" ht="14.45" customHeight="1">
      <c r="A50" s="104" t="s">
        <v>424</v>
      </c>
      <c r="B50" s="104" t="s">
        <v>425</v>
      </c>
    </row>
    <row r="51" spans="1:2" ht="14.45" customHeight="1">
      <c r="A51" s="104" t="s">
        <v>426</v>
      </c>
      <c r="B51" s="104" t="s">
        <v>427</v>
      </c>
    </row>
    <row r="52" spans="1:2" ht="14.45" customHeight="1">
      <c r="A52" s="104" t="s">
        <v>428</v>
      </c>
      <c r="B52" s="104" t="s">
        <v>429</v>
      </c>
    </row>
    <row r="53" spans="1:2" ht="14.45" customHeight="1">
      <c r="A53" s="104" t="s">
        <v>430</v>
      </c>
      <c r="B53" s="104" t="s">
        <v>431</v>
      </c>
    </row>
    <row r="54" spans="1:2" ht="14.45" customHeight="1">
      <c r="A54" s="104" t="s">
        <v>432</v>
      </c>
      <c r="B54" s="104" t="s">
        <v>433</v>
      </c>
    </row>
    <row r="55" spans="1:2" ht="14.45" customHeight="1">
      <c r="A55" s="104" t="s">
        <v>434</v>
      </c>
      <c r="B55" s="104" t="s">
        <v>435</v>
      </c>
    </row>
    <row r="56" spans="1:2" ht="14.45" customHeight="1">
      <c r="A56" s="104" t="s">
        <v>436</v>
      </c>
      <c r="B56" s="104" t="s">
        <v>437</v>
      </c>
    </row>
    <row r="57" spans="1:2" ht="14.45" customHeight="1">
      <c r="A57" s="104" t="s">
        <v>438</v>
      </c>
      <c r="B57" s="104" t="s">
        <v>439</v>
      </c>
    </row>
    <row r="58" spans="1:2" ht="14.45" customHeight="1">
      <c r="A58" s="104" t="s">
        <v>440</v>
      </c>
      <c r="B58" s="104" t="s">
        <v>441</v>
      </c>
    </row>
    <row r="59" spans="1:2" ht="14.45" customHeight="1">
      <c r="A59" s="104" t="s">
        <v>442</v>
      </c>
      <c r="B59" s="104" t="s">
        <v>443</v>
      </c>
    </row>
    <row r="60" spans="1:2" ht="14.45" customHeight="1">
      <c r="A60" s="104" t="s">
        <v>444</v>
      </c>
      <c r="B60" s="104" t="s">
        <v>445</v>
      </c>
    </row>
    <row r="61" spans="1:2" ht="14.45" customHeight="1">
      <c r="A61" s="104" t="s">
        <v>446</v>
      </c>
      <c r="B61" s="104" t="s">
        <v>447</v>
      </c>
    </row>
    <row r="62" spans="1:2" ht="14.45" customHeight="1">
      <c r="A62" s="104" t="s">
        <v>448</v>
      </c>
      <c r="B62" s="104" t="s">
        <v>449</v>
      </c>
    </row>
    <row r="63" spans="1:2" ht="14.45" customHeight="1">
      <c r="A63" s="104" t="s">
        <v>450</v>
      </c>
      <c r="B63" s="104" t="s">
        <v>451</v>
      </c>
    </row>
    <row r="64" spans="1:2" ht="14.45" customHeight="1">
      <c r="A64" s="104" t="s">
        <v>452</v>
      </c>
      <c r="B64" s="104" t="s">
        <v>453</v>
      </c>
    </row>
    <row r="65" spans="1:2" ht="14.45" customHeight="1">
      <c r="A65" s="104" t="s">
        <v>454</v>
      </c>
      <c r="B65" s="104" t="s">
        <v>455</v>
      </c>
    </row>
    <row r="66" spans="1:2" ht="14.45" customHeight="1">
      <c r="A66" s="104" t="s">
        <v>456</v>
      </c>
      <c r="B66" s="104" t="s">
        <v>457</v>
      </c>
    </row>
    <row r="67" spans="1:2" ht="14.45" customHeight="1">
      <c r="A67" s="104" t="s">
        <v>458</v>
      </c>
      <c r="B67" s="104" t="s">
        <v>459</v>
      </c>
    </row>
    <row r="68" spans="1:2" ht="14.45" customHeight="1">
      <c r="A68" s="104" t="s">
        <v>460</v>
      </c>
      <c r="B68" s="104" t="s">
        <v>461</v>
      </c>
    </row>
    <row r="69" spans="1:2" ht="14.45" customHeight="1">
      <c r="A69" s="104" t="s">
        <v>462</v>
      </c>
      <c r="B69" s="104" t="s">
        <v>463</v>
      </c>
    </row>
    <row r="70" spans="1:2" ht="14.45" customHeight="1">
      <c r="A70" s="104" t="s">
        <v>464</v>
      </c>
      <c r="B70" s="104" t="s">
        <v>465</v>
      </c>
    </row>
    <row r="71" spans="1:2" ht="14.45" customHeight="1">
      <c r="A71" s="104" t="s">
        <v>466</v>
      </c>
      <c r="B71" s="104" t="s">
        <v>467</v>
      </c>
    </row>
    <row r="72" spans="1:2" ht="14.45" customHeight="1">
      <c r="A72" s="104" t="s">
        <v>468</v>
      </c>
      <c r="B72" s="104" t="s">
        <v>469</v>
      </c>
    </row>
    <row r="73" spans="1:2" ht="14.45" customHeight="1">
      <c r="A73" s="104" t="s">
        <v>470</v>
      </c>
      <c r="B73" s="104" t="s">
        <v>471</v>
      </c>
    </row>
    <row r="74" spans="1:2" ht="14.45" customHeight="1">
      <c r="A74" s="104" t="s">
        <v>472</v>
      </c>
      <c r="B74" s="104" t="s">
        <v>473</v>
      </c>
    </row>
    <row r="75" spans="1:2" ht="14.45" customHeight="1">
      <c r="A75" s="104" t="s">
        <v>474</v>
      </c>
      <c r="B75" s="104" t="s">
        <v>475</v>
      </c>
    </row>
    <row r="76" spans="1:2" ht="14.45" customHeight="1">
      <c r="A76" s="104" t="s">
        <v>476</v>
      </c>
      <c r="B76" s="104" t="s">
        <v>477</v>
      </c>
    </row>
    <row r="77" spans="1:2" ht="14.45" customHeight="1">
      <c r="A77" s="104" t="s">
        <v>478</v>
      </c>
      <c r="B77" s="104" t="s">
        <v>479</v>
      </c>
    </row>
    <row r="78" spans="1:2" ht="14.45" customHeight="1">
      <c r="A78" s="104" t="s">
        <v>480</v>
      </c>
      <c r="B78" s="104" t="s">
        <v>481</v>
      </c>
    </row>
    <row r="79" spans="1:2" ht="14.45" customHeight="1">
      <c r="A79" s="104" t="s">
        <v>482</v>
      </c>
      <c r="B79" s="104" t="s">
        <v>483</v>
      </c>
    </row>
    <row r="80" spans="1:2" ht="14.45" customHeight="1">
      <c r="A80" s="104" t="s">
        <v>484</v>
      </c>
      <c r="B80" s="104" t="s">
        <v>485</v>
      </c>
    </row>
    <row r="81" spans="1:2" ht="14.45" customHeight="1">
      <c r="A81" s="104" t="s">
        <v>486</v>
      </c>
      <c r="B81" s="104" t="s">
        <v>487</v>
      </c>
    </row>
    <row r="82" spans="1:2" ht="14.45" customHeight="1">
      <c r="A82" s="104" t="s">
        <v>488</v>
      </c>
      <c r="B82" s="104" t="s">
        <v>489</v>
      </c>
    </row>
    <row r="83" spans="1:2" ht="14.45" customHeight="1">
      <c r="A83" s="104" t="s">
        <v>490</v>
      </c>
      <c r="B83" s="104" t="s">
        <v>491</v>
      </c>
    </row>
    <row r="84" spans="1:2">
      <c r="A84" s="100"/>
      <c r="B84" s="104" t="s">
        <v>492</v>
      </c>
    </row>
  </sheetData>
  <mergeCells count="1">
    <mergeCell ref="B11:B12"/>
  </mergeCells>
  <hyperlinks>
    <hyperlink ref="A31" r:id="rId1" display="../../../:x:/g/personal/amoon_westcapitallending_com/EXY1WkpQ40JMmmo6FON8xbIB-i2kHrz9wvJKrv8OazGbBA?e=xzngRg" xr:uid="{C8E34201-0F95-4C30-8850-A2EDBA8D32BF}"/>
    <hyperlink ref="B31" r:id="rId2" display="C:\Users\ymyil\:w:\g\personal\amoon_westcapitallending_com\EfOgxfNxZdJJkhglR4SiBAYBD1IeM6xg3vQ4km6j7d-4AA?e=Dj9qnx" xr:uid="{885FC170-1634-417B-BDBD-B06503F08961}"/>
    <hyperlink ref="A33" r:id="rId3" display="https://rocketprotpo.pathfinder.foc.zone/" xr:uid="{AE62CBF3-A9A6-40F1-94ED-AD9B132D5E39}"/>
    <hyperlink ref="B33" r:id="rId4" display="https://rocketprotpo.pathfinder.foc.zone/content/process/9db493c6-1a0b-45a2-94ab-8cbf12c420f7" xr:uid="{71D644B4-2E99-4181-BB0E-99637A10F3F0}"/>
    <hyperlink ref="A35" r:id="rId5" display="C:\Users\ymyil\:w:\g\personal\amoon_westcapitallending_com\EbnzgWx1Fd9OrtmYGboVbeIBrsJz9zbAdR4PTSUEF2ZP_w?e=KOdRfL" xr:uid="{EEF73056-060A-4615-81A2-8B625B5D00CA}"/>
    <hyperlink ref="B35" r:id="rId6" display="C:\Users\ymyil\:w:\g\personal\amoon_westcapitallending_com\EV9HRiYJ8UlOjRz3HH3WcWwBMDDpLbsSh_U_hn38fNQbHw?e=zntIeI" xr:uid="{D7998E9B-A4AE-42BC-8E55-2762E0B5D200}"/>
    <hyperlink ref="A36" r:id="rId7" display="C:\Users\ymyil\:w:\g\personal\amoon_westcapitallending_com\Ef5bA_e8EyJBtFY8dQYYSB8BUbb7yPZzGYy4-xoRvyAnxw?e=5fSju3" xr:uid="{91AEAED1-7277-48CB-B03F-B6F2EC2CBCD7}"/>
    <hyperlink ref="B36" r:id="rId8" display="C:\Users\ymyil\:w:\g\personal\amoon_westcapitallending_com\EdJqVwz2qiZNpX0gIXhsggQBVj5h85TdauILtf47k_zHVQ?e=G8QdOG" xr:uid="{91DDAE2C-7AE4-402D-B1D9-B920C2A79F74}"/>
    <hyperlink ref="A37" r:id="rId9" display="C:\Users\ymyil\:w:\g\personal\amoon_westcapitallending_com\EfOzHgJdjhtCubnGPprN5IMBeg2fJn-1GzUlBW7ThvdUFQ?e=H1tGgt" xr:uid="{76D910BC-ED8A-411E-84C5-F60F1BA4CF6A}"/>
    <hyperlink ref="B37" r:id="rId10" display="C:\Users\ymyil\:w:\g\personal\amoon_westcapitallending_com\Eb8L5CFrP5lKgM3A9j1n_yQB5izN8EEp4FZnPbKMVBJQqg?e=JeP5cx" xr:uid="{F8C5C13E-059D-4AC0-8457-7C8B6C5929F7}"/>
    <hyperlink ref="A38" r:id="rId11" display="C:\Users\ymyil\:w:\g\personal\amoon_westcapitallending_com\ERhsdpkTjgJFnPLSPc4yT9UBNUXtOqmwAo6JNeJqIU9TMQ?e=fGNYjs" xr:uid="{E63807E9-835F-46AA-A748-427193A7312F}"/>
    <hyperlink ref="B38" r:id="rId12" display="C:\Users\ymyil\:w:\g\personal\amoon_westcapitallending_com\EQeCh3v15BJBs_Ymr1ke9xkBFzbfcUDBqK3k2NrVP0DF2Q?e=UxBVsm" xr:uid="{A3726D4C-21CB-46F4-AC89-AA037D70BA18}"/>
    <hyperlink ref="A39" r:id="rId13" display="C:\Users\ymyil\:w:\g\personal\amoon_westcapitallending_com\Ec_KKFkbocFGjIftCbZTt84BmbsITvm7DkKzUmagjBElsw?e=CaJMfa" xr:uid="{759901E0-70A8-4FB8-BD8C-F0F15989E28B}"/>
    <hyperlink ref="B39" r:id="rId14" display="C:\Users\ymyil\:w:\g\personal\amoon_westcapitallending_com\EaQ_VQSTqO5CmPApsdRIxeEBLj6_4WE5AdXtWBj5QcS_jg?e=irBANm" xr:uid="{05C6CA68-8A2E-46D5-BC89-DDEE76EC36D5}"/>
    <hyperlink ref="A40" r:id="rId15" display="C:\Users\ymyil\:w:\g\personal\amoon_westcapitallending_com\EQNMpF4SZq1BisR7IvU-ozgBLOeA7n1QaA0LDV04PsgCKw?e=1fry78" xr:uid="{9F689C80-A474-4C1A-88C7-7F4DFBE3C4F2}"/>
    <hyperlink ref="B40" r:id="rId16" display="C:\Users\ymyil\:w:\g\personal\amoon_westcapitallending_com\ESLYNd8XWVdLqtw_dXxIy7ABFq_RcTjdtZgl4QDIHeS9Og?e=GILBfx" xr:uid="{CDB66375-6187-4898-BE65-A099717E4ECF}"/>
    <hyperlink ref="A41" r:id="rId17" display="C:\Users\ymyil\:w:\g\personal\amoon_westcapitallending_com\EYFcgLwLD1VOj96tDhKtF6wB40wStJVgm_EOceo2CHIjZw?e=88MXrF" xr:uid="{0364AC42-F997-4E22-8208-91D8E5A73494}"/>
    <hyperlink ref="B41" r:id="rId18" display="C:\Users\ymyil\:w:\g\personal\amoon_westcapitallending_com\ERpabSWarB5PsQKVwQAKasIBvqTOXkRGT57g7CbLTBvvzA?e=ZiueqC" xr:uid="{1C991D26-3AEE-4CD3-A402-0B85396BEA01}"/>
    <hyperlink ref="A42" r:id="rId19" display="https://app.agentlegend.com/campaigns/58YDB/share" xr:uid="{A3ADD6FA-78BD-44A2-A53C-141297275C33}"/>
    <hyperlink ref="B42" r:id="rId20" display="C:\Users\ymyil\:w:\g\personal\amoon_westcapitallending_com\ERQaQW2cnn5Fs9-eG58UFjQB9lBw1r0PhTGNfhpsJl9Sbw?e=kvpAys" xr:uid="{2708CE85-4A9C-4F61-A1DF-123A920449A5}"/>
    <hyperlink ref="A43" r:id="rId21" display="C:\Users\ymyil\:w:\g\personal\amoon_westcapitallending_com\EUR5QNxJYkpEpT0ZcnZIijMBYfg9-9SzVIQCtKl9OI2E-A?e=fbVo0S" xr:uid="{304B3F38-053F-415B-B507-643FB68E8A5A}"/>
    <hyperlink ref="B43" r:id="rId22" display="C:\Users\ymyil\:w:\g\personal\amoon_westcapitallending_com\ERQnwdfV2w5DtIdxR8kzpHIB2k94Nws31DdzkKfBiVfwCg?e=lfKpu7" xr:uid="{2B379C52-0D59-4BFA-909D-431B344E8CE8}"/>
    <hyperlink ref="A44" r:id="rId23" display="C:\Users\ymyil\:w:\g\personal\amoon_westcapitallending_com\EVIEPFObhmZFmmjHRxAMlQEB3E1I1AEXCHgflO59S1rtVg?e=BWU0e9" xr:uid="{CB2314B8-9DC4-466E-A8D4-FEC4B1DB46B8}"/>
    <hyperlink ref="B44" r:id="rId24" display="C:\Users\ymyil\:w:\g\personal\amoon_westcapitallending_com\EW31zVLS68hHiXrlBVn6JtkB66T5tvoBpPdl7Kte3M9WhA?e=ZsA2lT" xr:uid="{E081629B-644A-4760-9197-D6BF82926D03}"/>
    <hyperlink ref="A45" r:id="rId25" display="C:\Users\ymyil\:w:\g\personal\amoon_westcapitallending_com\EUijTNWfSmdHkm9_ZM3eD8oBJDZQ7DcrkdV-f1JNR303Ng?e=6HSgLG" xr:uid="{10819A0A-5FF2-4188-9965-4CF356B29574}"/>
    <hyperlink ref="B45" r:id="rId26" display="C:\Users\ymyil\:w:\g\personal\amoon_westcapitallending_com\EVj8Ey2Jf_JLpjVTArQkM3cB3rnrBaQfNtfc9d19Sof01w?e=qc2T0H" xr:uid="{2E89F344-611B-4941-BA7D-96749F37630D}"/>
    <hyperlink ref="A46" r:id="rId27" display="C:\Users\ymyil\:w:\g\personal\amoon_westcapitallending_com\EZiYHERC7XNFoMJ6KPj8l7gBUI6tlSa2-hp7ysAcQtb88Q?e=KdoHCP" xr:uid="{E77BF169-33F3-4E65-9601-33BB9BB44794}"/>
    <hyperlink ref="B46" r:id="rId28" display="C:\Users\ymyil\:w:\g\personal\amoon_westcapitallending_com\EVYHpKLHJxhJkNfPiYBcSm0BY2gR9jgkfxzKJzJalz8lBA?e=6IJLa9" xr:uid="{7CA886DB-D3CA-4739-AA16-12310495453B}"/>
    <hyperlink ref="A47" r:id="rId29" display="C:\Users\ymyil\:w:\g\personal\amoon_westcapitallending_com\EYy-X1KTpUJNlB7NlAMJbg4BkxhQGf95sAaJqr7r0ZBX2g?e=I8iqYD" xr:uid="{D752F71C-E213-4ED1-8CD7-2E28F0D6A868}"/>
    <hyperlink ref="B47" r:id="rId30" display="C:\Users\ymyil\:w:\g\personal\amoon_westcapitallending_com\ETElrOqlZHFIoOnVWl6dNXUBNE4LTG344yjvjsuAAIGizw?e=gpdVXN" xr:uid="{7E3C63F8-624A-4CFA-91F7-C9F77C267E1C}"/>
    <hyperlink ref="A48" r:id="rId31" display="C:\Users\ymyil\:w:\g\personal\amoon_westcapitallending_com\EdqYSYUT4tJHg1mgGBtgUXEBLdEe-_fZODGfk3Yl__F_IQ?e=x5wnba" xr:uid="{8792F540-483A-451F-AC92-83F10474978A}"/>
    <hyperlink ref="B48" r:id="rId32" display="C:\Users\ymyil\:w:\g\personal\amoon_westcapitallending_com\ETElrOqlZHFIoOnVWl6dNXUBNE4LTG344yjvjsuAAIGizw?e=pY1JR4" xr:uid="{0DF36B62-00CC-4081-AE54-744E0DDDBF85}"/>
    <hyperlink ref="A49" r:id="rId33" display="C:\Users\ymyil\:w:\g\personal\amoon_westcapitallending_com\EVRxXLpwJp9ArkECKqsJ0L8BJTtkOXYBXIIn9j3e7jqjfg?e=rsEX6Z" xr:uid="{0E66494A-7B14-47C4-9460-615C9BDFA190}"/>
    <hyperlink ref="B49" r:id="rId34" display="C:\Users\ymyil\:b:\g\personal\amoon_westcapitallending_com\EaHRx_7XLuRDiPVRk9sI-DYBQJNfE256FKQmfiLu_-zW2g?e=u9u0A0" xr:uid="{5C0B9779-FF4E-4C0C-90F9-2AC7BAD319FB}"/>
    <hyperlink ref="A50" r:id="rId35" display="C:\Users\ymyil\:w:\g\personal\amoon_westcapitallending_com\EVUgCicHcf1MlOGh2nI1kVEBEB7x9MfkMxjYPeLYLsfVxQ?e=MbgXuK" xr:uid="{F3729152-5709-4C21-8197-F3E6182603D8}"/>
    <hyperlink ref="B50" r:id="rId36" display="C:\Users\ymyil\:w:\g\personal\amoon_westcapitallending_com\ESM1G2lQ9UhApktHqBzjTaIBuhG2VwU5rbjkyg3qG0FoLg?e=6qBApv" xr:uid="{B1A22B73-A457-4F9D-B955-82534E8F025D}"/>
    <hyperlink ref="A51" r:id="rId37" display="C:\Users\ymyil\:w:\g\personal\amoon_westcapitallending_com\EZ6oh8yj8TtFvb0_fUjxXZEBjys201Iy16cEK7oKBKip8g?e=FjAWhY" xr:uid="{80231E43-2212-48D7-8A33-DE80994D667E}"/>
    <hyperlink ref="B51" r:id="rId38" display="C:\Users\ymyil\:w:\g\personal\amoon_westcapitallending_com\EblXFzzX509Gtg5jVkey6y4BOB5YC0eOxBD2YzQypCx_dw?e=4uP13e" xr:uid="{CD19CE46-1DBF-48E5-B11B-370B64CA1AF6}"/>
    <hyperlink ref="A52" r:id="rId39" display="C:\Users\ymyil\:w:\g\personal\amoon_westcapitallending_com\EUX20zVsAadBglqOt0unUSkBzjJgt7vGbov6gT12jSy3DQ?e=bGj4kC" xr:uid="{2065E3A5-0D00-4507-BD9B-EE11AAE972BA}"/>
    <hyperlink ref="B52" r:id="rId40" display="C:\Users\ymyil\:x:\g\personal\amoon_westcapitallending_com\ESH1wc9g70VPrRb1F9ssOE0BMv0Vvx6r55yp1lIv4Z268w?e=5LmndN" xr:uid="{3FFF151D-8F27-4F68-B41F-00114C01C43D}"/>
    <hyperlink ref="A53" r:id="rId41" display="C:\Users\ymyil\:w:\g\personal\amoon_westcapitallending_com\EX7QAuzIi0BGgHKguG7_aAABPvAiyGch8JNpHY0m3yJb8w?e=e7Xy5k" xr:uid="{BD56763C-CA4A-4260-B8F6-2EF5C84EF728}"/>
    <hyperlink ref="B53" r:id="rId42" display="C:\Users\ymyil\:x:\g\personal\amoon_westcapitallending_com\ERtuxBIVXX5JtOB1wxHEO_4BDdmcUMc6yje25f4pE6Syuw?e=r34ykD" xr:uid="{6E194292-4053-4A80-A2A9-FFD2D97AE44C}"/>
    <hyperlink ref="A54" r:id="rId43" display="../../../:p:/g/personal/amoon_westcapitallending_com/EUOKtlquxDFOjEq6LJ7G_m8BCjDCKPuBRbPuYt3DBlfQNw?e=fsLKSF" xr:uid="{028742D4-0E57-495A-90E8-A9C32A8D4676}"/>
    <hyperlink ref="B54" r:id="rId44" display="C:\Users\ymyil\:x:\g\personal\amoon_westcapitallending_com\EazUlmGZuNRLiynoZCJbJyYBkv5ogD1Rjbccvq1mz-BSrw?e=xccmYE" xr:uid="{10BF0A7D-F2F9-4E30-99FC-41FD85BC1DC8}"/>
    <hyperlink ref="A55" r:id="rId45" display="C:\Users\ymyil\:w:\g\personal\amoon_westcapitallending_com\EWin9O8uP-BLjI1u4g50Y6YBpLqXRzpjHOgVhdRpSGqtmQ?e=h1WcGN" xr:uid="{0E7C6F36-4ECB-4375-BD7A-D087B7BABBFB}"/>
    <hyperlink ref="B55" r:id="rId46" display="C:\Users\ymyil\:x:\g\personal\amoon_westcapitallending_com\EUp8PVuk5VVIpsWgZlFPR_QBlXWHyg5-e89gl14Ltkhfwg?e=APjoOf" xr:uid="{D50069BD-A7B9-4316-A454-0EFB40262748}"/>
    <hyperlink ref="A56" r:id="rId47" display="C:\Users\ymyil\:w:\g\personal\amoon_westcapitallending_com\EYRFNKysvjBOpUWgwZttockBGSeF1oSej58JIYgD9kbJlQ?e=bnEC8y" xr:uid="{A9151345-9722-4677-9822-5D8E8392F785}"/>
    <hyperlink ref="B56" r:id="rId48" display="C:\Users\ymyil\:w:\g\personal\amoon_westcapitallending_com\Ed9G-M5WRlxAhUIPjrxaPJUBxEtOeBzV6lMeE7ZHfk94pQ?e=c6qEw4" xr:uid="{206C7613-BDE4-46AD-B633-9CACC6493F5A}"/>
    <hyperlink ref="A57" r:id="rId49" display="C:\Users\ymyil\:w:\g\personal\amoon_westcapitallending_com\EQRGsBhKtFtBuebquMVDi0QB_gd0FpSQoU4jlr-JMiOB4Q?e=TxqoYx" xr:uid="{8CEBA2D7-8EFE-4962-BB67-F06BFA548DB4}"/>
    <hyperlink ref="B57" r:id="rId50" display="C:\Users\ymyil\:w:\g\personal\amoon_westcapitallending_com\EZhTpE31rFlMt81qpvGU2I8BL-dED7AbuvQ1HmdEf6tI2Q?e=uGl5BR" xr:uid="{5291E8C9-92CF-47F9-B77F-3A0E6B58AF4A}"/>
    <hyperlink ref="A58" r:id="rId51" display="C:\Users\ymyil\:w:\g\personal\amoon_westcapitallending_com\Ed0ycP8BqYRMmQWBW3rozqABBD__Wrw9ON7LHLbXh4--zQ?e=aagWpP" xr:uid="{600070EB-8AD7-4E71-A955-0C4E2C18DEEA}"/>
    <hyperlink ref="B58" r:id="rId52" display="C:\Users\ymyil\:w:\g\personal\amoon_westcapitallending_com\EYaY1UJwyfhNh4CCRtWUy2sBTg1RwbhDTc6erZKXvcBeDA?e=MLtPuW" xr:uid="{80A4FABE-0D29-4CF2-B57A-9CEB0F9A337A}"/>
    <hyperlink ref="A59" r:id="rId53" display="C:\Users\ymyil\:w:\g\personal\amoon_westcapitallending_com\EU2HUe7wyrBItUiAYJzKwFIBQZsMBgIt8XEq-fY9K-g-SA?e=S9R1EK" xr:uid="{BCE37E0C-CA5C-4FBF-A9E0-8C84467462B5}"/>
    <hyperlink ref="B59" r:id="rId54" display="../../../:w:/g/personal/amoon_westcapitallending_com/EckO1JVg59dOmxVVFDmxX2ABoQxOwJzMPNpHvLI75zvaEQ?e=Yzg5Cm" xr:uid="{25007EBF-487E-4EBE-86C2-EFFEEF841DD9}"/>
    <hyperlink ref="A60" r:id="rId55" display="C:\Users\ymyil\:w:\g\personal\amoon_westcapitallending_com\EajIzZBYMtVHrYDN2IUAd64BgZetwkOlP7mMOzkzzoyfMQ?e=D8xVQL" xr:uid="{C7A9A63D-233B-40FB-9A40-AB5DA315FB9A}"/>
    <hyperlink ref="B60" r:id="rId56" display="C:\Users\ymyil\:w:\g\personal\amoon_westcapitallending_com\EZ3KnJMEnYxGhZSMZ-tAt38BFQaJjeF6W3TknWpSBq2khA?e=iKfkz0" xr:uid="{6687F9B1-611B-4FAF-B24C-E0276F680B53}"/>
    <hyperlink ref="A61" r:id="rId57" display="C:\Users\ymyil\:w:\g\personal\amoon_westcapitallending_com\EeNYjE7knAVCpyHNsWhbdq4Bk1tmXbE3ggwUTdqBHZEoFQ?e=fqVKXV" xr:uid="{70C1855F-CE9B-45C9-B941-D33462AE9D69}"/>
    <hyperlink ref="B61" r:id="rId58" display="C:\Users\ymyil\:w:\g\personal\amoon_westcapitallending_com\EbX44rhB9fNAlwK4oRw7nxMB3ZybLR1JTJ0U69gSg-5ZyQ?e=EUuGQb" xr:uid="{A208EA19-E37F-4D9E-A9B1-9ADD5E35CB63}"/>
    <hyperlink ref="A62" r:id="rId59" display="C:\Users\ymyil\:w:\g\personal\amoon_westcapitallending_com\Ed3pKh8DLtdIqZ-Qwbg8qb4BFnn4RUAZ-5UAOLHhspVbAw?e=n51tTP" xr:uid="{EC6EA0B8-0D95-46F4-A116-9FBE407F1283}"/>
    <hyperlink ref="B62" r:id="rId60" display="C:\Users\ymyil\:w:\g\personal\amoon_westcapitallending_com\EfPdvm7ViBlLoT3ORBXrb6EBtllsJ8x9QWyV4t3Siua3_A?e=hvKFN8" xr:uid="{43E20C33-944A-4CBA-B88A-8E5BF582EA3E}"/>
    <hyperlink ref="A63" r:id="rId61" display="C:\Users\ymyil\:w:\g\personal\amoon_westcapitallending_com\EaWRL0RvB5hDqHhOZgJXIEIBNgzhTsjUauQ915KLgwJR7g?e=DCBPsj" xr:uid="{6CE10ACD-F91B-4392-AFE3-EC107B3A6729}"/>
    <hyperlink ref="B63" r:id="rId62" display="C:\Users\ymyil\:w:\g\personal\amoon_westcapitallending_com\EWWI-UsbqFlFp-K33gtdDZsBEaXIgYVUhYt8fqxTyoLYpA?e=pBBBbo" xr:uid="{1245446D-1D70-4FDC-AEFB-D8FC5B4B5BE7}"/>
    <hyperlink ref="A64" r:id="rId63" display="C:\Users\ymyil\:w:\g\personal\amoon_westcapitallending_com\EfDqGvyd_q1Oi2rMPWQ8swQBkcUW6fNCB2R--NxPlfOsJw?e=Vr6BI3" xr:uid="{E53D577F-CE28-4783-916F-EA3E666FB8C1}"/>
    <hyperlink ref="B64" r:id="rId64" display="C:\Users\ymyil\:x:\g\personal\amoon_westcapitallending_com\EdhLrsoUaENJuJCROixEA_gBInzmZqu5D27r0nu5JL_jSg?e=lkpc0a" xr:uid="{1AFF0D21-A353-423C-BCF6-C4DED7208EDB}"/>
    <hyperlink ref="A65" r:id="rId65" display="C:\Users\ymyil\:w:\g\personal\amoon_westcapitallending_com\EV_kHblw8I9KjMZz6_OXBAQB05psVm2STxydtYE6rXPgkg?e=jS3A2p" xr:uid="{3878A3B3-0FD5-4A6E-9721-B84EA103D5E6}"/>
    <hyperlink ref="B65" r:id="rId66" display="C:\Users\ymyil\:x:\g\personal\amoon_westcapitallending_com\EftMm4kTCAVCqMk0SBPciTcBY17zxxICYdfLOYn9DINW6w?e=lnvV8h" xr:uid="{6B186C25-A698-4BB3-B592-9FAFCE03DA34}"/>
    <hyperlink ref="A66" r:id="rId67" display="C:\Users\ymyil\:w:\g\personal\amoon_westcapitallending_com\ERjiwcLuDR9MpNPR10im4WsBmWD3IHIlMK3_k_1lJNenGw?e=vJ3m9J" xr:uid="{C7397372-0C64-4439-96ED-C53010FEAA1A}"/>
    <hyperlink ref="B66" r:id="rId68" display="C:\Users\ymyil\:w:\g\personal\amoon_westcapitallending_com\ESvRO6APb7lJiqcOap-hCEgBsV5evcn4ZM9_1hICOrmLdw?e=Lw40F7" xr:uid="{CA80671A-B4E3-4C32-BCBC-2E07A806B014}"/>
    <hyperlink ref="A67" r:id="rId69" display="C:\Users\ymyil\:w:\g\personal\amoon_westcapitallending_com\EUmrRWhDIn5IuTwl6qA16DABN1upzgxW8IEviDoVAfr48g?e=6ogM0e" xr:uid="{302EF6DF-4AB1-4902-93B8-B3F12F7D9650}"/>
    <hyperlink ref="B67" r:id="rId70" display="C:\Users\ymyil\:w:\g\personal\amoon_westcapitallending_com\ESquWtYOqmpHg6c-fRj8dSoBfIEw9eK4GOrGbmIas_CJcg?e=Gt2aGE" xr:uid="{C5E7FB72-33F1-4FD0-8B90-39862C18ED8A}"/>
    <hyperlink ref="A68" r:id="rId71" display="C:\Users\ymyil\:w:\g\personal\amoon_westcapitallending_com\EZu7g9NYFj5KmrmrT4oRIVYB4H1tOAYGUQo6y3VVNbmDWg?e=tW5zch" xr:uid="{7257ABBF-C5E7-4494-BB7B-007E83CC3F7A}"/>
    <hyperlink ref="B68" r:id="rId72" display="C:\Users\ymyil\:w:\g\personal\amoon_westcapitallending_com\EbyCW4VLAPxFkvGSVicyvt0BUkhK_rNXVoNAlo7u0aU5qQ?e=yWXac2" xr:uid="{6936A74E-0A27-4071-BF90-FD4BCA69ACA4}"/>
    <hyperlink ref="A69" r:id="rId73" display="C:\Users\ymyil\:w:\g\personal\amoon_westcapitallending_com\Efcvit2gw0FBi3EQsqO1myYBmdAhv4deyLIdQ35enPbtBw?e=OE8bb3" xr:uid="{B04FCC38-74F3-4702-A8D2-0DE03B38E6CF}"/>
    <hyperlink ref="B69" r:id="rId74" display="C:\Users\ymyil\:w:\g\personal\amoon_westcapitallending_com\ETZ-aQxCC-pJoYfcPCvT96MBa1ev5S19tL6-VpkviEas1g?e=WKFdHz" xr:uid="{240E690F-B12D-4033-8C37-F8F220958D1A}"/>
    <hyperlink ref="A70" r:id="rId75" display="C:\Users\ymyil\:w:\g\personal\amoon_westcapitallending_com\EUI8awujUh9LrE5aEmBxACcBEO8_a3iVjb8HKkvYYy1zNw?e=cThVf4" xr:uid="{7ED365F3-E9FE-4EF9-8EAF-3D097F640BC0}"/>
    <hyperlink ref="B70" r:id="rId76" display="C:\Users\ymyil\:w:\g\personal\amoon_westcapitallending_com\EdqPfyJA-ZtGoTop9zXD_8QBVg-FD8Td3H1zTs_e-fLGJw?e=kqZlS0" xr:uid="{665F77CC-3573-46C8-8D88-58C46F37813F}"/>
    <hyperlink ref="A71" r:id="rId77" display="C:\Users\ymyil\:w:\g\personal\amoon_westcapitallending_com\EdHWRskn4ixKtezpHVmnaJIBQtBhBuLz7m6d7i5niOzZWw?e=qYn9Bj" xr:uid="{C6F8A0A5-6169-483B-8D89-834CB2869111}"/>
    <hyperlink ref="B71" r:id="rId78" display="C:\Users\ymyil\:w:\g\personal\amoon_westcapitallending_com\EV4TBvsjy9JGoI3UXmf5zXABBLq3MoGK6Rhoxp1536FAuA?e=hOW3E0" xr:uid="{51C8EE78-7A53-4EBB-8957-13A70C17BC20}"/>
    <hyperlink ref="A72" r:id="rId79" display="C:\Users\ymyil\:w:\g\personal\amoon_westcapitallending_com\EXeutcrhbN9Ipwnt_8l7CTgBU_rQuXSh_vq2y-KMhAO46w?e=zu4dT2" xr:uid="{6EC195FA-DC6A-4987-BDA4-4E99BC80517B}"/>
    <hyperlink ref="B72" r:id="rId80" display="C:\Users\ymyil\:w:\g\personal\amoon_westcapitallending_com\EbITO__56p1JpS7QBsoYWO4BA1eWM6oTe48uifeCVsN3gg?e=uYbeys" xr:uid="{3230A026-D795-45B9-9CE3-D1FFE07177A8}"/>
    <hyperlink ref="A73" r:id="rId81" display="C:\Users\ymyil\:w:\g\personal\amoon_westcapitallending_com\EdKg8m96pQhKsIRZ62Em1ZIBTfpv9jz95HnfvugvVUWi4g?e=KfroDz" xr:uid="{716F7E03-E8BD-4E4B-B48C-E7E6182FA7D9}"/>
    <hyperlink ref="B73" r:id="rId82" display="C:\Users\ymyil\:w:\g\personal\amoon_westcapitallending_com\EbITO__56p1JpS7QBsoYWO4BA1eWM6oTe48uifeCVsN3gg?e=CYt9t9" xr:uid="{DC70ABC6-C898-44CA-B6A3-48444A448573}"/>
    <hyperlink ref="A74" r:id="rId83" display="https://register.gotowebinar.com/recording/3612691068886002433" xr:uid="{CD5BA7FB-4D82-48D2-AA14-C7A9C6BD2888}"/>
    <hyperlink ref="B74" r:id="rId84" display="C:\Users\ymyil\:w:\g\personal\amoon_westcapitallending_com\EXF_BrRMmahIvPIkFAzGcKMBYSnxnxwcDeaXfR_dEVrptw?e=Xg6Dzz" xr:uid="{1AF816F6-DC63-493C-85E5-617893636061}"/>
    <hyperlink ref="A75" r:id="rId85" display="C:\Users\ymyil\:w:\g\personal\amoon_westcapitallending_com\EXPxfz77J6dEsznrjeGM3g8B3EF1uafcb2-BEvXGlY6PsQ?e=YOQ6Cn" xr:uid="{2E272F3B-0C82-47AD-838E-882C3AB9B7F7}"/>
    <hyperlink ref="B75" r:id="rId86" display="https://6059604.fs1.hubspotusercontent-na1.net/hubfs/6059604/2022_website_rates_fees_guidelines_matrices/ActiveWholesaleRateSheet.pdf" xr:uid="{7C7CD1AB-8EFD-4B6F-BFE8-9FE6A494411F}"/>
    <hyperlink ref="A76" r:id="rId87" display="C:\Users\ymyil\:w:\g\personal\amoon_westcapitallending_com\EQ0ocUGWWwFPv1Mo0LvE0h0Bng5jbtCkksNdZc6KGne5_w?e=552X5L" xr:uid="{348F23D6-DEAE-46EB-A99C-A080D9441BA3}"/>
    <hyperlink ref="B76" r:id="rId88" display="https://www.buttonfinance.com/broker-portal/" xr:uid="{4EC78CAC-698B-4648-A2C2-55C18359A8ED}"/>
    <hyperlink ref="A77" r:id="rId89" display="C:\Users\ymyil\:w:\g\personal\amoon_westcapitallending_com\Ec7AyIJBQkpLpCWOuNWovsUBmpaix56NhPOu3gd2JnNgeg?e=RVK1dA" xr:uid="{4503BB95-A187-4C39-95F8-D5ADB00866FB}"/>
    <hyperlink ref="B77" r:id="rId90" display="https://www.hsh.com/prepayment-refinance-calculator.html" xr:uid="{D55A9436-DE2A-44BC-AB30-02074484FE91}"/>
    <hyperlink ref="A78" r:id="rId91" display="C:\Users\ymyil\:w:\g\personal\amoon_westcapitallending_com\EX4h-lfKevBClunLPH04RbgBtLIt2NBMpqr1J0SfMolh0w?e=XApQLY" xr:uid="{CAD00BE0-27F4-4004-BD12-86167ECA85A5}"/>
    <hyperlink ref="B78" r:id="rId92" display="C:\Users\ymyil\:w:\g\personal\amoon_westcapitallending_com\EWbcwbteqb9PvffnEHzC1GsB_h-Y8NEUCFh6m0ovpJD2Mg?e=5eBAHL" xr:uid="{BD866D44-842A-4BD6-A7FD-CE145DE6983F}"/>
    <hyperlink ref="A79" r:id="rId93" display="C:\Users\ymyil\:w:\g\personal\amoon_westcapitallending_com\EXmgsojmuaBGvEL6Ofl7Y_EBEybKthdPZIjDLN75XiA4Sg?e=852HsU" xr:uid="{0546A7C0-35C0-4895-962D-2A8B331717B7}"/>
    <hyperlink ref="B79" r:id="rId94" display="https://www.rentometer.com/" xr:uid="{66451B5A-5FA3-4AD2-BFDB-FAD44E169802}"/>
    <hyperlink ref="A80" r:id="rId95" display="C:\Users\ymyil\:w:\g\personal\amoon_westcapitallending_com\EaehyvanCspDqGpiOaIsKocBdLMXFrSSONB5HrB7D6FD0A?e=mvXqs6" xr:uid="{7D8F3E3A-DABF-4D30-B71D-D9953FB9663C}"/>
    <hyperlink ref="B80" r:id="rId96" display="C:\Users\ymyil\:x:\g\personal\amoon_westcapitallending_com\EdNiTkOjc5ZLmNadWin4UjIBbxif8rrO-SZodbVuRMI3vw?e=MAG51R" xr:uid="{2C33C3FC-6BF4-44D7-BE66-D0A810EE9C5B}"/>
    <hyperlink ref="A81" r:id="rId97" display="C:\Users\ymyil\:w:\g\personal\amoon_westcapitallending_com\EQYFwCGy0URPhK0lyXi98x0B2GY33UtNmxyr3QMwHVxQPQ?e=nwzPcp" xr:uid="{EEAFFF5F-62E2-4AC5-96D7-438E55052708}"/>
    <hyperlink ref="B81" r:id="rId98" display="C:\Users\ymyil\:w:\g\personal\amoon_westcapitallending_com\EWRwICMulRhCnsSMIRff8gkBOtB3HEaGAr10GijnGXr-6w?e=O271jp" xr:uid="{01213751-2FB2-453A-A503-B665196651E7}"/>
    <hyperlink ref="A82" r:id="rId99" display="C:\Users\ymyil\:u:\g\personal\amoon_westcapitallending_com\EdDH_rDcZR1GmjmopdSl8J8Bo-WJpXgX6Lwp6Lg3aw2J6g?e=65nwEB" xr:uid="{9EC09ACB-DCE6-4CCD-A30C-7CE87B69D6FC}"/>
    <hyperlink ref="B82" r:id="rId100" location="gid=1558873206" display="https://docs.google.com/spreadsheets/d/1hujwdKJf7G7wxifMhgm8RvUsnu--jifsBDuZZBvcPGs/edit - gid=1558873206" xr:uid="{A2ACE921-A76C-40B9-BC2D-137B596AA004}"/>
    <hyperlink ref="A83" r:id="rId101" display="C:\Users\ymyil\:b:\g\personal\amoon_westcapitallending_com\EZAhxsYLNFlPkfrqaCtZW_0BY7eVkXqDTKhl_qWYmWLnpg?e=u86ehs" xr:uid="{78DA6D80-CD4A-4584-9568-3B8341D3B3E6}"/>
    <hyperlink ref="B83" r:id="rId102" display="C:\Users\ymyil\:w:\g\personal\amoon_westcapitallending_com\EWFy-6z-gT5FrJmOQdV6-aIBoz8tWT94a6wKQ3zYevAHqQ?e=kPLbzA" xr:uid="{0A6F2861-B60D-4577-AF12-1C4350492B47}"/>
    <hyperlink ref="B84" r:id="rId103" display="../../../:w:/g/personal/amoon_westcapitallending_com/ERgUW6-MCOdKmiYL69EHH3YBqqYUS0Gr-V8LURe0Yna80Q?e=MuimtM" xr:uid="{CA037E8B-AF2A-4F31-B889-5C7344F4B5BA}"/>
    <hyperlink ref="A8" r:id="rId104" display="https://waiver.smartwaiver.com/w/5f622bee443ff/web/" xr:uid="{FD4FE4B3-3BC6-42ED-B0F2-BFD24BFFC5E5}"/>
    <hyperlink ref="A9" r:id="rId105" display="../../../:w:/g/personal/amoon_westcapitallending_com/ESaCnd07JctPl5hvaEhO93EB4TYsK5Go-Yjjk4tT8YOFTA?e=sK5YdN" xr:uid="{8D76DF29-6D48-4ED1-B2FE-61EE8EE2D505}"/>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49888-070A-438A-88C0-FA1AED070BCA}">
  <sheetPr codeName="Sheet22">
    <tabColor rgb="FF00B0F0"/>
  </sheetPr>
  <dimension ref="A1:U506"/>
  <sheetViews>
    <sheetView zoomScale="80" zoomScaleNormal="80" workbookViewId="0">
      <selection activeCell="E42" sqref="E42"/>
    </sheetView>
  </sheetViews>
  <sheetFormatPr defaultColWidth="8.7109375" defaultRowHeight="12.75"/>
  <cols>
    <col min="1" max="1" width="1.5703125" style="44" customWidth="1"/>
    <col min="2" max="2" width="7.42578125" style="44" customWidth="1"/>
    <col min="3" max="3" width="14" style="44" customWidth="1"/>
    <col min="4" max="4" width="14.42578125" style="44" customWidth="1"/>
    <col min="5" max="5" width="11.7109375" style="44" customWidth="1"/>
    <col min="6" max="6" width="15.28515625" style="44" customWidth="1"/>
    <col min="7" max="7" width="13.7109375" style="44" customWidth="1"/>
    <col min="8" max="8" width="18.7109375" style="44" customWidth="1"/>
    <col min="9" max="9" width="7" style="44" customWidth="1"/>
    <col min="10" max="10" width="14.5703125" style="44" bestFit="1" customWidth="1"/>
    <col min="11" max="11" width="14.42578125" style="44" customWidth="1"/>
    <col min="12" max="12" width="13" style="44" customWidth="1"/>
    <col min="13" max="13" width="14.5703125" style="44" customWidth="1"/>
    <col min="14" max="14" width="14" style="44" bestFit="1" customWidth="1"/>
    <col min="15" max="15" width="18.5703125" style="44" bestFit="1" customWidth="1"/>
    <col min="16" max="16" width="8.7109375" style="44" customWidth="1"/>
    <col min="17" max="17" width="12.7109375" style="44" customWidth="1"/>
    <col min="18" max="18" width="14.5703125" style="44" customWidth="1"/>
    <col min="19" max="19" width="18.28515625" style="44" customWidth="1"/>
    <col min="20" max="20" width="17" style="44" customWidth="1"/>
    <col min="21" max="16384" width="8.7109375" style="44"/>
  </cols>
  <sheetData>
    <row r="1" spans="1:21" ht="14.25" customHeight="1"/>
    <row r="2" spans="1:21" ht="23.25">
      <c r="B2" s="1081" t="s">
        <v>230</v>
      </c>
      <c r="C2" s="1081"/>
      <c r="D2" s="1081"/>
      <c r="E2" s="1081"/>
      <c r="F2" s="1081"/>
      <c r="I2" s="1081" t="s">
        <v>231</v>
      </c>
      <c r="J2" s="1081"/>
      <c r="K2" s="1081"/>
      <c r="L2" s="1081"/>
      <c r="M2" s="1081"/>
      <c r="P2" s="1081" t="s">
        <v>232</v>
      </c>
      <c r="Q2" s="1081"/>
      <c r="R2" s="1081"/>
      <c r="S2" s="1081"/>
      <c r="T2" s="1081"/>
    </row>
    <row r="3" spans="1:21" ht="18">
      <c r="A3" s="45"/>
      <c r="B3" s="45"/>
      <c r="C3" s="45"/>
      <c r="D3" s="46" t="s">
        <v>493</v>
      </c>
      <c r="E3" s="45"/>
      <c r="F3" s="45"/>
      <c r="G3" s="45"/>
      <c r="H3" s="45"/>
      <c r="I3" s="45"/>
      <c r="J3" s="45"/>
      <c r="K3" s="46" t="s">
        <v>493</v>
      </c>
      <c r="L3" s="45"/>
      <c r="M3" s="45"/>
      <c r="N3" s="45"/>
      <c r="O3" s="45"/>
      <c r="P3" s="45"/>
      <c r="Q3" s="45"/>
      <c r="R3" s="46" t="s">
        <v>493</v>
      </c>
      <c r="S3" s="45"/>
      <c r="T3" s="45"/>
      <c r="U3" s="45"/>
    </row>
    <row r="4" spans="1:21">
      <c r="A4" s="45"/>
      <c r="B4" s="45"/>
      <c r="C4" s="45"/>
      <c r="D4" s="45"/>
      <c r="E4" s="45"/>
      <c r="F4" s="45"/>
      <c r="G4" s="45"/>
      <c r="H4" s="45"/>
      <c r="I4" s="45"/>
      <c r="J4" s="45"/>
      <c r="K4" s="45"/>
      <c r="L4" s="45"/>
      <c r="M4" s="45"/>
      <c r="N4" s="45"/>
      <c r="O4" s="45"/>
      <c r="P4" s="45"/>
      <c r="Q4" s="45"/>
      <c r="R4" s="45"/>
      <c r="S4" s="45"/>
      <c r="T4" s="45"/>
      <c r="U4" s="45"/>
    </row>
    <row r="5" spans="1:21" ht="13.5" thickBot="1">
      <c r="A5" s="45"/>
      <c r="B5" s="47" t="s">
        <v>494</v>
      </c>
      <c r="C5" s="45"/>
      <c r="D5" s="48">
        <v>700000</v>
      </c>
      <c r="E5" s="45"/>
      <c r="F5" s="47"/>
      <c r="G5" s="45"/>
      <c r="H5" s="45"/>
      <c r="I5" s="47" t="s">
        <v>494</v>
      </c>
      <c r="J5" s="45"/>
      <c r="K5" s="48">
        <v>700000</v>
      </c>
      <c r="L5" s="45"/>
      <c r="M5" s="47"/>
      <c r="N5" s="45"/>
      <c r="O5" s="45"/>
      <c r="P5" s="47" t="s">
        <v>494</v>
      </c>
      <c r="Q5" s="45"/>
      <c r="R5" s="48">
        <v>100000</v>
      </c>
      <c r="S5" s="45"/>
      <c r="T5" s="47"/>
      <c r="U5" s="45"/>
    </row>
    <row r="6" spans="1:21" ht="13.5" thickBot="1">
      <c r="A6" s="45"/>
      <c r="B6" s="47" t="s">
        <v>495</v>
      </c>
      <c r="C6" s="45"/>
      <c r="D6" s="49">
        <v>360</v>
      </c>
      <c r="E6" s="45"/>
      <c r="F6" s="47"/>
      <c r="G6" s="45"/>
      <c r="H6" s="45"/>
      <c r="I6" s="47" t="s">
        <v>495</v>
      </c>
      <c r="J6" s="45"/>
      <c r="K6" s="49">
        <v>360</v>
      </c>
      <c r="L6" s="45"/>
      <c r="M6" s="47"/>
      <c r="N6" s="45"/>
      <c r="O6" s="45"/>
      <c r="P6" s="47" t="s">
        <v>495</v>
      </c>
      <c r="Q6" s="45"/>
      <c r="R6" s="49">
        <v>360</v>
      </c>
      <c r="S6" s="45"/>
      <c r="T6" s="47"/>
      <c r="U6" s="45"/>
    </row>
    <row r="7" spans="1:21" ht="13.5" thickBot="1">
      <c r="A7" s="45"/>
      <c r="B7" s="47" t="s">
        <v>496</v>
      </c>
      <c r="C7" s="45"/>
      <c r="D7" s="50">
        <v>6.5000000000000002E-2</v>
      </c>
      <c r="E7" s="45"/>
      <c r="F7" s="47"/>
      <c r="G7" s="45"/>
      <c r="I7" s="47" t="s">
        <v>496</v>
      </c>
      <c r="J7" s="45"/>
      <c r="K7" s="50">
        <v>5.2499999999999998E-2</v>
      </c>
      <c r="L7" s="45"/>
      <c r="M7" s="47"/>
      <c r="N7" s="45"/>
      <c r="P7" s="47" t="s">
        <v>496</v>
      </c>
      <c r="Q7" s="45"/>
      <c r="R7" s="50">
        <v>0.1024</v>
      </c>
      <c r="S7" s="45"/>
      <c r="T7" s="47"/>
      <c r="U7" s="45"/>
    </row>
    <row r="8" spans="1:21">
      <c r="A8" s="45"/>
      <c r="B8" s="47" t="s">
        <v>213</v>
      </c>
      <c r="C8" s="45"/>
      <c r="D8" s="51">
        <f>+C19</f>
        <v>4424.4761644507462</v>
      </c>
      <c r="E8" s="52"/>
      <c r="F8" s="47"/>
      <c r="G8" s="45"/>
      <c r="H8" s="45"/>
      <c r="I8" s="47" t="s">
        <v>213</v>
      </c>
      <c r="J8" s="45"/>
      <c r="K8" s="51">
        <f>+J19</f>
        <v>3865.4259149932882</v>
      </c>
      <c r="L8" s="52"/>
      <c r="M8" s="47"/>
      <c r="N8" s="45"/>
      <c r="O8" s="45"/>
      <c r="P8" s="47" t="s">
        <v>213</v>
      </c>
      <c r="Q8" s="45"/>
      <c r="R8" s="51">
        <f>+Q19</f>
        <v>895.35799997349602</v>
      </c>
      <c r="S8" s="52"/>
      <c r="T8" s="47"/>
      <c r="U8" s="45"/>
    </row>
    <row r="9" spans="1:21">
      <c r="A9" s="45"/>
      <c r="B9" s="47"/>
      <c r="C9" s="45"/>
      <c r="D9" s="53"/>
      <c r="E9" s="47"/>
      <c r="F9" s="47"/>
      <c r="G9" s="45"/>
      <c r="H9" s="45"/>
      <c r="I9" s="47"/>
      <c r="J9" s="45"/>
      <c r="K9" s="53" t="s">
        <v>97</v>
      </c>
      <c r="L9" s="47"/>
      <c r="M9" s="47"/>
      <c r="N9" s="45"/>
      <c r="O9" s="45"/>
      <c r="P9" s="47"/>
      <c r="Q9" s="45"/>
      <c r="R9" s="53"/>
      <c r="S9" s="47"/>
      <c r="T9" s="47"/>
      <c r="U9" s="45"/>
    </row>
    <row r="10" spans="1:21">
      <c r="A10" s="45"/>
      <c r="B10" s="47"/>
      <c r="C10" s="47" t="s">
        <v>497</v>
      </c>
      <c r="D10" s="52" t="s">
        <v>498</v>
      </c>
      <c r="E10" s="47" t="s">
        <v>499</v>
      </c>
      <c r="F10" s="47" t="s">
        <v>500</v>
      </c>
      <c r="G10" s="47" t="s">
        <v>501</v>
      </c>
      <c r="H10" s="47" t="s">
        <v>501</v>
      </c>
      <c r="I10" s="47"/>
      <c r="J10" s="47" t="s">
        <v>497</v>
      </c>
      <c r="K10" s="52" t="s">
        <v>498</v>
      </c>
      <c r="L10" s="47" t="s">
        <v>499</v>
      </c>
      <c r="M10" s="47" t="s">
        <v>500</v>
      </c>
      <c r="N10" s="47" t="s">
        <v>501</v>
      </c>
      <c r="O10" s="47" t="s">
        <v>501</v>
      </c>
      <c r="P10" s="47"/>
      <c r="Q10" s="47" t="s">
        <v>497</v>
      </c>
      <c r="R10" s="52" t="s">
        <v>498</v>
      </c>
      <c r="S10" s="47" t="s">
        <v>499</v>
      </c>
      <c r="T10" s="47" t="s">
        <v>500</v>
      </c>
      <c r="U10" s="45"/>
    </row>
    <row r="11" spans="1:21">
      <c r="A11" s="45"/>
      <c r="B11" s="54" t="s">
        <v>502</v>
      </c>
      <c r="C11" s="55">
        <f>SUM(C19:C30)</f>
        <v>53093.713973408951</v>
      </c>
      <c r="D11" s="55">
        <f>SUM(D19:D30)</f>
        <v>45269.635690689065</v>
      </c>
      <c r="E11" s="55">
        <f>SUM(E19:E30)</f>
        <v>7824.0782827198891</v>
      </c>
      <c r="F11" s="55">
        <f>+F30</f>
        <v>692175.92171728029</v>
      </c>
      <c r="G11" s="56">
        <f>SUM(D19:D502)</f>
        <v>892811.41920226859</v>
      </c>
      <c r="H11" s="56">
        <f>SUM(K19:K502)</f>
        <v>691553.32939758489</v>
      </c>
      <c r="I11" s="54" t="s">
        <v>502</v>
      </c>
      <c r="J11" s="55">
        <f>SUM(J19:J30)</f>
        <v>46385.110979919467</v>
      </c>
      <c r="K11" s="55">
        <f>SUM(K19:K30)</f>
        <v>36514.74055461384</v>
      </c>
      <c r="L11" s="55">
        <f>SUM(L19:L30)</f>
        <v>9870.3704253056148</v>
      </c>
      <c r="M11" s="55">
        <f>+M30</f>
        <v>690129.62957469421</v>
      </c>
      <c r="N11" s="56">
        <f>SUM(K19:K502)</f>
        <v>691553.32939758489</v>
      </c>
      <c r="O11" s="56">
        <f>SUM(R19:R502)</f>
        <v>222328.87999045913</v>
      </c>
      <c r="P11" s="54" t="s">
        <v>502</v>
      </c>
      <c r="Q11" s="55">
        <f>SUM(Q19:Q30)</f>
        <v>10744.29599968195</v>
      </c>
      <c r="R11" s="55">
        <f>SUM(R19:R30)</f>
        <v>10215.645372027378</v>
      </c>
      <c r="S11" s="55">
        <f>SUM(S19:S30)</f>
        <v>528.65062765457321</v>
      </c>
      <c r="T11" s="55">
        <f>+T30</f>
        <v>99471.34937234543</v>
      </c>
      <c r="U11" s="45"/>
    </row>
    <row r="12" spans="1:21">
      <c r="A12" s="45"/>
      <c r="B12" s="54" t="s">
        <v>503</v>
      </c>
      <c r="C12" s="57">
        <f>SUM(C31:C42)</f>
        <v>53093.713973408951</v>
      </c>
      <c r="D12" s="57">
        <f>SUM(D31:D42)</f>
        <v>44745.642677882432</v>
      </c>
      <c r="E12" s="57">
        <f>SUM(E31:E42)</f>
        <v>8348.0712955265208</v>
      </c>
      <c r="F12" s="57">
        <f>+F42</f>
        <v>683827.85042175371</v>
      </c>
      <c r="G12" s="45"/>
      <c r="I12" s="54" t="s">
        <v>503</v>
      </c>
      <c r="J12" s="57">
        <f>SUM(J31:J42)</f>
        <v>46385.110979919467</v>
      </c>
      <c r="K12" s="57">
        <f>SUM(K31:K42)</f>
        <v>35983.893410441975</v>
      </c>
      <c r="L12" s="57">
        <f>SUM(L31:L42)</f>
        <v>10401.217569477487</v>
      </c>
      <c r="M12" s="57">
        <f>+M42</f>
        <v>679728.4120052167</v>
      </c>
      <c r="N12" s="45"/>
      <c r="P12" s="54" t="s">
        <v>503</v>
      </c>
      <c r="Q12" s="57">
        <f>SUM(Q31:Q42)</f>
        <v>10744.29599968195</v>
      </c>
      <c r="R12" s="57">
        <f>SUM(R31:R42)</f>
        <v>10158.897191996815</v>
      </c>
      <c r="S12" s="57">
        <f>SUM(S31:S42)</f>
        <v>585.39880768513694</v>
      </c>
      <c r="T12" s="57">
        <f>+T42</f>
        <v>98885.950564660277</v>
      </c>
      <c r="U12" s="45"/>
    </row>
    <row r="13" spans="1:21">
      <c r="A13" s="45"/>
      <c r="B13" s="54" t="s">
        <v>504</v>
      </c>
      <c r="C13" s="55">
        <f>SUM(C43:C54)</f>
        <v>53093.713973408951</v>
      </c>
      <c r="D13" s="55">
        <f>SUM(D43:D54)</f>
        <v>44186.556882571749</v>
      </c>
      <c r="E13" s="55">
        <f>SUM(E43:E54)</f>
        <v>8907.1570908372069</v>
      </c>
      <c r="F13" s="55">
        <f>+F54</f>
        <v>674920.69333091646</v>
      </c>
      <c r="G13" s="58" t="s">
        <v>505</v>
      </c>
      <c r="H13" s="59">
        <f>SUM(H11-G11)</f>
        <v>-201258.0898046837</v>
      </c>
      <c r="I13" s="54" t="s">
        <v>504</v>
      </c>
      <c r="J13" s="55">
        <f>SUM(J43:J54)</f>
        <v>46385.110979919467</v>
      </c>
      <c r="K13" s="55">
        <f>SUM(K43:K54)</f>
        <v>35424.496305292661</v>
      </c>
      <c r="L13" s="55">
        <f>SUM(L43:L54)</f>
        <v>10960.614674626795</v>
      </c>
      <c r="M13" s="55">
        <f>+M54</f>
        <v>668767.79733059008</v>
      </c>
      <c r="N13" s="58" t="s">
        <v>505</v>
      </c>
      <c r="O13" s="59">
        <f>SUM(O11-N11)</f>
        <v>-469224.44940712576</v>
      </c>
      <c r="P13" s="54" t="s">
        <v>504</v>
      </c>
      <c r="Q13" s="55">
        <f>SUM(Q43:Q54)</f>
        <v>10744.29599968195</v>
      </c>
      <c r="R13" s="55">
        <f>SUM(R43:R54)</f>
        <v>10096.057359429926</v>
      </c>
      <c r="S13" s="55">
        <f>SUM(S43:S54)</f>
        <v>648.23864025202556</v>
      </c>
      <c r="T13" s="55">
        <f>+T54</f>
        <v>98237.711924408271</v>
      </c>
      <c r="U13" s="45"/>
    </row>
    <row r="14" spans="1:21">
      <c r="A14" s="45"/>
      <c r="B14" s="54" t="s">
        <v>506</v>
      </c>
      <c r="C14" s="57">
        <f>SUM(C55:C66)</f>
        <v>53093.713973408951</v>
      </c>
      <c r="D14" s="57">
        <f>SUM(D55:D66)</f>
        <v>43590.028076120776</v>
      </c>
      <c r="E14" s="57">
        <f>SUM(E55:E66)</f>
        <v>9503.6858972881746</v>
      </c>
      <c r="F14" s="57">
        <f>+F66</f>
        <v>665417.0074336282</v>
      </c>
      <c r="I14" s="54" t="s">
        <v>506</v>
      </c>
      <c r="J14" s="57">
        <f>SUM(J55:J66)</f>
        <v>46385.110979919467</v>
      </c>
      <c r="K14" s="57">
        <f>SUM(K55:K66)</f>
        <v>34835.01376839853</v>
      </c>
      <c r="L14" s="57">
        <f>SUM(L55:L66)</f>
        <v>11550.097211520921</v>
      </c>
      <c r="M14" s="57">
        <f>+M66</f>
        <v>657217.7001190692</v>
      </c>
      <c r="P14" s="54" t="s">
        <v>506</v>
      </c>
      <c r="Q14" s="57">
        <f>SUM(Q55:Q66)</f>
        <v>10744.29599968195</v>
      </c>
      <c r="R14" s="57">
        <f>SUM(R55:R66)</f>
        <v>10026.471963829441</v>
      </c>
      <c r="S14" s="57">
        <f>SUM(S55:S66)</f>
        <v>717.82403585251132</v>
      </c>
      <c r="T14" s="57">
        <f>+T66</f>
        <v>97519.887888555764</v>
      </c>
      <c r="U14" s="45"/>
    </row>
    <row r="15" spans="1:21">
      <c r="A15" s="45"/>
      <c r="B15" s="54" t="s">
        <v>507</v>
      </c>
      <c r="C15" s="55">
        <f>SUM(C67:C78)</f>
        <v>53093.713973408951</v>
      </c>
      <c r="D15" s="55">
        <f>SUM(D67:D78)</f>
        <v>42953.548630728925</v>
      </c>
      <c r="E15" s="55">
        <f>SUM(E67:E78)</f>
        <v>10140.165342680022</v>
      </c>
      <c r="F15" s="55">
        <f>+F78</f>
        <v>655276.84209094825</v>
      </c>
      <c r="G15" s="47" t="s">
        <v>508</v>
      </c>
      <c r="H15" s="47" t="s">
        <v>509</v>
      </c>
      <c r="I15" s="54" t="s">
        <v>507</v>
      </c>
      <c r="J15" s="55">
        <f>SUM(J67:J78)</f>
        <v>46385.110979919467</v>
      </c>
      <c r="K15" s="55">
        <f>SUM(K67:K78)</f>
        <v>34213.827748477357</v>
      </c>
      <c r="L15" s="55">
        <f>SUM(L67:L78)</f>
        <v>12171.283231442098</v>
      </c>
      <c r="M15" s="55">
        <f>+M78</f>
        <v>645046.41688762722</v>
      </c>
      <c r="N15" s="47" t="s">
        <v>508</v>
      </c>
      <c r="O15" s="47" t="s">
        <v>509</v>
      </c>
      <c r="P15" s="54" t="s">
        <v>507</v>
      </c>
      <c r="Q15" s="55">
        <f>SUM(Q67:Q78)</f>
        <v>10744.29599968195</v>
      </c>
      <c r="R15" s="55">
        <f>SUM(R67:R78)</f>
        <v>9949.4169004550731</v>
      </c>
      <c r="S15" s="55">
        <f>SUM(S67:S78)</f>
        <v>794.87909922688061</v>
      </c>
      <c r="T15" s="55">
        <f>+T78</f>
        <v>96725.008789328887</v>
      </c>
      <c r="U15" s="45"/>
    </row>
    <row r="16" spans="1:21" ht="14.85" customHeight="1">
      <c r="A16" s="45"/>
      <c r="B16" s="54" t="s">
        <v>510</v>
      </c>
      <c r="C16" s="57">
        <f>SUM(C11:C15)</f>
        <v>265468.56986704475</v>
      </c>
      <c r="D16" s="57">
        <f>SUM(D11:D15)</f>
        <v>220745.41195799294</v>
      </c>
      <c r="E16" s="57">
        <f>SUM(E11:E15)</f>
        <v>44723.157909051806</v>
      </c>
      <c r="F16" s="47"/>
      <c r="G16" s="60">
        <f>SUM(K8-D8)</f>
        <v>-559.05024945745799</v>
      </c>
      <c r="H16" s="56">
        <f>SUM(G16*12)</f>
        <v>-6708.6029934894959</v>
      </c>
      <c r="I16" s="54" t="s">
        <v>510</v>
      </c>
      <c r="J16" s="57">
        <f>SUM(J11:J15)</f>
        <v>231925.55489959734</v>
      </c>
      <c r="K16" s="57">
        <f>SUM(K11:K15)</f>
        <v>176971.97178722435</v>
      </c>
      <c r="L16" s="57">
        <f>SUM(L11:L15)</f>
        <v>54953.583112372915</v>
      </c>
      <c r="M16" s="47"/>
      <c r="N16" s="60">
        <f>SUM(R8-K8)</f>
        <v>-2970.0679150197921</v>
      </c>
      <c r="O16" s="56">
        <f>SUM(N16*12)</f>
        <v>-35640.814980237505</v>
      </c>
      <c r="P16" s="54" t="s">
        <v>510</v>
      </c>
      <c r="Q16" s="57">
        <f>SUM(Q11:Q15)</f>
        <v>53721.479998409748</v>
      </c>
      <c r="R16" s="57">
        <f>SUM(R11:R15)</f>
        <v>50446.488787738635</v>
      </c>
      <c r="S16" s="57">
        <f>SUM(S11:S15)</f>
        <v>3274.9912106711276</v>
      </c>
      <c r="T16" s="47"/>
      <c r="U16" s="45"/>
    </row>
    <row r="17" spans="1:21">
      <c r="A17" s="45"/>
      <c r="B17" s="47"/>
      <c r="C17" s="47"/>
      <c r="E17" s="47"/>
      <c r="F17" s="47"/>
      <c r="G17" s="45"/>
      <c r="H17" s="45"/>
      <c r="I17" s="47"/>
      <c r="J17" s="47"/>
      <c r="L17" s="47"/>
      <c r="M17" s="47"/>
      <c r="N17" s="45"/>
      <c r="O17" s="45"/>
      <c r="P17" s="47"/>
      <c r="Q17" s="47"/>
      <c r="S17" s="47"/>
      <c r="T17" s="47"/>
      <c r="U17" s="45"/>
    </row>
    <row r="18" spans="1:21">
      <c r="A18" s="45"/>
      <c r="B18" s="47" t="s">
        <v>511</v>
      </c>
      <c r="C18" s="47" t="s">
        <v>213</v>
      </c>
      <c r="D18" s="47" t="s">
        <v>512</v>
      </c>
      <c r="E18" s="47" t="s">
        <v>513</v>
      </c>
      <c r="F18" s="47" t="s">
        <v>514</v>
      </c>
      <c r="G18" s="45"/>
      <c r="H18" s="45"/>
      <c r="I18" s="47" t="s">
        <v>511</v>
      </c>
      <c r="J18" s="47" t="s">
        <v>213</v>
      </c>
      <c r="K18" s="47" t="s">
        <v>512</v>
      </c>
      <c r="L18" s="47" t="s">
        <v>513</v>
      </c>
      <c r="M18" s="47" t="s">
        <v>514</v>
      </c>
      <c r="N18" s="45"/>
      <c r="O18" s="45"/>
      <c r="P18" s="47" t="s">
        <v>511</v>
      </c>
      <c r="Q18" s="47" t="s">
        <v>213</v>
      </c>
      <c r="R18" s="47" t="s">
        <v>512</v>
      </c>
      <c r="S18" s="47" t="s">
        <v>513</v>
      </c>
      <c r="T18" s="47" t="s">
        <v>514</v>
      </c>
      <c r="U18" s="45"/>
    </row>
    <row r="19" spans="1:21">
      <c r="A19" s="45"/>
      <c r="B19" s="61">
        <f>IF(D6&gt;0,+D6-(D6-1),"")</f>
        <v>1</v>
      </c>
      <c r="C19" s="62">
        <f>IF(+$D$6&lt;=0,CHAR(32),+(PMT(+$D$7/12,+$D$6,+$D$5*-1)))</f>
        <v>4424.4761644507462</v>
      </c>
      <c r="D19" s="62">
        <f>IF(+$D$6&lt;=0,CHAR(32),+(+D5*(D7/12)))</f>
        <v>3791.666666666667</v>
      </c>
      <c r="E19" s="62">
        <f>IF(+$D$6&lt;=0,CHAR(32),+(+C19-D19))</f>
        <v>632.80949778407921</v>
      </c>
      <c r="F19" s="62">
        <f>IF(+$D$6&lt;=0,CHAR(32),+(+D5-E19))</f>
        <v>699367.19050221588</v>
      </c>
      <c r="G19" s="63"/>
      <c r="H19" s="45"/>
      <c r="I19" s="61">
        <f>IF(K6&gt;0,+K6-(K6-1),"")</f>
        <v>1</v>
      </c>
      <c r="J19" s="62">
        <f>IF(+$K$6&lt;=0,CHAR(32),+(PMT(+$K$7/12,+$K$6,+$K$5*-1)))</f>
        <v>3865.4259149932882</v>
      </c>
      <c r="K19" s="62">
        <f>IF(+$K$6&lt;=0,CHAR(32),+(+K5*(K7/12)))</f>
        <v>3062.4999999999995</v>
      </c>
      <c r="L19" s="62">
        <f>IF(+$K$6&lt;=0,CHAR(32),+(+J19-K19))</f>
        <v>802.92591499328864</v>
      </c>
      <c r="M19" s="62">
        <f>IF(+$K$6&lt;=0,CHAR(32),+(+K5-L19))</f>
        <v>699197.07408500672</v>
      </c>
      <c r="N19" s="63"/>
      <c r="O19" s="45"/>
      <c r="P19" s="61">
        <f>IF(R6&gt;0,+R6-(R6-1),"")</f>
        <v>1</v>
      </c>
      <c r="Q19" s="62">
        <f>IF(+$R$6&lt;=0,CHAR(32),+(PMT(+$R$7/12,+$R$6,+$R$5*-1)))</f>
        <v>895.35799997349602</v>
      </c>
      <c r="R19" s="62">
        <f>IF(+$R$6&lt;=0,CHAR(32),+(+R5*(R7/12)))</f>
        <v>853.33333333333337</v>
      </c>
      <c r="S19" s="62">
        <f>IF(+$R$6&lt;=0,CHAR(32),+(+Q19-R19))</f>
        <v>42.02466664016265</v>
      </c>
      <c r="T19" s="62">
        <f>IF(+$R$6&lt;=0,CHAR(32),+(+R5-S19))</f>
        <v>99957.975333359835</v>
      </c>
      <c r="U19" s="63"/>
    </row>
    <row r="20" spans="1:21" ht="15">
      <c r="A20" s="45"/>
      <c r="B20" s="64">
        <f t="shared" ref="B20:B83" si="0">IF(B19&lt;$D$6,B19+1,"")</f>
        <v>2</v>
      </c>
      <c r="C20" s="65">
        <f t="shared" ref="C20:C83" si="1">IF(B19&lt;$D$6,+C19,"")</f>
        <v>4424.4761644507462</v>
      </c>
      <c r="D20" s="66">
        <f t="shared" ref="D20:D83" si="2">IF(B19&lt;$D$6,+F19*($D$7/12),"")</f>
        <v>3788.2389485536696</v>
      </c>
      <c r="E20" s="66">
        <f t="shared" ref="E20:E83" si="3">IF(B19&lt;$D$6,+C20-D20,"")</f>
        <v>636.23721589707657</v>
      </c>
      <c r="F20" s="66">
        <f t="shared" ref="F20:F83" si="4">IF(B19&lt;$D$6,+F19-E20,"")</f>
        <v>698730.95328631881</v>
      </c>
      <c r="G20" s="67"/>
      <c r="H20" s="45"/>
      <c r="I20" s="64">
        <f>IF(I19&lt;$K$6,I19+1,"")</f>
        <v>2</v>
      </c>
      <c r="J20" s="65">
        <f>IF(I19&lt;$K$6,+J19,"")</f>
        <v>3865.4259149932882</v>
      </c>
      <c r="K20" s="66">
        <f>IF(I19&lt;$K$6,+M19*($K$7/12),"")</f>
        <v>3058.9871991219043</v>
      </c>
      <c r="L20" s="66">
        <f>IF(I19&lt;$K$6,+J20-K20,"")</f>
        <v>806.43871587138392</v>
      </c>
      <c r="M20" s="66">
        <f>IF(I19&lt;$K$6,+M19-L20,"")</f>
        <v>698390.6353691353</v>
      </c>
      <c r="N20" s="45"/>
      <c r="O20" s="45"/>
      <c r="P20" s="64">
        <f>IF(P19&lt;$K$6,P19+1,"")</f>
        <v>2</v>
      </c>
      <c r="Q20" s="65">
        <f>IF(P19&lt;$R$6,+Q19,"")</f>
        <v>895.35799997349602</v>
      </c>
      <c r="R20" s="66">
        <f>IF(P19&lt;$R$6,+T19*($R$7/12),"")</f>
        <v>852.97472284467062</v>
      </c>
      <c r="S20" s="66">
        <f>IF(P19&lt;$R$6,+Q20-R20,"")</f>
        <v>42.383277128825398</v>
      </c>
      <c r="T20" s="66">
        <f>IF(P19&lt;$R$6,+T19-S20,"")</f>
        <v>99915.592056231006</v>
      </c>
      <c r="U20" s="45"/>
    </row>
    <row r="21" spans="1:21" ht="15">
      <c r="A21" s="45"/>
      <c r="B21" s="68">
        <f t="shared" si="0"/>
        <v>3</v>
      </c>
      <c r="C21" s="69">
        <f t="shared" si="1"/>
        <v>4424.4761644507462</v>
      </c>
      <c r="D21" s="70">
        <f t="shared" si="2"/>
        <v>3784.7926636342272</v>
      </c>
      <c r="E21" s="70">
        <f t="shared" si="3"/>
        <v>639.68350081651897</v>
      </c>
      <c r="F21" s="70">
        <f t="shared" si="4"/>
        <v>698091.26978550234</v>
      </c>
      <c r="G21" s="63"/>
      <c r="H21" s="45"/>
      <c r="I21" s="64">
        <f t="shared" ref="I21:I84" si="5">IF(I20&lt;$K$6,I20+1,"")</f>
        <v>3</v>
      </c>
      <c r="J21" s="65">
        <f>IF(I20&lt;$K$6,+J20,"")</f>
        <v>3865.4259149932882</v>
      </c>
      <c r="K21" s="66">
        <f>IF(I20&lt;$K$6,+M20*($K$7/12),"")</f>
        <v>3055.4590297399668</v>
      </c>
      <c r="L21" s="66">
        <f t="shared" ref="L21:L84" si="6">IF(I20&lt;$K$6,+J21-K21,"")</f>
        <v>809.96688525332138</v>
      </c>
      <c r="M21" s="66">
        <f t="shared" ref="M21:M84" si="7">IF(I20&lt;$K$6,+M20-L21,"")</f>
        <v>697580.66848388198</v>
      </c>
      <c r="N21" s="45"/>
      <c r="O21" s="45"/>
      <c r="P21" s="64">
        <f t="shared" ref="P21:P84" si="8">IF(P20&lt;$K$6,P20+1,"")</f>
        <v>3</v>
      </c>
      <c r="Q21" s="65">
        <f t="shared" ref="Q21:Q84" si="9">IF(P20&lt;$R$6,+Q20,"")</f>
        <v>895.35799997349602</v>
      </c>
      <c r="R21" s="66">
        <f>IF(P20&lt;$R$6,+T20*($R$7/12),"")</f>
        <v>852.61305221317127</v>
      </c>
      <c r="S21" s="66">
        <f>IF(P20&lt;$R$6,+Q21-R21,"")</f>
        <v>42.744947760324749</v>
      </c>
      <c r="T21" s="66">
        <f t="shared" ref="T21:T84" si="10">IF(P20&lt;$R$6,+T20-S21,"")</f>
        <v>99872.847108470683</v>
      </c>
      <c r="U21" s="45"/>
    </row>
    <row r="22" spans="1:21" ht="15">
      <c r="A22" s="45"/>
      <c r="B22" s="71">
        <f t="shared" si="0"/>
        <v>4</v>
      </c>
      <c r="C22" s="72">
        <f t="shared" si="1"/>
        <v>4424.4761644507462</v>
      </c>
      <c r="D22" s="73">
        <f t="shared" si="2"/>
        <v>3781.3277113381378</v>
      </c>
      <c r="E22" s="73">
        <f t="shared" si="3"/>
        <v>643.14845311260842</v>
      </c>
      <c r="F22" s="73">
        <f t="shared" si="4"/>
        <v>697448.12133238977</v>
      </c>
      <c r="G22" s="45"/>
      <c r="H22" s="45"/>
      <c r="I22" s="64">
        <f t="shared" si="5"/>
        <v>4</v>
      </c>
      <c r="J22" s="65">
        <f t="shared" ref="J22:J85" si="11">IF(I21&lt;$K$6,+J21,"")</f>
        <v>3865.4259149932882</v>
      </c>
      <c r="K22" s="66">
        <f t="shared" ref="K22:K85" si="12">IF(I21&lt;$K$6,+M21*($K$7/12),"")</f>
        <v>3051.9154246169833</v>
      </c>
      <c r="L22" s="66">
        <f t="shared" si="6"/>
        <v>813.51049037630492</v>
      </c>
      <c r="M22" s="66">
        <f t="shared" si="7"/>
        <v>696767.15799350571</v>
      </c>
      <c r="N22" s="45"/>
      <c r="O22" s="45"/>
      <c r="P22" s="64">
        <f t="shared" si="8"/>
        <v>4</v>
      </c>
      <c r="Q22" s="65">
        <f t="shared" si="9"/>
        <v>895.35799997349602</v>
      </c>
      <c r="R22" s="66">
        <f>IF(P21&lt;$R$6,+T21*($R$7/12),"")</f>
        <v>852.2482953256166</v>
      </c>
      <c r="S22" s="66">
        <f t="shared" ref="S22:S85" si="13">IF(P21&lt;$R$6,+Q22-R22,"")</f>
        <v>43.109704647879425</v>
      </c>
      <c r="T22" s="66">
        <f t="shared" si="10"/>
        <v>99829.737403822801</v>
      </c>
      <c r="U22" s="45"/>
    </row>
    <row r="23" spans="1:21" ht="15">
      <c r="A23" s="45"/>
      <c r="B23" s="68">
        <f t="shared" si="0"/>
        <v>5</v>
      </c>
      <c r="C23" s="69">
        <f t="shared" si="1"/>
        <v>4424.4761644507462</v>
      </c>
      <c r="D23" s="70">
        <f t="shared" si="2"/>
        <v>3777.8439905504447</v>
      </c>
      <c r="E23" s="70">
        <f t="shared" si="3"/>
        <v>646.6321739003015</v>
      </c>
      <c r="F23" s="70">
        <f t="shared" si="4"/>
        <v>696801.48915848951</v>
      </c>
      <c r="G23" s="45"/>
      <c r="H23" s="45"/>
      <c r="I23" s="64">
        <f t="shared" si="5"/>
        <v>5</v>
      </c>
      <c r="J23" s="65">
        <f t="shared" si="11"/>
        <v>3865.4259149932882</v>
      </c>
      <c r="K23" s="66">
        <f t="shared" si="12"/>
        <v>3048.3563162215873</v>
      </c>
      <c r="L23" s="66">
        <f t="shared" si="6"/>
        <v>817.06959877170084</v>
      </c>
      <c r="M23" s="66">
        <f t="shared" si="7"/>
        <v>695950.08839473396</v>
      </c>
      <c r="N23" s="45"/>
      <c r="O23" s="45"/>
      <c r="P23" s="64">
        <f t="shared" si="8"/>
        <v>5</v>
      </c>
      <c r="Q23" s="65">
        <f t="shared" si="9"/>
        <v>895.35799997349602</v>
      </c>
      <c r="R23" s="66">
        <f t="shared" ref="R23:R86" si="14">IF(P22&lt;$R$6,+T22*($R$7/12),"")</f>
        <v>851.88042584595462</v>
      </c>
      <c r="S23" s="66">
        <f t="shared" si="13"/>
        <v>43.477574127541402</v>
      </c>
      <c r="T23" s="66">
        <f t="shared" si="10"/>
        <v>99786.259829695264</v>
      </c>
      <c r="U23" s="45"/>
    </row>
    <row r="24" spans="1:21" ht="15">
      <c r="A24" s="45"/>
      <c r="B24" s="71">
        <f t="shared" si="0"/>
        <v>6</v>
      </c>
      <c r="C24" s="72">
        <f t="shared" si="1"/>
        <v>4424.4761644507462</v>
      </c>
      <c r="D24" s="74">
        <f t="shared" si="2"/>
        <v>3774.3413996084851</v>
      </c>
      <c r="E24" s="74">
        <f t="shared" si="3"/>
        <v>650.13476484226112</v>
      </c>
      <c r="F24" s="74">
        <f t="shared" si="4"/>
        <v>696151.35439364729</v>
      </c>
      <c r="G24" s="45"/>
      <c r="H24" s="45"/>
      <c r="I24" s="64">
        <f t="shared" si="5"/>
        <v>6</v>
      </c>
      <c r="J24" s="65">
        <f t="shared" si="11"/>
        <v>3865.4259149932882</v>
      </c>
      <c r="K24" s="66">
        <f t="shared" si="12"/>
        <v>3044.7816367269606</v>
      </c>
      <c r="L24" s="66">
        <f t="shared" si="6"/>
        <v>820.64427826632755</v>
      </c>
      <c r="M24" s="66">
        <f t="shared" si="7"/>
        <v>695129.44411646761</v>
      </c>
      <c r="N24" s="45"/>
      <c r="O24" s="45"/>
      <c r="P24" s="64">
        <f t="shared" si="8"/>
        <v>6</v>
      </c>
      <c r="Q24" s="65">
        <f t="shared" si="9"/>
        <v>895.35799997349602</v>
      </c>
      <c r="R24" s="66">
        <f t="shared" si="14"/>
        <v>851.50941721339962</v>
      </c>
      <c r="S24" s="66">
        <f t="shared" si="13"/>
        <v>43.848582760096406</v>
      </c>
      <c r="T24" s="66">
        <f t="shared" si="10"/>
        <v>99742.411246935168</v>
      </c>
      <c r="U24" s="45"/>
    </row>
    <row r="25" spans="1:21" ht="15">
      <c r="A25" s="45"/>
      <c r="B25" s="64">
        <f t="shared" si="0"/>
        <v>7</v>
      </c>
      <c r="C25" s="65">
        <f t="shared" si="1"/>
        <v>4424.4761644507462</v>
      </c>
      <c r="D25" s="66">
        <f t="shared" si="2"/>
        <v>3770.8198362989228</v>
      </c>
      <c r="E25" s="66">
        <f t="shared" si="3"/>
        <v>653.65632815182335</v>
      </c>
      <c r="F25" s="66">
        <f t="shared" si="4"/>
        <v>695497.69806549547</v>
      </c>
      <c r="G25" s="45"/>
      <c r="H25" s="45"/>
      <c r="I25" s="64">
        <f t="shared" si="5"/>
        <v>7</v>
      </c>
      <c r="J25" s="65">
        <f t="shared" si="11"/>
        <v>3865.4259149932882</v>
      </c>
      <c r="K25" s="66">
        <f t="shared" si="12"/>
        <v>3041.1913180095453</v>
      </c>
      <c r="L25" s="66">
        <f t="shared" si="6"/>
        <v>824.2345969837429</v>
      </c>
      <c r="M25" s="66">
        <f t="shared" si="7"/>
        <v>694305.20951948385</v>
      </c>
      <c r="N25" s="45"/>
      <c r="O25" s="45"/>
      <c r="P25" s="64">
        <f t="shared" si="8"/>
        <v>7</v>
      </c>
      <c r="Q25" s="65">
        <f t="shared" si="9"/>
        <v>895.35799997349602</v>
      </c>
      <c r="R25" s="66">
        <f t="shared" si="14"/>
        <v>851.13524264051352</v>
      </c>
      <c r="S25" s="66">
        <f t="shared" si="13"/>
        <v>44.222757332982496</v>
      </c>
      <c r="T25" s="66">
        <f t="shared" si="10"/>
        <v>99698.18848960218</v>
      </c>
      <c r="U25" s="45"/>
    </row>
    <row r="26" spans="1:21" ht="15">
      <c r="A26" s="45"/>
      <c r="B26" s="64">
        <f t="shared" si="0"/>
        <v>8</v>
      </c>
      <c r="C26" s="65">
        <f t="shared" si="1"/>
        <v>4424.4761644507462</v>
      </c>
      <c r="D26" s="66">
        <f t="shared" si="2"/>
        <v>3767.2791978547671</v>
      </c>
      <c r="E26" s="66">
        <f t="shared" si="3"/>
        <v>657.19696659597912</v>
      </c>
      <c r="F26" s="66">
        <f t="shared" si="4"/>
        <v>694840.50109889952</v>
      </c>
      <c r="G26" s="45"/>
      <c r="H26" s="45"/>
      <c r="I26" s="64">
        <f t="shared" si="5"/>
        <v>8</v>
      </c>
      <c r="J26" s="65">
        <f t="shared" si="11"/>
        <v>3865.4259149932882</v>
      </c>
      <c r="K26" s="66">
        <f t="shared" si="12"/>
        <v>3037.5852916477415</v>
      </c>
      <c r="L26" s="66">
        <f t="shared" si="6"/>
        <v>827.84062334554665</v>
      </c>
      <c r="M26" s="66">
        <f t="shared" si="7"/>
        <v>693477.36889613827</v>
      </c>
      <c r="N26" s="45"/>
      <c r="O26" s="45"/>
      <c r="P26" s="64">
        <f t="shared" si="8"/>
        <v>8</v>
      </c>
      <c r="Q26" s="65">
        <f t="shared" si="9"/>
        <v>895.35799997349602</v>
      </c>
      <c r="R26" s="66">
        <f t="shared" si="14"/>
        <v>850.75787511127203</v>
      </c>
      <c r="S26" s="66">
        <f t="shared" si="13"/>
        <v>44.600124862223993</v>
      </c>
      <c r="T26" s="66">
        <f t="shared" si="10"/>
        <v>99653.588364739961</v>
      </c>
      <c r="U26" s="45"/>
    </row>
    <row r="27" spans="1:21" ht="15">
      <c r="A27" s="45"/>
      <c r="B27" s="64">
        <f t="shared" si="0"/>
        <v>9</v>
      </c>
      <c r="C27" s="65">
        <f t="shared" si="1"/>
        <v>4424.4761644507462</v>
      </c>
      <c r="D27" s="66">
        <f t="shared" si="2"/>
        <v>3763.7193809523724</v>
      </c>
      <c r="E27" s="66">
        <f t="shared" si="3"/>
        <v>660.75678349837381</v>
      </c>
      <c r="F27" s="66">
        <f t="shared" si="4"/>
        <v>694179.74431540119</v>
      </c>
      <c r="G27" s="45"/>
      <c r="H27" s="45"/>
      <c r="I27" s="64">
        <f t="shared" si="5"/>
        <v>9</v>
      </c>
      <c r="J27" s="65">
        <f t="shared" si="11"/>
        <v>3865.4259149932882</v>
      </c>
      <c r="K27" s="66">
        <f t="shared" si="12"/>
        <v>3033.9634889206045</v>
      </c>
      <c r="L27" s="66">
        <f t="shared" si="6"/>
        <v>831.46242607268368</v>
      </c>
      <c r="M27" s="66">
        <f t="shared" si="7"/>
        <v>692645.90647006559</v>
      </c>
      <c r="N27" s="45"/>
      <c r="O27" s="45"/>
      <c r="P27" s="64">
        <f t="shared" si="8"/>
        <v>9</v>
      </c>
      <c r="Q27" s="65">
        <f t="shared" si="9"/>
        <v>895.35799997349602</v>
      </c>
      <c r="R27" s="66">
        <f t="shared" si="14"/>
        <v>850.37728737911436</v>
      </c>
      <c r="S27" s="66">
        <f t="shared" si="13"/>
        <v>44.980712594381657</v>
      </c>
      <c r="T27" s="66">
        <f t="shared" si="10"/>
        <v>99608.607652145583</v>
      </c>
      <c r="U27" s="45"/>
    </row>
    <row r="28" spans="1:21" ht="15">
      <c r="A28" s="45"/>
      <c r="B28" s="64">
        <f t="shared" si="0"/>
        <v>10</v>
      </c>
      <c r="C28" s="65">
        <f t="shared" si="1"/>
        <v>4424.4761644507462</v>
      </c>
      <c r="D28" s="66">
        <f t="shared" si="2"/>
        <v>3760.1402817084231</v>
      </c>
      <c r="E28" s="66">
        <f t="shared" si="3"/>
        <v>664.33588274232307</v>
      </c>
      <c r="F28" s="66">
        <f t="shared" si="4"/>
        <v>693515.40843265888</v>
      </c>
      <c r="G28" s="45"/>
      <c r="H28" s="45"/>
      <c r="I28" s="64">
        <f t="shared" si="5"/>
        <v>10</v>
      </c>
      <c r="J28" s="65">
        <f t="shared" si="11"/>
        <v>3865.4259149932882</v>
      </c>
      <c r="K28" s="66">
        <f t="shared" si="12"/>
        <v>3030.3258408065367</v>
      </c>
      <c r="L28" s="66">
        <f t="shared" si="6"/>
        <v>835.1000741867515</v>
      </c>
      <c r="M28" s="66">
        <f t="shared" si="7"/>
        <v>691810.80639587878</v>
      </c>
      <c r="N28" s="45"/>
      <c r="O28" s="45"/>
      <c r="P28" s="64">
        <f t="shared" si="8"/>
        <v>10</v>
      </c>
      <c r="Q28" s="65">
        <f t="shared" si="9"/>
        <v>895.35799997349602</v>
      </c>
      <c r="R28" s="66">
        <f t="shared" si="14"/>
        <v>849.99345196497563</v>
      </c>
      <c r="S28" s="66">
        <f t="shared" si="13"/>
        <v>45.364548008520387</v>
      </c>
      <c r="T28" s="66">
        <f t="shared" si="10"/>
        <v>99563.243104137058</v>
      </c>
      <c r="U28" s="45"/>
    </row>
    <row r="29" spans="1:21" ht="15">
      <c r="A29" s="45"/>
      <c r="B29" s="64">
        <f t="shared" si="0"/>
        <v>11</v>
      </c>
      <c r="C29" s="65">
        <f t="shared" si="1"/>
        <v>4424.4761644507462</v>
      </c>
      <c r="D29" s="66">
        <f t="shared" si="2"/>
        <v>3756.5417956769024</v>
      </c>
      <c r="E29" s="66">
        <f t="shared" si="3"/>
        <v>667.93436877384374</v>
      </c>
      <c r="F29" s="66">
        <f t="shared" si="4"/>
        <v>692847.47406388505</v>
      </c>
      <c r="G29" s="45"/>
      <c r="H29" s="45"/>
      <c r="I29" s="64">
        <f t="shared" si="5"/>
        <v>11</v>
      </c>
      <c r="J29" s="65">
        <f t="shared" si="11"/>
        <v>3865.4259149932882</v>
      </c>
      <c r="K29" s="66">
        <f t="shared" si="12"/>
        <v>3026.6722779819693</v>
      </c>
      <c r="L29" s="66">
        <f t="shared" si="6"/>
        <v>838.75363701131892</v>
      </c>
      <c r="M29" s="66">
        <f t="shared" si="7"/>
        <v>690972.0527588675</v>
      </c>
      <c r="N29" s="45"/>
      <c r="O29" s="45"/>
      <c r="P29" s="64">
        <f t="shared" si="8"/>
        <v>11</v>
      </c>
      <c r="Q29" s="65">
        <f t="shared" si="9"/>
        <v>895.35799997349602</v>
      </c>
      <c r="R29" s="66">
        <f t="shared" si="14"/>
        <v>849.60634115530297</v>
      </c>
      <c r="S29" s="66">
        <f t="shared" si="13"/>
        <v>45.75165881819305</v>
      </c>
      <c r="T29" s="66">
        <f t="shared" si="10"/>
        <v>99517.491445318869</v>
      </c>
      <c r="U29" s="45"/>
    </row>
    <row r="30" spans="1:21" ht="15">
      <c r="A30" s="45"/>
      <c r="B30" s="64">
        <f t="shared" si="0"/>
        <v>12</v>
      </c>
      <c r="C30" s="65">
        <f t="shared" si="1"/>
        <v>4424.4761644507462</v>
      </c>
      <c r="D30" s="66">
        <f t="shared" si="2"/>
        <v>3752.9238178460441</v>
      </c>
      <c r="E30" s="66">
        <f t="shared" si="3"/>
        <v>671.55234660470205</v>
      </c>
      <c r="F30" s="66">
        <f t="shared" si="4"/>
        <v>692175.92171728029</v>
      </c>
      <c r="G30" s="63"/>
      <c r="H30" s="45"/>
      <c r="I30" s="64">
        <f t="shared" si="5"/>
        <v>12</v>
      </c>
      <c r="J30" s="65">
        <f t="shared" si="11"/>
        <v>3865.4259149932882</v>
      </c>
      <c r="K30" s="66">
        <f t="shared" si="12"/>
        <v>3023.0027308200451</v>
      </c>
      <c r="L30" s="66">
        <f t="shared" si="6"/>
        <v>842.42318417324304</v>
      </c>
      <c r="M30" s="66">
        <f t="shared" si="7"/>
        <v>690129.62957469421</v>
      </c>
      <c r="N30" s="45"/>
      <c r="O30" s="45"/>
      <c r="P30" s="64">
        <f t="shared" si="8"/>
        <v>12</v>
      </c>
      <c r="Q30" s="65">
        <f t="shared" si="9"/>
        <v>895.35799997349602</v>
      </c>
      <c r="R30" s="66">
        <f t="shared" si="14"/>
        <v>849.21592700005442</v>
      </c>
      <c r="S30" s="66">
        <f t="shared" si="13"/>
        <v>46.1420729734416</v>
      </c>
      <c r="T30" s="66">
        <f t="shared" si="10"/>
        <v>99471.34937234543</v>
      </c>
      <c r="U30" s="45"/>
    </row>
    <row r="31" spans="1:21" ht="15">
      <c r="A31" s="45"/>
      <c r="B31" s="64">
        <f t="shared" si="0"/>
        <v>13</v>
      </c>
      <c r="C31" s="65">
        <f t="shared" si="1"/>
        <v>4424.4761644507462</v>
      </c>
      <c r="D31" s="66">
        <f t="shared" si="2"/>
        <v>3749.2862426352685</v>
      </c>
      <c r="E31" s="66">
        <f t="shared" si="3"/>
        <v>675.18992181547765</v>
      </c>
      <c r="F31" s="66">
        <f t="shared" si="4"/>
        <v>691500.73179546476</v>
      </c>
      <c r="G31" s="45"/>
      <c r="H31" s="45"/>
      <c r="I31" s="64">
        <f t="shared" si="5"/>
        <v>13</v>
      </c>
      <c r="J31" s="65">
        <f t="shared" si="11"/>
        <v>3865.4259149932882</v>
      </c>
      <c r="K31" s="66">
        <f t="shared" si="12"/>
        <v>3019.3171293892869</v>
      </c>
      <c r="L31" s="66">
        <f t="shared" si="6"/>
        <v>846.10878560400124</v>
      </c>
      <c r="M31" s="66">
        <f t="shared" si="7"/>
        <v>689283.52078909019</v>
      </c>
      <c r="N31" s="45"/>
      <c r="O31" s="45"/>
      <c r="P31" s="64">
        <f t="shared" si="8"/>
        <v>13</v>
      </c>
      <c r="Q31" s="65">
        <f t="shared" si="9"/>
        <v>895.35799997349602</v>
      </c>
      <c r="R31" s="66">
        <f t="shared" si="14"/>
        <v>848.822181310681</v>
      </c>
      <c r="S31" s="66">
        <f t="shared" si="13"/>
        <v>46.535818662815018</v>
      </c>
      <c r="T31" s="66">
        <f t="shared" si="10"/>
        <v>99424.813553682616</v>
      </c>
      <c r="U31" s="45"/>
    </row>
    <row r="32" spans="1:21" ht="15">
      <c r="A32" s="45"/>
      <c r="B32" s="64">
        <f t="shared" si="0"/>
        <v>14</v>
      </c>
      <c r="C32" s="65">
        <f t="shared" si="1"/>
        <v>4424.4761644507462</v>
      </c>
      <c r="D32" s="66">
        <f t="shared" si="2"/>
        <v>3745.6289638921007</v>
      </c>
      <c r="E32" s="66">
        <f t="shared" si="3"/>
        <v>678.84720055864545</v>
      </c>
      <c r="F32" s="66">
        <f t="shared" si="4"/>
        <v>690821.88459490612</v>
      </c>
      <c r="G32" s="45"/>
      <c r="H32" s="45"/>
      <c r="I32" s="64">
        <f t="shared" si="5"/>
        <v>14</v>
      </c>
      <c r="J32" s="65">
        <f t="shared" si="11"/>
        <v>3865.4259149932882</v>
      </c>
      <c r="K32" s="66">
        <f t="shared" si="12"/>
        <v>3015.6154034522692</v>
      </c>
      <c r="L32" s="66">
        <f t="shared" si="6"/>
        <v>849.81051154101897</v>
      </c>
      <c r="M32" s="66">
        <f t="shared" si="7"/>
        <v>688433.71027754922</v>
      </c>
      <c r="N32" s="45"/>
      <c r="O32" s="45"/>
      <c r="P32" s="64">
        <f t="shared" si="8"/>
        <v>14</v>
      </c>
      <c r="Q32" s="65">
        <f t="shared" si="9"/>
        <v>895.35799997349602</v>
      </c>
      <c r="R32" s="66">
        <f t="shared" si="14"/>
        <v>848.42507565809171</v>
      </c>
      <c r="S32" s="66">
        <f t="shared" si="13"/>
        <v>46.932924315404307</v>
      </c>
      <c r="T32" s="66">
        <f t="shared" si="10"/>
        <v>99377.88062936721</v>
      </c>
      <c r="U32" s="45"/>
    </row>
    <row r="33" spans="1:21" ht="15">
      <c r="A33" s="45"/>
      <c r="B33" s="64">
        <f t="shared" si="0"/>
        <v>15</v>
      </c>
      <c r="C33" s="65">
        <f t="shared" si="1"/>
        <v>4424.4761644507462</v>
      </c>
      <c r="D33" s="66">
        <f t="shared" si="2"/>
        <v>3741.951874889075</v>
      </c>
      <c r="E33" s="66">
        <f t="shared" si="3"/>
        <v>682.52428956167114</v>
      </c>
      <c r="F33" s="66">
        <f t="shared" si="4"/>
        <v>690139.36030534445</v>
      </c>
      <c r="G33" s="45"/>
      <c r="H33" s="45"/>
      <c r="I33" s="64">
        <f t="shared" si="5"/>
        <v>15</v>
      </c>
      <c r="J33" s="65">
        <f t="shared" si="11"/>
        <v>3865.4259149932882</v>
      </c>
      <c r="K33" s="66">
        <f t="shared" si="12"/>
        <v>3011.8974824642773</v>
      </c>
      <c r="L33" s="66">
        <f t="shared" si="6"/>
        <v>853.52843252901084</v>
      </c>
      <c r="M33" s="66">
        <f t="shared" si="7"/>
        <v>687580.18184502027</v>
      </c>
      <c r="N33" s="45"/>
      <c r="O33" s="45"/>
      <c r="P33" s="64">
        <f t="shared" si="8"/>
        <v>15</v>
      </c>
      <c r="Q33" s="65">
        <f t="shared" si="9"/>
        <v>895.35799997349602</v>
      </c>
      <c r="R33" s="66">
        <f t="shared" si="14"/>
        <v>848.02458137060023</v>
      </c>
      <c r="S33" s="66">
        <f t="shared" si="13"/>
        <v>47.33341860289579</v>
      </c>
      <c r="T33" s="66">
        <f t="shared" si="10"/>
        <v>99330.547210764315</v>
      </c>
      <c r="U33" s="45"/>
    </row>
    <row r="34" spans="1:21" ht="15">
      <c r="A34" s="45"/>
      <c r="B34" s="64">
        <f t="shared" si="0"/>
        <v>16</v>
      </c>
      <c r="C34" s="65">
        <f t="shared" si="1"/>
        <v>4424.4761644507462</v>
      </c>
      <c r="D34" s="66">
        <f t="shared" si="2"/>
        <v>3738.254868320616</v>
      </c>
      <c r="E34" s="66">
        <f t="shared" si="3"/>
        <v>686.22129613013021</v>
      </c>
      <c r="F34" s="66">
        <f t="shared" si="4"/>
        <v>689453.13900921436</v>
      </c>
      <c r="G34" s="45"/>
      <c r="H34" s="45"/>
      <c r="I34" s="64">
        <f t="shared" si="5"/>
        <v>16</v>
      </c>
      <c r="J34" s="65">
        <f t="shared" si="11"/>
        <v>3865.4259149932882</v>
      </c>
      <c r="K34" s="66">
        <f t="shared" si="12"/>
        <v>3008.1632955719633</v>
      </c>
      <c r="L34" s="66">
        <f t="shared" si="6"/>
        <v>857.26261942132487</v>
      </c>
      <c r="M34" s="66">
        <f t="shared" si="7"/>
        <v>686722.91922559892</v>
      </c>
      <c r="N34" s="45"/>
      <c r="O34" s="45"/>
      <c r="P34" s="64">
        <f t="shared" si="8"/>
        <v>16</v>
      </c>
      <c r="Q34" s="65">
        <f t="shared" si="9"/>
        <v>895.35799997349602</v>
      </c>
      <c r="R34" s="66">
        <f t="shared" si="14"/>
        <v>847.62066953185547</v>
      </c>
      <c r="S34" s="66">
        <f t="shared" si="13"/>
        <v>47.737330441640552</v>
      </c>
      <c r="T34" s="66">
        <f t="shared" si="10"/>
        <v>99282.809880322675</v>
      </c>
      <c r="U34" s="45"/>
    </row>
    <row r="35" spans="1:21" ht="15">
      <c r="A35" s="45"/>
      <c r="B35" s="64">
        <f t="shared" si="0"/>
        <v>17</v>
      </c>
      <c r="C35" s="65">
        <f t="shared" si="1"/>
        <v>4424.4761644507462</v>
      </c>
      <c r="D35" s="66">
        <f t="shared" si="2"/>
        <v>3734.5378362999113</v>
      </c>
      <c r="E35" s="66">
        <f t="shared" si="3"/>
        <v>689.93832815083488</v>
      </c>
      <c r="F35" s="66">
        <f t="shared" si="4"/>
        <v>688763.20068106346</v>
      </c>
      <c r="G35" s="45"/>
      <c r="H35" s="45"/>
      <c r="I35" s="64">
        <f t="shared" si="5"/>
        <v>17</v>
      </c>
      <c r="J35" s="65">
        <f t="shared" si="11"/>
        <v>3865.4259149932882</v>
      </c>
      <c r="K35" s="66">
        <f t="shared" si="12"/>
        <v>3004.4127716119951</v>
      </c>
      <c r="L35" s="66">
        <f t="shared" si="6"/>
        <v>861.01314338129305</v>
      </c>
      <c r="M35" s="66">
        <f t="shared" si="7"/>
        <v>685861.90608221758</v>
      </c>
      <c r="N35" s="45"/>
      <c r="O35" s="45"/>
      <c r="P35" s="64">
        <f t="shared" si="8"/>
        <v>17</v>
      </c>
      <c r="Q35" s="65">
        <f t="shared" si="9"/>
        <v>895.35799997349602</v>
      </c>
      <c r="R35" s="66">
        <f t="shared" si="14"/>
        <v>847.2133109787535</v>
      </c>
      <c r="S35" s="66">
        <f t="shared" si="13"/>
        <v>48.144688994742523</v>
      </c>
      <c r="T35" s="66">
        <f t="shared" si="10"/>
        <v>99234.665191327935</v>
      </c>
      <c r="U35" s="45"/>
    </row>
    <row r="36" spans="1:21" ht="15">
      <c r="A36" s="45"/>
      <c r="B36" s="64">
        <f t="shared" si="0"/>
        <v>18</v>
      </c>
      <c r="C36" s="65">
        <f t="shared" si="1"/>
        <v>4424.4761644507462</v>
      </c>
      <c r="D36" s="66">
        <f t="shared" si="2"/>
        <v>3730.8006703557608</v>
      </c>
      <c r="E36" s="66">
        <f t="shared" si="3"/>
        <v>693.67549409498542</v>
      </c>
      <c r="F36" s="66">
        <f t="shared" si="4"/>
        <v>688069.5251869685</v>
      </c>
      <c r="G36" s="45"/>
      <c r="H36" s="45"/>
      <c r="I36" s="64">
        <f t="shared" si="5"/>
        <v>18</v>
      </c>
      <c r="J36" s="65">
        <f t="shared" si="11"/>
        <v>3865.4259149932882</v>
      </c>
      <c r="K36" s="66">
        <f t="shared" si="12"/>
        <v>3000.6458391097017</v>
      </c>
      <c r="L36" s="66">
        <f t="shared" si="6"/>
        <v>864.78007588358651</v>
      </c>
      <c r="M36" s="66">
        <f t="shared" si="7"/>
        <v>684997.12600633397</v>
      </c>
      <c r="N36" s="45"/>
      <c r="O36" s="45"/>
      <c r="P36" s="64">
        <f t="shared" si="8"/>
        <v>18</v>
      </c>
      <c r="Q36" s="65">
        <f t="shared" si="9"/>
        <v>895.35799997349602</v>
      </c>
      <c r="R36" s="66">
        <f t="shared" si="14"/>
        <v>846.80247629933172</v>
      </c>
      <c r="S36" s="66">
        <f t="shared" si="13"/>
        <v>48.555523674164306</v>
      </c>
      <c r="T36" s="66">
        <f t="shared" si="10"/>
        <v>99186.109667653771</v>
      </c>
      <c r="U36" s="45"/>
    </row>
    <row r="37" spans="1:21" ht="15">
      <c r="A37" s="45"/>
      <c r="B37" s="64">
        <f t="shared" si="0"/>
        <v>19</v>
      </c>
      <c r="C37" s="65">
        <f t="shared" si="1"/>
        <v>4424.4761644507462</v>
      </c>
      <c r="D37" s="66">
        <f t="shared" si="2"/>
        <v>3727.0432614294127</v>
      </c>
      <c r="E37" s="66">
        <f t="shared" si="3"/>
        <v>697.43290302133346</v>
      </c>
      <c r="F37" s="66">
        <f t="shared" si="4"/>
        <v>687372.09228394716</v>
      </c>
      <c r="G37" s="45"/>
      <c r="H37" s="45"/>
      <c r="I37" s="64">
        <f t="shared" si="5"/>
        <v>19</v>
      </c>
      <c r="J37" s="65">
        <f t="shared" si="11"/>
        <v>3865.4259149932882</v>
      </c>
      <c r="K37" s="66">
        <f t="shared" si="12"/>
        <v>2996.8624262777107</v>
      </c>
      <c r="L37" s="66">
        <f t="shared" si="6"/>
        <v>868.56348871557748</v>
      </c>
      <c r="M37" s="66">
        <f t="shared" si="7"/>
        <v>684128.56251761841</v>
      </c>
      <c r="N37" s="45"/>
      <c r="O37" s="45"/>
      <c r="P37" s="64">
        <f t="shared" si="8"/>
        <v>19</v>
      </c>
      <c r="Q37" s="65">
        <f t="shared" si="9"/>
        <v>895.35799997349602</v>
      </c>
      <c r="R37" s="66">
        <f t="shared" si="14"/>
        <v>846.38813583064552</v>
      </c>
      <c r="S37" s="66">
        <f t="shared" si="13"/>
        <v>48.969864142850497</v>
      </c>
      <c r="T37" s="66">
        <f t="shared" si="10"/>
        <v>99137.139803510916</v>
      </c>
      <c r="U37" s="45"/>
    </row>
    <row r="38" spans="1:21" ht="15">
      <c r="A38" s="45"/>
      <c r="B38" s="64">
        <f t="shared" si="0"/>
        <v>20</v>
      </c>
      <c r="C38" s="65">
        <f t="shared" si="1"/>
        <v>4424.4761644507462</v>
      </c>
      <c r="D38" s="66">
        <f t="shared" si="2"/>
        <v>3723.2654998713806</v>
      </c>
      <c r="E38" s="66">
        <f t="shared" si="3"/>
        <v>701.21066457936558</v>
      </c>
      <c r="F38" s="66">
        <f t="shared" si="4"/>
        <v>686670.88161936775</v>
      </c>
      <c r="G38" s="45"/>
      <c r="H38" s="45"/>
      <c r="I38" s="64">
        <f t="shared" si="5"/>
        <v>20</v>
      </c>
      <c r="J38" s="65">
        <f t="shared" si="11"/>
        <v>3865.4259149932882</v>
      </c>
      <c r="K38" s="66">
        <f t="shared" si="12"/>
        <v>2993.0624610145801</v>
      </c>
      <c r="L38" s="66">
        <f t="shared" si="6"/>
        <v>872.36345397870809</v>
      </c>
      <c r="M38" s="66">
        <f t="shared" si="7"/>
        <v>683256.19906363974</v>
      </c>
      <c r="N38" s="45"/>
      <c r="O38" s="45"/>
      <c r="P38" s="64">
        <f t="shared" si="8"/>
        <v>20</v>
      </c>
      <c r="Q38" s="65">
        <f t="shared" si="9"/>
        <v>895.35799997349602</v>
      </c>
      <c r="R38" s="66">
        <f t="shared" si="14"/>
        <v>845.97025965662647</v>
      </c>
      <c r="S38" s="66">
        <f t="shared" si="13"/>
        <v>49.387740316869554</v>
      </c>
      <c r="T38" s="66">
        <f t="shared" si="10"/>
        <v>99087.752063194042</v>
      </c>
      <c r="U38" s="45"/>
    </row>
    <row r="39" spans="1:21" ht="15">
      <c r="A39" s="45"/>
      <c r="B39" s="64">
        <f t="shared" si="0"/>
        <v>21</v>
      </c>
      <c r="C39" s="65">
        <f t="shared" si="1"/>
        <v>4424.4761644507462</v>
      </c>
      <c r="D39" s="66">
        <f t="shared" si="2"/>
        <v>3719.4672754382423</v>
      </c>
      <c r="E39" s="66">
        <f t="shared" si="3"/>
        <v>705.00888901250391</v>
      </c>
      <c r="F39" s="66">
        <f t="shared" si="4"/>
        <v>685965.87273035524</v>
      </c>
      <c r="G39" s="45"/>
      <c r="H39" s="45"/>
      <c r="I39" s="64">
        <f t="shared" si="5"/>
        <v>21</v>
      </c>
      <c r="J39" s="65">
        <f t="shared" si="11"/>
        <v>3865.4259149932882</v>
      </c>
      <c r="K39" s="66">
        <f t="shared" si="12"/>
        <v>2989.2458709034236</v>
      </c>
      <c r="L39" s="66">
        <f t="shared" si="6"/>
        <v>876.18004408986462</v>
      </c>
      <c r="M39" s="66">
        <f t="shared" si="7"/>
        <v>682380.01901954983</v>
      </c>
      <c r="N39" s="45"/>
      <c r="O39" s="45"/>
      <c r="P39" s="64">
        <f t="shared" si="8"/>
        <v>21</v>
      </c>
      <c r="Q39" s="65">
        <f t="shared" si="9"/>
        <v>895.35799997349602</v>
      </c>
      <c r="R39" s="66">
        <f t="shared" si="14"/>
        <v>845.54881760592252</v>
      </c>
      <c r="S39" s="66">
        <f t="shared" si="13"/>
        <v>49.809182367573499</v>
      </c>
      <c r="T39" s="66">
        <f t="shared" si="10"/>
        <v>99037.942880826464</v>
      </c>
      <c r="U39" s="45"/>
    </row>
    <row r="40" spans="1:21" ht="15">
      <c r="A40" s="45"/>
      <c r="B40" s="64">
        <f t="shared" si="0"/>
        <v>22</v>
      </c>
      <c r="C40" s="65">
        <f t="shared" si="1"/>
        <v>4424.4761644507462</v>
      </c>
      <c r="D40" s="66">
        <f t="shared" si="2"/>
        <v>3715.6484772894246</v>
      </c>
      <c r="E40" s="66">
        <f t="shared" si="3"/>
        <v>708.82768716132159</v>
      </c>
      <c r="F40" s="66">
        <f t="shared" si="4"/>
        <v>685257.04504319397</v>
      </c>
      <c r="G40" s="45"/>
      <c r="H40" s="45"/>
      <c r="I40" s="64">
        <f t="shared" si="5"/>
        <v>22</v>
      </c>
      <c r="J40" s="65">
        <f t="shared" si="11"/>
        <v>3865.4259149932882</v>
      </c>
      <c r="K40" s="66">
        <f t="shared" si="12"/>
        <v>2985.4125832105301</v>
      </c>
      <c r="L40" s="66">
        <f t="shared" si="6"/>
        <v>880.01333178275809</v>
      </c>
      <c r="M40" s="66">
        <f t="shared" si="7"/>
        <v>681500.00568776706</v>
      </c>
      <c r="N40" s="45"/>
      <c r="O40" s="45"/>
      <c r="P40" s="64">
        <f t="shared" si="8"/>
        <v>22</v>
      </c>
      <c r="Q40" s="65">
        <f t="shared" si="9"/>
        <v>895.35799997349602</v>
      </c>
      <c r="R40" s="66">
        <f t="shared" si="14"/>
        <v>845.12377924971918</v>
      </c>
      <c r="S40" s="66">
        <f t="shared" si="13"/>
        <v>50.234220723776843</v>
      </c>
      <c r="T40" s="66">
        <f t="shared" si="10"/>
        <v>98987.708660102682</v>
      </c>
      <c r="U40" s="45"/>
    </row>
    <row r="41" spans="1:21" ht="15">
      <c r="A41" s="45"/>
      <c r="B41" s="64">
        <f t="shared" si="0"/>
        <v>23</v>
      </c>
      <c r="C41" s="65">
        <f t="shared" si="1"/>
        <v>4424.4761644507462</v>
      </c>
      <c r="D41" s="66">
        <f t="shared" si="2"/>
        <v>3711.8089939839674</v>
      </c>
      <c r="E41" s="66">
        <f t="shared" si="3"/>
        <v>712.66717046677877</v>
      </c>
      <c r="F41" s="66">
        <f t="shared" si="4"/>
        <v>684544.37787272723</v>
      </c>
      <c r="G41" s="45"/>
      <c r="H41" s="45"/>
      <c r="I41" s="64">
        <f t="shared" si="5"/>
        <v>23</v>
      </c>
      <c r="J41" s="65">
        <f t="shared" si="11"/>
        <v>3865.4259149932882</v>
      </c>
      <c r="K41" s="66">
        <f t="shared" si="12"/>
        <v>2981.5625248839806</v>
      </c>
      <c r="L41" s="66">
        <f t="shared" si="6"/>
        <v>883.8633901093076</v>
      </c>
      <c r="M41" s="66">
        <f t="shared" si="7"/>
        <v>680616.14229765779</v>
      </c>
      <c r="N41" s="45"/>
      <c r="O41" s="45"/>
      <c r="P41" s="64">
        <f t="shared" si="8"/>
        <v>23</v>
      </c>
      <c r="Q41" s="65">
        <f t="shared" si="9"/>
        <v>895.35799997349602</v>
      </c>
      <c r="R41" s="66">
        <f t="shared" si="14"/>
        <v>844.69511389954289</v>
      </c>
      <c r="S41" s="66">
        <f t="shared" si="13"/>
        <v>50.662886073953132</v>
      </c>
      <c r="T41" s="66">
        <f t="shared" si="10"/>
        <v>98937.045774028724</v>
      </c>
      <c r="U41" s="45"/>
    </row>
    <row r="42" spans="1:21" ht="15">
      <c r="A42" s="45"/>
      <c r="B42" s="64">
        <f t="shared" si="0"/>
        <v>24</v>
      </c>
      <c r="C42" s="65">
        <f t="shared" si="1"/>
        <v>4424.4761644507462</v>
      </c>
      <c r="D42" s="66">
        <f t="shared" si="2"/>
        <v>3707.9487134772726</v>
      </c>
      <c r="E42" s="66">
        <f t="shared" si="3"/>
        <v>716.52745097347361</v>
      </c>
      <c r="F42" s="66">
        <f t="shared" si="4"/>
        <v>683827.85042175371</v>
      </c>
      <c r="G42" s="63"/>
      <c r="H42" s="45"/>
      <c r="I42" s="64">
        <f t="shared" si="5"/>
        <v>24</v>
      </c>
      <c r="J42" s="65">
        <f t="shared" si="11"/>
        <v>3865.4259149932882</v>
      </c>
      <c r="K42" s="66">
        <f t="shared" si="12"/>
        <v>2977.6956225522526</v>
      </c>
      <c r="L42" s="66">
        <f t="shared" si="6"/>
        <v>887.73029244103554</v>
      </c>
      <c r="M42" s="66">
        <f t="shared" si="7"/>
        <v>679728.4120052167</v>
      </c>
      <c r="N42" s="63"/>
      <c r="O42" s="45"/>
      <c r="P42" s="64">
        <f t="shared" si="8"/>
        <v>24</v>
      </c>
      <c r="Q42" s="65">
        <f t="shared" si="9"/>
        <v>895.35799997349602</v>
      </c>
      <c r="R42" s="66">
        <f t="shared" si="14"/>
        <v>844.2627906050451</v>
      </c>
      <c r="S42" s="66">
        <f t="shared" si="13"/>
        <v>51.095209368450924</v>
      </c>
      <c r="T42" s="66">
        <f t="shared" si="10"/>
        <v>98885.950564660277</v>
      </c>
      <c r="U42" s="63"/>
    </row>
    <row r="43" spans="1:21" ht="15">
      <c r="A43" s="45"/>
      <c r="B43" s="64">
        <f t="shared" si="0"/>
        <v>25</v>
      </c>
      <c r="C43" s="65">
        <f t="shared" si="1"/>
        <v>4424.4761644507462</v>
      </c>
      <c r="D43" s="66">
        <f t="shared" si="2"/>
        <v>3704.0675231178329</v>
      </c>
      <c r="E43" s="66">
        <f t="shared" si="3"/>
        <v>720.40864133291325</v>
      </c>
      <c r="F43" s="66">
        <f t="shared" si="4"/>
        <v>683107.44178042084</v>
      </c>
      <c r="G43" s="45"/>
      <c r="H43" s="45"/>
      <c r="I43" s="64">
        <f t="shared" si="5"/>
        <v>25</v>
      </c>
      <c r="J43" s="65">
        <f t="shared" si="11"/>
        <v>3865.4259149932882</v>
      </c>
      <c r="K43" s="66">
        <f t="shared" si="12"/>
        <v>2973.8118025228227</v>
      </c>
      <c r="L43" s="66">
        <f t="shared" si="6"/>
        <v>891.61411247046544</v>
      </c>
      <c r="M43" s="66">
        <f t="shared" si="7"/>
        <v>678836.79789274628</v>
      </c>
      <c r="N43" s="45"/>
      <c r="O43" s="45"/>
      <c r="P43" s="64">
        <f t="shared" si="8"/>
        <v>25</v>
      </c>
      <c r="Q43" s="65">
        <f t="shared" si="9"/>
        <v>895.35799997349602</v>
      </c>
      <c r="R43" s="66">
        <f t="shared" si="14"/>
        <v>843.82677815176771</v>
      </c>
      <c r="S43" s="66">
        <f t="shared" si="13"/>
        <v>51.531221821728309</v>
      </c>
      <c r="T43" s="66">
        <f t="shared" si="10"/>
        <v>98834.419342838548</v>
      </c>
      <c r="U43" s="45"/>
    </row>
    <row r="44" spans="1:21" ht="15">
      <c r="A44" s="45"/>
      <c r="B44" s="64">
        <f t="shared" si="0"/>
        <v>26</v>
      </c>
      <c r="C44" s="65">
        <f t="shared" si="1"/>
        <v>4424.4761644507462</v>
      </c>
      <c r="D44" s="66">
        <f t="shared" si="2"/>
        <v>3700.1653096439463</v>
      </c>
      <c r="E44" s="66">
        <f t="shared" si="3"/>
        <v>724.31085480679985</v>
      </c>
      <c r="F44" s="66">
        <f t="shared" si="4"/>
        <v>682383.13092561404</v>
      </c>
      <c r="G44" s="45"/>
      <c r="H44" s="45"/>
      <c r="I44" s="64">
        <f t="shared" si="5"/>
        <v>26</v>
      </c>
      <c r="J44" s="65">
        <f t="shared" si="11"/>
        <v>3865.4259149932882</v>
      </c>
      <c r="K44" s="66">
        <f t="shared" si="12"/>
        <v>2969.9109907807647</v>
      </c>
      <c r="L44" s="66">
        <f t="shared" si="6"/>
        <v>895.51492421252351</v>
      </c>
      <c r="M44" s="66">
        <f t="shared" si="7"/>
        <v>677941.28296853381</v>
      </c>
      <c r="N44" s="45"/>
      <c r="O44" s="45"/>
      <c r="P44" s="64">
        <f t="shared" si="8"/>
        <v>26</v>
      </c>
      <c r="Q44" s="65">
        <f t="shared" si="9"/>
        <v>895.35799997349602</v>
      </c>
      <c r="R44" s="66">
        <f t="shared" si="14"/>
        <v>843.38704505888893</v>
      </c>
      <c r="S44" s="66">
        <f t="shared" si="13"/>
        <v>51.970954914607091</v>
      </c>
      <c r="T44" s="66">
        <f t="shared" si="10"/>
        <v>98782.448387923941</v>
      </c>
      <c r="U44" s="45"/>
    </row>
    <row r="45" spans="1:21" ht="15">
      <c r="A45" s="45"/>
      <c r="B45" s="64">
        <f t="shared" si="0"/>
        <v>27</v>
      </c>
      <c r="C45" s="65">
        <f t="shared" si="1"/>
        <v>4424.4761644507462</v>
      </c>
      <c r="D45" s="66">
        <f t="shared" si="2"/>
        <v>3696.2419591804096</v>
      </c>
      <c r="E45" s="66">
        <f t="shared" si="3"/>
        <v>728.23420527033659</v>
      </c>
      <c r="F45" s="66">
        <f t="shared" si="4"/>
        <v>681654.89672034374</v>
      </c>
      <c r="G45" s="45"/>
      <c r="H45" s="45"/>
      <c r="I45" s="64">
        <f t="shared" si="5"/>
        <v>27</v>
      </c>
      <c r="J45" s="65">
        <f t="shared" si="11"/>
        <v>3865.4259149932882</v>
      </c>
      <c r="K45" s="66">
        <f t="shared" si="12"/>
        <v>2965.9931129873353</v>
      </c>
      <c r="L45" s="66">
        <f t="shared" si="6"/>
        <v>899.43280200595291</v>
      </c>
      <c r="M45" s="66">
        <f t="shared" si="7"/>
        <v>677041.8501665279</v>
      </c>
      <c r="N45" s="45"/>
      <c r="O45" s="45"/>
      <c r="P45" s="64">
        <f t="shared" si="8"/>
        <v>27</v>
      </c>
      <c r="Q45" s="65">
        <f t="shared" si="9"/>
        <v>895.35799997349602</v>
      </c>
      <c r="R45" s="66">
        <f t="shared" si="14"/>
        <v>842.94355957695097</v>
      </c>
      <c r="S45" s="66">
        <f t="shared" si="13"/>
        <v>52.414440396545046</v>
      </c>
      <c r="T45" s="66">
        <f t="shared" si="10"/>
        <v>98730.033947527394</v>
      </c>
      <c r="U45" s="45"/>
    </row>
    <row r="46" spans="1:21" ht="15">
      <c r="A46" s="45"/>
      <c r="B46" s="64">
        <f t="shared" si="0"/>
        <v>28</v>
      </c>
      <c r="C46" s="65">
        <f t="shared" si="1"/>
        <v>4424.4761644507462</v>
      </c>
      <c r="D46" s="66">
        <f t="shared" si="2"/>
        <v>3692.2973572351952</v>
      </c>
      <c r="E46" s="66">
        <f t="shared" si="3"/>
        <v>732.17880721555093</v>
      </c>
      <c r="F46" s="66">
        <f t="shared" si="4"/>
        <v>680922.7179131282</v>
      </c>
      <c r="G46" s="45"/>
      <c r="H46" s="45"/>
      <c r="I46" s="64">
        <f t="shared" si="5"/>
        <v>28</v>
      </c>
      <c r="J46" s="65">
        <f t="shared" si="11"/>
        <v>3865.4259149932882</v>
      </c>
      <c r="K46" s="66">
        <f t="shared" si="12"/>
        <v>2962.0580944785593</v>
      </c>
      <c r="L46" s="66">
        <f t="shared" si="6"/>
        <v>903.36782051472892</v>
      </c>
      <c r="M46" s="66">
        <f t="shared" si="7"/>
        <v>676138.48234601319</v>
      </c>
      <c r="N46" s="45"/>
      <c r="O46" s="45"/>
      <c r="P46" s="64">
        <f t="shared" si="8"/>
        <v>28</v>
      </c>
      <c r="Q46" s="65">
        <f t="shared" si="9"/>
        <v>895.35799997349602</v>
      </c>
      <c r="R46" s="66">
        <f t="shared" si="14"/>
        <v>842.49628968556715</v>
      </c>
      <c r="S46" s="66">
        <f t="shared" si="13"/>
        <v>52.861710287928872</v>
      </c>
      <c r="T46" s="66">
        <f t="shared" si="10"/>
        <v>98677.172237239458</v>
      </c>
      <c r="U46" s="45"/>
    </row>
    <row r="47" spans="1:21" ht="15">
      <c r="A47" s="45"/>
      <c r="B47" s="64">
        <f t="shared" si="0"/>
        <v>29</v>
      </c>
      <c r="C47" s="65">
        <f t="shared" si="1"/>
        <v>4424.4761644507462</v>
      </c>
      <c r="D47" s="66">
        <f t="shared" si="2"/>
        <v>3688.3313886961114</v>
      </c>
      <c r="E47" s="66">
        <f t="shared" si="3"/>
        <v>736.14477575463479</v>
      </c>
      <c r="F47" s="66">
        <f t="shared" si="4"/>
        <v>680186.57313737355</v>
      </c>
      <c r="G47" s="45"/>
      <c r="H47" s="45"/>
      <c r="I47" s="64">
        <f t="shared" si="5"/>
        <v>29</v>
      </c>
      <c r="J47" s="65">
        <f t="shared" si="11"/>
        <v>3865.4259149932882</v>
      </c>
      <c r="K47" s="66">
        <f t="shared" si="12"/>
        <v>2958.1058602638072</v>
      </c>
      <c r="L47" s="66">
        <f t="shared" si="6"/>
        <v>907.32005472948094</v>
      </c>
      <c r="M47" s="66">
        <f t="shared" si="7"/>
        <v>675231.16229128372</v>
      </c>
      <c r="N47" s="45"/>
      <c r="O47" s="45"/>
      <c r="P47" s="64">
        <f t="shared" si="8"/>
        <v>29</v>
      </c>
      <c r="Q47" s="65">
        <f t="shared" si="9"/>
        <v>895.35799997349602</v>
      </c>
      <c r="R47" s="66">
        <f t="shared" si="14"/>
        <v>842.04520309111012</v>
      </c>
      <c r="S47" s="66">
        <f t="shared" si="13"/>
        <v>53.312796882385896</v>
      </c>
      <c r="T47" s="66">
        <f t="shared" si="10"/>
        <v>98623.859440357075</v>
      </c>
      <c r="U47" s="45"/>
    </row>
    <row r="48" spans="1:21" ht="15">
      <c r="A48" s="45"/>
      <c r="B48" s="64">
        <f t="shared" si="0"/>
        <v>30</v>
      </c>
      <c r="C48" s="65">
        <f t="shared" si="1"/>
        <v>4424.4761644507462</v>
      </c>
      <c r="D48" s="66">
        <f t="shared" si="2"/>
        <v>3684.3439378274402</v>
      </c>
      <c r="E48" s="66">
        <f t="shared" si="3"/>
        <v>740.132226623306</v>
      </c>
      <c r="F48" s="66">
        <f t="shared" si="4"/>
        <v>679446.44091075019</v>
      </c>
      <c r="G48" s="45"/>
      <c r="H48" s="45"/>
      <c r="I48" s="64">
        <f t="shared" si="5"/>
        <v>30</v>
      </c>
      <c r="J48" s="65">
        <f t="shared" si="11"/>
        <v>3865.4259149932882</v>
      </c>
      <c r="K48" s="66">
        <f t="shared" si="12"/>
        <v>2954.136335024366</v>
      </c>
      <c r="L48" s="66">
        <f t="shared" si="6"/>
        <v>911.28957996892223</v>
      </c>
      <c r="M48" s="66">
        <f t="shared" si="7"/>
        <v>674319.87271131482</v>
      </c>
      <c r="N48" s="45"/>
      <c r="O48" s="45"/>
      <c r="P48" s="64">
        <f t="shared" si="8"/>
        <v>30</v>
      </c>
      <c r="Q48" s="65">
        <f t="shared" si="9"/>
        <v>895.35799997349602</v>
      </c>
      <c r="R48" s="66">
        <f t="shared" si="14"/>
        <v>841.59026722438045</v>
      </c>
      <c r="S48" s="66">
        <f t="shared" si="13"/>
        <v>53.767732749115567</v>
      </c>
      <c r="T48" s="66">
        <f t="shared" si="10"/>
        <v>98570.091707607964</v>
      </c>
      <c r="U48" s="45"/>
    </row>
    <row r="49" spans="1:21" ht="15">
      <c r="A49" s="45"/>
      <c r="B49" s="64">
        <f t="shared" si="0"/>
        <v>31</v>
      </c>
      <c r="C49" s="65">
        <f t="shared" si="1"/>
        <v>4424.4761644507462</v>
      </c>
      <c r="D49" s="66">
        <f t="shared" si="2"/>
        <v>3680.3348882665637</v>
      </c>
      <c r="E49" s="66">
        <f t="shared" si="3"/>
        <v>744.14127618418252</v>
      </c>
      <c r="F49" s="66">
        <f t="shared" si="4"/>
        <v>678702.29963456595</v>
      </c>
      <c r="G49" s="45"/>
      <c r="H49" s="45"/>
      <c r="I49" s="64">
        <f t="shared" si="5"/>
        <v>31</v>
      </c>
      <c r="J49" s="65">
        <f t="shared" si="11"/>
        <v>3865.4259149932882</v>
      </c>
      <c r="K49" s="66">
        <f t="shared" si="12"/>
        <v>2950.1494431120022</v>
      </c>
      <c r="L49" s="66">
        <f t="shared" si="6"/>
        <v>915.27647188128594</v>
      </c>
      <c r="M49" s="66">
        <f t="shared" si="7"/>
        <v>673404.59623943351</v>
      </c>
      <c r="N49" s="45"/>
      <c r="O49" s="45"/>
      <c r="P49" s="64">
        <f t="shared" si="8"/>
        <v>31</v>
      </c>
      <c r="Q49" s="65">
        <f t="shared" si="9"/>
        <v>895.35799997349602</v>
      </c>
      <c r="R49" s="66">
        <f t="shared" si="14"/>
        <v>841.13144923825462</v>
      </c>
      <c r="S49" s="66">
        <f t="shared" si="13"/>
        <v>54.226550735241403</v>
      </c>
      <c r="T49" s="66">
        <f t="shared" si="10"/>
        <v>98515.865156872722</v>
      </c>
      <c r="U49" s="45"/>
    </row>
    <row r="50" spans="1:21" ht="15">
      <c r="A50" s="45"/>
      <c r="B50" s="64">
        <f t="shared" si="0"/>
        <v>32</v>
      </c>
      <c r="C50" s="65">
        <f t="shared" si="1"/>
        <v>4424.4761644507462</v>
      </c>
      <c r="D50" s="66">
        <f t="shared" si="2"/>
        <v>3676.3041230205658</v>
      </c>
      <c r="E50" s="66">
        <f t="shared" si="3"/>
        <v>748.17204143018034</v>
      </c>
      <c r="F50" s="66">
        <f t="shared" si="4"/>
        <v>677954.12759313581</v>
      </c>
      <c r="G50" s="45"/>
      <c r="H50" s="45"/>
      <c r="I50" s="64">
        <f t="shared" si="5"/>
        <v>32</v>
      </c>
      <c r="J50" s="65">
        <f t="shared" si="11"/>
        <v>3865.4259149932882</v>
      </c>
      <c r="K50" s="66">
        <f t="shared" si="12"/>
        <v>2946.1451085475214</v>
      </c>
      <c r="L50" s="66">
        <f t="shared" si="6"/>
        <v>919.28080644576676</v>
      </c>
      <c r="M50" s="66">
        <f t="shared" si="7"/>
        <v>672485.31543298776</v>
      </c>
      <c r="N50" s="45"/>
      <c r="O50" s="45"/>
      <c r="P50" s="64">
        <f t="shared" si="8"/>
        <v>32</v>
      </c>
      <c r="Q50" s="65">
        <f t="shared" si="9"/>
        <v>895.35799997349602</v>
      </c>
      <c r="R50" s="66">
        <f t="shared" si="14"/>
        <v>840.66871600531397</v>
      </c>
      <c r="S50" s="66">
        <f t="shared" si="13"/>
        <v>54.689283968182053</v>
      </c>
      <c r="T50" s="66">
        <f t="shared" si="10"/>
        <v>98461.17587290454</v>
      </c>
      <c r="U50" s="45"/>
    </row>
    <row r="51" spans="1:21" ht="15">
      <c r="A51" s="45"/>
      <c r="B51" s="64">
        <f t="shared" si="0"/>
        <v>33</v>
      </c>
      <c r="C51" s="65">
        <f t="shared" si="1"/>
        <v>4424.4761644507462</v>
      </c>
      <c r="D51" s="66">
        <f t="shared" si="2"/>
        <v>3672.2515244628189</v>
      </c>
      <c r="E51" s="66">
        <f t="shared" si="3"/>
        <v>752.22463998792728</v>
      </c>
      <c r="F51" s="66">
        <f t="shared" si="4"/>
        <v>677201.90295314789</v>
      </c>
      <c r="G51" s="45"/>
      <c r="H51" s="45"/>
      <c r="I51" s="64">
        <f t="shared" si="5"/>
        <v>33</v>
      </c>
      <c r="J51" s="65">
        <f t="shared" si="11"/>
        <v>3865.4259149932882</v>
      </c>
      <c r="K51" s="66">
        <f t="shared" si="12"/>
        <v>2942.1232550193213</v>
      </c>
      <c r="L51" s="66">
        <f t="shared" si="6"/>
        <v>923.30265997396691</v>
      </c>
      <c r="M51" s="66">
        <f t="shared" si="7"/>
        <v>671562.01277301379</v>
      </c>
      <c r="N51" s="45"/>
      <c r="O51" s="45"/>
      <c r="P51" s="64">
        <f t="shared" si="8"/>
        <v>33</v>
      </c>
      <c r="Q51" s="65">
        <f t="shared" si="9"/>
        <v>895.35799997349602</v>
      </c>
      <c r="R51" s="66">
        <f t="shared" si="14"/>
        <v>840.20203411545208</v>
      </c>
      <c r="S51" s="66">
        <f t="shared" si="13"/>
        <v>55.155965858043942</v>
      </c>
      <c r="T51" s="66">
        <f t="shared" si="10"/>
        <v>98406.019907046502</v>
      </c>
      <c r="U51" s="45"/>
    </row>
    <row r="52" spans="1:21" ht="15">
      <c r="A52" s="45"/>
      <c r="B52" s="64">
        <f t="shared" si="0"/>
        <v>34</v>
      </c>
      <c r="C52" s="65">
        <f t="shared" si="1"/>
        <v>4424.4761644507462</v>
      </c>
      <c r="D52" s="66">
        <f t="shared" si="2"/>
        <v>3668.1769743295513</v>
      </c>
      <c r="E52" s="66">
        <f t="shared" si="3"/>
        <v>756.2991901211949</v>
      </c>
      <c r="F52" s="66">
        <f t="shared" si="4"/>
        <v>676445.60376302665</v>
      </c>
      <c r="G52" s="45"/>
      <c r="H52" s="45"/>
      <c r="I52" s="64">
        <f t="shared" si="5"/>
        <v>34</v>
      </c>
      <c r="J52" s="65">
        <f t="shared" si="11"/>
        <v>3865.4259149932882</v>
      </c>
      <c r="K52" s="66">
        <f t="shared" si="12"/>
        <v>2938.0838058819349</v>
      </c>
      <c r="L52" s="66">
        <f t="shared" si="6"/>
        <v>927.34210911135324</v>
      </c>
      <c r="M52" s="66">
        <f t="shared" si="7"/>
        <v>670634.67066390242</v>
      </c>
      <c r="N52" s="45"/>
      <c r="O52" s="45"/>
      <c r="P52" s="64">
        <f t="shared" si="8"/>
        <v>34</v>
      </c>
      <c r="Q52" s="65">
        <f t="shared" si="9"/>
        <v>895.35799997349602</v>
      </c>
      <c r="R52" s="66">
        <f t="shared" si="14"/>
        <v>839.73136987346356</v>
      </c>
      <c r="S52" s="66">
        <f t="shared" si="13"/>
        <v>55.626630100032457</v>
      </c>
      <c r="T52" s="66">
        <f t="shared" si="10"/>
        <v>98350.393276946474</v>
      </c>
      <c r="U52" s="45"/>
    </row>
    <row r="53" spans="1:21" ht="15">
      <c r="A53" s="45"/>
      <c r="B53" s="64">
        <f t="shared" si="0"/>
        <v>35</v>
      </c>
      <c r="C53" s="65">
        <f t="shared" si="1"/>
        <v>4424.4761644507462</v>
      </c>
      <c r="D53" s="66">
        <f t="shared" si="2"/>
        <v>3664.0803537163947</v>
      </c>
      <c r="E53" s="66">
        <f t="shared" si="3"/>
        <v>760.39581073435147</v>
      </c>
      <c r="F53" s="66">
        <f t="shared" si="4"/>
        <v>675685.20795229229</v>
      </c>
      <c r="G53" s="45"/>
      <c r="H53" s="45"/>
      <c r="I53" s="64">
        <f t="shared" si="5"/>
        <v>35</v>
      </c>
      <c r="J53" s="65">
        <f t="shared" si="11"/>
        <v>3865.4259149932882</v>
      </c>
      <c r="K53" s="66">
        <f t="shared" si="12"/>
        <v>2934.0266841545726</v>
      </c>
      <c r="L53" s="66">
        <f t="shared" si="6"/>
        <v>931.39923083871554</v>
      </c>
      <c r="M53" s="66">
        <f t="shared" si="7"/>
        <v>669703.27143306367</v>
      </c>
      <c r="N53" s="45"/>
      <c r="O53" s="45"/>
      <c r="P53" s="64">
        <f t="shared" si="8"/>
        <v>35</v>
      </c>
      <c r="Q53" s="65">
        <f t="shared" si="9"/>
        <v>895.35799997349602</v>
      </c>
      <c r="R53" s="66">
        <f t="shared" si="14"/>
        <v>839.25668929660992</v>
      </c>
      <c r="S53" s="66">
        <f t="shared" si="13"/>
        <v>56.101310676886101</v>
      </c>
      <c r="T53" s="66">
        <f t="shared" si="10"/>
        <v>98294.291966269593</v>
      </c>
      <c r="U53" s="45"/>
    </row>
    <row r="54" spans="1:21" ht="15">
      <c r="A54" s="45"/>
      <c r="B54" s="64">
        <f t="shared" si="0"/>
        <v>36</v>
      </c>
      <c r="C54" s="65">
        <f t="shared" si="1"/>
        <v>4424.4761644507462</v>
      </c>
      <c r="D54" s="66">
        <f t="shared" si="2"/>
        <v>3659.9615430749168</v>
      </c>
      <c r="E54" s="66">
        <f t="shared" si="3"/>
        <v>764.51462137582939</v>
      </c>
      <c r="F54" s="66">
        <f t="shared" si="4"/>
        <v>674920.69333091646</v>
      </c>
      <c r="G54" s="45"/>
      <c r="H54" s="45"/>
      <c r="I54" s="64">
        <f t="shared" si="5"/>
        <v>36</v>
      </c>
      <c r="J54" s="65">
        <f t="shared" si="11"/>
        <v>3865.4259149932882</v>
      </c>
      <c r="K54" s="66">
        <f t="shared" si="12"/>
        <v>2929.9518125196532</v>
      </c>
      <c r="L54" s="66">
        <f t="shared" si="6"/>
        <v>935.47410247363496</v>
      </c>
      <c r="M54" s="66">
        <f t="shared" si="7"/>
        <v>668767.79733059008</v>
      </c>
      <c r="N54" s="45"/>
      <c r="O54" s="45"/>
      <c r="P54" s="64">
        <f t="shared" si="8"/>
        <v>36</v>
      </c>
      <c r="Q54" s="65">
        <f t="shared" si="9"/>
        <v>895.35799997349602</v>
      </c>
      <c r="R54" s="66">
        <f t="shared" si="14"/>
        <v>838.7779581121672</v>
      </c>
      <c r="S54" s="66">
        <f t="shared" si="13"/>
        <v>56.580041861328823</v>
      </c>
      <c r="T54" s="66">
        <f t="shared" si="10"/>
        <v>98237.711924408271</v>
      </c>
      <c r="U54" s="45"/>
    </row>
    <row r="55" spans="1:21" ht="15">
      <c r="A55" s="45"/>
      <c r="B55" s="64">
        <f t="shared" si="0"/>
        <v>37</v>
      </c>
      <c r="C55" s="65">
        <f t="shared" si="1"/>
        <v>4424.4761644507462</v>
      </c>
      <c r="D55" s="66">
        <f t="shared" si="2"/>
        <v>3655.8204222091308</v>
      </c>
      <c r="E55" s="66">
        <f t="shared" si="3"/>
        <v>768.65574224161537</v>
      </c>
      <c r="F55" s="66">
        <f t="shared" si="4"/>
        <v>674152.03758867481</v>
      </c>
      <c r="G55" s="45"/>
      <c r="H55" s="45"/>
      <c r="I55" s="64">
        <f t="shared" si="5"/>
        <v>37</v>
      </c>
      <c r="J55" s="65">
        <f t="shared" si="11"/>
        <v>3865.4259149932882</v>
      </c>
      <c r="K55" s="66">
        <f t="shared" si="12"/>
        <v>2925.8591133213313</v>
      </c>
      <c r="L55" s="66">
        <f t="shared" si="6"/>
        <v>939.56680167195691</v>
      </c>
      <c r="M55" s="66">
        <f t="shared" si="7"/>
        <v>667828.23052891809</v>
      </c>
      <c r="N55" s="45"/>
      <c r="O55" s="45"/>
      <c r="P55" s="64">
        <f t="shared" si="8"/>
        <v>37</v>
      </c>
      <c r="Q55" s="65">
        <f t="shared" si="9"/>
        <v>895.35799997349602</v>
      </c>
      <c r="R55" s="66">
        <f t="shared" si="14"/>
        <v>838.29514175495058</v>
      </c>
      <c r="S55" s="66">
        <f t="shared" si="13"/>
        <v>57.062858218545443</v>
      </c>
      <c r="T55" s="66">
        <f t="shared" si="10"/>
        <v>98180.649066189726</v>
      </c>
      <c r="U55" s="45"/>
    </row>
    <row r="56" spans="1:21" ht="15">
      <c r="A56" s="45"/>
      <c r="B56" s="64">
        <f t="shared" si="0"/>
        <v>38</v>
      </c>
      <c r="C56" s="65">
        <f t="shared" si="1"/>
        <v>4424.4761644507462</v>
      </c>
      <c r="D56" s="66">
        <f t="shared" si="2"/>
        <v>3651.6568702719887</v>
      </c>
      <c r="E56" s="66">
        <f t="shared" si="3"/>
        <v>772.81929417875745</v>
      </c>
      <c r="F56" s="66">
        <f t="shared" si="4"/>
        <v>673379.21829449607</v>
      </c>
      <c r="G56" s="45"/>
      <c r="H56" s="45"/>
      <c r="I56" s="64">
        <f t="shared" si="5"/>
        <v>38</v>
      </c>
      <c r="J56" s="65">
        <f t="shared" si="11"/>
        <v>3865.4259149932882</v>
      </c>
      <c r="K56" s="66">
        <f t="shared" si="12"/>
        <v>2921.7485085640164</v>
      </c>
      <c r="L56" s="66">
        <f t="shared" si="6"/>
        <v>943.67740642927174</v>
      </c>
      <c r="M56" s="66">
        <f t="shared" si="7"/>
        <v>666884.55312248878</v>
      </c>
      <c r="N56" s="45"/>
      <c r="O56" s="45"/>
      <c r="P56" s="64">
        <f t="shared" si="8"/>
        <v>38</v>
      </c>
      <c r="Q56" s="65">
        <f t="shared" si="9"/>
        <v>895.35799997349602</v>
      </c>
      <c r="R56" s="66">
        <f t="shared" si="14"/>
        <v>837.80820536481906</v>
      </c>
      <c r="S56" s="66">
        <f t="shared" si="13"/>
        <v>57.549794608676962</v>
      </c>
      <c r="T56" s="66">
        <f t="shared" si="10"/>
        <v>98123.099271581043</v>
      </c>
      <c r="U56" s="45"/>
    </row>
    <row r="57" spans="1:21" ht="15">
      <c r="A57" s="45"/>
      <c r="B57" s="64">
        <f t="shared" si="0"/>
        <v>39</v>
      </c>
      <c r="C57" s="65">
        <f t="shared" si="1"/>
        <v>4424.4761644507462</v>
      </c>
      <c r="D57" s="66">
        <f t="shared" si="2"/>
        <v>3647.4707657618537</v>
      </c>
      <c r="E57" s="66">
        <f t="shared" si="3"/>
        <v>777.00539868889246</v>
      </c>
      <c r="F57" s="66">
        <f t="shared" si="4"/>
        <v>672602.21289580723</v>
      </c>
      <c r="G57" s="45"/>
      <c r="H57" s="45"/>
      <c r="I57" s="64">
        <f t="shared" si="5"/>
        <v>39</v>
      </c>
      <c r="J57" s="65">
        <f t="shared" si="11"/>
        <v>3865.4259149932882</v>
      </c>
      <c r="K57" s="66">
        <f t="shared" si="12"/>
        <v>2917.6199199108883</v>
      </c>
      <c r="L57" s="66">
        <f t="shared" si="6"/>
        <v>947.80599508239993</v>
      </c>
      <c r="M57" s="66">
        <f t="shared" si="7"/>
        <v>665936.74712740642</v>
      </c>
      <c r="N57" s="45"/>
      <c r="O57" s="45"/>
      <c r="P57" s="64">
        <f t="shared" si="8"/>
        <v>39</v>
      </c>
      <c r="Q57" s="65">
        <f t="shared" si="9"/>
        <v>895.35799997349602</v>
      </c>
      <c r="R57" s="66">
        <f t="shared" si="14"/>
        <v>837.31711378415832</v>
      </c>
      <c r="S57" s="66">
        <f t="shared" si="13"/>
        <v>58.040886189337698</v>
      </c>
      <c r="T57" s="66">
        <f t="shared" si="10"/>
        <v>98065.058385391705</v>
      </c>
      <c r="U57" s="45"/>
    </row>
    <row r="58" spans="1:21" ht="15">
      <c r="A58" s="45"/>
      <c r="B58" s="64">
        <f t="shared" si="0"/>
        <v>40</v>
      </c>
      <c r="C58" s="65">
        <f t="shared" si="1"/>
        <v>4424.4761644507462</v>
      </c>
      <c r="D58" s="66">
        <f t="shared" si="2"/>
        <v>3643.2619865189558</v>
      </c>
      <c r="E58" s="66">
        <f t="shared" si="3"/>
        <v>781.21417793179035</v>
      </c>
      <c r="F58" s="66">
        <f t="shared" si="4"/>
        <v>671820.99871787545</v>
      </c>
      <c r="G58" s="45"/>
      <c r="H58" s="45"/>
      <c r="I58" s="64">
        <f t="shared" si="5"/>
        <v>40</v>
      </c>
      <c r="J58" s="65">
        <f t="shared" si="11"/>
        <v>3865.4259149932882</v>
      </c>
      <c r="K58" s="66">
        <f t="shared" si="12"/>
        <v>2913.4732686824027</v>
      </c>
      <c r="L58" s="66">
        <f t="shared" si="6"/>
        <v>951.95264631088548</v>
      </c>
      <c r="M58" s="66">
        <f t="shared" si="7"/>
        <v>664984.79448109551</v>
      </c>
      <c r="N58" s="45"/>
      <c r="O58" s="45"/>
      <c r="P58" s="64">
        <f t="shared" si="8"/>
        <v>40</v>
      </c>
      <c r="Q58" s="65">
        <f t="shared" si="9"/>
        <v>895.35799997349602</v>
      </c>
      <c r="R58" s="66">
        <f t="shared" si="14"/>
        <v>836.82183155534256</v>
      </c>
      <c r="S58" s="66">
        <f t="shared" si="13"/>
        <v>58.536168418153466</v>
      </c>
      <c r="T58" s="66">
        <f t="shared" si="10"/>
        <v>98006.52221697355</v>
      </c>
      <c r="U58" s="45"/>
    </row>
    <row r="59" spans="1:21" ht="15">
      <c r="A59" s="45"/>
      <c r="B59" s="64">
        <f t="shared" si="0"/>
        <v>41</v>
      </c>
      <c r="C59" s="65">
        <f t="shared" si="1"/>
        <v>4424.4761644507462</v>
      </c>
      <c r="D59" s="66">
        <f t="shared" si="2"/>
        <v>3639.0304097218254</v>
      </c>
      <c r="E59" s="66">
        <f t="shared" si="3"/>
        <v>785.44575472892075</v>
      </c>
      <c r="F59" s="66">
        <f t="shared" si="4"/>
        <v>671035.55296314647</v>
      </c>
      <c r="G59" s="45"/>
      <c r="H59" s="45"/>
      <c r="I59" s="64">
        <f t="shared" si="5"/>
        <v>41</v>
      </c>
      <c r="J59" s="65">
        <f t="shared" si="11"/>
        <v>3865.4259149932882</v>
      </c>
      <c r="K59" s="66">
        <f t="shared" si="12"/>
        <v>2909.3084758547925</v>
      </c>
      <c r="L59" s="66">
        <f t="shared" si="6"/>
        <v>956.11743913849568</v>
      </c>
      <c r="M59" s="66">
        <f t="shared" si="7"/>
        <v>664028.67704195704</v>
      </c>
      <c r="N59" s="45"/>
      <c r="O59" s="45"/>
      <c r="P59" s="64">
        <f t="shared" si="8"/>
        <v>41</v>
      </c>
      <c r="Q59" s="65">
        <f t="shared" si="9"/>
        <v>895.35799997349602</v>
      </c>
      <c r="R59" s="66">
        <f t="shared" si="14"/>
        <v>836.32232291817434</v>
      </c>
      <c r="S59" s="66">
        <f t="shared" si="13"/>
        <v>59.035677055321685</v>
      </c>
      <c r="T59" s="66">
        <f t="shared" si="10"/>
        <v>97947.486539918231</v>
      </c>
      <c r="U59" s="45"/>
    </row>
    <row r="60" spans="1:21" ht="15">
      <c r="A60" s="45"/>
      <c r="B60" s="64">
        <f t="shared" si="0"/>
        <v>42</v>
      </c>
      <c r="C60" s="65">
        <f t="shared" si="1"/>
        <v>4424.4761644507462</v>
      </c>
      <c r="D60" s="66">
        <f t="shared" si="2"/>
        <v>3634.7759118837103</v>
      </c>
      <c r="E60" s="66">
        <f t="shared" si="3"/>
        <v>789.70025256703593</v>
      </c>
      <c r="F60" s="66">
        <f t="shared" si="4"/>
        <v>670245.85271057941</v>
      </c>
      <c r="G60" s="45"/>
      <c r="H60" s="45"/>
      <c r="I60" s="64">
        <f t="shared" si="5"/>
        <v>42</v>
      </c>
      <c r="J60" s="65">
        <f t="shared" si="11"/>
        <v>3865.4259149932882</v>
      </c>
      <c r="K60" s="66">
        <f t="shared" si="12"/>
        <v>2905.1254620585619</v>
      </c>
      <c r="L60" s="66">
        <f t="shared" si="6"/>
        <v>960.30045293472631</v>
      </c>
      <c r="M60" s="66">
        <f t="shared" si="7"/>
        <v>663068.37658902234</v>
      </c>
      <c r="N60" s="45"/>
      <c r="O60" s="45"/>
      <c r="P60" s="64">
        <f t="shared" si="8"/>
        <v>42</v>
      </c>
      <c r="Q60" s="65">
        <f t="shared" si="9"/>
        <v>895.35799997349602</v>
      </c>
      <c r="R60" s="66">
        <f t="shared" si="14"/>
        <v>835.81855180730224</v>
      </c>
      <c r="S60" s="66">
        <f t="shared" si="13"/>
        <v>59.539448166193779</v>
      </c>
      <c r="T60" s="66">
        <f t="shared" si="10"/>
        <v>97887.947091752038</v>
      </c>
      <c r="U60" s="45"/>
    </row>
    <row r="61" spans="1:21" ht="15">
      <c r="A61" s="45"/>
      <c r="B61" s="64">
        <f t="shared" si="0"/>
        <v>43</v>
      </c>
      <c r="C61" s="65">
        <f t="shared" si="1"/>
        <v>4424.4761644507462</v>
      </c>
      <c r="D61" s="66">
        <f t="shared" si="2"/>
        <v>3630.4983688489719</v>
      </c>
      <c r="E61" s="66">
        <f t="shared" si="3"/>
        <v>793.97779560177423</v>
      </c>
      <c r="F61" s="66">
        <f t="shared" si="4"/>
        <v>669451.87491497758</v>
      </c>
      <c r="G61" s="45"/>
      <c r="H61" s="45"/>
      <c r="I61" s="64">
        <f t="shared" si="5"/>
        <v>43</v>
      </c>
      <c r="J61" s="65">
        <f t="shared" si="11"/>
        <v>3865.4259149932882</v>
      </c>
      <c r="K61" s="66">
        <f t="shared" si="12"/>
        <v>2900.9241475769722</v>
      </c>
      <c r="L61" s="66">
        <f t="shared" si="6"/>
        <v>964.50176741631594</v>
      </c>
      <c r="M61" s="66">
        <f t="shared" si="7"/>
        <v>662103.87482160598</v>
      </c>
      <c r="N61" s="45"/>
      <c r="O61" s="45"/>
      <c r="P61" s="64">
        <f t="shared" si="8"/>
        <v>43</v>
      </c>
      <c r="Q61" s="65">
        <f t="shared" si="9"/>
        <v>895.35799997349602</v>
      </c>
      <c r="R61" s="66">
        <f t="shared" si="14"/>
        <v>835.31048184961742</v>
      </c>
      <c r="S61" s="66">
        <f t="shared" si="13"/>
        <v>60.047518123878604</v>
      </c>
      <c r="T61" s="66">
        <f t="shared" si="10"/>
        <v>97827.899573628165</v>
      </c>
      <c r="U61" s="45"/>
    </row>
    <row r="62" spans="1:21" ht="15">
      <c r="A62" s="45"/>
      <c r="B62" s="64">
        <f t="shared" si="0"/>
        <v>44</v>
      </c>
      <c r="C62" s="65">
        <f t="shared" si="1"/>
        <v>4424.4761644507462</v>
      </c>
      <c r="D62" s="66">
        <f t="shared" si="2"/>
        <v>3626.1976557894618</v>
      </c>
      <c r="E62" s="66">
        <f t="shared" si="3"/>
        <v>798.27850866128438</v>
      </c>
      <c r="F62" s="66">
        <f t="shared" si="4"/>
        <v>668653.59640631627</v>
      </c>
      <c r="G62" s="45"/>
      <c r="H62" s="45"/>
      <c r="I62" s="64">
        <f t="shared" si="5"/>
        <v>44</v>
      </c>
      <c r="J62" s="65">
        <f t="shared" si="11"/>
        <v>3865.4259149932882</v>
      </c>
      <c r="K62" s="66">
        <f t="shared" si="12"/>
        <v>2896.7044523445256</v>
      </c>
      <c r="L62" s="66">
        <f t="shared" si="6"/>
        <v>968.72146264876255</v>
      </c>
      <c r="M62" s="66">
        <f t="shared" si="7"/>
        <v>661135.15335895726</v>
      </c>
      <c r="N62" s="45"/>
      <c r="O62" s="45"/>
      <c r="P62" s="64">
        <f t="shared" si="8"/>
        <v>44</v>
      </c>
      <c r="Q62" s="65">
        <f t="shared" si="9"/>
        <v>895.35799997349602</v>
      </c>
      <c r="R62" s="66">
        <f t="shared" si="14"/>
        <v>834.79807636162707</v>
      </c>
      <c r="S62" s="66">
        <f t="shared" si="13"/>
        <v>60.559923611868953</v>
      </c>
      <c r="T62" s="66">
        <f t="shared" si="10"/>
        <v>97767.339650016293</v>
      </c>
      <c r="U62" s="45"/>
    </row>
    <row r="63" spans="1:21" ht="15">
      <c r="A63" s="45"/>
      <c r="B63" s="64">
        <f t="shared" si="0"/>
        <v>45</v>
      </c>
      <c r="C63" s="65">
        <f t="shared" si="1"/>
        <v>4424.4761644507462</v>
      </c>
      <c r="D63" s="66">
        <f t="shared" si="2"/>
        <v>3621.87364720088</v>
      </c>
      <c r="E63" s="66">
        <f t="shared" si="3"/>
        <v>802.6025172498662</v>
      </c>
      <c r="F63" s="66">
        <f t="shared" si="4"/>
        <v>667850.99388906639</v>
      </c>
      <c r="G63" s="45"/>
      <c r="H63" s="45"/>
      <c r="I63" s="64">
        <f t="shared" si="5"/>
        <v>45</v>
      </c>
      <c r="J63" s="65">
        <f t="shared" si="11"/>
        <v>3865.4259149932882</v>
      </c>
      <c r="K63" s="66">
        <f t="shared" si="12"/>
        <v>2892.4662959454377</v>
      </c>
      <c r="L63" s="66">
        <f t="shared" si="6"/>
        <v>972.95961904785054</v>
      </c>
      <c r="M63" s="66">
        <f t="shared" si="7"/>
        <v>660162.19373990945</v>
      </c>
      <c r="N63" s="45"/>
      <c r="O63" s="45"/>
      <c r="P63" s="64">
        <f t="shared" si="8"/>
        <v>45</v>
      </c>
      <c r="Q63" s="65">
        <f t="shared" si="9"/>
        <v>895.35799997349602</v>
      </c>
      <c r="R63" s="66">
        <f t="shared" si="14"/>
        <v>834.28129834680578</v>
      </c>
      <c r="S63" s="66">
        <f t="shared" si="13"/>
        <v>61.076701626690237</v>
      </c>
      <c r="T63" s="66">
        <f t="shared" si="10"/>
        <v>97706.262948389602</v>
      </c>
      <c r="U63" s="45"/>
    </row>
    <row r="64" spans="1:21" ht="15">
      <c r="A64" s="45"/>
      <c r="B64" s="64">
        <f t="shared" si="0"/>
        <v>46</v>
      </c>
      <c r="C64" s="65">
        <f t="shared" si="1"/>
        <v>4424.4761644507462</v>
      </c>
      <c r="D64" s="66">
        <f t="shared" si="2"/>
        <v>3617.5262168991098</v>
      </c>
      <c r="E64" s="66">
        <f t="shared" si="3"/>
        <v>806.94994755163634</v>
      </c>
      <c r="F64" s="66">
        <f t="shared" si="4"/>
        <v>667044.0439415148</v>
      </c>
      <c r="G64" s="45"/>
      <c r="H64" s="45"/>
      <c r="I64" s="64">
        <f t="shared" si="5"/>
        <v>46</v>
      </c>
      <c r="J64" s="65">
        <f t="shared" si="11"/>
        <v>3865.4259149932882</v>
      </c>
      <c r="K64" s="66">
        <f t="shared" si="12"/>
        <v>2888.2095976121036</v>
      </c>
      <c r="L64" s="66">
        <f t="shared" si="6"/>
        <v>977.21631738118458</v>
      </c>
      <c r="M64" s="66">
        <f t="shared" si="7"/>
        <v>659184.97742252832</v>
      </c>
      <c r="N64" s="45"/>
      <c r="O64" s="45"/>
      <c r="P64" s="64">
        <f t="shared" si="8"/>
        <v>46</v>
      </c>
      <c r="Q64" s="65">
        <f t="shared" si="9"/>
        <v>895.35799997349602</v>
      </c>
      <c r="R64" s="66">
        <f t="shared" si="14"/>
        <v>833.7601104929247</v>
      </c>
      <c r="S64" s="66">
        <f t="shared" si="13"/>
        <v>61.597889480571325</v>
      </c>
      <c r="T64" s="66">
        <f t="shared" si="10"/>
        <v>97644.665058909028</v>
      </c>
      <c r="U64" s="45"/>
    </row>
    <row r="65" spans="1:21" ht="15">
      <c r="A65" s="45"/>
      <c r="B65" s="64">
        <f t="shared" si="0"/>
        <v>47</v>
      </c>
      <c r="C65" s="65">
        <f t="shared" si="1"/>
        <v>4424.4761644507462</v>
      </c>
      <c r="D65" s="66">
        <f t="shared" si="2"/>
        <v>3613.1552380165385</v>
      </c>
      <c r="E65" s="66">
        <f t="shared" si="3"/>
        <v>811.32092643420765</v>
      </c>
      <c r="F65" s="66">
        <f t="shared" si="4"/>
        <v>666232.72301508056</v>
      </c>
      <c r="G65" s="45"/>
      <c r="H65" s="45"/>
      <c r="I65" s="64">
        <f t="shared" si="5"/>
        <v>47</v>
      </c>
      <c r="J65" s="65">
        <f t="shared" si="11"/>
        <v>3865.4259149932882</v>
      </c>
      <c r="K65" s="66">
        <f t="shared" si="12"/>
        <v>2883.934276223561</v>
      </c>
      <c r="L65" s="66">
        <f t="shared" si="6"/>
        <v>981.49163876972716</v>
      </c>
      <c r="M65" s="66">
        <f t="shared" si="7"/>
        <v>658203.48578375857</v>
      </c>
      <c r="N65" s="45"/>
      <c r="O65" s="45"/>
      <c r="P65" s="64">
        <f t="shared" si="8"/>
        <v>47</v>
      </c>
      <c r="Q65" s="65">
        <f t="shared" si="9"/>
        <v>895.35799997349602</v>
      </c>
      <c r="R65" s="66">
        <f t="shared" si="14"/>
        <v>833.2344751693571</v>
      </c>
      <c r="S65" s="66">
        <f t="shared" si="13"/>
        <v>62.123524804138924</v>
      </c>
      <c r="T65" s="66">
        <f t="shared" si="10"/>
        <v>97582.541534104894</v>
      </c>
      <c r="U65" s="45"/>
    </row>
    <row r="66" spans="1:21" ht="15">
      <c r="A66" s="45"/>
      <c r="B66" s="64">
        <f t="shared" si="0"/>
        <v>48</v>
      </c>
      <c r="C66" s="65">
        <f t="shared" si="1"/>
        <v>4424.4761644507462</v>
      </c>
      <c r="D66" s="66">
        <f t="shared" si="2"/>
        <v>3608.7605829983531</v>
      </c>
      <c r="E66" s="66">
        <f t="shared" si="3"/>
        <v>815.71558145239305</v>
      </c>
      <c r="F66" s="66">
        <f t="shared" si="4"/>
        <v>665417.0074336282</v>
      </c>
      <c r="G66" s="45"/>
      <c r="H66" s="45"/>
      <c r="I66" s="64">
        <f t="shared" si="5"/>
        <v>48</v>
      </c>
      <c r="J66" s="65">
        <f t="shared" si="11"/>
        <v>3865.4259149932882</v>
      </c>
      <c r="K66" s="66">
        <f t="shared" si="12"/>
        <v>2879.6402503039435</v>
      </c>
      <c r="L66" s="66">
        <f t="shared" si="6"/>
        <v>985.78566468934469</v>
      </c>
      <c r="M66" s="66">
        <f t="shared" si="7"/>
        <v>657217.7001190692</v>
      </c>
      <c r="N66" s="45"/>
      <c r="O66" s="45"/>
      <c r="P66" s="64">
        <f t="shared" si="8"/>
        <v>48</v>
      </c>
      <c r="Q66" s="65">
        <f t="shared" si="9"/>
        <v>895.35799997349602</v>
      </c>
      <c r="R66" s="66">
        <f t="shared" si="14"/>
        <v>832.70435442436178</v>
      </c>
      <c r="S66" s="66">
        <f t="shared" si="13"/>
        <v>62.653645549134239</v>
      </c>
      <c r="T66" s="66">
        <f t="shared" si="10"/>
        <v>97519.887888555764</v>
      </c>
      <c r="U66" s="45"/>
    </row>
    <row r="67" spans="1:21" ht="15">
      <c r="A67" s="45"/>
      <c r="B67" s="64">
        <f t="shared" si="0"/>
        <v>49</v>
      </c>
      <c r="C67" s="65">
        <f t="shared" si="1"/>
        <v>4424.4761644507462</v>
      </c>
      <c r="D67" s="66">
        <f t="shared" si="2"/>
        <v>3604.3421235988194</v>
      </c>
      <c r="E67" s="66">
        <f t="shared" si="3"/>
        <v>820.13404085192678</v>
      </c>
      <c r="F67" s="66">
        <f t="shared" si="4"/>
        <v>664596.87339277624</v>
      </c>
      <c r="G67" s="45"/>
      <c r="H67" s="45"/>
      <c r="I67" s="64">
        <f t="shared" si="5"/>
        <v>49</v>
      </c>
      <c r="J67" s="65">
        <f t="shared" si="11"/>
        <v>3865.4259149932882</v>
      </c>
      <c r="K67" s="66">
        <f t="shared" si="12"/>
        <v>2875.3274380209273</v>
      </c>
      <c r="L67" s="66">
        <f t="shared" si="6"/>
        <v>990.09847697236091</v>
      </c>
      <c r="M67" s="66">
        <f t="shared" si="7"/>
        <v>656227.60164209688</v>
      </c>
      <c r="N67" s="45"/>
      <c r="O67" s="45"/>
      <c r="P67" s="64">
        <f t="shared" si="8"/>
        <v>49</v>
      </c>
      <c r="Q67" s="65">
        <f t="shared" si="9"/>
        <v>895.35799997349602</v>
      </c>
      <c r="R67" s="66">
        <f t="shared" si="14"/>
        <v>832.16970998234251</v>
      </c>
      <c r="S67" s="66">
        <f t="shared" si="13"/>
        <v>63.188289991153511</v>
      </c>
      <c r="T67" s="66">
        <f t="shared" si="10"/>
        <v>97456.699598564606</v>
      </c>
      <c r="U67" s="45"/>
    </row>
    <row r="68" spans="1:21" ht="15">
      <c r="A68" s="45"/>
      <c r="B68" s="64">
        <f t="shared" si="0"/>
        <v>50</v>
      </c>
      <c r="C68" s="65">
        <f t="shared" si="1"/>
        <v>4424.4761644507462</v>
      </c>
      <c r="D68" s="66">
        <f t="shared" si="2"/>
        <v>3599.8997308775379</v>
      </c>
      <c r="E68" s="66">
        <f t="shared" si="3"/>
        <v>824.57643357320831</v>
      </c>
      <c r="F68" s="66">
        <f t="shared" si="4"/>
        <v>663772.29695920309</v>
      </c>
      <c r="G68" s="45"/>
      <c r="H68" s="45"/>
      <c r="I68" s="64">
        <f t="shared" si="5"/>
        <v>50</v>
      </c>
      <c r="J68" s="65">
        <f t="shared" si="11"/>
        <v>3865.4259149932882</v>
      </c>
      <c r="K68" s="66">
        <f t="shared" si="12"/>
        <v>2870.9957571841737</v>
      </c>
      <c r="L68" s="66">
        <f t="shared" si="6"/>
        <v>994.43015780911446</v>
      </c>
      <c r="M68" s="66">
        <f t="shared" si="7"/>
        <v>655233.17148428771</v>
      </c>
      <c r="N68" s="45"/>
      <c r="O68" s="45"/>
      <c r="P68" s="64">
        <f t="shared" si="8"/>
        <v>50</v>
      </c>
      <c r="Q68" s="65">
        <f t="shared" si="9"/>
        <v>895.35799997349602</v>
      </c>
      <c r="R68" s="66">
        <f t="shared" si="14"/>
        <v>831.63050324108463</v>
      </c>
      <c r="S68" s="66">
        <f t="shared" si="13"/>
        <v>63.727496732411396</v>
      </c>
      <c r="T68" s="66">
        <f t="shared" si="10"/>
        <v>97392.972101832202</v>
      </c>
      <c r="U68" s="45"/>
    </row>
    <row r="69" spans="1:21" ht="15">
      <c r="A69" s="45"/>
      <c r="B69" s="64">
        <f t="shared" si="0"/>
        <v>51</v>
      </c>
      <c r="C69" s="65">
        <f t="shared" si="1"/>
        <v>4424.4761644507462</v>
      </c>
      <c r="D69" s="66">
        <f t="shared" si="2"/>
        <v>3595.4332751956836</v>
      </c>
      <c r="E69" s="66">
        <f t="shared" si="3"/>
        <v>829.04288925506262</v>
      </c>
      <c r="F69" s="66">
        <f t="shared" si="4"/>
        <v>662943.25406994799</v>
      </c>
      <c r="G69" s="45"/>
      <c r="H69" s="45"/>
      <c r="I69" s="64">
        <f t="shared" si="5"/>
        <v>51</v>
      </c>
      <c r="J69" s="65">
        <f t="shared" si="11"/>
        <v>3865.4259149932882</v>
      </c>
      <c r="K69" s="66">
        <f t="shared" si="12"/>
        <v>2866.6451252437582</v>
      </c>
      <c r="L69" s="66">
        <f t="shared" si="6"/>
        <v>998.78078974952996</v>
      </c>
      <c r="M69" s="66">
        <f t="shared" si="7"/>
        <v>654234.39069453813</v>
      </c>
      <c r="N69" s="45"/>
      <c r="O69" s="45"/>
      <c r="P69" s="64">
        <f t="shared" si="8"/>
        <v>51</v>
      </c>
      <c r="Q69" s="65">
        <f t="shared" si="9"/>
        <v>895.35799997349602</v>
      </c>
      <c r="R69" s="66">
        <f t="shared" si="14"/>
        <v>831.08669526896813</v>
      </c>
      <c r="S69" s="66">
        <f t="shared" si="13"/>
        <v>64.271304704527893</v>
      </c>
      <c r="T69" s="66">
        <f t="shared" si="10"/>
        <v>97328.700797127676</v>
      </c>
      <c r="U69" s="45"/>
    </row>
    <row r="70" spans="1:21" ht="15">
      <c r="A70" s="45"/>
      <c r="B70" s="64">
        <f t="shared" si="0"/>
        <v>52</v>
      </c>
      <c r="C70" s="65">
        <f t="shared" si="1"/>
        <v>4424.4761644507462</v>
      </c>
      <c r="D70" s="66">
        <f t="shared" si="2"/>
        <v>3590.9426262122183</v>
      </c>
      <c r="E70" s="66">
        <f t="shared" si="3"/>
        <v>833.53353823852785</v>
      </c>
      <c r="F70" s="66">
        <f t="shared" si="4"/>
        <v>662109.72053170949</v>
      </c>
      <c r="G70" s="45"/>
      <c r="H70" s="45"/>
      <c r="I70" s="64">
        <f t="shared" si="5"/>
        <v>52</v>
      </c>
      <c r="J70" s="65">
        <f t="shared" si="11"/>
        <v>3865.4259149932882</v>
      </c>
      <c r="K70" s="66">
        <f t="shared" si="12"/>
        <v>2862.275459288604</v>
      </c>
      <c r="L70" s="66">
        <f t="shared" si="6"/>
        <v>1003.1504557046842</v>
      </c>
      <c r="M70" s="66">
        <f t="shared" si="7"/>
        <v>653231.24023883347</v>
      </c>
      <c r="N70" s="45"/>
      <c r="O70" s="45"/>
      <c r="P70" s="64">
        <f t="shared" si="8"/>
        <v>52</v>
      </c>
      <c r="Q70" s="65">
        <f t="shared" si="9"/>
        <v>895.35799997349602</v>
      </c>
      <c r="R70" s="66">
        <f t="shared" si="14"/>
        <v>830.53824680215621</v>
      </c>
      <c r="S70" s="66">
        <f t="shared" si="13"/>
        <v>64.819753171339812</v>
      </c>
      <c r="T70" s="66">
        <f t="shared" si="10"/>
        <v>97263.881043956339</v>
      </c>
      <c r="U70" s="45"/>
    </row>
    <row r="71" spans="1:21" ht="15">
      <c r="A71" s="45"/>
      <c r="B71" s="64">
        <f t="shared" si="0"/>
        <v>53</v>
      </c>
      <c r="C71" s="65">
        <f t="shared" si="1"/>
        <v>4424.4761644507462</v>
      </c>
      <c r="D71" s="66">
        <f t="shared" si="2"/>
        <v>3586.4276528800933</v>
      </c>
      <c r="E71" s="66">
        <f t="shared" si="3"/>
        <v>838.04851157065286</v>
      </c>
      <c r="F71" s="66">
        <f t="shared" si="4"/>
        <v>661271.67202013882</v>
      </c>
      <c r="G71" s="45"/>
      <c r="H71" s="45"/>
      <c r="I71" s="64">
        <f t="shared" si="5"/>
        <v>53</v>
      </c>
      <c r="J71" s="65">
        <f t="shared" si="11"/>
        <v>3865.4259149932882</v>
      </c>
      <c r="K71" s="66">
        <f t="shared" si="12"/>
        <v>2857.8866760448964</v>
      </c>
      <c r="L71" s="66">
        <f t="shared" si="6"/>
        <v>1007.5392389483918</v>
      </c>
      <c r="M71" s="66">
        <f t="shared" si="7"/>
        <v>652223.7009998851</v>
      </c>
      <c r="N71" s="45"/>
      <c r="O71" s="45"/>
      <c r="P71" s="64">
        <f t="shared" si="8"/>
        <v>53</v>
      </c>
      <c r="Q71" s="65">
        <f t="shared" si="9"/>
        <v>895.35799997349602</v>
      </c>
      <c r="R71" s="66">
        <f t="shared" si="14"/>
        <v>829.9851182417608</v>
      </c>
      <c r="S71" s="66">
        <f t="shared" si="13"/>
        <v>65.37288173173522</v>
      </c>
      <c r="T71" s="66">
        <f t="shared" si="10"/>
        <v>97198.508162224607</v>
      </c>
      <c r="U71" s="45"/>
    </row>
    <row r="72" spans="1:21" ht="15">
      <c r="A72" s="45"/>
      <c r="B72" s="64">
        <f t="shared" si="0"/>
        <v>54</v>
      </c>
      <c r="C72" s="65">
        <f t="shared" si="1"/>
        <v>4424.4761644507462</v>
      </c>
      <c r="D72" s="66">
        <f t="shared" si="2"/>
        <v>3581.8882234424186</v>
      </c>
      <c r="E72" s="66">
        <f t="shared" si="3"/>
        <v>842.58794100832756</v>
      </c>
      <c r="F72" s="66">
        <f t="shared" si="4"/>
        <v>660429.08407913055</v>
      </c>
      <c r="G72" s="45"/>
      <c r="H72" s="45"/>
      <c r="I72" s="64">
        <f t="shared" si="5"/>
        <v>54</v>
      </c>
      <c r="J72" s="65">
        <f t="shared" si="11"/>
        <v>3865.4259149932882</v>
      </c>
      <c r="K72" s="66">
        <f t="shared" si="12"/>
        <v>2853.4786918744971</v>
      </c>
      <c r="L72" s="66">
        <f t="shared" si="6"/>
        <v>1011.947223118791</v>
      </c>
      <c r="M72" s="66">
        <f t="shared" si="7"/>
        <v>651211.75377676636</v>
      </c>
      <c r="N72" s="45"/>
      <c r="O72" s="45"/>
      <c r="P72" s="64">
        <f t="shared" si="8"/>
        <v>54</v>
      </c>
      <c r="Q72" s="65">
        <f t="shared" si="9"/>
        <v>895.35799997349602</v>
      </c>
      <c r="R72" s="66">
        <f t="shared" si="14"/>
        <v>829.42726965098336</v>
      </c>
      <c r="S72" s="66">
        <f t="shared" si="13"/>
        <v>65.930730322512659</v>
      </c>
      <c r="T72" s="66">
        <f t="shared" si="10"/>
        <v>97132.5774319021</v>
      </c>
      <c r="U72" s="45"/>
    </row>
    <row r="73" spans="1:21" ht="15">
      <c r="A73" s="45"/>
      <c r="B73" s="64">
        <f t="shared" si="0"/>
        <v>55</v>
      </c>
      <c r="C73" s="65">
        <f t="shared" si="1"/>
        <v>4424.4761644507462</v>
      </c>
      <c r="D73" s="66">
        <f t="shared" si="2"/>
        <v>3577.3242054286238</v>
      </c>
      <c r="E73" s="66">
        <f t="shared" si="3"/>
        <v>847.15195902212236</v>
      </c>
      <c r="F73" s="66">
        <f t="shared" si="4"/>
        <v>659581.93212010839</v>
      </c>
      <c r="G73" s="45"/>
      <c r="H73" s="45"/>
      <c r="I73" s="64">
        <f t="shared" si="5"/>
        <v>55</v>
      </c>
      <c r="J73" s="65">
        <f t="shared" si="11"/>
        <v>3865.4259149932882</v>
      </c>
      <c r="K73" s="66">
        <f t="shared" si="12"/>
        <v>2849.0514227733524</v>
      </c>
      <c r="L73" s="66">
        <f t="shared" si="6"/>
        <v>1016.3744922199357</v>
      </c>
      <c r="M73" s="66">
        <f t="shared" si="7"/>
        <v>650195.37928454648</v>
      </c>
      <c r="N73" s="45"/>
      <c r="O73" s="45"/>
      <c r="P73" s="64">
        <f t="shared" si="8"/>
        <v>55</v>
      </c>
      <c r="Q73" s="65">
        <f t="shared" si="9"/>
        <v>895.35799997349602</v>
      </c>
      <c r="R73" s="66">
        <f t="shared" si="14"/>
        <v>828.86466075223132</v>
      </c>
      <c r="S73" s="66">
        <f t="shared" si="13"/>
        <v>66.493339221264705</v>
      </c>
      <c r="T73" s="66">
        <f t="shared" si="10"/>
        <v>97066.084092680831</v>
      </c>
      <c r="U73" s="45"/>
    </row>
    <row r="74" spans="1:21" ht="15">
      <c r="A74" s="45"/>
      <c r="B74" s="64">
        <f t="shared" si="0"/>
        <v>56</v>
      </c>
      <c r="C74" s="65">
        <f t="shared" si="1"/>
        <v>4424.4761644507462</v>
      </c>
      <c r="D74" s="66">
        <f t="shared" si="2"/>
        <v>3572.7354656505872</v>
      </c>
      <c r="E74" s="66">
        <f t="shared" si="3"/>
        <v>851.74069880015895</v>
      </c>
      <c r="F74" s="66">
        <f t="shared" si="4"/>
        <v>658730.19142130821</v>
      </c>
      <c r="G74" s="45"/>
      <c r="H74" s="45"/>
      <c r="I74" s="64">
        <f t="shared" si="5"/>
        <v>56</v>
      </c>
      <c r="J74" s="65">
        <f t="shared" si="11"/>
        <v>3865.4259149932882</v>
      </c>
      <c r="K74" s="66">
        <f t="shared" si="12"/>
        <v>2844.6047843698907</v>
      </c>
      <c r="L74" s="66">
        <f t="shared" si="6"/>
        <v>1020.8211306233975</v>
      </c>
      <c r="M74" s="66">
        <f t="shared" si="7"/>
        <v>649174.55815392314</v>
      </c>
      <c r="N74" s="45"/>
      <c r="O74" s="45"/>
      <c r="P74" s="64">
        <f t="shared" si="8"/>
        <v>56</v>
      </c>
      <c r="Q74" s="65">
        <f t="shared" si="9"/>
        <v>895.35799997349602</v>
      </c>
      <c r="R74" s="66">
        <f t="shared" si="14"/>
        <v>828.29725092420983</v>
      </c>
      <c r="S74" s="66">
        <f t="shared" si="13"/>
        <v>67.060749049286187</v>
      </c>
      <c r="T74" s="66">
        <f t="shared" si="10"/>
        <v>96999.023343631547</v>
      </c>
      <c r="U74" s="45"/>
    </row>
    <row r="75" spans="1:21" ht="15">
      <c r="A75" s="45"/>
      <c r="B75" s="64">
        <f t="shared" si="0"/>
        <v>57</v>
      </c>
      <c r="C75" s="65">
        <f t="shared" si="1"/>
        <v>4424.4761644507462</v>
      </c>
      <c r="D75" s="66">
        <f t="shared" si="2"/>
        <v>3568.1218701987527</v>
      </c>
      <c r="E75" s="66">
        <f t="shared" si="3"/>
        <v>856.35429425199345</v>
      </c>
      <c r="F75" s="66">
        <f t="shared" si="4"/>
        <v>657873.83712705621</v>
      </c>
      <c r="G75" s="45"/>
      <c r="H75" s="45"/>
      <c r="I75" s="64">
        <f t="shared" si="5"/>
        <v>57</v>
      </c>
      <c r="J75" s="65">
        <f t="shared" si="11"/>
        <v>3865.4259149932882</v>
      </c>
      <c r="K75" s="66">
        <f t="shared" si="12"/>
        <v>2840.1386919234133</v>
      </c>
      <c r="L75" s="66">
        <f t="shared" si="6"/>
        <v>1025.2872230698749</v>
      </c>
      <c r="M75" s="66">
        <f t="shared" si="7"/>
        <v>648149.27093085321</v>
      </c>
      <c r="N75" s="45"/>
      <c r="O75" s="45"/>
      <c r="P75" s="64">
        <f t="shared" si="8"/>
        <v>57</v>
      </c>
      <c r="Q75" s="65">
        <f t="shared" si="9"/>
        <v>895.35799997349602</v>
      </c>
      <c r="R75" s="66">
        <f t="shared" si="14"/>
        <v>827.72499919898928</v>
      </c>
      <c r="S75" s="66">
        <f t="shared" si="13"/>
        <v>67.633000774506741</v>
      </c>
      <c r="T75" s="66">
        <f t="shared" si="10"/>
        <v>96931.390342857034</v>
      </c>
      <c r="U75" s="45"/>
    </row>
    <row r="76" spans="1:21" ht="15">
      <c r="A76" s="45"/>
      <c r="B76" s="64">
        <f t="shared" si="0"/>
        <v>58</v>
      </c>
      <c r="C76" s="65">
        <f t="shared" si="1"/>
        <v>4424.4761644507462</v>
      </c>
      <c r="D76" s="66">
        <f t="shared" si="2"/>
        <v>3563.4832844382213</v>
      </c>
      <c r="E76" s="66">
        <f t="shared" si="3"/>
        <v>860.99288001252489</v>
      </c>
      <c r="F76" s="66">
        <f t="shared" si="4"/>
        <v>657012.84424704371</v>
      </c>
      <c r="G76" s="45"/>
      <c r="H76" s="45"/>
      <c r="I76" s="64">
        <f t="shared" si="5"/>
        <v>58</v>
      </c>
      <c r="J76" s="65">
        <f t="shared" si="11"/>
        <v>3865.4259149932882</v>
      </c>
      <c r="K76" s="66">
        <f t="shared" si="12"/>
        <v>2835.6530603224824</v>
      </c>
      <c r="L76" s="66">
        <f t="shared" si="6"/>
        <v>1029.7728546708058</v>
      </c>
      <c r="M76" s="66">
        <f t="shared" si="7"/>
        <v>647119.49807618244</v>
      </c>
      <c r="N76" s="45"/>
      <c r="O76" s="45"/>
      <c r="P76" s="64">
        <f t="shared" si="8"/>
        <v>58</v>
      </c>
      <c r="Q76" s="65">
        <f t="shared" si="9"/>
        <v>895.35799997349602</v>
      </c>
      <c r="R76" s="66">
        <f t="shared" si="14"/>
        <v>827.14786425904674</v>
      </c>
      <c r="S76" s="66">
        <f t="shared" si="13"/>
        <v>68.210135714449279</v>
      </c>
      <c r="T76" s="66">
        <f t="shared" si="10"/>
        <v>96863.180207142577</v>
      </c>
      <c r="U76" s="45"/>
    </row>
    <row r="77" spans="1:21" ht="15">
      <c r="A77" s="45"/>
      <c r="B77" s="64">
        <f t="shared" si="0"/>
        <v>59</v>
      </c>
      <c r="C77" s="65">
        <f t="shared" si="1"/>
        <v>4424.4761644507462</v>
      </c>
      <c r="D77" s="66">
        <f t="shared" si="2"/>
        <v>3558.8195730048201</v>
      </c>
      <c r="E77" s="66">
        <f t="shared" si="3"/>
        <v>865.6565914459261</v>
      </c>
      <c r="F77" s="66">
        <f t="shared" si="4"/>
        <v>656147.18765559781</v>
      </c>
      <c r="G77" s="45"/>
      <c r="H77" s="45"/>
      <c r="I77" s="64">
        <f t="shared" si="5"/>
        <v>59</v>
      </c>
      <c r="J77" s="65">
        <f t="shared" si="11"/>
        <v>3865.4259149932882</v>
      </c>
      <c r="K77" s="66">
        <f t="shared" si="12"/>
        <v>2831.1478040832981</v>
      </c>
      <c r="L77" s="66">
        <f t="shared" si="6"/>
        <v>1034.2781109099901</v>
      </c>
      <c r="M77" s="66">
        <f t="shared" si="7"/>
        <v>646085.21996527247</v>
      </c>
      <c r="N77" s="45"/>
      <c r="O77" s="45"/>
      <c r="P77" s="64">
        <f t="shared" si="8"/>
        <v>59</v>
      </c>
      <c r="Q77" s="65">
        <f t="shared" si="9"/>
        <v>895.35799997349602</v>
      </c>
      <c r="R77" s="66">
        <f t="shared" si="14"/>
        <v>826.56580443428334</v>
      </c>
      <c r="S77" s="66">
        <f t="shared" si="13"/>
        <v>68.792195539212685</v>
      </c>
      <c r="T77" s="66">
        <f t="shared" si="10"/>
        <v>96794.388011603369</v>
      </c>
      <c r="U77" s="45"/>
    </row>
    <row r="78" spans="1:21" ht="15">
      <c r="A78" s="45"/>
      <c r="B78" s="64">
        <f t="shared" si="0"/>
        <v>60</v>
      </c>
      <c r="C78" s="65">
        <f t="shared" si="1"/>
        <v>4424.4761644507462</v>
      </c>
      <c r="D78" s="66">
        <f t="shared" si="2"/>
        <v>3554.1305998011549</v>
      </c>
      <c r="E78" s="66">
        <f t="shared" si="3"/>
        <v>870.34556464959132</v>
      </c>
      <c r="F78" s="66">
        <f t="shared" si="4"/>
        <v>655276.84209094825</v>
      </c>
      <c r="G78" s="45"/>
      <c r="H78" s="45"/>
      <c r="I78" s="64">
        <f t="shared" si="5"/>
        <v>60</v>
      </c>
      <c r="J78" s="65">
        <f t="shared" si="11"/>
        <v>3865.4259149932882</v>
      </c>
      <c r="K78" s="66">
        <f t="shared" si="12"/>
        <v>2826.6228373480667</v>
      </c>
      <c r="L78" s="66">
        <f t="shared" si="6"/>
        <v>1038.8030776452215</v>
      </c>
      <c r="M78" s="66">
        <f t="shared" si="7"/>
        <v>645046.41688762722</v>
      </c>
      <c r="N78" s="45"/>
      <c r="O78" s="45"/>
      <c r="P78" s="64">
        <f t="shared" si="8"/>
        <v>60</v>
      </c>
      <c r="Q78" s="65">
        <f t="shared" si="9"/>
        <v>895.35799997349602</v>
      </c>
      <c r="R78" s="66">
        <f t="shared" si="14"/>
        <v>825.9787776990155</v>
      </c>
      <c r="S78" s="66">
        <f t="shared" si="13"/>
        <v>69.379222274480526</v>
      </c>
      <c r="T78" s="66">
        <f t="shared" si="10"/>
        <v>96725.008789328887</v>
      </c>
      <c r="U78" s="45"/>
    </row>
    <row r="79" spans="1:21" ht="15">
      <c r="A79" s="45"/>
      <c r="B79" s="64">
        <f t="shared" si="0"/>
        <v>61</v>
      </c>
      <c r="C79" s="65">
        <f t="shared" si="1"/>
        <v>4424.4761644507462</v>
      </c>
      <c r="D79" s="66">
        <f t="shared" si="2"/>
        <v>3549.4162279926363</v>
      </c>
      <c r="E79" s="66">
        <f t="shared" si="3"/>
        <v>875.05993645810986</v>
      </c>
      <c r="F79" s="66">
        <f t="shared" si="4"/>
        <v>654401.78215449012</v>
      </c>
      <c r="G79" s="45"/>
      <c r="H79" s="45"/>
      <c r="I79" s="64">
        <f t="shared" si="5"/>
        <v>61</v>
      </c>
      <c r="J79" s="65">
        <f t="shared" si="11"/>
        <v>3865.4259149932882</v>
      </c>
      <c r="K79" s="66">
        <f t="shared" si="12"/>
        <v>2822.0780738833687</v>
      </c>
      <c r="L79" s="66">
        <f t="shared" si="6"/>
        <v>1043.3478411099195</v>
      </c>
      <c r="M79" s="66">
        <f t="shared" si="7"/>
        <v>644003.06904651725</v>
      </c>
      <c r="N79" s="45"/>
      <c r="O79" s="45"/>
      <c r="P79" s="64">
        <f t="shared" si="8"/>
        <v>61</v>
      </c>
      <c r="Q79" s="65">
        <f t="shared" si="9"/>
        <v>895.35799997349602</v>
      </c>
      <c r="R79" s="66">
        <f t="shared" si="14"/>
        <v>825.38674166893986</v>
      </c>
      <c r="S79" s="66">
        <f t="shared" si="13"/>
        <v>69.971258304556159</v>
      </c>
      <c r="T79" s="66">
        <f t="shared" si="10"/>
        <v>96655.037531024325</v>
      </c>
      <c r="U79" s="45"/>
    </row>
    <row r="80" spans="1:21" ht="15">
      <c r="A80" s="45"/>
      <c r="B80" s="64">
        <f t="shared" si="0"/>
        <v>62</v>
      </c>
      <c r="C80" s="65">
        <f t="shared" si="1"/>
        <v>4424.4761644507462</v>
      </c>
      <c r="D80" s="66">
        <f t="shared" si="2"/>
        <v>3544.6763200034884</v>
      </c>
      <c r="E80" s="66">
        <f t="shared" si="3"/>
        <v>879.79984444725778</v>
      </c>
      <c r="F80" s="66">
        <f t="shared" si="4"/>
        <v>653521.98231004283</v>
      </c>
      <c r="G80" s="45"/>
      <c r="H80" s="45"/>
      <c r="I80" s="64">
        <f t="shared" si="5"/>
        <v>62</v>
      </c>
      <c r="J80" s="65">
        <f t="shared" si="11"/>
        <v>3865.4259149932882</v>
      </c>
      <c r="K80" s="66">
        <f t="shared" si="12"/>
        <v>2817.5134270785129</v>
      </c>
      <c r="L80" s="66">
        <f t="shared" si="6"/>
        <v>1047.9124879147753</v>
      </c>
      <c r="M80" s="66">
        <f t="shared" si="7"/>
        <v>642955.15655860247</v>
      </c>
      <c r="N80" s="45"/>
      <c r="O80" s="45"/>
      <c r="P80" s="64">
        <f t="shared" si="8"/>
        <v>62</v>
      </c>
      <c r="Q80" s="65">
        <f t="shared" si="9"/>
        <v>895.35799997349602</v>
      </c>
      <c r="R80" s="66">
        <f t="shared" si="14"/>
        <v>824.78965359807432</v>
      </c>
      <c r="S80" s="66">
        <f t="shared" si="13"/>
        <v>70.568346375421697</v>
      </c>
      <c r="T80" s="66">
        <f t="shared" si="10"/>
        <v>96584.4691846489</v>
      </c>
      <c r="U80" s="45"/>
    </row>
    <row r="81" spans="1:21" ht="15">
      <c r="A81" s="45"/>
      <c r="B81" s="64">
        <f t="shared" si="0"/>
        <v>63</v>
      </c>
      <c r="C81" s="65">
        <f t="shared" si="1"/>
        <v>4424.4761644507462</v>
      </c>
      <c r="D81" s="66">
        <f t="shared" si="2"/>
        <v>3539.9107375127323</v>
      </c>
      <c r="E81" s="66">
        <f t="shared" si="3"/>
        <v>884.56542693801384</v>
      </c>
      <c r="F81" s="66">
        <f t="shared" si="4"/>
        <v>652637.41688310483</v>
      </c>
      <c r="G81" s="45"/>
      <c r="H81" s="45"/>
      <c r="I81" s="64">
        <f t="shared" si="5"/>
        <v>63</v>
      </c>
      <c r="J81" s="65">
        <f t="shared" si="11"/>
        <v>3865.4259149932882</v>
      </c>
      <c r="K81" s="66">
        <f t="shared" si="12"/>
        <v>2812.9288099438854</v>
      </c>
      <c r="L81" s="66">
        <f t="shared" si="6"/>
        <v>1052.4971050494028</v>
      </c>
      <c r="M81" s="66">
        <f t="shared" si="7"/>
        <v>641902.65945355303</v>
      </c>
      <c r="N81" s="45"/>
      <c r="O81" s="45"/>
      <c r="P81" s="64">
        <f t="shared" si="8"/>
        <v>63</v>
      </c>
      <c r="Q81" s="65">
        <f t="shared" si="9"/>
        <v>895.35799997349602</v>
      </c>
      <c r="R81" s="66">
        <f t="shared" si="14"/>
        <v>824.18747037567061</v>
      </c>
      <c r="S81" s="66">
        <f t="shared" si="13"/>
        <v>71.170529597825407</v>
      </c>
      <c r="T81" s="66">
        <f t="shared" si="10"/>
        <v>96513.298655051069</v>
      </c>
      <c r="U81" s="45"/>
    </row>
    <row r="82" spans="1:21" ht="15">
      <c r="A82" s="45"/>
      <c r="B82" s="64">
        <f t="shared" si="0"/>
        <v>64</v>
      </c>
      <c r="C82" s="65">
        <f t="shared" si="1"/>
        <v>4424.4761644507462</v>
      </c>
      <c r="D82" s="66">
        <f t="shared" si="2"/>
        <v>3535.1193414501513</v>
      </c>
      <c r="E82" s="66">
        <f t="shared" si="3"/>
        <v>889.35682300059489</v>
      </c>
      <c r="F82" s="66">
        <f t="shared" si="4"/>
        <v>651748.06006010424</v>
      </c>
      <c r="G82" s="45"/>
      <c r="H82" s="45"/>
      <c r="I82" s="64">
        <f t="shared" si="5"/>
        <v>64</v>
      </c>
      <c r="J82" s="65">
        <f t="shared" si="11"/>
        <v>3865.4259149932882</v>
      </c>
      <c r="K82" s="66">
        <f t="shared" si="12"/>
        <v>2808.3241351092943</v>
      </c>
      <c r="L82" s="66">
        <f t="shared" si="6"/>
        <v>1057.1017798839939</v>
      </c>
      <c r="M82" s="66">
        <f t="shared" si="7"/>
        <v>640845.55767366907</v>
      </c>
      <c r="N82" s="45"/>
      <c r="O82" s="45"/>
      <c r="P82" s="64">
        <f t="shared" si="8"/>
        <v>64</v>
      </c>
      <c r="Q82" s="65">
        <f t="shared" si="9"/>
        <v>895.35799997349602</v>
      </c>
      <c r="R82" s="66">
        <f t="shared" si="14"/>
        <v>823.58014852310248</v>
      </c>
      <c r="S82" s="66">
        <f t="shared" si="13"/>
        <v>71.777851450393541</v>
      </c>
      <c r="T82" s="66">
        <f t="shared" si="10"/>
        <v>96441.520803600681</v>
      </c>
      <c r="U82" s="45"/>
    </row>
    <row r="83" spans="1:21" ht="15">
      <c r="A83" s="45"/>
      <c r="B83" s="64">
        <f t="shared" si="0"/>
        <v>65</v>
      </c>
      <c r="C83" s="65">
        <f t="shared" si="1"/>
        <v>4424.4761644507462</v>
      </c>
      <c r="D83" s="66">
        <f t="shared" si="2"/>
        <v>3530.3019919922313</v>
      </c>
      <c r="E83" s="66">
        <f t="shared" si="3"/>
        <v>894.17417245851493</v>
      </c>
      <c r="F83" s="66">
        <f t="shared" si="4"/>
        <v>650853.88588764577</v>
      </c>
      <c r="G83" s="45"/>
      <c r="H83" s="45"/>
      <c r="I83" s="64">
        <f t="shared" si="5"/>
        <v>65</v>
      </c>
      <c r="J83" s="65">
        <f t="shared" si="11"/>
        <v>3865.4259149932882</v>
      </c>
      <c r="K83" s="66">
        <f t="shared" si="12"/>
        <v>2803.6993148223019</v>
      </c>
      <c r="L83" s="66">
        <f t="shared" si="6"/>
        <v>1061.7266001709863</v>
      </c>
      <c r="M83" s="66">
        <f t="shared" si="7"/>
        <v>639783.83107349812</v>
      </c>
      <c r="N83" s="45"/>
      <c r="O83" s="45"/>
      <c r="P83" s="64">
        <f t="shared" si="8"/>
        <v>65</v>
      </c>
      <c r="Q83" s="65">
        <f t="shared" si="9"/>
        <v>895.35799997349602</v>
      </c>
      <c r="R83" s="66">
        <f t="shared" si="14"/>
        <v>822.96764419072588</v>
      </c>
      <c r="S83" s="66">
        <f t="shared" si="13"/>
        <v>72.390355782770143</v>
      </c>
      <c r="T83" s="66">
        <f t="shared" si="10"/>
        <v>96369.130447817908</v>
      </c>
      <c r="U83" s="45"/>
    </row>
    <row r="84" spans="1:21" ht="15">
      <c r="A84" s="45"/>
      <c r="B84" s="64">
        <f t="shared" ref="B84:B147" si="15">IF(B83&lt;$D$6,B83+1,"")</f>
        <v>66</v>
      </c>
      <c r="C84" s="65">
        <f t="shared" ref="C84:C147" si="16">IF(B83&lt;$D$6,+C83,"")</f>
        <v>4424.4761644507462</v>
      </c>
      <c r="D84" s="66">
        <f t="shared" ref="D84:D147" si="17">IF(B83&lt;$D$6,+F83*($D$7/12),"")</f>
        <v>3525.4585485580815</v>
      </c>
      <c r="E84" s="66">
        <f t="shared" ref="E84:E147" si="18">IF(B83&lt;$D$6,+C84-D84,"")</f>
        <v>899.01761589266471</v>
      </c>
      <c r="F84" s="66">
        <f t="shared" ref="F84:F147" si="19">IF(B83&lt;$D$6,+F83-E84,"")</f>
        <v>649954.86827175308</v>
      </c>
      <c r="G84" s="45"/>
      <c r="H84" s="45"/>
      <c r="I84" s="64">
        <f t="shared" si="5"/>
        <v>66</v>
      </c>
      <c r="J84" s="65">
        <f t="shared" si="11"/>
        <v>3865.4259149932882</v>
      </c>
      <c r="K84" s="66">
        <f t="shared" si="12"/>
        <v>2799.0542609465538</v>
      </c>
      <c r="L84" s="66">
        <f t="shared" si="6"/>
        <v>1066.3716540467344</v>
      </c>
      <c r="M84" s="66">
        <f t="shared" si="7"/>
        <v>638717.45941945142</v>
      </c>
      <c r="N84" s="45"/>
      <c r="O84" s="45"/>
      <c r="P84" s="64">
        <f t="shared" si="8"/>
        <v>66</v>
      </c>
      <c r="Q84" s="65">
        <f t="shared" si="9"/>
        <v>895.35799997349602</v>
      </c>
      <c r="R84" s="66">
        <f t="shared" si="14"/>
        <v>822.34991315471291</v>
      </c>
      <c r="S84" s="66">
        <f t="shared" si="13"/>
        <v>73.008086818783113</v>
      </c>
      <c r="T84" s="66">
        <f t="shared" si="10"/>
        <v>96296.122360999128</v>
      </c>
      <c r="U84" s="45"/>
    </row>
    <row r="85" spans="1:21" ht="15">
      <c r="A85" s="45"/>
      <c r="B85" s="64">
        <f t="shared" si="15"/>
        <v>67</v>
      </c>
      <c r="C85" s="65">
        <f t="shared" si="16"/>
        <v>4424.4761644507462</v>
      </c>
      <c r="D85" s="66">
        <f t="shared" si="17"/>
        <v>3520.5888698053291</v>
      </c>
      <c r="E85" s="66">
        <f t="shared" si="18"/>
        <v>903.88729464541711</v>
      </c>
      <c r="F85" s="66">
        <f t="shared" si="19"/>
        <v>649050.98097710765</v>
      </c>
      <c r="G85" s="45"/>
      <c r="H85" s="45"/>
      <c r="I85" s="64">
        <f t="shared" ref="I85:I148" si="20">IF(I84&lt;$K$6,I84+1,"")</f>
        <v>67</v>
      </c>
      <c r="J85" s="65">
        <f t="shared" si="11"/>
        <v>3865.4259149932882</v>
      </c>
      <c r="K85" s="66">
        <f t="shared" si="12"/>
        <v>2794.3888849600999</v>
      </c>
      <c r="L85" s="66">
        <f t="shared" ref="L85:L148" si="21">IF(I84&lt;$K$6,+J85-K85,"")</f>
        <v>1071.0370300331883</v>
      </c>
      <c r="M85" s="66">
        <f t="shared" ref="M85:M148" si="22">IF(I84&lt;$K$6,+M84-L85,"")</f>
        <v>637646.42238941824</v>
      </c>
      <c r="N85" s="45"/>
      <c r="O85" s="45"/>
      <c r="P85" s="64">
        <f t="shared" ref="P85:P148" si="23">IF(P84&lt;$K$6,P84+1,"")</f>
        <v>67</v>
      </c>
      <c r="Q85" s="65">
        <f t="shared" ref="Q85:Q148" si="24">IF(P84&lt;$R$6,+Q84,"")</f>
        <v>895.35799997349602</v>
      </c>
      <c r="R85" s="66">
        <f t="shared" si="14"/>
        <v>821.72691081385926</v>
      </c>
      <c r="S85" s="66">
        <f t="shared" si="13"/>
        <v>73.631089159636758</v>
      </c>
      <c r="T85" s="66">
        <f t="shared" ref="T85:T148" si="25">IF(P84&lt;$R$6,+T84-S85,"")</f>
        <v>96222.491271839492</v>
      </c>
      <c r="U85" s="45"/>
    </row>
    <row r="86" spans="1:21" ht="15">
      <c r="A86" s="45"/>
      <c r="B86" s="64">
        <f t="shared" si="15"/>
        <v>68</v>
      </c>
      <c r="C86" s="65">
        <f t="shared" si="16"/>
        <v>4424.4761644507462</v>
      </c>
      <c r="D86" s="66">
        <f t="shared" si="17"/>
        <v>3515.6928136259999</v>
      </c>
      <c r="E86" s="66">
        <f t="shared" si="18"/>
        <v>908.78335082474632</v>
      </c>
      <c r="F86" s="66">
        <f t="shared" si="19"/>
        <v>648142.19762628293</v>
      </c>
      <c r="G86" s="45"/>
      <c r="H86" s="45"/>
      <c r="I86" s="64">
        <f t="shared" si="20"/>
        <v>68</v>
      </c>
      <c r="J86" s="65">
        <f t="shared" ref="J86:J149" si="26">IF(I85&lt;$K$6,+J85,"")</f>
        <v>3865.4259149932882</v>
      </c>
      <c r="K86" s="66">
        <f t="shared" ref="K86:K149" si="27">IF(I85&lt;$K$6,+M85*($K$7/12),"")</f>
        <v>2789.7030979537044</v>
      </c>
      <c r="L86" s="66">
        <f t="shared" si="21"/>
        <v>1075.7228170395838</v>
      </c>
      <c r="M86" s="66">
        <f t="shared" si="22"/>
        <v>636570.69957237865</v>
      </c>
      <c r="N86" s="45"/>
      <c r="O86" s="45"/>
      <c r="P86" s="64">
        <f t="shared" si="23"/>
        <v>68</v>
      </c>
      <c r="Q86" s="65">
        <f t="shared" si="24"/>
        <v>895.35799997349602</v>
      </c>
      <c r="R86" s="66">
        <f t="shared" si="14"/>
        <v>821.0985921863637</v>
      </c>
      <c r="S86" s="66">
        <f t="shared" ref="S86:S149" si="28">IF(P85&lt;$R$6,+Q86-R86,"")</f>
        <v>74.259407787132318</v>
      </c>
      <c r="T86" s="66">
        <f t="shared" si="25"/>
        <v>96148.231864052359</v>
      </c>
      <c r="U86" s="45"/>
    </row>
    <row r="87" spans="1:21" ht="15">
      <c r="A87" s="45"/>
      <c r="B87" s="64">
        <f t="shared" si="15"/>
        <v>69</v>
      </c>
      <c r="C87" s="65">
        <f t="shared" si="16"/>
        <v>4424.4761644507462</v>
      </c>
      <c r="D87" s="66">
        <f t="shared" si="17"/>
        <v>3510.7702371423661</v>
      </c>
      <c r="E87" s="66">
        <f t="shared" si="18"/>
        <v>913.70592730838007</v>
      </c>
      <c r="F87" s="66">
        <f t="shared" si="19"/>
        <v>647228.49169897451</v>
      </c>
      <c r="G87" s="45"/>
      <c r="H87" s="45"/>
      <c r="I87" s="64">
        <f t="shared" si="20"/>
        <v>69</v>
      </c>
      <c r="J87" s="65">
        <f t="shared" si="26"/>
        <v>3865.4259149932882</v>
      </c>
      <c r="K87" s="66">
        <f t="shared" si="27"/>
        <v>2784.9968106291562</v>
      </c>
      <c r="L87" s="66">
        <f t="shared" si="21"/>
        <v>1080.4291043641319</v>
      </c>
      <c r="M87" s="66">
        <f t="shared" si="22"/>
        <v>635490.27046801453</v>
      </c>
      <c r="N87" s="45"/>
      <c r="O87" s="45"/>
      <c r="P87" s="64">
        <f t="shared" si="23"/>
        <v>69</v>
      </c>
      <c r="Q87" s="65">
        <f t="shared" si="24"/>
        <v>895.35799997349602</v>
      </c>
      <c r="R87" s="66">
        <f t="shared" ref="R87:R150" si="29">IF(P86&lt;$R$6,+T86*($R$7/12),"")</f>
        <v>820.46491190658014</v>
      </c>
      <c r="S87" s="66">
        <f t="shared" si="28"/>
        <v>74.89308806691588</v>
      </c>
      <c r="T87" s="66">
        <f t="shared" si="25"/>
        <v>96073.338775985438</v>
      </c>
      <c r="U87" s="45"/>
    </row>
    <row r="88" spans="1:21" ht="15">
      <c r="A88" s="45"/>
      <c r="B88" s="64">
        <f t="shared" si="15"/>
        <v>70</v>
      </c>
      <c r="C88" s="65">
        <f t="shared" si="16"/>
        <v>4424.4761644507462</v>
      </c>
      <c r="D88" s="66">
        <f t="shared" si="17"/>
        <v>3505.8209967027788</v>
      </c>
      <c r="E88" s="66">
        <f t="shared" si="18"/>
        <v>918.65516774796743</v>
      </c>
      <c r="F88" s="66">
        <f t="shared" si="19"/>
        <v>646309.83653122652</v>
      </c>
      <c r="G88" s="45"/>
      <c r="H88" s="45"/>
      <c r="I88" s="64">
        <f t="shared" si="20"/>
        <v>70</v>
      </c>
      <c r="J88" s="65">
        <f t="shared" si="26"/>
        <v>3865.4259149932882</v>
      </c>
      <c r="K88" s="66">
        <f t="shared" si="27"/>
        <v>2780.2699332975631</v>
      </c>
      <c r="L88" s="66">
        <f t="shared" si="21"/>
        <v>1085.1559816957251</v>
      </c>
      <c r="M88" s="66">
        <f t="shared" si="22"/>
        <v>634405.11448631878</v>
      </c>
      <c r="N88" s="45"/>
      <c r="O88" s="45"/>
      <c r="P88" s="64">
        <f t="shared" si="23"/>
        <v>70</v>
      </c>
      <c r="Q88" s="65">
        <f t="shared" si="24"/>
        <v>895.35799997349602</v>
      </c>
      <c r="R88" s="66">
        <f t="shared" si="29"/>
        <v>819.82582422174244</v>
      </c>
      <c r="S88" s="66">
        <f t="shared" si="28"/>
        <v>75.532175751753584</v>
      </c>
      <c r="T88" s="66">
        <f t="shared" si="25"/>
        <v>95997.806600233685</v>
      </c>
      <c r="U88" s="45"/>
    </row>
    <row r="89" spans="1:21" ht="15">
      <c r="A89" s="45"/>
      <c r="B89" s="64">
        <f t="shared" si="15"/>
        <v>71</v>
      </c>
      <c r="C89" s="65">
        <f t="shared" si="16"/>
        <v>4424.4761644507462</v>
      </c>
      <c r="D89" s="66">
        <f t="shared" si="17"/>
        <v>3500.8449478774769</v>
      </c>
      <c r="E89" s="66">
        <f t="shared" si="18"/>
        <v>923.63121657326928</v>
      </c>
      <c r="F89" s="66">
        <f t="shared" si="19"/>
        <v>645386.20531465323</v>
      </c>
      <c r="G89" s="45"/>
      <c r="H89" s="45"/>
      <c r="I89" s="64">
        <f t="shared" si="20"/>
        <v>71</v>
      </c>
      <c r="J89" s="65">
        <f t="shared" si="26"/>
        <v>3865.4259149932882</v>
      </c>
      <c r="K89" s="66">
        <f t="shared" si="27"/>
        <v>2775.5223758776442</v>
      </c>
      <c r="L89" s="66">
        <f t="shared" si="21"/>
        <v>1089.903539115644</v>
      </c>
      <c r="M89" s="66">
        <f t="shared" si="22"/>
        <v>633315.2109472031</v>
      </c>
      <c r="N89" s="45"/>
      <c r="O89" s="45"/>
      <c r="P89" s="64">
        <f t="shared" si="23"/>
        <v>71</v>
      </c>
      <c r="Q89" s="65">
        <f t="shared" si="24"/>
        <v>895.35799997349602</v>
      </c>
      <c r="R89" s="66">
        <f t="shared" si="29"/>
        <v>819.18128298866077</v>
      </c>
      <c r="S89" s="66">
        <f t="shared" si="28"/>
        <v>76.176716984835252</v>
      </c>
      <c r="T89" s="66">
        <f t="shared" si="25"/>
        <v>95921.629883248854</v>
      </c>
      <c r="U89" s="45"/>
    </row>
    <row r="90" spans="1:21" ht="15">
      <c r="A90" s="45"/>
      <c r="B90" s="64">
        <f t="shared" si="15"/>
        <v>72</v>
      </c>
      <c r="C90" s="65">
        <f t="shared" si="16"/>
        <v>4424.4761644507462</v>
      </c>
      <c r="D90" s="66">
        <f t="shared" si="17"/>
        <v>3495.8419454543719</v>
      </c>
      <c r="E90" s="66">
        <f t="shared" si="18"/>
        <v>928.63421899637433</v>
      </c>
      <c r="F90" s="66">
        <f t="shared" si="19"/>
        <v>644457.57109565684</v>
      </c>
      <c r="G90" s="45"/>
      <c r="H90" s="45"/>
      <c r="I90" s="64">
        <f t="shared" si="20"/>
        <v>72</v>
      </c>
      <c r="J90" s="65">
        <f t="shared" si="26"/>
        <v>3865.4259149932882</v>
      </c>
      <c r="K90" s="66">
        <f t="shared" si="27"/>
        <v>2770.7540478940132</v>
      </c>
      <c r="L90" s="66">
        <f t="shared" si="21"/>
        <v>1094.671867099275</v>
      </c>
      <c r="M90" s="66">
        <f t="shared" si="22"/>
        <v>632220.53908010386</v>
      </c>
      <c r="N90" s="45"/>
      <c r="O90" s="45"/>
      <c r="P90" s="64">
        <f t="shared" si="23"/>
        <v>72</v>
      </c>
      <c r="Q90" s="65">
        <f t="shared" si="24"/>
        <v>895.35799997349602</v>
      </c>
      <c r="R90" s="66">
        <f t="shared" si="29"/>
        <v>818.53124167039027</v>
      </c>
      <c r="S90" s="66">
        <f t="shared" si="28"/>
        <v>76.826758303105748</v>
      </c>
      <c r="T90" s="66">
        <f t="shared" si="25"/>
        <v>95844.803124945742</v>
      </c>
      <c r="U90" s="45"/>
    </row>
    <row r="91" spans="1:21" ht="15">
      <c r="A91" s="45"/>
      <c r="B91" s="64">
        <f t="shared" si="15"/>
        <v>73</v>
      </c>
      <c r="C91" s="65">
        <f t="shared" si="16"/>
        <v>4424.4761644507462</v>
      </c>
      <c r="D91" s="66">
        <f t="shared" si="17"/>
        <v>3490.811843434808</v>
      </c>
      <c r="E91" s="66">
        <f t="shared" si="18"/>
        <v>933.66432101593819</v>
      </c>
      <c r="F91" s="66">
        <f t="shared" si="19"/>
        <v>643523.9067746409</v>
      </c>
      <c r="G91" s="45"/>
      <c r="H91" s="45"/>
      <c r="I91" s="64">
        <f t="shared" si="20"/>
        <v>73</v>
      </c>
      <c r="J91" s="65">
        <f t="shared" si="26"/>
        <v>3865.4259149932882</v>
      </c>
      <c r="K91" s="66">
        <f t="shared" si="27"/>
        <v>2765.9648584754541</v>
      </c>
      <c r="L91" s="66">
        <f t="shared" si="21"/>
        <v>1099.4610565178341</v>
      </c>
      <c r="M91" s="66">
        <f t="shared" si="22"/>
        <v>631121.07802358607</v>
      </c>
      <c r="N91" s="45"/>
      <c r="O91" s="45"/>
      <c r="P91" s="64">
        <f t="shared" si="23"/>
        <v>73</v>
      </c>
      <c r="Q91" s="65">
        <f t="shared" si="24"/>
        <v>895.35799997349602</v>
      </c>
      <c r="R91" s="66">
        <f t="shared" si="29"/>
        <v>817.87565333287034</v>
      </c>
      <c r="S91" s="66">
        <f t="shared" si="28"/>
        <v>77.482346640625678</v>
      </c>
      <c r="T91" s="66">
        <f t="shared" si="25"/>
        <v>95767.320778305118</v>
      </c>
      <c r="U91" s="45"/>
    </row>
    <row r="92" spans="1:21" ht="15">
      <c r="A92" s="45"/>
      <c r="B92" s="64">
        <f t="shared" si="15"/>
        <v>74</v>
      </c>
      <c r="C92" s="65">
        <f t="shared" si="16"/>
        <v>4424.4761644507462</v>
      </c>
      <c r="D92" s="66">
        <f t="shared" si="17"/>
        <v>3485.754495029305</v>
      </c>
      <c r="E92" s="66">
        <f t="shared" si="18"/>
        <v>938.72166942144122</v>
      </c>
      <c r="F92" s="66">
        <f t="shared" si="19"/>
        <v>642585.18510521948</v>
      </c>
      <c r="G92" s="45"/>
      <c r="H92" s="45"/>
      <c r="I92" s="64">
        <f t="shared" si="20"/>
        <v>74</v>
      </c>
      <c r="J92" s="65">
        <f t="shared" si="26"/>
        <v>3865.4259149932882</v>
      </c>
      <c r="K92" s="66">
        <f t="shared" si="27"/>
        <v>2761.1547163531886</v>
      </c>
      <c r="L92" s="66">
        <f t="shared" si="21"/>
        <v>1104.2711986400996</v>
      </c>
      <c r="M92" s="66">
        <f t="shared" si="22"/>
        <v>630016.80682494596</v>
      </c>
      <c r="N92" s="45"/>
      <c r="O92" s="45"/>
      <c r="P92" s="64">
        <f t="shared" si="23"/>
        <v>74</v>
      </c>
      <c r="Q92" s="65">
        <f t="shared" si="24"/>
        <v>895.35799997349602</v>
      </c>
      <c r="R92" s="66">
        <f t="shared" si="29"/>
        <v>817.2144706415371</v>
      </c>
      <c r="S92" s="66">
        <f t="shared" si="28"/>
        <v>78.143529331958916</v>
      </c>
      <c r="T92" s="66">
        <f t="shared" si="25"/>
        <v>95689.177248973167</v>
      </c>
      <c r="U92" s="45"/>
    </row>
    <row r="93" spans="1:21" ht="15">
      <c r="A93" s="45"/>
      <c r="B93" s="64">
        <f t="shared" si="15"/>
        <v>75</v>
      </c>
      <c r="C93" s="65">
        <f t="shared" si="16"/>
        <v>4424.4761644507462</v>
      </c>
      <c r="D93" s="66">
        <f t="shared" si="17"/>
        <v>3480.6697526532721</v>
      </c>
      <c r="E93" s="66">
        <f t="shared" si="18"/>
        <v>943.80641179747408</v>
      </c>
      <c r="F93" s="66">
        <f t="shared" si="19"/>
        <v>641641.37869342195</v>
      </c>
      <c r="G93" s="45"/>
      <c r="H93" s="45"/>
      <c r="I93" s="64">
        <f t="shared" si="20"/>
        <v>75</v>
      </c>
      <c r="J93" s="65">
        <f t="shared" si="26"/>
        <v>3865.4259149932882</v>
      </c>
      <c r="K93" s="66">
        <f t="shared" si="27"/>
        <v>2756.3235298591385</v>
      </c>
      <c r="L93" s="66">
        <f t="shared" si="21"/>
        <v>1109.1023851341497</v>
      </c>
      <c r="M93" s="66">
        <f t="shared" si="22"/>
        <v>628907.70443981176</v>
      </c>
      <c r="N93" s="45"/>
      <c r="O93" s="45"/>
      <c r="P93" s="64">
        <f t="shared" si="23"/>
        <v>75</v>
      </c>
      <c r="Q93" s="65">
        <f t="shared" si="24"/>
        <v>895.35799997349602</v>
      </c>
      <c r="R93" s="66">
        <f t="shared" si="29"/>
        <v>816.5476458579044</v>
      </c>
      <c r="S93" s="66">
        <f t="shared" si="28"/>
        <v>78.810354115591622</v>
      </c>
      <c r="T93" s="66">
        <f t="shared" si="25"/>
        <v>95610.36689485758</v>
      </c>
      <c r="U93" s="45"/>
    </row>
    <row r="94" spans="1:21" ht="15">
      <c r="A94" s="45"/>
      <c r="B94" s="64">
        <f t="shared" si="15"/>
        <v>76</v>
      </c>
      <c r="C94" s="65">
        <f t="shared" si="16"/>
        <v>4424.4761644507462</v>
      </c>
      <c r="D94" s="66">
        <f t="shared" si="17"/>
        <v>3475.5574679227025</v>
      </c>
      <c r="E94" s="66">
        <f t="shared" si="18"/>
        <v>948.91869652804371</v>
      </c>
      <c r="F94" s="66">
        <f t="shared" si="19"/>
        <v>640692.45999689389</v>
      </c>
      <c r="G94" s="45"/>
      <c r="H94" s="45"/>
      <c r="I94" s="64">
        <f t="shared" si="20"/>
        <v>76</v>
      </c>
      <c r="J94" s="65">
        <f t="shared" si="26"/>
        <v>3865.4259149932882</v>
      </c>
      <c r="K94" s="66">
        <f t="shared" si="27"/>
        <v>2751.4712069241759</v>
      </c>
      <c r="L94" s="66">
        <f t="shared" si="21"/>
        <v>1113.9547080691123</v>
      </c>
      <c r="M94" s="66">
        <f t="shared" si="22"/>
        <v>627793.74973174266</v>
      </c>
      <c r="N94" s="45"/>
      <c r="O94" s="45"/>
      <c r="P94" s="64">
        <f t="shared" si="23"/>
        <v>76</v>
      </c>
      <c r="Q94" s="65">
        <f t="shared" si="24"/>
        <v>895.35799997349602</v>
      </c>
      <c r="R94" s="66">
        <f t="shared" si="29"/>
        <v>815.87513083611805</v>
      </c>
      <c r="S94" s="66">
        <f t="shared" si="28"/>
        <v>79.482869137377975</v>
      </c>
      <c r="T94" s="66">
        <f t="shared" si="25"/>
        <v>95530.884025720195</v>
      </c>
      <c r="U94" s="45"/>
    </row>
    <row r="95" spans="1:21" ht="15">
      <c r="A95" s="45"/>
      <c r="B95" s="64">
        <f t="shared" si="15"/>
        <v>77</v>
      </c>
      <c r="C95" s="65">
        <f t="shared" si="16"/>
        <v>4424.4761644507462</v>
      </c>
      <c r="D95" s="66">
        <f t="shared" si="17"/>
        <v>3470.4174916498418</v>
      </c>
      <c r="E95" s="66">
        <f t="shared" si="18"/>
        <v>954.05867280090433</v>
      </c>
      <c r="F95" s="66">
        <f t="shared" si="19"/>
        <v>639738.40132409299</v>
      </c>
      <c r="G95" s="45"/>
      <c r="H95" s="45"/>
      <c r="I95" s="64">
        <f t="shared" si="20"/>
        <v>77</v>
      </c>
      <c r="J95" s="65">
        <f t="shared" si="26"/>
        <v>3865.4259149932882</v>
      </c>
      <c r="K95" s="66">
        <f t="shared" si="27"/>
        <v>2746.5976550763739</v>
      </c>
      <c r="L95" s="66">
        <f t="shared" si="21"/>
        <v>1118.8282599169142</v>
      </c>
      <c r="M95" s="66">
        <f t="shared" si="22"/>
        <v>626674.9214718258</v>
      </c>
      <c r="N95" s="45"/>
      <c r="O95" s="45"/>
      <c r="P95" s="64">
        <f t="shared" si="23"/>
        <v>77</v>
      </c>
      <c r="Q95" s="65">
        <f t="shared" si="24"/>
        <v>895.35799997349602</v>
      </c>
      <c r="R95" s="66">
        <f t="shared" si="29"/>
        <v>815.19687701947907</v>
      </c>
      <c r="S95" s="66">
        <f t="shared" si="28"/>
        <v>80.161122954016946</v>
      </c>
      <c r="T95" s="66">
        <f t="shared" si="25"/>
        <v>95450.722902766182</v>
      </c>
      <c r="U95" s="45"/>
    </row>
    <row r="96" spans="1:21" ht="15">
      <c r="A96" s="45"/>
      <c r="B96" s="64">
        <f t="shared" si="15"/>
        <v>78</v>
      </c>
      <c r="C96" s="65">
        <f t="shared" si="16"/>
        <v>4424.4761644507462</v>
      </c>
      <c r="D96" s="66">
        <f t="shared" si="17"/>
        <v>3465.2496738388372</v>
      </c>
      <c r="E96" s="66">
        <f t="shared" si="18"/>
        <v>959.22649061190896</v>
      </c>
      <c r="F96" s="66">
        <f t="shared" si="19"/>
        <v>638779.17483348108</v>
      </c>
      <c r="G96" s="45"/>
      <c r="H96" s="45"/>
      <c r="I96" s="64">
        <f t="shared" si="20"/>
        <v>78</v>
      </c>
      <c r="J96" s="65">
        <f t="shared" si="26"/>
        <v>3865.4259149932882</v>
      </c>
      <c r="K96" s="66">
        <f t="shared" si="27"/>
        <v>2741.7027814392377</v>
      </c>
      <c r="L96" s="66">
        <f t="shared" si="21"/>
        <v>1123.7231335540505</v>
      </c>
      <c r="M96" s="66">
        <f t="shared" si="22"/>
        <v>625551.1983382717</v>
      </c>
      <c r="N96" s="45"/>
      <c r="O96" s="45"/>
      <c r="P96" s="64">
        <f t="shared" si="23"/>
        <v>78</v>
      </c>
      <c r="Q96" s="65">
        <f t="shared" si="24"/>
        <v>895.35799997349602</v>
      </c>
      <c r="R96" s="66">
        <f t="shared" si="29"/>
        <v>814.51283543693808</v>
      </c>
      <c r="S96" s="66">
        <f t="shared" si="28"/>
        <v>80.845164536557945</v>
      </c>
      <c r="T96" s="66">
        <f t="shared" si="25"/>
        <v>95369.877738229625</v>
      </c>
      <c r="U96" s="45"/>
    </row>
    <row r="97" spans="1:21" ht="15">
      <c r="A97" s="45"/>
      <c r="B97" s="64">
        <f t="shared" si="15"/>
        <v>79</v>
      </c>
      <c r="C97" s="65">
        <f t="shared" si="16"/>
        <v>4424.4761644507462</v>
      </c>
      <c r="D97" s="66">
        <f t="shared" si="17"/>
        <v>3460.0538636813558</v>
      </c>
      <c r="E97" s="66">
        <f t="shared" si="18"/>
        <v>964.4223007693904</v>
      </c>
      <c r="F97" s="66">
        <f t="shared" si="19"/>
        <v>637814.75253271172</v>
      </c>
      <c r="G97" s="45"/>
      <c r="H97" s="45"/>
      <c r="I97" s="64">
        <f t="shared" si="20"/>
        <v>79</v>
      </c>
      <c r="J97" s="65">
        <f t="shared" si="26"/>
        <v>3865.4259149932882</v>
      </c>
      <c r="K97" s="66">
        <f t="shared" si="27"/>
        <v>2736.7864927299383</v>
      </c>
      <c r="L97" s="66">
        <f t="shared" si="21"/>
        <v>1128.6394222633498</v>
      </c>
      <c r="M97" s="66">
        <f t="shared" si="22"/>
        <v>624422.55891600833</v>
      </c>
      <c r="N97" s="45"/>
      <c r="O97" s="45"/>
      <c r="P97" s="64">
        <f t="shared" si="23"/>
        <v>79</v>
      </c>
      <c r="Q97" s="65">
        <f t="shared" si="24"/>
        <v>895.35799997349602</v>
      </c>
      <c r="R97" s="66">
        <f t="shared" si="29"/>
        <v>813.82295669955954</v>
      </c>
      <c r="S97" s="66">
        <f t="shared" si="28"/>
        <v>81.535043273936481</v>
      </c>
      <c r="T97" s="66">
        <f t="shared" si="25"/>
        <v>95288.342694955689</v>
      </c>
      <c r="U97" s="45"/>
    </row>
    <row r="98" spans="1:21" ht="15">
      <c r="A98" s="45"/>
      <c r="B98" s="64">
        <f t="shared" si="15"/>
        <v>80</v>
      </c>
      <c r="C98" s="65">
        <f t="shared" si="16"/>
        <v>4424.4761644507462</v>
      </c>
      <c r="D98" s="66">
        <f t="shared" si="17"/>
        <v>3454.8299095521884</v>
      </c>
      <c r="E98" s="66">
        <f t="shared" si="18"/>
        <v>969.6462548985578</v>
      </c>
      <c r="F98" s="66">
        <f t="shared" si="19"/>
        <v>636845.1062778132</v>
      </c>
      <c r="G98" s="45"/>
      <c r="H98" s="45"/>
      <c r="I98" s="64">
        <f t="shared" si="20"/>
        <v>80</v>
      </c>
      <c r="J98" s="65">
        <f t="shared" si="26"/>
        <v>3865.4259149932882</v>
      </c>
      <c r="K98" s="66">
        <f t="shared" si="27"/>
        <v>2731.8486952575363</v>
      </c>
      <c r="L98" s="66">
        <f t="shared" si="21"/>
        <v>1133.5772197357519</v>
      </c>
      <c r="M98" s="66">
        <f t="shared" si="22"/>
        <v>623288.98169627262</v>
      </c>
      <c r="N98" s="45"/>
      <c r="O98" s="45"/>
      <c r="P98" s="64">
        <f t="shared" si="23"/>
        <v>80</v>
      </c>
      <c r="Q98" s="65">
        <f t="shared" si="24"/>
        <v>895.35799997349602</v>
      </c>
      <c r="R98" s="66">
        <f t="shared" si="29"/>
        <v>813.12719099695528</v>
      </c>
      <c r="S98" s="66">
        <f t="shared" si="28"/>
        <v>82.230808976540743</v>
      </c>
      <c r="T98" s="66">
        <f t="shared" si="25"/>
        <v>95206.111885979146</v>
      </c>
      <c r="U98" s="45"/>
    </row>
    <row r="99" spans="1:21" ht="15">
      <c r="A99" s="45"/>
      <c r="B99" s="64">
        <f t="shared" si="15"/>
        <v>81</v>
      </c>
      <c r="C99" s="65">
        <f t="shared" si="16"/>
        <v>4424.4761644507462</v>
      </c>
      <c r="D99" s="66">
        <f t="shared" si="17"/>
        <v>3449.5776590048217</v>
      </c>
      <c r="E99" s="66">
        <f t="shared" si="18"/>
        <v>974.89850544592446</v>
      </c>
      <c r="F99" s="66">
        <f t="shared" si="19"/>
        <v>635870.20777236728</v>
      </c>
      <c r="G99" s="45"/>
      <c r="H99" s="45"/>
      <c r="I99" s="64">
        <f t="shared" si="20"/>
        <v>81</v>
      </c>
      <c r="J99" s="65">
        <f t="shared" si="26"/>
        <v>3865.4259149932882</v>
      </c>
      <c r="K99" s="66">
        <f t="shared" si="27"/>
        <v>2726.8892949211922</v>
      </c>
      <c r="L99" s="66">
        <f t="shared" si="21"/>
        <v>1138.536620072096</v>
      </c>
      <c r="M99" s="66">
        <f t="shared" si="22"/>
        <v>622150.44507620053</v>
      </c>
      <c r="N99" s="45"/>
      <c r="O99" s="45"/>
      <c r="P99" s="64">
        <f t="shared" si="23"/>
        <v>81</v>
      </c>
      <c r="Q99" s="65">
        <f t="shared" si="24"/>
        <v>895.35799997349602</v>
      </c>
      <c r="R99" s="66">
        <f t="shared" si="29"/>
        <v>812.42548809368873</v>
      </c>
      <c r="S99" s="66">
        <f t="shared" si="28"/>
        <v>82.932511879807294</v>
      </c>
      <c r="T99" s="66">
        <f t="shared" si="25"/>
        <v>95123.179374099345</v>
      </c>
      <c r="U99" s="45"/>
    </row>
    <row r="100" spans="1:21" ht="15">
      <c r="A100" s="45"/>
      <c r="B100" s="64">
        <f t="shared" si="15"/>
        <v>82</v>
      </c>
      <c r="C100" s="65">
        <f t="shared" si="16"/>
        <v>4424.4761644507462</v>
      </c>
      <c r="D100" s="66">
        <f t="shared" si="17"/>
        <v>3444.2969587669895</v>
      </c>
      <c r="E100" s="66">
        <f t="shared" si="18"/>
        <v>980.17920568375666</v>
      </c>
      <c r="F100" s="66">
        <f t="shared" si="19"/>
        <v>634890.02856668353</v>
      </c>
      <c r="G100" s="45"/>
      <c r="H100" s="45"/>
      <c r="I100" s="64">
        <f t="shared" si="20"/>
        <v>82</v>
      </c>
      <c r="J100" s="65">
        <f t="shared" si="26"/>
        <v>3865.4259149932882</v>
      </c>
      <c r="K100" s="66">
        <f t="shared" si="27"/>
        <v>2721.9081972083773</v>
      </c>
      <c r="L100" s="66">
        <f t="shared" si="21"/>
        <v>1143.5177177849109</v>
      </c>
      <c r="M100" s="66">
        <f t="shared" si="22"/>
        <v>621006.92735841568</v>
      </c>
      <c r="N100" s="45"/>
      <c r="O100" s="45"/>
      <c r="P100" s="64">
        <f t="shared" si="23"/>
        <v>82</v>
      </c>
      <c r="Q100" s="65">
        <f t="shared" si="24"/>
        <v>895.35799997349602</v>
      </c>
      <c r="R100" s="66">
        <f t="shared" si="29"/>
        <v>811.71779732564778</v>
      </c>
      <c r="S100" s="66">
        <f t="shared" si="28"/>
        <v>83.640202647848241</v>
      </c>
      <c r="T100" s="66">
        <f t="shared" si="25"/>
        <v>95039.539171451499</v>
      </c>
      <c r="U100" s="45"/>
    </row>
    <row r="101" spans="1:21" ht="15">
      <c r="A101" s="45"/>
      <c r="B101" s="64">
        <f t="shared" si="15"/>
        <v>83</v>
      </c>
      <c r="C101" s="65">
        <f t="shared" si="16"/>
        <v>4424.4761644507462</v>
      </c>
      <c r="D101" s="66">
        <f t="shared" si="17"/>
        <v>3438.9876547362023</v>
      </c>
      <c r="E101" s="66">
        <f t="shared" si="18"/>
        <v>985.48850971454385</v>
      </c>
      <c r="F101" s="66">
        <f t="shared" si="19"/>
        <v>633904.54005696904</v>
      </c>
      <c r="G101" s="45"/>
      <c r="H101" s="45"/>
      <c r="I101" s="64">
        <f t="shared" si="20"/>
        <v>83</v>
      </c>
      <c r="J101" s="65">
        <f t="shared" si="26"/>
        <v>3865.4259149932882</v>
      </c>
      <c r="K101" s="66">
        <f t="shared" si="27"/>
        <v>2716.9053071930684</v>
      </c>
      <c r="L101" s="66">
        <f t="shared" si="21"/>
        <v>1148.5206078002198</v>
      </c>
      <c r="M101" s="66">
        <f t="shared" si="22"/>
        <v>619858.40675061545</v>
      </c>
      <c r="N101" s="45"/>
      <c r="O101" s="45"/>
      <c r="P101" s="64">
        <f t="shared" si="23"/>
        <v>83</v>
      </c>
      <c r="Q101" s="65">
        <f t="shared" si="24"/>
        <v>895.35799997349602</v>
      </c>
      <c r="R101" s="66">
        <f t="shared" si="29"/>
        <v>811.00406759638611</v>
      </c>
      <c r="S101" s="66">
        <f t="shared" si="28"/>
        <v>84.353932377109913</v>
      </c>
      <c r="T101" s="66">
        <f t="shared" si="25"/>
        <v>94955.185239074388</v>
      </c>
      <c r="U101" s="45"/>
    </row>
    <row r="102" spans="1:21" ht="15">
      <c r="A102" s="45"/>
      <c r="B102" s="64">
        <f t="shared" si="15"/>
        <v>84</v>
      </c>
      <c r="C102" s="65">
        <f t="shared" si="16"/>
        <v>4424.4761644507462</v>
      </c>
      <c r="D102" s="66">
        <f t="shared" si="17"/>
        <v>3433.6495919752492</v>
      </c>
      <c r="E102" s="66">
        <f t="shared" si="18"/>
        <v>990.82657247549696</v>
      </c>
      <c r="F102" s="66">
        <f t="shared" si="19"/>
        <v>632913.71348449355</v>
      </c>
      <c r="G102" s="45"/>
      <c r="H102" s="45"/>
      <c r="I102" s="64">
        <f t="shared" si="20"/>
        <v>84</v>
      </c>
      <c r="J102" s="65">
        <f t="shared" si="26"/>
        <v>3865.4259149932882</v>
      </c>
      <c r="K102" s="66">
        <f t="shared" si="27"/>
        <v>2711.8805295339425</v>
      </c>
      <c r="L102" s="66">
        <f t="shared" si="21"/>
        <v>1153.5453854593457</v>
      </c>
      <c r="M102" s="66">
        <f t="shared" si="22"/>
        <v>618704.86136515613</v>
      </c>
      <c r="N102" s="45"/>
      <c r="O102" s="45"/>
      <c r="P102" s="64">
        <f t="shared" si="23"/>
        <v>84</v>
      </c>
      <c r="Q102" s="65">
        <f t="shared" si="24"/>
        <v>895.35799997349602</v>
      </c>
      <c r="R102" s="66">
        <f t="shared" si="29"/>
        <v>810.28424737343482</v>
      </c>
      <c r="S102" s="66">
        <f t="shared" si="28"/>
        <v>85.073752600061198</v>
      </c>
      <c r="T102" s="66">
        <f t="shared" si="25"/>
        <v>94870.111486474329</v>
      </c>
      <c r="U102" s="45"/>
    </row>
    <row r="103" spans="1:21" ht="15">
      <c r="A103" s="45"/>
      <c r="B103" s="64">
        <f t="shared" si="15"/>
        <v>85</v>
      </c>
      <c r="C103" s="65">
        <f t="shared" si="16"/>
        <v>4424.4761644507462</v>
      </c>
      <c r="D103" s="66">
        <f t="shared" si="17"/>
        <v>3428.2826147076735</v>
      </c>
      <c r="E103" s="66">
        <f t="shared" si="18"/>
        <v>996.19354974307271</v>
      </c>
      <c r="F103" s="66">
        <f t="shared" si="19"/>
        <v>631917.51993475051</v>
      </c>
      <c r="G103" s="45"/>
      <c r="H103" s="45"/>
      <c r="I103" s="64">
        <f t="shared" si="20"/>
        <v>85</v>
      </c>
      <c r="J103" s="65">
        <f t="shared" si="26"/>
        <v>3865.4259149932882</v>
      </c>
      <c r="K103" s="66">
        <f t="shared" si="27"/>
        <v>2706.8337684725579</v>
      </c>
      <c r="L103" s="66">
        <f t="shared" si="21"/>
        <v>1158.5921465207302</v>
      </c>
      <c r="M103" s="66">
        <f t="shared" si="22"/>
        <v>617546.2692186354</v>
      </c>
      <c r="N103" s="45"/>
      <c r="O103" s="45"/>
      <c r="P103" s="64">
        <f t="shared" si="23"/>
        <v>85</v>
      </c>
      <c r="Q103" s="65">
        <f t="shared" si="24"/>
        <v>895.35799997349602</v>
      </c>
      <c r="R103" s="66">
        <f t="shared" si="29"/>
        <v>809.55828468458094</v>
      </c>
      <c r="S103" s="66">
        <f t="shared" si="28"/>
        <v>85.799715288915081</v>
      </c>
      <c r="T103" s="66">
        <f t="shared" si="25"/>
        <v>94784.311771185414</v>
      </c>
      <c r="U103" s="45"/>
    </row>
    <row r="104" spans="1:21" ht="15">
      <c r="A104" s="45"/>
      <c r="B104" s="64">
        <f t="shared" si="15"/>
        <v>86</v>
      </c>
      <c r="C104" s="65">
        <f t="shared" si="16"/>
        <v>4424.4761644507462</v>
      </c>
      <c r="D104" s="66">
        <f t="shared" si="17"/>
        <v>3422.8865663132319</v>
      </c>
      <c r="E104" s="66">
        <f t="shared" si="18"/>
        <v>1001.5895981375143</v>
      </c>
      <c r="F104" s="66">
        <f t="shared" si="19"/>
        <v>630915.93033661298</v>
      </c>
      <c r="G104" s="45"/>
      <c r="H104" s="45"/>
      <c r="I104" s="64">
        <f t="shared" si="20"/>
        <v>86</v>
      </c>
      <c r="J104" s="65">
        <f t="shared" si="26"/>
        <v>3865.4259149932882</v>
      </c>
      <c r="K104" s="66">
        <f t="shared" si="27"/>
        <v>2701.7649278315298</v>
      </c>
      <c r="L104" s="66">
        <f t="shared" si="21"/>
        <v>1163.6609871617584</v>
      </c>
      <c r="M104" s="66">
        <f t="shared" si="22"/>
        <v>616382.6082314736</v>
      </c>
      <c r="N104" s="45"/>
      <c r="O104" s="45"/>
      <c r="P104" s="64">
        <f t="shared" si="23"/>
        <v>86</v>
      </c>
      <c r="Q104" s="65">
        <f t="shared" si="24"/>
        <v>895.35799997349602</v>
      </c>
      <c r="R104" s="66">
        <f t="shared" si="29"/>
        <v>808.82612711411559</v>
      </c>
      <c r="S104" s="66">
        <f t="shared" si="28"/>
        <v>86.531872859380428</v>
      </c>
      <c r="T104" s="66">
        <f t="shared" si="25"/>
        <v>94697.779898326029</v>
      </c>
      <c r="U104" s="45"/>
    </row>
    <row r="105" spans="1:21" ht="15">
      <c r="A105" s="45"/>
      <c r="B105" s="64">
        <f t="shared" si="15"/>
        <v>87</v>
      </c>
      <c r="C105" s="65">
        <f t="shared" si="16"/>
        <v>4424.4761644507462</v>
      </c>
      <c r="D105" s="66">
        <f t="shared" si="17"/>
        <v>3417.4612893233202</v>
      </c>
      <c r="E105" s="66">
        <f t="shared" si="18"/>
        <v>1007.014875127426</v>
      </c>
      <c r="F105" s="66">
        <f t="shared" si="19"/>
        <v>629908.91546148551</v>
      </c>
      <c r="G105" s="45"/>
      <c r="H105" s="45"/>
      <c r="I105" s="64">
        <f t="shared" si="20"/>
        <v>87</v>
      </c>
      <c r="J105" s="65">
        <f t="shared" si="26"/>
        <v>3865.4259149932882</v>
      </c>
      <c r="K105" s="66">
        <f t="shared" si="27"/>
        <v>2696.6739110126969</v>
      </c>
      <c r="L105" s="66">
        <f t="shared" si="21"/>
        <v>1168.7520039805913</v>
      </c>
      <c r="M105" s="66">
        <f t="shared" si="22"/>
        <v>615213.85622749303</v>
      </c>
      <c r="N105" s="45"/>
      <c r="O105" s="45"/>
      <c r="P105" s="64">
        <f t="shared" si="23"/>
        <v>87</v>
      </c>
      <c r="Q105" s="65">
        <f t="shared" si="24"/>
        <v>895.35799997349602</v>
      </c>
      <c r="R105" s="66">
        <f t="shared" si="29"/>
        <v>808.08772179904884</v>
      </c>
      <c r="S105" s="66">
        <f t="shared" si="28"/>
        <v>87.270278174447185</v>
      </c>
      <c r="T105" s="66">
        <f t="shared" si="25"/>
        <v>94610.509620151584</v>
      </c>
      <c r="U105" s="45"/>
    </row>
    <row r="106" spans="1:21" ht="15">
      <c r="A106" s="45"/>
      <c r="B106" s="64">
        <f t="shared" si="15"/>
        <v>88</v>
      </c>
      <c r="C106" s="65">
        <f t="shared" si="16"/>
        <v>4424.4761644507462</v>
      </c>
      <c r="D106" s="66">
        <f t="shared" si="17"/>
        <v>3412.0066254163798</v>
      </c>
      <c r="E106" s="66">
        <f t="shared" si="18"/>
        <v>1012.4695390343663</v>
      </c>
      <c r="F106" s="66">
        <f t="shared" si="19"/>
        <v>628896.44592245109</v>
      </c>
      <c r="G106" s="45"/>
      <c r="H106" s="45"/>
      <c r="I106" s="64">
        <f t="shared" si="20"/>
        <v>88</v>
      </c>
      <c r="J106" s="65">
        <f t="shared" si="26"/>
        <v>3865.4259149932882</v>
      </c>
      <c r="K106" s="66">
        <f t="shared" si="27"/>
        <v>2691.5606209952816</v>
      </c>
      <c r="L106" s="66">
        <f t="shared" si="21"/>
        <v>1173.8652939980066</v>
      </c>
      <c r="M106" s="66">
        <f t="shared" si="22"/>
        <v>614039.99093349499</v>
      </c>
      <c r="N106" s="45"/>
      <c r="O106" s="45"/>
      <c r="P106" s="64">
        <f t="shared" si="23"/>
        <v>88</v>
      </c>
      <c r="Q106" s="65">
        <f t="shared" si="24"/>
        <v>895.35799997349602</v>
      </c>
      <c r="R106" s="66">
        <f t="shared" si="29"/>
        <v>807.34301542529352</v>
      </c>
      <c r="S106" s="66">
        <f t="shared" si="28"/>
        <v>88.014984548202506</v>
      </c>
      <c r="T106" s="66">
        <f t="shared" si="25"/>
        <v>94522.494635603376</v>
      </c>
      <c r="U106" s="45"/>
    </row>
    <row r="107" spans="1:21" ht="15">
      <c r="A107" s="45"/>
      <c r="B107" s="64">
        <f t="shared" si="15"/>
        <v>89</v>
      </c>
      <c r="C107" s="65">
        <f t="shared" si="16"/>
        <v>4424.4761644507462</v>
      </c>
      <c r="D107" s="66">
        <f t="shared" si="17"/>
        <v>3406.522415413277</v>
      </c>
      <c r="E107" s="66">
        <f t="shared" si="18"/>
        <v>1017.9537490374692</v>
      </c>
      <c r="F107" s="66">
        <f t="shared" si="19"/>
        <v>627878.49217341363</v>
      </c>
      <c r="G107" s="45"/>
      <c r="H107" s="45"/>
      <c r="I107" s="64">
        <f t="shared" si="20"/>
        <v>89</v>
      </c>
      <c r="J107" s="65">
        <f t="shared" si="26"/>
        <v>3865.4259149932882</v>
      </c>
      <c r="K107" s="66">
        <f t="shared" si="27"/>
        <v>2686.4249603340404</v>
      </c>
      <c r="L107" s="66">
        <f t="shared" si="21"/>
        <v>1179.0009546592478</v>
      </c>
      <c r="M107" s="66">
        <f t="shared" si="22"/>
        <v>612860.9899788358</v>
      </c>
      <c r="N107" s="45"/>
      <c r="O107" s="45"/>
      <c r="P107" s="64">
        <f t="shared" si="23"/>
        <v>89</v>
      </c>
      <c r="Q107" s="65">
        <f t="shared" si="24"/>
        <v>895.35799997349602</v>
      </c>
      <c r="R107" s="66">
        <f t="shared" si="29"/>
        <v>806.59195422381549</v>
      </c>
      <c r="S107" s="66">
        <f t="shared" si="28"/>
        <v>88.766045749680529</v>
      </c>
      <c r="T107" s="66">
        <f t="shared" si="25"/>
        <v>94433.728589853694</v>
      </c>
      <c r="U107" s="45"/>
    </row>
    <row r="108" spans="1:21" ht="15">
      <c r="A108" s="45"/>
      <c r="B108" s="64">
        <f t="shared" si="15"/>
        <v>90</v>
      </c>
      <c r="C108" s="65">
        <f t="shared" si="16"/>
        <v>4424.4761644507462</v>
      </c>
      <c r="D108" s="66">
        <f t="shared" si="17"/>
        <v>3401.0084992726574</v>
      </c>
      <c r="E108" s="66">
        <f t="shared" si="18"/>
        <v>1023.4676651780887</v>
      </c>
      <c r="F108" s="66">
        <f t="shared" si="19"/>
        <v>626855.02450823551</v>
      </c>
      <c r="G108" s="45"/>
      <c r="H108" s="45"/>
      <c r="I108" s="64">
        <f t="shared" si="20"/>
        <v>90</v>
      </c>
      <c r="J108" s="65">
        <f t="shared" si="26"/>
        <v>3865.4259149932882</v>
      </c>
      <c r="K108" s="66">
        <f t="shared" si="27"/>
        <v>2681.2668311574062</v>
      </c>
      <c r="L108" s="66">
        <f t="shared" si="21"/>
        <v>1184.159083835882</v>
      </c>
      <c r="M108" s="66">
        <f t="shared" si="22"/>
        <v>611676.8308949999</v>
      </c>
      <c r="N108" s="45"/>
      <c r="O108" s="45"/>
      <c r="P108" s="64">
        <f t="shared" si="23"/>
        <v>90</v>
      </c>
      <c r="Q108" s="65">
        <f t="shared" si="24"/>
        <v>895.35799997349602</v>
      </c>
      <c r="R108" s="66">
        <f t="shared" si="29"/>
        <v>805.83448396675158</v>
      </c>
      <c r="S108" s="66">
        <f t="shared" si="28"/>
        <v>89.523516006744444</v>
      </c>
      <c r="T108" s="66">
        <f t="shared" si="25"/>
        <v>94344.205073846955</v>
      </c>
      <c r="U108" s="45"/>
    </row>
    <row r="109" spans="1:21" ht="15">
      <c r="A109" s="45"/>
      <c r="B109" s="64">
        <f t="shared" si="15"/>
        <v>91</v>
      </c>
      <c r="C109" s="65">
        <f t="shared" si="16"/>
        <v>4424.4761644507462</v>
      </c>
      <c r="D109" s="66">
        <f t="shared" si="17"/>
        <v>3395.464716086276</v>
      </c>
      <c r="E109" s="66">
        <f t="shared" si="18"/>
        <v>1029.0114483644702</v>
      </c>
      <c r="F109" s="66">
        <f t="shared" si="19"/>
        <v>625826.01305987104</v>
      </c>
      <c r="G109" s="45"/>
      <c r="H109" s="45"/>
      <c r="I109" s="64">
        <f t="shared" si="20"/>
        <v>91</v>
      </c>
      <c r="J109" s="65">
        <f t="shared" si="26"/>
        <v>3865.4259149932882</v>
      </c>
      <c r="K109" s="66">
        <f t="shared" si="27"/>
        <v>2676.0861351656245</v>
      </c>
      <c r="L109" s="66">
        <f t="shared" si="21"/>
        <v>1189.3397798276637</v>
      </c>
      <c r="M109" s="66">
        <f t="shared" si="22"/>
        <v>610487.49111517228</v>
      </c>
      <c r="N109" s="45"/>
      <c r="O109" s="45"/>
      <c r="P109" s="64">
        <f t="shared" si="23"/>
        <v>91</v>
      </c>
      <c r="Q109" s="65">
        <f t="shared" si="24"/>
        <v>895.35799997349602</v>
      </c>
      <c r="R109" s="66">
        <f t="shared" si="29"/>
        <v>805.07054996349405</v>
      </c>
      <c r="S109" s="66">
        <f t="shared" si="28"/>
        <v>90.287450010001976</v>
      </c>
      <c r="T109" s="66">
        <f t="shared" si="25"/>
        <v>94253.917623836955</v>
      </c>
      <c r="U109" s="45"/>
    </row>
    <row r="110" spans="1:21" ht="15">
      <c r="A110" s="45"/>
      <c r="B110" s="64">
        <f t="shared" si="15"/>
        <v>92</v>
      </c>
      <c r="C110" s="65">
        <f t="shared" si="16"/>
        <v>4424.4761644507462</v>
      </c>
      <c r="D110" s="66">
        <f t="shared" si="17"/>
        <v>3389.8909040743015</v>
      </c>
      <c r="E110" s="66">
        <f t="shared" si="18"/>
        <v>1034.5852603764447</v>
      </c>
      <c r="F110" s="66">
        <f t="shared" si="19"/>
        <v>624791.42779949459</v>
      </c>
      <c r="G110" s="45"/>
      <c r="H110" s="45"/>
      <c r="I110" s="64">
        <f t="shared" si="20"/>
        <v>92</v>
      </c>
      <c r="J110" s="65">
        <f t="shared" si="26"/>
        <v>3865.4259149932882</v>
      </c>
      <c r="K110" s="66">
        <f t="shared" si="27"/>
        <v>2670.8827736288786</v>
      </c>
      <c r="L110" s="66">
        <f t="shared" si="21"/>
        <v>1194.5431413644096</v>
      </c>
      <c r="M110" s="66">
        <f t="shared" si="22"/>
        <v>609292.94797380792</v>
      </c>
      <c r="N110" s="45"/>
      <c r="O110" s="45"/>
      <c r="P110" s="64">
        <f t="shared" si="23"/>
        <v>92</v>
      </c>
      <c r="Q110" s="65">
        <f t="shared" si="24"/>
        <v>895.35799997349602</v>
      </c>
      <c r="R110" s="66">
        <f t="shared" si="29"/>
        <v>804.30009705674206</v>
      </c>
      <c r="S110" s="66">
        <f t="shared" si="28"/>
        <v>91.05790291675396</v>
      </c>
      <c r="T110" s="66">
        <f t="shared" si="25"/>
        <v>94162.859720920198</v>
      </c>
      <c r="U110" s="45"/>
    </row>
    <row r="111" spans="1:21" ht="15">
      <c r="A111" s="45"/>
      <c r="B111" s="64">
        <f t="shared" si="15"/>
        <v>93</v>
      </c>
      <c r="C111" s="65">
        <f t="shared" si="16"/>
        <v>4424.4761644507462</v>
      </c>
      <c r="D111" s="66">
        <f t="shared" si="17"/>
        <v>3384.286900580596</v>
      </c>
      <c r="E111" s="66">
        <f t="shared" si="18"/>
        <v>1040.1892638701502</v>
      </c>
      <c r="F111" s="66">
        <f t="shared" si="19"/>
        <v>623751.23853562446</v>
      </c>
      <c r="G111" s="45"/>
      <c r="H111" s="45"/>
      <c r="I111" s="64">
        <f t="shared" si="20"/>
        <v>93</v>
      </c>
      <c r="J111" s="65">
        <f t="shared" si="26"/>
        <v>3865.4259149932882</v>
      </c>
      <c r="K111" s="66">
        <f t="shared" si="27"/>
        <v>2665.6566473854095</v>
      </c>
      <c r="L111" s="66">
        <f t="shared" si="21"/>
        <v>1199.7692676078786</v>
      </c>
      <c r="M111" s="66">
        <f t="shared" si="22"/>
        <v>608093.17870620009</v>
      </c>
      <c r="N111" s="45"/>
      <c r="O111" s="45"/>
      <c r="P111" s="64">
        <f t="shared" si="23"/>
        <v>93</v>
      </c>
      <c r="Q111" s="65">
        <f t="shared" si="24"/>
        <v>895.35799997349602</v>
      </c>
      <c r="R111" s="66">
        <f t="shared" si="29"/>
        <v>803.52306961851912</v>
      </c>
      <c r="S111" s="66">
        <f t="shared" si="28"/>
        <v>91.834930354976905</v>
      </c>
      <c r="T111" s="66">
        <f t="shared" si="25"/>
        <v>94071.024790565221</v>
      </c>
      <c r="U111" s="45"/>
    </row>
    <row r="112" spans="1:21" ht="15">
      <c r="A112" s="45"/>
      <c r="B112" s="64">
        <f t="shared" si="15"/>
        <v>94</v>
      </c>
      <c r="C112" s="65">
        <f t="shared" si="16"/>
        <v>4424.4761644507462</v>
      </c>
      <c r="D112" s="66">
        <f t="shared" si="17"/>
        <v>3378.6525420679659</v>
      </c>
      <c r="E112" s="66">
        <f t="shared" si="18"/>
        <v>1045.8236223827803</v>
      </c>
      <c r="F112" s="66">
        <f t="shared" si="19"/>
        <v>622705.41491324164</v>
      </c>
      <c r="G112" s="45"/>
      <c r="H112" s="45"/>
      <c r="I112" s="64">
        <f t="shared" si="20"/>
        <v>94</v>
      </c>
      <c r="J112" s="65">
        <f t="shared" si="26"/>
        <v>3865.4259149932882</v>
      </c>
      <c r="K112" s="66">
        <f t="shared" si="27"/>
        <v>2660.4076568396254</v>
      </c>
      <c r="L112" s="66">
        <f t="shared" si="21"/>
        <v>1205.0182581536628</v>
      </c>
      <c r="M112" s="66">
        <f t="shared" si="22"/>
        <v>606888.1604480464</v>
      </c>
      <c r="N112" s="45"/>
      <c r="O112" s="45"/>
      <c r="P112" s="64">
        <f t="shared" si="23"/>
        <v>94</v>
      </c>
      <c r="Q112" s="65">
        <f t="shared" si="24"/>
        <v>895.35799997349602</v>
      </c>
      <c r="R112" s="66">
        <f t="shared" si="29"/>
        <v>802.73941154615659</v>
      </c>
      <c r="S112" s="66">
        <f t="shared" si="28"/>
        <v>92.618588427339432</v>
      </c>
      <c r="T112" s="66">
        <f t="shared" si="25"/>
        <v>93978.406202137878</v>
      </c>
      <c r="U112" s="45"/>
    </row>
    <row r="113" spans="1:21" ht="15">
      <c r="A113" s="45"/>
      <c r="B113" s="64">
        <f t="shared" si="15"/>
        <v>95</v>
      </c>
      <c r="C113" s="65">
        <f t="shared" si="16"/>
        <v>4424.4761644507462</v>
      </c>
      <c r="D113" s="66">
        <f t="shared" si="17"/>
        <v>3372.9876641133924</v>
      </c>
      <c r="E113" s="66">
        <f t="shared" si="18"/>
        <v>1051.4885003373538</v>
      </c>
      <c r="F113" s="66">
        <f t="shared" si="19"/>
        <v>621653.92641290429</v>
      </c>
      <c r="G113" s="45"/>
      <c r="H113" s="45"/>
      <c r="I113" s="64">
        <f t="shared" si="20"/>
        <v>95</v>
      </c>
      <c r="J113" s="65">
        <f t="shared" si="26"/>
        <v>3865.4259149932882</v>
      </c>
      <c r="K113" s="66">
        <f t="shared" si="27"/>
        <v>2655.1357019602028</v>
      </c>
      <c r="L113" s="66">
        <f t="shared" si="21"/>
        <v>1210.2902130330854</v>
      </c>
      <c r="M113" s="66">
        <f t="shared" si="22"/>
        <v>605677.87023501331</v>
      </c>
      <c r="N113" s="45"/>
      <c r="O113" s="45"/>
      <c r="P113" s="64">
        <f t="shared" si="23"/>
        <v>95</v>
      </c>
      <c r="Q113" s="65">
        <f t="shared" si="24"/>
        <v>895.35799997349602</v>
      </c>
      <c r="R113" s="66">
        <f t="shared" si="29"/>
        <v>801.94906625824331</v>
      </c>
      <c r="S113" s="66">
        <f t="shared" si="28"/>
        <v>93.408933715252715</v>
      </c>
      <c r="T113" s="66">
        <f t="shared" si="25"/>
        <v>93884.997268422623</v>
      </c>
      <c r="U113" s="45"/>
    </row>
    <row r="114" spans="1:21" ht="15">
      <c r="A114" s="45"/>
      <c r="B114" s="64">
        <f t="shared" si="15"/>
        <v>96</v>
      </c>
      <c r="C114" s="65">
        <f t="shared" si="16"/>
        <v>4424.4761644507462</v>
      </c>
      <c r="D114" s="66">
        <f t="shared" si="17"/>
        <v>3367.2921014032318</v>
      </c>
      <c r="E114" s="66">
        <f t="shared" si="18"/>
        <v>1057.1840630475144</v>
      </c>
      <c r="F114" s="66">
        <f t="shared" si="19"/>
        <v>620596.74234985677</v>
      </c>
      <c r="G114" s="45"/>
      <c r="H114" s="45"/>
      <c r="I114" s="64">
        <f t="shared" si="20"/>
        <v>96</v>
      </c>
      <c r="J114" s="65">
        <f t="shared" si="26"/>
        <v>3865.4259149932882</v>
      </c>
      <c r="K114" s="66">
        <f t="shared" si="27"/>
        <v>2649.8406822781831</v>
      </c>
      <c r="L114" s="66">
        <f t="shared" si="21"/>
        <v>1215.5852327151051</v>
      </c>
      <c r="M114" s="66">
        <f t="shared" si="22"/>
        <v>604462.28500229819</v>
      </c>
      <c r="N114" s="45"/>
      <c r="O114" s="45"/>
      <c r="P114" s="64">
        <f t="shared" si="23"/>
        <v>96</v>
      </c>
      <c r="Q114" s="65">
        <f t="shared" si="24"/>
        <v>895.35799997349602</v>
      </c>
      <c r="R114" s="66">
        <f t="shared" si="29"/>
        <v>801.15197669053975</v>
      </c>
      <c r="S114" s="66">
        <f t="shared" si="28"/>
        <v>94.206023282956266</v>
      </c>
      <c r="T114" s="66">
        <f t="shared" si="25"/>
        <v>93790.79124513967</v>
      </c>
      <c r="U114" s="45"/>
    </row>
    <row r="115" spans="1:21" ht="15">
      <c r="A115" s="45"/>
      <c r="B115" s="64">
        <f t="shared" si="15"/>
        <v>97</v>
      </c>
      <c r="C115" s="65">
        <f t="shared" si="16"/>
        <v>4424.4761644507462</v>
      </c>
      <c r="D115" s="66">
        <f t="shared" si="17"/>
        <v>3361.5656877283909</v>
      </c>
      <c r="E115" s="66">
        <f t="shared" si="18"/>
        <v>1062.9104767223553</v>
      </c>
      <c r="F115" s="66">
        <f t="shared" si="19"/>
        <v>619533.83187313436</v>
      </c>
      <c r="G115" s="45"/>
      <c r="H115" s="45"/>
      <c r="I115" s="64">
        <f t="shared" si="20"/>
        <v>97</v>
      </c>
      <c r="J115" s="65">
        <f t="shared" si="26"/>
        <v>3865.4259149932882</v>
      </c>
      <c r="K115" s="66">
        <f t="shared" si="27"/>
        <v>2644.5224968850544</v>
      </c>
      <c r="L115" s="66">
        <f t="shared" si="21"/>
        <v>1220.9034181082338</v>
      </c>
      <c r="M115" s="66">
        <f t="shared" si="22"/>
        <v>603241.38158418995</v>
      </c>
      <c r="N115" s="45"/>
      <c r="O115" s="45"/>
      <c r="P115" s="64">
        <f t="shared" si="23"/>
        <v>97</v>
      </c>
      <c r="Q115" s="65">
        <f t="shared" si="24"/>
        <v>895.35799997349602</v>
      </c>
      <c r="R115" s="66">
        <f t="shared" si="29"/>
        <v>800.34808529185852</v>
      </c>
      <c r="S115" s="66">
        <f t="shared" si="28"/>
        <v>95.009914681637497</v>
      </c>
      <c r="T115" s="66">
        <f t="shared" si="25"/>
        <v>93695.781330458034</v>
      </c>
      <c r="U115" s="45"/>
    </row>
    <row r="116" spans="1:21" ht="15">
      <c r="A116" s="45"/>
      <c r="B116" s="64">
        <f t="shared" si="15"/>
        <v>98</v>
      </c>
      <c r="C116" s="65">
        <f t="shared" si="16"/>
        <v>4424.4761644507462</v>
      </c>
      <c r="D116" s="66">
        <f t="shared" si="17"/>
        <v>3355.808255979478</v>
      </c>
      <c r="E116" s="66">
        <f t="shared" si="18"/>
        <v>1068.6679084712682</v>
      </c>
      <c r="F116" s="66">
        <f t="shared" si="19"/>
        <v>618465.16396466305</v>
      </c>
      <c r="G116" s="45"/>
      <c r="H116" s="45"/>
      <c r="I116" s="64">
        <f t="shared" si="20"/>
        <v>98</v>
      </c>
      <c r="J116" s="65">
        <f t="shared" si="26"/>
        <v>3865.4259149932882</v>
      </c>
      <c r="K116" s="66">
        <f t="shared" si="27"/>
        <v>2639.1810444308308</v>
      </c>
      <c r="L116" s="66">
        <f t="shared" si="21"/>
        <v>1226.2448705624574</v>
      </c>
      <c r="M116" s="66">
        <f t="shared" si="22"/>
        <v>602015.13671362749</v>
      </c>
      <c r="N116" s="45"/>
      <c r="O116" s="45"/>
      <c r="P116" s="64">
        <f t="shared" si="23"/>
        <v>98</v>
      </c>
      <c r="Q116" s="65">
        <f t="shared" si="24"/>
        <v>895.35799997349602</v>
      </c>
      <c r="R116" s="66">
        <f t="shared" si="29"/>
        <v>799.5373340199086</v>
      </c>
      <c r="S116" s="66">
        <f t="shared" si="28"/>
        <v>95.820665953587422</v>
      </c>
      <c r="T116" s="66">
        <f t="shared" si="25"/>
        <v>93599.960664504441</v>
      </c>
      <c r="U116" s="45"/>
    </row>
    <row r="117" spans="1:21" ht="15">
      <c r="A117" s="45"/>
      <c r="B117" s="64">
        <f t="shared" si="15"/>
        <v>99</v>
      </c>
      <c r="C117" s="65">
        <f t="shared" si="16"/>
        <v>4424.4761644507462</v>
      </c>
      <c r="D117" s="66">
        <f t="shared" si="17"/>
        <v>3350.019638141925</v>
      </c>
      <c r="E117" s="66">
        <f t="shared" si="18"/>
        <v>1074.4565263088211</v>
      </c>
      <c r="F117" s="66">
        <f t="shared" si="19"/>
        <v>617390.70743835426</v>
      </c>
      <c r="G117" s="45"/>
      <c r="H117" s="45"/>
      <c r="I117" s="64">
        <f t="shared" si="20"/>
        <v>99</v>
      </c>
      <c r="J117" s="65">
        <f t="shared" si="26"/>
        <v>3865.4259149932882</v>
      </c>
      <c r="K117" s="66">
        <f t="shared" si="27"/>
        <v>2633.8162231221199</v>
      </c>
      <c r="L117" s="66">
        <f t="shared" si="21"/>
        <v>1231.6096918711683</v>
      </c>
      <c r="M117" s="66">
        <f t="shared" si="22"/>
        <v>600783.52702175628</v>
      </c>
      <c r="N117" s="45"/>
      <c r="O117" s="45"/>
      <c r="P117" s="64">
        <f t="shared" si="23"/>
        <v>99</v>
      </c>
      <c r="Q117" s="65">
        <f t="shared" si="24"/>
        <v>895.35799997349602</v>
      </c>
      <c r="R117" s="66">
        <f t="shared" si="29"/>
        <v>798.71966433710463</v>
      </c>
      <c r="S117" s="66">
        <f t="shared" si="28"/>
        <v>96.638335636391389</v>
      </c>
      <c r="T117" s="66">
        <f t="shared" si="25"/>
        <v>93503.322328868046</v>
      </c>
      <c r="U117" s="45"/>
    </row>
    <row r="118" spans="1:21" ht="15">
      <c r="A118" s="45"/>
      <c r="B118" s="64">
        <f t="shared" si="15"/>
        <v>100</v>
      </c>
      <c r="C118" s="65">
        <f t="shared" si="16"/>
        <v>4424.4761644507462</v>
      </c>
      <c r="D118" s="66">
        <f t="shared" si="17"/>
        <v>3344.1996652910857</v>
      </c>
      <c r="E118" s="66">
        <f t="shared" si="18"/>
        <v>1080.2764991596605</v>
      </c>
      <c r="F118" s="66">
        <f t="shared" si="19"/>
        <v>616310.43093919463</v>
      </c>
      <c r="G118" s="45"/>
      <c r="H118" s="45"/>
      <c r="I118" s="64">
        <f t="shared" si="20"/>
        <v>100</v>
      </c>
      <c r="J118" s="65">
        <f t="shared" si="26"/>
        <v>3865.4259149932882</v>
      </c>
      <c r="K118" s="66">
        <f t="shared" si="27"/>
        <v>2628.4279307201837</v>
      </c>
      <c r="L118" s="66">
        <f t="shared" si="21"/>
        <v>1236.9979842731045</v>
      </c>
      <c r="M118" s="66">
        <f t="shared" si="22"/>
        <v>599546.52903748315</v>
      </c>
      <c r="N118" s="45"/>
      <c r="O118" s="45"/>
      <c r="P118" s="64">
        <f t="shared" si="23"/>
        <v>100</v>
      </c>
      <c r="Q118" s="65">
        <f t="shared" si="24"/>
        <v>895.35799997349602</v>
      </c>
      <c r="R118" s="66">
        <f t="shared" si="29"/>
        <v>797.89501720634064</v>
      </c>
      <c r="S118" s="66">
        <f t="shared" si="28"/>
        <v>97.462982767155381</v>
      </c>
      <c r="T118" s="66">
        <f t="shared" si="25"/>
        <v>93405.859346100886</v>
      </c>
      <c r="U118" s="45"/>
    </row>
    <row r="119" spans="1:21" ht="15">
      <c r="A119" s="45"/>
      <c r="B119" s="64">
        <f t="shared" si="15"/>
        <v>101</v>
      </c>
      <c r="C119" s="65">
        <f t="shared" si="16"/>
        <v>4424.4761644507462</v>
      </c>
      <c r="D119" s="66">
        <f t="shared" si="17"/>
        <v>3338.3481675873045</v>
      </c>
      <c r="E119" s="66">
        <f t="shared" si="18"/>
        <v>1086.1279968634417</v>
      </c>
      <c r="F119" s="66">
        <f t="shared" si="19"/>
        <v>615224.30294233118</v>
      </c>
      <c r="G119" s="45"/>
      <c r="H119" s="45"/>
      <c r="I119" s="64">
        <f t="shared" si="20"/>
        <v>101</v>
      </c>
      <c r="J119" s="65">
        <f t="shared" si="26"/>
        <v>3865.4259149932882</v>
      </c>
      <c r="K119" s="66">
        <f t="shared" si="27"/>
        <v>2623.0160645389883</v>
      </c>
      <c r="L119" s="66">
        <f t="shared" si="21"/>
        <v>1242.4098504542999</v>
      </c>
      <c r="M119" s="66">
        <f t="shared" si="22"/>
        <v>598304.11918702885</v>
      </c>
      <c r="N119" s="45"/>
      <c r="O119" s="45"/>
      <c r="P119" s="64">
        <f t="shared" si="23"/>
        <v>101</v>
      </c>
      <c r="Q119" s="65">
        <f t="shared" si="24"/>
        <v>895.35799997349602</v>
      </c>
      <c r="R119" s="66">
        <f t="shared" si="29"/>
        <v>797.06333308672765</v>
      </c>
      <c r="S119" s="66">
        <f t="shared" si="28"/>
        <v>98.294666886768368</v>
      </c>
      <c r="T119" s="66">
        <f t="shared" si="25"/>
        <v>93307.56467921412</v>
      </c>
      <c r="U119" s="45"/>
    </row>
    <row r="120" spans="1:21" ht="15">
      <c r="A120" s="45"/>
      <c r="B120" s="64">
        <f t="shared" si="15"/>
        <v>102</v>
      </c>
      <c r="C120" s="65">
        <f t="shared" si="16"/>
        <v>4424.4761644507462</v>
      </c>
      <c r="D120" s="66">
        <f t="shared" si="17"/>
        <v>3332.4649742709607</v>
      </c>
      <c r="E120" s="66">
        <f t="shared" si="18"/>
        <v>1092.0111901797854</v>
      </c>
      <c r="F120" s="66">
        <f t="shared" si="19"/>
        <v>614132.29175215145</v>
      </c>
      <c r="G120" s="45"/>
      <c r="H120" s="45"/>
      <c r="I120" s="64">
        <f t="shared" si="20"/>
        <v>102</v>
      </c>
      <c r="J120" s="65">
        <f t="shared" si="26"/>
        <v>3865.4259149932882</v>
      </c>
      <c r="K120" s="66">
        <f t="shared" si="27"/>
        <v>2617.5805214432507</v>
      </c>
      <c r="L120" s="66">
        <f t="shared" si="21"/>
        <v>1247.8453935500374</v>
      </c>
      <c r="M120" s="66">
        <f t="shared" si="22"/>
        <v>597056.27379347885</v>
      </c>
      <c r="N120" s="45"/>
      <c r="O120" s="45"/>
      <c r="P120" s="64">
        <f t="shared" si="23"/>
        <v>102</v>
      </c>
      <c r="Q120" s="65">
        <f t="shared" si="24"/>
        <v>895.35799997349602</v>
      </c>
      <c r="R120" s="66">
        <f t="shared" si="29"/>
        <v>796.22455192929385</v>
      </c>
      <c r="S120" s="66">
        <f t="shared" si="28"/>
        <v>99.133448044202169</v>
      </c>
      <c r="T120" s="66">
        <f t="shared" si="25"/>
        <v>93208.431231169918</v>
      </c>
      <c r="U120" s="45"/>
    </row>
    <row r="121" spans="1:21" ht="15">
      <c r="A121" s="45"/>
      <c r="B121" s="64">
        <f t="shared" si="15"/>
        <v>103</v>
      </c>
      <c r="C121" s="65">
        <f t="shared" si="16"/>
        <v>4424.4761644507462</v>
      </c>
      <c r="D121" s="66">
        <f t="shared" si="17"/>
        <v>3326.5499136574872</v>
      </c>
      <c r="E121" s="66">
        <f t="shared" si="18"/>
        <v>1097.926250793259</v>
      </c>
      <c r="F121" s="66">
        <f t="shared" si="19"/>
        <v>613034.36550135817</v>
      </c>
      <c r="G121" s="45"/>
      <c r="H121" s="45"/>
      <c r="I121" s="64">
        <f t="shared" si="20"/>
        <v>103</v>
      </c>
      <c r="J121" s="65">
        <f t="shared" si="26"/>
        <v>3865.4259149932882</v>
      </c>
      <c r="K121" s="66">
        <f t="shared" si="27"/>
        <v>2612.1211978464698</v>
      </c>
      <c r="L121" s="66">
        <f t="shared" si="21"/>
        <v>1253.3047171468183</v>
      </c>
      <c r="M121" s="66">
        <f t="shared" si="22"/>
        <v>595802.96907633205</v>
      </c>
      <c r="N121" s="45"/>
      <c r="O121" s="45"/>
      <c r="P121" s="64">
        <f t="shared" si="23"/>
        <v>103</v>
      </c>
      <c r="Q121" s="65">
        <f t="shared" si="24"/>
        <v>895.35799997349602</v>
      </c>
      <c r="R121" s="66">
        <f t="shared" si="29"/>
        <v>795.37861317265003</v>
      </c>
      <c r="S121" s="66">
        <f t="shared" si="28"/>
        <v>99.979386800845987</v>
      </c>
      <c r="T121" s="66">
        <f t="shared" si="25"/>
        <v>93108.451844369076</v>
      </c>
      <c r="U121" s="45"/>
    </row>
    <row r="122" spans="1:21" ht="15">
      <c r="A122" s="45"/>
      <c r="B122" s="64">
        <f t="shared" si="15"/>
        <v>104</v>
      </c>
      <c r="C122" s="65">
        <f t="shared" si="16"/>
        <v>4424.4761644507462</v>
      </c>
      <c r="D122" s="66">
        <f t="shared" si="17"/>
        <v>3320.6028131323569</v>
      </c>
      <c r="E122" s="66">
        <f t="shared" si="18"/>
        <v>1103.8733513183893</v>
      </c>
      <c r="F122" s="66">
        <f t="shared" si="19"/>
        <v>611930.49215003976</v>
      </c>
      <c r="G122" s="45"/>
      <c r="H122" s="45"/>
      <c r="I122" s="64">
        <f t="shared" si="20"/>
        <v>104</v>
      </c>
      <c r="J122" s="65">
        <f t="shared" si="26"/>
        <v>3865.4259149932882</v>
      </c>
      <c r="K122" s="66">
        <f t="shared" si="27"/>
        <v>2606.6379897089523</v>
      </c>
      <c r="L122" s="66">
        <f t="shared" si="21"/>
        <v>1258.7879252843359</v>
      </c>
      <c r="M122" s="66">
        <f t="shared" si="22"/>
        <v>594544.1811510477</v>
      </c>
      <c r="N122" s="45"/>
      <c r="O122" s="45"/>
      <c r="P122" s="64">
        <f t="shared" si="23"/>
        <v>104</v>
      </c>
      <c r="Q122" s="65">
        <f t="shared" si="24"/>
        <v>895.35799997349602</v>
      </c>
      <c r="R122" s="66">
        <f t="shared" si="29"/>
        <v>794.52545573861619</v>
      </c>
      <c r="S122" s="66">
        <f t="shared" si="28"/>
        <v>100.83254423487983</v>
      </c>
      <c r="T122" s="66">
        <f t="shared" si="25"/>
        <v>93007.619300134189</v>
      </c>
      <c r="U122" s="45"/>
    </row>
    <row r="123" spans="1:21" ht="15">
      <c r="A123" s="45"/>
      <c r="B123" s="64">
        <f t="shared" si="15"/>
        <v>105</v>
      </c>
      <c r="C123" s="65">
        <f t="shared" si="16"/>
        <v>4424.4761644507462</v>
      </c>
      <c r="D123" s="66">
        <f t="shared" si="17"/>
        <v>3314.6234991460487</v>
      </c>
      <c r="E123" s="66">
        <f t="shared" si="18"/>
        <v>1109.8526653046974</v>
      </c>
      <c r="F123" s="66">
        <f t="shared" si="19"/>
        <v>610820.63948473509</v>
      </c>
      <c r="G123" s="45"/>
      <c r="H123" s="45"/>
      <c r="I123" s="64">
        <f t="shared" si="20"/>
        <v>105</v>
      </c>
      <c r="J123" s="65">
        <f t="shared" si="26"/>
        <v>3865.4259149932882</v>
      </c>
      <c r="K123" s="66">
        <f t="shared" si="27"/>
        <v>2601.1307925358333</v>
      </c>
      <c r="L123" s="66">
        <f t="shared" si="21"/>
        <v>1264.2951224574549</v>
      </c>
      <c r="M123" s="66">
        <f t="shared" si="22"/>
        <v>593279.88602859026</v>
      </c>
      <c r="N123" s="45"/>
      <c r="O123" s="45"/>
      <c r="P123" s="64">
        <f t="shared" si="23"/>
        <v>105</v>
      </c>
      <c r="Q123" s="65">
        <f t="shared" si="24"/>
        <v>895.35799997349602</v>
      </c>
      <c r="R123" s="66">
        <f t="shared" si="29"/>
        <v>793.66501802781181</v>
      </c>
      <c r="S123" s="66">
        <f t="shared" si="28"/>
        <v>101.69298194568421</v>
      </c>
      <c r="T123" s="66">
        <f t="shared" si="25"/>
        <v>92905.926318188504</v>
      </c>
      <c r="U123" s="45"/>
    </row>
    <row r="124" spans="1:21" ht="15">
      <c r="A124" s="45"/>
      <c r="B124" s="64">
        <f t="shared" si="15"/>
        <v>106</v>
      </c>
      <c r="C124" s="65">
        <f t="shared" si="16"/>
        <v>4424.4761644507462</v>
      </c>
      <c r="D124" s="66">
        <f t="shared" si="17"/>
        <v>3308.6117972089819</v>
      </c>
      <c r="E124" s="66">
        <f t="shared" si="18"/>
        <v>1115.8643672417643</v>
      </c>
      <c r="F124" s="66">
        <f t="shared" si="19"/>
        <v>609704.77511749335</v>
      </c>
      <c r="G124" s="45"/>
      <c r="H124" s="45"/>
      <c r="I124" s="64">
        <f t="shared" si="20"/>
        <v>106</v>
      </c>
      <c r="J124" s="65">
        <f t="shared" si="26"/>
        <v>3865.4259149932882</v>
      </c>
      <c r="K124" s="66">
        <f t="shared" si="27"/>
        <v>2595.5995013750821</v>
      </c>
      <c r="L124" s="66">
        <f t="shared" si="21"/>
        <v>1269.8264136182061</v>
      </c>
      <c r="M124" s="66">
        <f t="shared" si="22"/>
        <v>592010.0596149721</v>
      </c>
      <c r="N124" s="45"/>
      <c r="O124" s="45"/>
      <c r="P124" s="64">
        <f t="shared" si="23"/>
        <v>106</v>
      </c>
      <c r="Q124" s="65">
        <f t="shared" si="24"/>
        <v>895.35799997349602</v>
      </c>
      <c r="R124" s="66">
        <f t="shared" si="29"/>
        <v>792.7972379152086</v>
      </c>
      <c r="S124" s="66">
        <f t="shared" si="28"/>
        <v>102.56076205828742</v>
      </c>
      <c r="T124" s="66">
        <f t="shared" si="25"/>
        <v>92803.365556130215</v>
      </c>
      <c r="U124" s="45"/>
    </row>
    <row r="125" spans="1:21" ht="15">
      <c r="A125" s="45"/>
      <c r="B125" s="64">
        <f t="shared" si="15"/>
        <v>107</v>
      </c>
      <c r="C125" s="65">
        <f t="shared" si="16"/>
        <v>4424.4761644507462</v>
      </c>
      <c r="D125" s="66">
        <f t="shared" si="17"/>
        <v>3302.5675318864223</v>
      </c>
      <c r="E125" s="66">
        <f t="shared" si="18"/>
        <v>1121.9086325643239</v>
      </c>
      <c r="F125" s="66">
        <f t="shared" si="19"/>
        <v>608582.86648492899</v>
      </c>
      <c r="G125" s="45"/>
      <c r="H125" s="45"/>
      <c r="I125" s="64">
        <f t="shared" si="20"/>
        <v>107</v>
      </c>
      <c r="J125" s="65">
        <f t="shared" si="26"/>
        <v>3865.4259149932882</v>
      </c>
      <c r="K125" s="66">
        <f t="shared" si="27"/>
        <v>2590.0440108155026</v>
      </c>
      <c r="L125" s="66">
        <f t="shared" si="21"/>
        <v>1275.3819041777856</v>
      </c>
      <c r="M125" s="66">
        <f t="shared" si="22"/>
        <v>590734.67771079426</v>
      </c>
      <c r="N125" s="45"/>
      <c r="O125" s="45"/>
      <c r="P125" s="64">
        <f t="shared" si="23"/>
        <v>107</v>
      </c>
      <c r="Q125" s="65">
        <f t="shared" si="24"/>
        <v>895.35799997349602</v>
      </c>
      <c r="R125" s="66">
        <f t="shared" si="29"/>
        <v>791.92205274564458</v>
      </c>
      <c r="S125" s="66">
        <f t="shared" si="28"/>
        <v>103.43594722785144</v>
      </c>
      <c r="T125" s="66">
        <f t="shared" si="25"/>
        <v>92699.92960890237</v>
      </c>
      <c r="U125" s="45"/>
    </row>
    <row r="126" spans="1:21" ht="15">
      <c r="A126" s="45"/>
      <c r="B126" s="64">
        <f t="shared" si="15"/>
        <v>108</v>
      </c>
      <c r="C126" s="65">
        <f t="shared" si="16"/>
        <v>4424.4761644507462</v>
      </c>
      <c r="D126" s="66">
        <f t="shared" si="17"/>
        <v>3296.4905267933655</v>
      </c>
      <c r="E126" s="66">
        <f t="shared" si="18"/>
        <v>1127.9856376573807</v>
      </c>
      <c r="F126" s="66">
        <f t="shared" si="19"/>
        <v>607454.88084727165</v>
      </c>
      <c r="G126" s="45"/>
      <c r="H126" s="45"/>
      <c r="I126" s="64">
        <f t="shared" si="20"/>
        <v>108</v>
      </c>
      <c r="J126" s="65">
        <f t="shared" si="26"/>
        <v>3865.4259149932882</v>
      </c>
      <c r="K126" s="66">
        <f t="shared" si="27"/>
        <v>2584.4642149847245</v>
      </c>
      <c r="L126" s="66">
        <f t="shared" si="21"/>
        <v>1280.9617000085636</v>
      </c>
      <c r="M126" s="66">
        <f t="shared" si="22"/>
        <v>589453.71601078566</v>
      </c>
      <c r="N126" s="45"/>
      <c r="O126" s="45"/>
      <c r="P126" s="64">
        <f t="shared" si="23"/>
        <v>108</v>
      </c>
      <c r="Q126" s="65">
        <f t="shared" si="24"/>
        <v>895.35799997349602</v>
      </c>
      <c r="R126" s="66">
        <f t="shared" si="29"/>
        <v>791.03939932930029</v>
      </c>
      <c r="S126" s="66">
        <f t="shared" si="28"/>
        <v>104.31860064419573</v>
      </c>
      <c r="T126" s="66">
        <f t="shared" si="25"/>
        <v>92595.611008258173</v>
      </c>
      <c r="U126" s="45"/>
    </row>
    <row r="127" spans="1:21" ht="15">
      <c r="A127" s="45"/>
      <c r="B127" s="64">
        <f t="shared" si="15"/>
        <v>109</v>
      </c>
      <c r="C127" s="65">
        <f t="shared" si="16"/>
        <v>4424.4761644507462</v>
      </c>
      <c r="D127" s="66">
        <f t="shared" si="17"/>
        <v>3290.380604589388</v>
      </c>
      <c r="E127" s="66">
        <f t="shared" si="18"/>
        <v>1134.0955598613582</v>
      </c>
      <c r="F127" s="66">
        <f t="shared" si="19"/>
        <v>606320.78528741025</v>
      </c>
      <c r="G127" s="45"/>
      <c r="H127" s="45"/>
      <c r="I127" s="64">
        <f t="shared" si="20"/>
        <v>109</v>
      </c>
      <c r="J127" s="65">
        <f t="shared" si="26"/>
        <v>3865.4259149932882</v>
      </c>
      <c r="K127" s="66">
        <f t="shared" si="27"/>
        <v>2578.8600075471868</v>
      </c>
      <c r="L127" s="66">
        <f t="shared" si="21"/>
        <v>1286.5659074461014</v>
      </c>
      <c r="M127" s="66">
        <f t="shared" si="22"/>
        <v>588167.15010333958</v>
      </c>
      <c r="N127" s="45"/>
      <c r="O127" s="45"/>
      <c r="P127" s="64">
        <f t="shared" si="23"/>
        <v>109</v>
      </c>
      <c r="Q127" s="65">
        <f t="shared" si="24"/>
        <v>895.35799997349602</v>
      </c>
      <c r="R127" s="66">
        <f t="shared" si="29"/>
        <v>790.14921393713644</v>
      </c>
      <c r="S127" s="66">
        <f t="shared" si="28"/>
        <v>105.20878603635958</v>
      </c>
      <c r="T127" s="66">
        <f t="shared" si="25"/>
        <v>92490.402222221819</v>
      </c>
      <c r="U127" s="45"/>
    </row>
    <row r="128" spans="1:21" ht="15">
      <c r="A128" s="45"/>
      <c r="B128" s="64">
        <f t="shared" si="15"/>
        <v>110</v>
      </c>
      <c r="C128" s="65">
        <f t="shared" si="16"/>
        <v>4424.4761644507462</v>
      </c>
      <c r="D128" s="66">
        <f t="shared" si="17"/>
        <v>3284.2375869734724</v>
      </c>
      <c r="E128" s="66">
        <f t="shared" si="18"/>
        <v>1140.2385774772738</v>
      </c>
      <c r="F128" s="66">
        <f t="shared" si="19"/>
        <v>605180.54670993297</v>
      </c>
      <c r="G128" s="45"/>
      <c r="H128" s="45"/>
      <c r="I128" s="64">
        <f t="shared" si="20"/>
        <v>110</v>
      </c>
      <c r="J128" s="65">
        <f t="shared" si="26"/>
        <v>3865.4259149932882</v>
      </c>
      <c r="K128" s="66">
        <f t="shared" si="27"/>
        <v>2573.2312817021102</v>
      </c>
      <c r="L128" s="66">
        <f t="shared" si="21"/>
        <v>1292.194633291178</v>
      </c>
      <c r="M128" s="66">
        <f t="shared" si="22"/>
        <v>586874.95547004836</v>
      </c>
      <c r="N128" s="45"/>
      <c r="O128" s="45"/>
      <c r="P128" s="64">
        <f t="shared" si="23"/>
        <v>110</v>
      </c>
      <c r="Q128" s="65">
        <f t="shared" si="24"/>
        <v>895.35799997349602</v>
      </c>
      <c r="R128" s="66">
        <f t="shared" si="29"/>
        <v>789.25143229629293</v>
      </c>
      <c r="S128" s="66">
        <f t="shared" si="28"/>
        <v>106.10656767720309</v>
      </c>
      <c r="T128" s="66">
        <f t="shared" si="25"/>
        <v>92384.295654544621</v>
      </c>
      <c r="U128" s="45"/>
    </row>
    <row r="129" spans="1:21" ht="15">
      <c r="A129" s="45"/>
      <c r="B129" s="64">
        <f t="shared" si="15"/>
        <v>111</v>
      </c>
      <c r="C129" s="65">
        <f t="shared" si="16"/>
        <v>4424.4761644507462</v>
      </c>
      <c r="D129" s="66">
        <f t="shared" si="17"/>
        <v>3278.0612946788037</v>
      </c>
      <c r="E129" s="66">
        <f t="shared" si="18"/>
        <v>1146.4148697719424</v>
      </c>
      <c r="F129" s="66">
        <f t="shared" si="19"/>
        <v>604034.13184016105</v>
      </c>
      <c r="G129" s="45"/>
      <c r="H129" s="45"/>
      <c r="I129" s="64">
        <f t="shared" si="20"/>
        <v>111</v>
      </c>
      <c r="J129" s="65">
        <f t="shared" si="26"/>
        <v>3865.4259149932882</v>
      </c>
      <c r="K129" s="66">
        <f t="shared" si="27"/>
        <v>2567.5779301814614</v>
      </c>
      <c r="L129" s="66">
        <f t="shared" si="21"/>
        <v>1297.8479848118268</v>
      </c>
      <c r="M129" s="66">
        <f t="shared" si="22"/>
        <v>585577.10748523648</v>
      </c>
      <c r="N129" s="45"/>
      <c r="O129" s="45"/>
      <c r="P129" s="64">
        <f t="shared" si="23"/>
        <v>111</v>
      </c>
      <c r="Q129" s="65">
        <f t="shared" si="24"/>
        <v>895.35799997349602</v>
      </c>
      <c r="R129" s="66">
        <f t="shared" si="29"/>
        <v>788.34598958544746</v>
      </c>
      <c r="S129" s="66">
        <f t="shared" si="28"/>
        <v>107.01201038804857</v>
      </c>
      <c r="T129" s="66">
        <f t="shared" si="25"/>
        <v>92277.283644156574</v>
      </c>
      <c r="U129" s="45"/>
    </row>
    <row r="130" spans="1:21" ht="15">
      <c r="A130" s="45"/>
      <c r="B130" s="64">
        <f t="shared" si="15"/>
        <v>112</v>
      </c>
      <c r="C130" s="65">
        <f t="shared" si="16"/>
        <v>4424.4761644507462</v>
      </c>
      <c r="D130" s="66">
        <f t="shared" si="17"/>
        <v>3271.8515474675391</v>
      </c>
      <c r="E130" s="66">
        <f t="shared" si="18"/>
        <v>1152.624616983207</v>
      </c>
      <c r="F130" s="66">
        <f t="shared" si="19"/>
        <v>602881.50722317782</v>
      </c>
      <c r="G130" s="45"/>
      <c r="H130" s="45"/>
      <c r="I130" s="64">
        <f t="shared" si="20"/>
        <v>112</v>
      </c>
      <c r="J130" s="65">
        <f t="shared" si="26"/>
        <v>3865.4259149932882</v>
      </c>
      <c r="K130" s="66">
        <f t="shared" si="27"/>
        <v>2561.8998452479095</v>
      </c>
      <c r="L130" s="66">
        <f t="shared" si="21"/>
        <v>1303.5260697453787</v>
      </c>
      <c r="M130" s="66">
        <f t="shared" si="22"/>
        <v>584273.58141549106</v>
      </c>
      <c r="N130" s="45"/>
      <c r="O130" s="45"/>
      <c r="P130" s="64">
        <f t="shared" si="23"/>
        <v>112</v>
      </c>
      <c r="Q130" s="65">
        <f t="shared" si="24"/>
        <v>895.35799997349602</v>
      </c>
      <c r="R130" s="66">
        <f t="shared" si="29"/>
        <v>787.43282043013619</v>
      </c>
      <c r="S130" s="66">
        <f t="shared" si="28"/>
        <v>107.92517954335983</v>
      </c>
      <c r="T130" s="66">
        <f t="shared" si="25"/>
        <v>92169.358464613208</v>
      </c>
      <c r="U130" s="45"/>
    </row>
    <row r="131" spans="1:21" ht="15">
      <c r="A131" s="45"/>
      <c r="B131" s="64">
        <f t="shared" si="15"/>
        <v>113</v>
      </c>
      <c r="C131" s="65">
        <f t="shared" si="16"/>
        <v>4424.4761644507462</v>
      </c>
      <c r="D131" s="66">
        <f t="shared" si="17"/>
        <v>3265.6081641255464</v>
      </c>
      <c r="E131" s="66">
        <f t="shared" si="18"/>
        <v>1158.8680003251998</v>
      </c>
      <c r="F131" s="66">
        <f t="shared" si="19"/>
        <v>601722.63922285265</v>
      </c>
      <c r="G131" s="45"/>
      <c r="H131" s="45"/>
      <c r="I131" s="64">
        <f t="shared" si="20"/>
        <v>113</v>
      </c>
      <c r="J131" s="65">
        <f t="shared" si="26"/>
        <v>3865.4259149932882</v>
      </c>
      <c r="K131" s="66">
        <f t="shared" si="27"/>
        <v>2556.1969186927731</v>
      </c>
      <c r="L131" s="66">
        <f t="shared" si="21"/>
        <v>1309.2289963005151</v>
      </c>
      <c r="M131" s="66">
        <f t="shared" si="22"/>
        <v>582964.35241919057</v>
      </c>
      <c r="N131" s="45"/>
      <c r="O131" s="45"/>
      <c r="P131" s="64">
        <f t="shared" si="23"/>
        <v>113</v>
      </c>
      <c r="Q131" s="65">
        <f t="shared" si="24"/>
        <v>895.35799997349602</v>
      </c>
      <c r="R131" s="66">
        <f t="shared" si="29"/>
        <v>786.51185889803276</v>
      </c>
      <c r="S131" s="66">
        <f t="shared" si="28"/>
        <v>108.84614107546327</v>
      </c>
      <c r="T131" s="66">
        <f t="shared" si="25"/>
        <v>92060.51232353774</v>
      </c>
      <c r="U131" s="45"/>
    </row>
    <row r="132" spans="1:21" ht="15">
      <c r="A132" s="45"/>
      <c r="B132" s="64">
        <f t="shared" si="15"/>
        <v>114</v>
      </c>
      <c r="C132" s="65">
        <f t="shared" si="16"/>
        <v>4424.4761644507462</v>
      </c>
      <c r="D132" s="66">
        <f t="shared" si="17"/>
        <v>3259.3309624571189</v>
      </c>
      <c r="E132" s="66">
        <f t="shared" si="18"/>
        <v>1165.1452019936273</v>
      </c>
      <c r="F132" s="66">
        <f t="shared" si="19"/>
        <v>600557.49402085901</v>
      </c>
      <c r="G132" s="45"/>
      <c r="H132" s="45"/>
      <c r="I132" s="64">
        <f t="shared" si="20"/>
        <v>114</v>
      </c>
      <c r="J132" s="65">
        <f t="shared" si="26"/>
        <v>3865.4259149932882</v>
      </c>
      <c r="K132" s="66">
        <f t="shared" si="27"/>
        <v>2550.4690418339587</v>
      </c>
      <c r="L132" s="66">
        <f t="shared" si="21"/>
        <v>1314.9568731593295</v>
      </c>
      <c r="M132" s="66">
        <f t="shared" si="22"/>
        <v>581649.3955460313</v>
      </c>
      <c r="N132" s="45"/>
      <c r="O132" s="45"/>
      <c r="P132" s="64">
        <f t="shared" si="23"/>
        <v>114</v>
      </c>
      <c r="Q132" s="65">
        <f t="shared" si="24"/>
        <v>895.35799997349602</v>
      </c>
      <c r="R132" s="66">
        <f t="shared" si="29"/>
        <v>785.58303849418871</v>
      </c>
      <c r="S132" s="66">
        <f t="shared" si="28"/>
        <v>109.77496147930731</v>
      </c>
      <c r="T132" s="66">
        <f t="shared" si="25"/>
        <v>91950.737362058426</v>
      </c>
      <c r="U132" s="45"/>
    </row>
    <row r="133" spans="1:21" ht="15">
      <c r="A133" s="45"/>
      <c r="B133" s="64">
        <f t="shared" si="15"/>
        <v>115</v>
      </c>
      <c r="C133" s="65">
        <f t="shared" si="16"/>
        <v>4424.4761644507462</v>
      </c>
      <c r="D133" s="66">
        <f t="shared" si="17"/>
        <v>3253.019759279653</v>
      </c>
      <c r="E133" s="66">
        <f t="shared" si="18"/>
        <v>1171.4564051710931</v>
      </c>
      <c r="F133" s="66">
        <f t="shared" si="19"/>
        <v>599386.03761568794</v>
      </c>
      <c r="G133" s="45"/>
      <c r="H133" s="45"/>
      <c r="I133" s="64">
        <f t="shared" si="20"/>
        <v>115</v>
      </c>
      <c r="J133" s="65">
        <f t="shared" si="26"/>
        <v>3865.4259149932882</v>
      </c>
      <c r="K133" s="66">
        <f t="shared" si="27"/>
        <v>2544.7161055138868</v>
      </c>
      <c r="L133" s="66">
        <f t="shared" si="21"/>
        <v>1320.7098094794014</v>
      </c>
      <c r="M133" s="66">
        <f t="shared" si="22"/>
        <v>580328.68573655188</v>
      </c>
      <c r="N133" s="45"/>
      <c r="O133" s="45"/>
      <c r="P133" s="64">
        <f t="shared" si="23"/>
        <v>115</v>
      </c>
      <c r="Q133" s="65">
        <f t="shared" si="24"/>
        <v>895.35799997349602</v>
      </c>
      <c r="R133" s="66">
        <f t="shared" si="29"/>
        <v>784.64629215623199</v>
      </c>
      <c r="S133" s="66">
        <f t="shared" si="28"/>
        <v>110.71170781726403</v>
      </c>
      <c r="T133" s="66">
        <f t="shared" si="25"/>
        <v>91840.025654241166</v>
      </c>
      <c r="U133" s="45"/>
    </row>
    <row r="134" spans="1:21" ht="15">
      <c r="A134" s="45"/>
      <c r="B134" s="64">
        <f t="shared" si="15"/>
        <v>116</v>
      </c>
      <c r="C134" s="65">
        <f t="shared" si="16"/>
        <v>4424.4761644507462</v>
      </c>
      <c r="D134" s="66">
        <f t="shared" si="17"/>
        <v>3246.6743704183095</v>
      </c>
      <c r="E134" s="66">
        <f t="shared" si="18"/>
        <v>1177.8017940324366</v>
      </c>
      <c r="F134" s="66">
        <f t="shared" si="19"/>
        <v>598208.23582165549</v>
      </c>
      <c r="G134" s="45"/>
      <c r="H134" s="45"/>
      <c r="I134" s="64">
        <f t="shared" si="20"/>
        <v>116</v>
      </c>
      <c r="J134" s="65">
        <f t="shared" si="26"/>
        <v>3865.4259149932882</v>
      </c>
      <c r="K134" s="66">
        <f t="shared" si="27"/>
        <v>2538.9380000974143</v>
      </c>
      <c r="L134" s="66">
        <f t="shared" si="21"/>
        <v>1326.4879148958739</v>
      </c>
      <c r="M134" s="66">
        <f t="shared" si="22"/>
        <v>579002.19782165601</v>
      </c>
      <c r="N134" s="45"/>
      <c r="O134" s="45"/>
      <c r="P134" s="64">
        <f t="shared" si="23"/>
        <v>116</v>
      </c>
      <c r="Q134" s="65">
        <f t="shared" si="24"/>
        <v>895.35799997349602</v>
      </c>
      <c r="R134" s="66">
        <f t="shared" si="29"/>
        <v>783.70155224952464</v>
      </c>
      <c r="S134" s="66">
        <f t="shared" si="28"/>
        <v>111.65644772397138</v>
      </c>
      <c r="T134" s="66">
        <f t="shared" si="25"/>
        <v>91728.369206517193</v>
      </c>
      <c r="U134" s="45"/>
    </row>
    <row r="135" spans="1:21" ht="15">
      <c r="A135" s="45"/>
      <c r="B135" s="64">
        <f t="shared" si="15"/>
        <v>117</v>
      </c>
      <c r="C135" s="65">
        <f t="shared" si="16"/>
        <v>4424.4761644507462</v>
      </c>
      <c r="D135" s="66">
        <f t="shared" si="17"/>
        <v>3240.2946107006342</v>
      </c>
      <c r="E135" s="66">
        <f t="shared" si="18"/>
        <v>1184.181553750112</v>
      </c>
      <c r="F135" s="66">
        <f t="shared" si="19"/>
        <v>597024.05426790542</v>
      </c>
      <c r="G135" s="45"/>
      <c r="H135" s="45"/>
      <c r="I135" s="64">
        <f t="shared" si="20"/>
        <v>117</v>
      </c>
      <c r="J135" s="65">
        <f t="shared" si="26"/>
        <v>3865.4259149932882</v>
      </c>
      <c r="K135" s="66">
        <f t="shared" si="27"/>
        <v>2533.1346154697449</v>
      </c>
      <c r="L135" s="66">
        <f t="shared" si="21"/>
        <v>1332.2912995235433</v>
      </c>
      <c r="M135" s="66">
        <f t="shared" si="22"/>
        <v>577669.90652213246</v>
      </c>
      <c r="N135" s="45"/>
      <c r="O135" s="45"/>
      <c r="P135" s="64">
        <f t="shared" si="23"/>
        <v>117</v>
      </c>
      <c r="Q135" s="65">
        <f t="shared" si="24"/>
        <v>895.35799997349602</v>
      </c>
      <c r="R135" s="66">
        <f t="shared" si="29"/>
        <v>782.74875056228007</v>
      </c>
      <c r="S135" s="66">
        <f t="shared" si="28"/>
        <v>112.60924941121596</v>
      </c>
      <c r="T135" s="66">
        <f t="shared" si="25"/>
        <v>91615.759957105984</v>
      </c>
      <c r="U135" s="45"/>
    </row>
    <row r="136" spans="1:21" ht="15">
      <c r="A136" s="45"/>
      <c r="B136" s="64">
        <f t="shared" si="15"/>
        <v>118</v>
      </c>
      <c r="C136" s="65">
        <f t="shared" si="16"/>
        <v>4424.4761644507462</v>
      </c>
      <c r="D136" s="66">
        <f t="shared" si="17"/>
        <v>3233.8802939511543</v>
      </c>
      <c r="E136" s="66">
        <f t="shared" si="18"/>
        <v>1190.5958704995919</v>
      </c>
      <c r="F136" s="66">
        <f t="shared" si="19"/>
        <v>595833.4583974058</v>
      </c>
      <c r="G136" s="45"/>
      <c r="H136" s="45"/>
      <c r="I136" s="64">
        <f t="shared" si="20"/>
        <v>118</v>
      </c>
      <c r="J136" s="65">
        <f t="shared" si="26"/>
        <v>3865.4259149932882</v>
      </c>
      <c r="K136" s="66">
        <f t="shared" si="27"/>
        <v>2527.3058410343292</v>
      </c>
      <c r="L136" s="66">
        <f t="shared" si="21"/>
        <v>1338.120073958959</v>
      </c>
      <c r="M136" s="66">
        <f t="shared" si="22"/>
        <v>576331.78644817346</v>
      </c>
      <c r="N136" s="45"/>
      <c r="O136" s="45"/>
      <c r="P136" s="64">
        <f t="shared" si="23"/>
        <v>118</v>
      </c>
      <c r="Q136" s="65">
        <f t="shared" si="24"/>
        <v>895.35799997349602</v>
      </c>
      <c r="R136" s="66">
        <f t="shared" si="29"/>
        <v>781.78781830063781</v>
      </c>
      <c r="S136" s="66">
        <f t="shared" si="28"/>
        <v>113.57018167285821</v>
      </c>
      <c r="T136" s="66">
        <f t="shared" si="25"/>
        <v>91502.189775433129</v>
      </c>
      <c r="U136" s="45"/>
    </row>
    <row r="137" spans="1:21" ht="15">
      <c r="A137" s="45"/>
      <c r="B137" s="64">
        <f t="shared" si="15"/>
        <v>119</v>
      </c>
      <c r="C137" s="65">
        <f t="shared" si="16"/>
        <v>4424.4761644507462</v>
      </c>
      <c r="D137" s="66">
        <f t="shared" si="17"/>
        <v>3227.4312329859481</v>
      </c>
      <c r="E137" s="66">
        <f t="shared" si="18"/>
        <v>1197.0449314647981</v>
      </c>
      <c r="F137" s="66">
        <f t="shared" si="19"/>
        <v>594636.41346594098</v>
      </c>
      <c r="G137" s="45"/>
      <c r="H137" s="45"/>
      <c r="I137" s="64">
        <f t="shared" si="20"/>
        <v>119</v>
      </c>
      <c r="J137" s="65">
        <f t="shared" si="26"/>
        <v>3865.4259149932882</v>
      </c>
      <c r="K137" s="66">
        <f t="shared" si="27"/>
        <v>2521.4515657107586</v>
      </c>
      <c r="L137" s="66">
        <f t="shared" si="21"/>
        <v>1343.9743492825296</v>
      </c>
      <c r="M137" s="66">
        <f t="shared" si="22"/>
        <v>574987.81209889089</v>
      </c>
      <c r="N137" s="45"/>
      <c r="O137" s="45"/>
      <c r="P137" s="64">
        <f t="shared" si="23"/>
        <v>119</v>
      </c>
      <c r="Q137" s="65">
        <f t="shared" si="24"/>
        <v>895.35799997349602</v>
      </c>
      <c r="R137" s="66">
        <f t="shared" si="29"/>
        <v>780.81868608369609</v>
      </c>
      <c r="S137" s="66">
        <f t="shared" si="28"/>
        <v>114.53931388979993</v>
      </c>
      <c r="T137" s="66">
        <f t="shared" si="25"/>
        <v>91387.650461543322</v>
      </c>
      <c r="U137" s="45"/>
    </row>
    <row r="138" spans="1:21" ht="15">
      <c r="A138" s="45"/>
      <c r="B138" s="64">
        <f t="shared" si="15"/>
        <v>120</v>
      </c>
      <c r="C138" s="65">
        <f t="shared" si="16"/>
        <v>4424.4761644507462</v>
      </c>
      <c r="D138" s="66">
        <f t="shared" si="17"/>
        <v>3220.9472396071806</v>
      </c>
      <c r="E138" s="66">
        <f t="shared" si="18"/>
        <v>1203.5289248435656</v>
      </c>
      <c r="F138" s="66">
        <f t="shared" si="19"/>
        <v>593432.88454109745</v>
      </c>
      <c r="G138" s="63"/>
      <c r="H138" s="45"/>
      <c r="I138" s="64">
        <f t="shared" si="20"/>
        <v>120</v>
      </c>
      <c r="J138" s="65">
        <f t="shared" si="26"/>
        <v>3865.4259149932882</v>
      </c>
      <c r="K138" s="66">
        <f t="shared" si="27"/>
        <v>2515.5716779326476</v>
      </c>
      <c r="L138" s="66">
        <f t="shared" si="21"/>
        <v>1349.8542370606406</v>
      </c>
      <c r="M138" s="66">
        <f t="shared" si="22"/>
        <v>573637.95786183025</v>
      </c>
      <c r="N138" s="63"/>
      <c r="O138" s="45"/>
      <c r="P138" s="64">
        <f t="shared" si="23"/>
        <v>120</v>
      </c>
      <c r="Q138" s="65">
        <f t="shared" si="24"/>
        <v>895.35799997349602</v>
      </c>
      <c r="R138" s="66">
        <f t="shared" si="29"/>
        <v>779.84128393850301</v>
      </c>
      <c r="S138" s="66">
        <f t="shared" si="28"/>
        <v>115.51671603499301</v>
      </c>
      <c r="T138" s="66">
        <f t="shared" si="25"/>
        <v>91272.133745508327</v>
      </c>
      <c r="U138" s="63"/>
    </row>
    <row r="139" spans="1:21" ht="15">
      <c r="A139" s="45"/>
      <c r="B139" s="64">
        <f t="shared" si="15"/>
        <v>121</v>
      </c>
      <c r="C139" s="65">
        <f t="shared" si="16"/>
        <v>4424.4761644507462</v>
      </c>
      <c r="D139" s="66">
        <f t="shared" si="17"/>
        <v>3214.4281245976113</v>
      </c>
      <c r="E139" s="66">
        <f t="shared" si="18"/>
        <v>1210.0480398531349</v>
      </c>
      <c r="F139" s="66">
        <f t="shared" si="19"/>
        <v>592222.83650124434</v>
      </c>
      <c r="G139" s="45"/>
      <c r="H139" s="45"/>
      <c r="I139" s="64">
        <f t="shared" si="20"/>
        <v>121</v>
      </c>
      <c r="J139" s="65">
        <f t="shared" si="26"/>
        <v>3865.4259149932882</v>
      </c>
      <c r="K139" s="66">
        <f t="shared" si="27"/>
        <v>2509.6660656455069</v>
      </c>
      <c r="L139" s="66">
        <f t="shared" si="21"/>
        <v>1355.7598493477813</v>
      </c>
      <c r="M139" s="66">
        <f t="shared" si="22"/>
        <v>572282.19801248249</v>
      </c>
      <c r="N139" s="45"/>
      <c r="O139" s="45"/>
      <c r="P139" s="64">
        <f t="shared" si="23"/>
        <v>121</v>
      </c>
      <c r="Q139" s="65">
        <f t="shared" si="24"/>
        <v>895.35799997349602</v>
      </c>
      <c r="R139" s="66">
        <f t="shared" si="29"/>
        <v>778.8555412950044</v>
      </c>
      <c r="S139" s="66">
        <f t="shared" si="28"/>
        <v>116.50245867849162</v>
      </c>
      <c r="T139" s="66">
        <f t="shared" si="25"/>
        <v>91155.631286829841</v>
      </c>
      <c r="U139" s="45"/>
    </row>
    <row r="140" spans="1:21" ht="15">
      <c r="A140" s="45"/>
      <c r="B140" s="64">
        <f t="shared" si="15"/>
        <v>122</v>
      </c>
      <c r="C140" s="65">
        <f t="shared" si="16"/>
        <v>4424.4761644507462</v>
      </c>
      <c r="D140" s="66">
        <f t="shared" si="17"/>
        <v>3207.8736977150738</v>
      </c>
      <c r="E140" s="66">
        <f t="shared" si="18"/>
        <v>1216.6024667356724</v>
      </c>
      <c r="F140" s="66">
        <f t="shared" si="19"/>
        <v>591006.2340345087</v>
      </c>
      <c r="G140" s="45"/>
      <c r="H140" s="45"/>
      <c r="I140" s="64">
        <f t="shared" si="20"/>
        <v>122</v>
      </c>
      <c r="J140" s="65">
        <f t="shared" si="26"/>
        <v>3865.4259149932882</v>
      </c>
      <c r="K140" s="66">
        <f t="shared" si="27"/>
        <v>2503.7346163046104</v>
      </c>
      <c r="L140" s="66">
        <f t="shared" si="21"/>
        <v>1361.6912986886778</v>
      </c>
      <c r="M140" s="66">
        <f t="shared" si="22"/>
        <v>570920.50671379385</v>
      </c>
      <c r="N140" s="45"/>
      <c r="O140" s="45"/>
      <c r="P140" s="64">
        <f t="shared" si="23"/>
        <v>122</v>
      </c>
      <c r="Q140" s="65">
        <f t="shared" si="24"/>
        <v>895.35799997349602</v>
      </c>
      <c r="R140" s="66">
        <f t="shared" si="29"/>
        <v>777.86138698094805</v>
      </c>
      <c r="S140" s="66">
        <f t="shared" si="28"/>
        <v>117.49661299254797</v>
      </c>
      <c r="T140" s="66">
        <f t="shared" si="25"/>
        <v>91038.134673837296</v>
      </c>
      <c r="U140" s="45"/>
    </row>
    <row r="141" spans="1:21" ht="15">
      <c r="A141" s="45"/>
      <c r="B141" s="64">
        <f t="shared" si="15"/>
        <v>123</v>
      </c>
      <c r="C141" s="65">
        <f t="shared" si="16"/>
        <v>4424.4761644507462</v>
      </c>
      <c r="D141" s="66">
        <f t="shared" si="17"/>
        <v>3201.2837676869221</v>
      </c>
      <c r="E141" s="66">
        <f t="shared" si="18"/>
        <v>1223.192396763824</v>
      </c>
      <c r="F141" s="66">
        <f t="shared" si="19"/>
        <v>589783.04163774487</v>
      </c>
      <c r="G141" s="45"/>
      <c r="H141" s="45"/>
      <c r="I141" s="64">
        <f t="shared" si="20"/>
        <v>123</v>
      </c>
      <c r="J141" s="65">
        <f t="shared" si="26"/>
        <v>3865.4259149932882</v>
      </c>
      <c r="K141" s="66">
        <f t="shared" si="27"/>
        <v>2497.7772168728479</v>
      </c>
      <c r="L141" s="66">
        <f t="shared" si="21"/>
        <v>1367.6486981204403</v>
      </c>
      <c r="M141" s="66">
        <f t="shared" si="22"/>
        <v>569552.85801567335</v>
      </c>
      <c r="N141" s="45"/>
      <c r="O141" s="45"/>
      <c r="P141" s="64">
        <f t="shared" si="23"/>
        <v>123</v>
      </c>
      <c r="Q141" s="65">
        <f t="shared" si="24"/>
        <v>895.35799997349602</v>
      </c>
      <c r="R141" s="66">
        <f t="shared" si="29"/>
        <v>776.85874921674497</v>
      </c>
      <c r="S141" s="66">
        <f t="shared" si="28"/>
        <v>118.49925075675105</v>
      </c>
      <c r="T141" s="66">
        <f t="shared" si="25"/>
        <v>90919.635423080545</v>
      </c>
      <c r="U141" s="45"/>
    </row>
    <row r="142" spans="1:21" ht="15">
      <c r="A142" s="45"/>
      <c r="B142" s="64">
        <f t="shared" si="15"/>
        <v>124</v>
      </c>
      <c r="C142" s="65">
        <f t="shared" si="16"/>
        <v>4424.4761644507462</v>
      </c>
      <c r="D142" s="66">
        <f t="shared" si="17"/>
        <v>3194.6581422044515</v>
      </c>
      <c r="E142" s="66">
        <f t="shared" si="18"/>
        <v>1229.8180222462947</v>
      </c>
      <c r="F142" s="66">
        <f t="shared" si="19"/>
        <v>588553.22361549863</v>
      </c>
      <c r="G142" s="45"/>
      <c r="H142" s="45"/>
      <c r="I142" s="64">
        <f t="shared" si="20"/>
        <v>124</v>
      </c>
      <c r="J142" s="65">
        <f t="shared" si="26"/>
        <v>3865.4259149932882</v>
      </c>
      <c r="K142" s="66">
        <f t="shared" si="27"/>
        <v>2491.7937538185706</v>
      </c>
      <c r="L142" s="66">
        <f t="shared" si="21"/>
        <v>1373.6321611747176</v>
      </c>
      <c r="M142" s="66">
        <f t="shared" si="22"/>
        <v>568179.22585449868</v>
      </c>
      <c r="N142" s="45"/>
      <c r="O142" s="45"/>
      <c r="P142" s="64">
        <f t="shared" si="23"/>
        <v>124</v>
      </c>
      <c r="Q142" s="65">
        <f t="shared" si="24"/>
        <v>895.35799997349602</v>
      </c>
      <c r="R142" s="66">
        <f t="shared" si="29"/>
        <v>775.84755561028737</v>
      </c>
      <c r="S142" s="66">
        <f t="shared" si="28"/>
        <v>119.51044436320865</v>
      </c>
      <c r="T142" s="66">
        <f t="shared" si="25"/>
        <v>90800.124978717329</v>
      </c>
      <c r="U142" s="45"/>
    </row>
    <row r="143" spans="1:21" ht="15">
      <c r="A143" s="45"/>
      <c r="B143" s="64">
        <f t="shared" si="15"/>
        <v>125</v>
      </c>
      <c r="C143" s="65">
        <f t="shared" si="16"/>
        <v>4424.4761644507462</v>
      </c>
      <c r="D143" s="66">
        <f t="shared" si="17"/>
        <v>3187.9966279172845</v>
      </c>
      <c r="E143" s="66">
        <f t="shared" si="18"/>
        <v>1236.4795365334617</v>
      </c>
      <c r="F143" s="66">
        <f t="shared" si="19"/>
        <v>587316.74407896516</v>
      </c>
      <c r="G143" s="45"/>
      <c r="H143" s="45"/>
      <c r="I143" s="64">
        <f t="shared" si="20"/>
        <v>125</v>
      </c>
      <c r="J143" s="65">
        <f t="shared" si="26"/>
        <v>3865.4259149932882</v>
      </c>
      <c r="K143" s="66">
        <f t="shared" si="27"/>
        <v>2485.7841131134314</v>
      </c>
      <c r="L143" s="66">
        <f t="shared" si="21"/>
        <v>1379.6418018798568</v>
      </c>
      <c r="M143" s="66">
        <f t="shared" si="22"/>
        <v>566799.58405261883</v>
      </c>
      <c r="N143" s="45"/>
      <c r="O143" s="45"/>
      <c r="P143" s="64">
        <f t="shared" si="23"/>
        <v>125</v>
      </c>
      <c r="Q143" s="65">
        <f t="shared" si="24"/>
        <v>895.35799997349602</v>
      </c>
      <c r="R143" s="66">
        <f t="shared" si="29"/>
        <v>774.82773315172119</v>
      </c>
      <c r="S143" s="66">
        <f t="shared" si="28"/>
        <v>120.53026682177483</v>
      </c>
      <c r="T143" s="66">
        <f t="shared" si="25"/>
        <v>90679.594711895552</v>
      </c>
      <c r="U143" s="45"/>
    </row>
    <row r="144" spans="1:21" ht="15">
      <c r="A144" s="45"/>
      <c r="B144" s="64">
        <f t="shared" si="15"/>
        <v>126</v>
      </c>
      <c r="C144" s="65">
        <f t="shared" si="16"/>
        <v>4424.4761644507462</v>
      </c>
      <c r="D144" s="66">
        <f t="shared" si="17"/>
        <v>3181.2990304277282</v>
      </c>
      <c r="E144" s="66">
        <f t="shared" si="18"/>
        <v>1243.177134023018</v>
      </c>
      <c r="F144" s="66">
        <f t="shared" si="19"/>
        <v>586073.56694494211</v>
      </c>
      <c r="G144" s="45"/>
      <c r="H144" s="45"/>
      <c r="I144" s="64">
        <f t="shared" si="20"/>
        <v>126</v>
      </c>
      <c r="J144" s="65">
        <f t="shared" si="26"/>
        <v>3865.4259149932882</v>
      </c>
      <c r="K144" s="66">
        <f t="shared" si="27"/>
        <v>2479.7481802302073</v>
      </c>
      <c r="L144" s="66">
        <f t="shared" si="21"/>
        <v>1385.6777347630809</v>
      </c>
      <c r="M144" s="66">
        <f t="shared" si="22"/>
        <v>565413.9063178557</v>
      </c>
      <c r="N144" s="45"/>
      <c r="O144" s="45"/>
      <c r="P144" s="64">
        <f t="shared" si="23"/>
        <v>126</v>
      </c>
      <c r="Q144" s="65">
        <f t="shared" si="24"/>
        <v>895.35799997349602</v>
      </c>
      <c r="R144" s="66">
        <f t="shared" si="29"/>
        <v>773.7992082081754</v>
      </c>
      <c r="S144" s="66">
        <f t="shared" si="28"/>
        <v>121.55879176532062</v>
      </c>
      <c r="T144" s="66">
        <f t="shared" si="25"/>
        <v>90558.035920130234</v>
      </c>
      <c r="U144" s="45"/>
    </row>
    <row r="145" spans="1:21" ht="15">
      <c r="A145" s="45"/>
      <c r="B145" s="64">
        <f t="shared" si="15"/>
        <v>127</v>
      </c>
      <c r="C145" s="65">
        <f t="shared" si="16"/>
        <v>4424.4761644507462</v>
      </c>
      <c r="D145" s="66">
        <f t="shared" si="17"/>
        <v>3174.5651542851033</v>
      </c>
      <c r="E145" s="66">
        <f t="shared" si="18"/>
        <v>1249.9110101656429</v>
      </c>
      <c r="F145" s="66">
        <f t="shared" si="19"/>
        <v>584823.65593477641</v>
      </c>
      <c r="G145" s="45"/>
      <c r="H145" s="45"/>
      <c r="I145" s="64">
        <f t="shared" si="20"/>
        <v>127</v>
      </c>
      <c r="J145" s="65">
        <f t="shared" si="26"/>
        <v>3865.4259149932882</v>
      </c>
      <c r="K145" s="66">
        <f t="shared" si="27"/>
        <v>2473.6858401406184</v>
      </c>
      <c r="L145" s="66">
        <f t="shared" si="21"/>
        <v>1391.7400748526697</v>
      </c>
      <c r="M145" s="66">
        <f t="shared" si="22"/>
        <v>564022.16624300298</v>
      </c>
      <c r="N145" s="45"/>
      <c r="O145" s="45"/>
      <c r="P145" s="64">
        <f t="shared" si="23"/>
        <v>127</v>
      </c>
      <c r="Q145" s="65">
        <f t="shared" si="24"/>
        <v>895.35799997349602</v>
      </c>
      <c r="R145" s="66">
        <f t="shared" si="29"/>
        <v>772.76190651844468</v>
      </c>
      <c r="S145" s="66">
        <f t="shared" si="28"/>
        <v>122.59609345505135</v>
      </c>
      <c r="T145" s="66">
        <f t="shared" si="25"/>
        <v>90435.439826675181</v>
      </c>
      <c r="U145" s="45"/>
    </row>
    <row r="146" spans="1:21" ht="15">
      <c r="A146" s="45"/>
      <c r="B146" s="64">
        <f t="shared" si="15"/>
        <v>128</v>
      </c>
      <c r="C146" s="65">
        <f t="shared" si="16"/>
        <v>4424.4761644507462</v>
      </c>
      <c r="D146" s="66">
        <f t="shared" si="17"/>
        <v>3167.7948029800391</v>
      </c>
      <c r="E146" s="66">
        <f t="shared" si="18"/>
        <v>1256.6813614707071</v>
      </c>
      <c r="F146" s="66">
        <f t="shared" si="19"/>
        <v>583566.97457330569</v>
      </c>
      <c r="G146" s="45"/>
      <c r="H146" s="45"/>
      <c r="I146" s="64">
        <f t="shared" si="20"/>
        <v>128</v>
      </c>
      <c r="J146" s="65">
        <f t="shared" si="26"/>
        <v>3865.4259149932882</v>
      </c>
      <c r="K146" s="66">
        <f t="shared" si="27"/>
        <v>2467.5969773131378</v>
      </c>
      <c r="L146" s="66">
        <f t="shared" si="21"/>
        <v>1397.8289376801504</v>
      </c>
      <c r="M146" s="66">
        <f t="shared" si="22"/>
        <v>562624.33730532287</v>
      </c>
      <c r="N146" s="45"/>
      <c r="O146" s="45"/>
      <c r="P146" s="64">
        <f t="shared" si="23"/>
        <v>128</v>
      </c>
      <c r="Q146" s="65">
        <f t="shared" si="24"/>
        <v>895.35799997349602</v>
      </c>
      <c r="R146" s="66">
        <f t="shared" si="29"/>
        <v>771.71575318762825</v>
      </c>
      <c r="S146" s="66">
        <f t="shared" si="28"/>
        <v>123.64224678586777</v>
      </c>
      <c r="T146" s="66">
        <f t="shared" si="25"/>
        <v>90311.797579889317</v>
      </c>
      <c r="U146" s="45"/>
    </row>
    <row r="147" spans="1:21" ht="15">
      <c r="A147" s="45"/>
      <c r="B147" s="64">
        <f t="shared" si="15"/>
        <v>129</v>
      </c>
      <c r="C147" s="65">
        <f t="shared" si="16"/>
        <v>4424.4761644507462</v>
      </c>
      <c r="D147" s="66">
        <f t="shared" si="17"/>
        <v>3160.9877789387392</v>
      </c>
      <c r="E147" s="66">
        <f t="shared" si="18"/>
        <v>1263.488385512007</v>
      </c>
      <c r="F147" s="66">
        <f t="shared" si="19"/>
        <v>582303.48618779366</v>
      </c>
      <c r="G147" s="45"/>
      <c r="H147" s="45"/>
      <c r="I147" s="64">
        <f t="shared" si="20"/>
        <v>129</v>
      </c>
      <c r="J147" s="65">
        <f t="shared" si="26"/>
        <v>3865.4259149932882</v>
      </c>
      <c r="K147" s="66">
        <f t="shared" si="27"/>
        <v>2461.4814757107874</v>
      </c>
      <c r="L147" s="66">
        <f t="shared" si="21"/>
        <v>1403.9444392825008</v>
      </c>
      <c r="M147" s="66">
        <f t="shared" si="22"/>
        <v>561220.39286604035</v>
      </c>
      <c r="N147" s="45"/>
      <c r="O147" s="45"/>
      <c r="P147" s="64">
        <f t="shared" si="23"/>
        <v>129</v>
      </c>
      <c r="Q147" s="65">
        <f t="shared" si="24"/>
        <v>895.35799997349602</v>
      </c>
      <c r="R147" s="66">
        <f t="shared" si="29"/>
        <v>770.66067268172219</v>
      </c>
      <c r="S147" s="66">
        <f t="shared" si="28"/>
        <v>124.69732729177383</v>
      </c>
      <c r="T147" s="66">
        <f t="shared" si="25"/>
        <v>90187.100252597549</v>
      </c>
      <c r="U147" s="45"/>
    </row>
    <row r="148" spans="1:21" ht="15">
      <c r="A148" s="45"/>
      <c r="B148" s="64">
        <f t="shared" ref="B148:B211" si="30">IF(B147&lt;$D$6,B147+1,"")</f>
        <v>130</v>
      </c>
      <c r="C148" s="65">
        <f t="shared" ref="C148:C211" si="31">IF(B147&lt;$D$6,+C147,"")</f>
        <v>4424.4761644507462</v>
      </c>
      <c r="D148" s="66">
        <f t="shared" ref="D148:D211" si="32">IF(B147&lt;$D$6,+F147*($D$7/12),"")</f>
        <v>3154.1438835172157</v>
      </c>
      <c r="E148" s="66">
        <f t="shared" ref="E148:E211" si="33">IF(B147&lt;$D$6,+C148-D148,"")</f>
        <v>1270.3322809335305</v>
      </c>
      <c r="F148" s="66">
        <f t="shared" ref="F148:F211" si="34">IF(B147&lt;$D$6,+F147-E148,"")</f>
        <v>581033.15390686016</v>
      </c>
      <c r="G148" s="45"/>
      <c r="H148" s="45"/>
      <c r="I148" s="64">
        <f t="shared" si="20"/>
        <v>130</v>
      </c>
      <c r="J148" s="65">
        <f t="shared" si="26"/>
        <v>3865.4259149932882</v>
      </c>
      <c r="K148" s="66">
        <f t="shared" si="27"/>
        <v>2455.3392187889262</v>
      </c>
      <c r="L148" s="66">
        <f t="shared" si="21"/>
        <v>1410.0866962043619</v>
      </c>
      <c r="M148" s="66">
        <f t="shared" si="22"/>
        <v>559810.30616983597</v>
      </c>
      <c r="N148" s="45"/>
      <c r="O148" s="45"/>
      <c r="P148" s="64">
        <f t="shared" si="23"/>
        <v>130</v>
      </c>
      <c r="Q148" s="65">
        <f t="shared" si="24"/>
        <v>895.35799997349602</v>
      </c>
      <c r="R148" s="66">
        <f t="shared" si="29"/>
        <v>769.59658882216581</v>
      </c>
      <c r="S148" s="66">
        <f t="shared" si="28"/>
        <v>125.76141115133021</v>
      </c>
      <c r="T148" s="66">
        <f t="shared" si="25"/>
        <v>90061.338841446224</v>
      </c>
      <c r="U148" s="45"/>
    </row>
    <row r="149" spans="1:21" ht="15">
      <c r="A149" s="45"/>
      <c r="B149" s="64">
        <f t="shared" si="30"/>
        <v>131</v>
      </c>
      <c r="C149" s="65">
        <f t="shared" si="31"/>
        <v>4424.4761644507462</v>
      </c>
      <c r="D149" s="66">
        <f t="shared" si="32"/>
        <v>3147.2629169954926</v>
      </c>
      <c r="E149" s="66">
        <f t="shared" si="33"/>
        <v>1277.2132474552536</v>
      </c>
      <c r="F149" s="66">
        <f t="shared" si="34"/>
        <v>579755.94065940485</v>
      </c>
      <c r="G149" s="45"/>
      <c r="H149" s="45"/>
      <c r="I149" s="64">
        <f t="shared" ref="I149:I212" si="35">IF(I148&lt;$K$6,I148+1,"")</f>
        <v>131</v>
      </c>
      <c r="J149" s="65">
        <f t="shared" si="26"/>
        <v>3865.4259149932882</v>
      </c>
      <c r="K149" s="66">
        <f t="shared" si="27"/>
        <v>2449.1700894930323</v>
      </c>
      <c r="L149" s="66">
        <f t="shared" ref="L149:L212" si="36">IF(I148&lt;$K$6,+J149-K149,"")</f>
        <v>1416.2558255002559</v>
      </c>
      <c r="M149" s="66">
        <f t="shared" ref="M149:M212" si="37">IF(I148&lt;$K$6,+M148-L149,"")</f>
        <v>558394.05034433573</v>
      </c>
      <c r="N149" s="45"/>
      <c r="O149" s="45"/>
      <c r="P149" s="64">
        <f t="shared" ref="P149:P212" si="38">IF(P148&lt;$K$6,P148+1,"")</f>
        <v>131</v>
      </c>
      <c r="Q149" s="65">
        <f t="shared" ref="Q149:Q212" si="39">IF(P148&lt;$R$6,+Q148,"")</f>
        <v>895.35799997349602</v>
      </c>
      <c r="R149" s="66">
        <f t="shared" si="29"/>
        <v>768.5234247803412</v>
      </c>
      <c r="S149" s="66">
        <f t="shared" si="28"/>
        <v>126.83457519315482</v>
      </c>
      <c r="T149" s="66">
        <f t="shared" ref="T149:T212" si="40">IF(P148&lt;$R$6,+T148-S149,"")</f>
        <v>89934.504266253076</v>
      </c>
      <c r="U149" s="45"/>
    </row>
    <row r="150" spans="1:21" ht="15">
      <c r="A150" s="45"/>
      <c r="B150" s="64">
        <f t="shared" si="30"/>
        <v>132</v>
      </c>
      <c r="C150" s="65">
        <f t="shared" si="31"/>
        <v>4424.4761644507462</v>
      </c>
      <c r="D150" s="66">
        <f t="shared" si="32"/>
        <v>3140.3446785717765</v>
      </c>
      <c r="E150" s="66">
        <f t="shared" si="33"/>
        <v>1284.1314858789697</v>
      </c>
      <c r="F150" s="66">
        <f t="shared" si="34"/>
        <v>578471.80917352589</v>
      </c>
      <c r="G150" s="45"/>
      <c r="H150" s="45"/>
      <c r="I150" s="64">
        <f t="shared" si="35"/>
        <v>132</v>
      </c>
      <c r="J150" s="65">
        <f t="shared" ref="J150:J213" si="41">IF(I149&lt;$K$6,+J149,"")</f>
        <v>3865.4259149932882</v>
      </c>
      <c r="K150" s="66">
        <f t="shared" ref="K150:K213" si="42">IF(I149&lt;$K$6,+M149*($K$7/12),"")</f>
        <v>2442.9739702564684</v>
      </c>
      <c r="L150" s="66">
        <f t="shared" si="36"/>
        <v>1422.4519447368198</v>
      </c>
      <c r="M150" s="66">
        <f t="shared" si="37"/>
        <v>556971.59839959897</v>
      </c>
      <c r="N150" s="45"/>
      <c r="O150" s="45"/>
      <c r="P150" s="64">
        <f t="shared" si="38"/>
        <v>132</v>
      </c>
      <c r="Q150" s="65">
        <f t="shared" si="39"/>
        <v>895.35799997349602</v>
      </c>
      <c r="R150" s="66">
        <f t="shared" si="29"/>
        <v>767.44110307202629</v>
      </c>
      <c r="S150" s="66">
        <f t="shared" ref="S150:S213" si="43">IF(P149&lt;$R$6,+Q150-R150,"")</f>
        <v>127.91689690146973</v>
      </c>
      <c r="T150" s="66">
        <f t="shared" si="40"/>
        <v>89806.587369351604</v>
      </c>
      <c r="U150" s="45"/>
    </row>
    <row r="151" spans="1:21" ht="15">
      <c r="A151" s="45"/>
      <c r="B151" s="64">
        <f t="shared" si="30"/>
        <v>133</v>
      </c>
      <c r="C151" s="65">
        <f t="shared" si="31"/>
        <v>4424.4761644507462</v>
      </c>
      <c r="D151" s="66">
        <f t="shared" si="32"/>
        <v>3133.3889663565988</v>
      </c>
      <c r="E151" s="66">
        <f t="shared" si="33"/>
        <v>1291.0871980941474</v>
      </c>
      <c r="F151" s="66">
        <f t="shared" si="34"/>
        <v>577180.72197543178</v>
      </c>
      <c r="G151" s="45"/>
      <c r="H151" s="45"/>
      <c r="I151" s="64">
        <f t="shared" si="35"/>
        <v>133</v>
      </c>
      <c r="J151" s="65">
        <f t="shared" si="41"/>
        <v>3865.4259149932882</v>
      </c>
      <c r="K151" s="66">
        <f t="shared" si="42"/>
        <v>2436.7507429982452</v>
      </c>
      <c r="L151" s="66">
        <f t="shared" si="36"/>
        <v>1428.675171995043</v>
      </c>
      <c r="M151" s="66">
        <f t="shared" si="37"/>
        <v>555542.9232276039</v>
      </c>
      <c r="N151" s="45"/>
      <c r="O151" s="45"/>
      <c r="P151" s="64">
        <f t="shared" si="38"/>
        <v>133</v>
      </c>
      <c r="Q151" s="65">
        <f t="shared" si="39"/>
        <v>895.35799997349602</v>
      </c>
      <c r="R151" s="66">
        <f t="shared" ref="R151:R214" si="44">IF(P150&lt;$R$6,+T150*($R$7/12),"")</f>
        <v>766.34954555180036</v>
      </c>
      <c r="S151" s="66">
        <f t="shared" si="43"/>
        <v>129.00845442169566</v>
      </c>
      <c r="T151" s="66">
        <f t="shared" si="40"/>
        <v>89677.578914929909</v>
      </c>
      <c r="U151" s="45"/>
    </row>
    <row r="152" spans="1:21" ht="15">
      <c r="A152" s="45"/>
      <c r="B152" s="64">
        <f t="shared" si="30"/>
        <v>134</v>
      </c>
      <c r="C152" s="65">
        <f t="shared" si="31"/>
        <v>4424.4761644507462</v>
      </c>
      <c r="D152" s="66">
        <f t="shared" si="32"/>
        <v>3126.3955773669222</v>
      </c>
      <c r="E152" s="66">
        <f t="shared" si="33"/>
        <v>1298.080587083824</v>
      </c>
      <c r="F152" s="66">
        <f t="shared" si="34"/>
        <v>575882.64138834795</v>
      </c>
      <c r="G152" s="45"/>
      <c r="H152" s="45"/>
      <c r="I152" s="64">
        <f t="shared" si="35"/>
        <v>134</v>
      </c>
      <c r="J152" s="65">
        <f t="shared" si="41"/>
        <v>3865.4259149932882</v>
      </c>
      <c r="K152" s="66">
        <f t="shared" si="42"/>
        <v>2430.5002891207669</v>
      </c>
      <c r="L152" s="66">
        <f t="shared" si="36"/>
        <v>1434.9256258725213</v>
      </c>
      <c r="M152" s="66">
        <f t="shared" si="37"/>
        <v>554107.99760173133</v>
      </c>
      <c r="N152" s="45"/>
      <c r="O152" s="45"/>
      <c r="P152" s="64">
        <f t="shared" si="38"/>
        <v>134</v>
      </c>
      <c r="Q152" s="65">
        <f t="shared" si="39"/>
        <v>895.35799997349602</v>
      </c>
      <c r="R152" s="66">
        <f t="shared" si="44"/>
        <v>765.24867340740195</v>
      </c>
      <c r="S152" s="66">
        <f t="shared" si="43"/>
        <v>130.10932656609407</v>
      </c>
      <c r="T152" s="66">
        <f t="shared" si="40"/>
        <v>89547.46958836382</v>
      </c>
      <c r="U152" s="45"/>
    </row>
    <row r="153" spans="1:21" ht="15">
      <c r="A153" s="45"/>
      <c r="B153" s="64">
        <f t="shared" si="30"/>
        <v>135</v>
      </c>
      <c r="C153" s="65">
        <f t="shared" si="31"/>
        <v>4424.4761644507462</v>
      </c>
      <c r="D153" s="66">
        <f t="shared" si="32"/>
        <v>3119.3643075202181</v>
      </c>
      <c r="E153" s="66">
        <f t="shared" si="33"/>
        <v>1305.1118569305281</v>
      </c>
      <c r="F153" s="66">
        <f t="shared" si="34"/>
        <v>574577.52953141741</v>
      </c>
      <c r="G153" s="45"/>
      <c r="H153" s="45"/>
      <c r="I153" s="64">
        <f t="shared" si="35"/>
        <v>135</v>
      </c>
      <c r="J153" s="65">
        <f t="shared" si="41"/>
        <v>3865.4259149932882</v>
      </c>
      <c r="K153" s="66">
        <f t="shared" si="42"/>
        <v>2424.2224895075742</v>
      </c>
      <c r="L153" s="66">
        <f t="shared" si="36"/>
        <v>1441.203425485714</v>
      </c>
      <c r="M153" s="66">
        <f t="shared" si="37"/>
        <v>552666.79417624557</v>
      </c>
      <c r="N153" s="45"/>
      <c r="O153" s="45"/>
      <c r="P153" s="64">
        <f t="shared" si="38"/>
        <v>135</v>
      </c>
      <c r="Q153" s="65">
        <f t="shared" si="39"/>
        <v>895.35799997349602</v>
      </c>
      <c r="R153" s="66">
        <f t="shared" si="44"/>
        <v>764.13840715403796</v>
      </c>
      <c r="S153" s="66">
        <f t="shared" si="43"/>
        <v>131.21959281945806</v>
      </c>
      <c r="T153" s="66">
        <f t="shared" si="40"/>
        <v>89416.249995544364</v>
      </c>
      <c r="U153" s="45"/>
    </row>
    <row r="154" spans="1:21" ht="15">
      <c r="A154" s="45"/>
      <c r="B154" s="64">
        <f t="shared" si="30"/>
        <v>136</v>
      </c>
      <c r="C154" s="65">
        <f t="shared" si="31"/>
        <v>4424.4761644507462</v>
      </c>
      <c r="D154" s="66">
        <f t="shared" si="32"/>
        <v>3112.2949516285112</v>
      </c>
      <c r="E154" s="66">
        <f t="shared" si="33"/>
        <v>1312.181212822235</v>
      </c>
      <c r="F154" s="66">
        <f t="shared" si="34"/>
        <v>573265.34831859521</v>
      </c>
      <c r="G154" s="45"/>
      <c r="H154" s="45"/>
      <c r="I154" s="64">
        <f t="shared" si="35"/>
        <v>136</v>
      </c>
      <c r="J154" s="65">
        <f t="shared" si="41"/>
        <v>3865.4259149932882</v>
      </c>
      <c r="K154" s="66">
        <f t="shared" si="42"/>
        <v>2417.9172245210743</v>
      </c>
      <c r="L154" s="66">
        <f t="shared" si="36"/>
        <v>1447.5086904722139</v>
      </c>
      <c r="M154" s="66">
        <f t="shared" si="37"/>
        <v>551219.28548577335</v>
      </c>
      <c r="N154" s="45"/>
      <c r="O154" s="45"/>
      <c r="P154" s="64">
        <f t="shared" si="38"/>
        <v>136</v>
      </c>
      <c r="Q154" s="65">
        <f t="shared" si="39"/>
        <v>895.35799997349602</v>
      </c>
      <c r="R154" s="66">
        <f t="shared" si="44"/>
        <v>763.01866662864529</v>
      </c>
      <c r="S154" s="66">
        <f t="shared" si="43"/>
        <v>132.33933334485073</v>
      </c>
      <c r="T154" s="66">
        <f t="shared" si="40"/>
        <v>89283.910662199516</v>
      </c>
      <c r="U154" s="45"/>
    </row>
    <row r="155" spans="1:21" ht="15">
      <c r="A155" s="45"/>
      <c r="B155" s="64">
        <f t="shared" si="30"/>
        <v>137</v>
      </c>
      <c r="C155" s="65">
        <f t="shared" si="31"/>
        <v>4424.4761644507462</v>
      </c>
      <c r="D155" s="66">
        <f t="shared" si="32"/>
        <v>3105.1873033923907</v>
      </c>
      <c r="E155" s="66">
        <f t="shared" si="33"/>
        <v>1319.2888610583555</v>
      </c>
      <c r="F155" s="66">
        <f t="shared" si="34"/>
        <v>571946.0594575369</v>
      </c>
      <c r="G155" s="45"/>
      <c r="H155" s="45"/>
      <c r="I155" s="64">
        <f t="shared" si="35"/>
        <v>137</v>
      </c>
      <c r="J155" s="65">
        <f t="shared" si="41"/>
        <v>3865.4259149932882</v>
      </c>
      <c r="K155" s="66">
        <f t="shared" si="42"/>
        <v>2411.5843740002583</v>
      </c>
      <c r="L155" s="66">
        <f t="shared" si="36"/>
        <v>1453.8415409930299</v>
      </c>
      <c r="M155" s="66">
        <f t="shared" si="37"/>
        <v>549765.44394478027</v>
      </c>
      <c r="N155" s="45"/>
      <c r="O155" s="45"/>
      <c r="P155" s="64">
        <f t="shared" si="38"/>
        <v>137</v>
      </c>
      <c r="Q155" s="65">
        <f t="shared" si="39"/>
        <v>895.35799997349602</v>
      </c>
      <c r="R155" s="66">
        <f t="shared" si="44"/>
        <v>761.88937098410258</v>
      </c>
      <c r="S155" s="66">
        <f t="shared" si="43"/>
        <v>133.46862898939344</v>
      </c>
      <c r="T155" s="66">
        <f t="shared" si="40"/>
        <v>89150.442033210129</v>
      </c>
      <c r="U155" s="45"/>
    </row>
    <row r="156" spans="1:21" ht="15">
      <c r="A156" s="45"/>
      <c r="B156" s="64">
        <f t="shared" si="30"/>
        <v>138</v>
      </c>
      <c r="C156" s="65">
        <f t="shared" si="31"/>
        <v>4424.4761644507462</v>
      </c>
      <c r="D156" s="66">
        <f t="shared" si="32"/>
        <v>3098.0411553949916</v>
      </c>
      <c r="E156" s="66">
        <f t="shared" si="33"/>
        <v>1326.4350090557546</v>
      </c>
      <c r="F156" s="66">
        <f t="shared" si="34"/>
        <v>570619.62444848113</v>
      </c>
      <c r="G156" s="45"/>
      <c r="H156" s="45"/>
      <c r="I156" s="64">
        <f t="shared" si="35"/>
        <v>138</v>
      </c>
      <c r="J156" s="65">
        <f t="shared" si="41"/>
        <v>3865.4259149932882</v>
      </c>
      <c r="K156" s="66">
        <f t="shared" si="42"/>
        <v>2405.2238172584134</v>
      </c>
      <c r="L156" s="66">
        <f t="shared" si="36"/>
        <v>1460.2020977348748</v>
      </c>
      <c r="M156" s="66">
        <f t="shared" si="37"/>
        <v>548305.24184704537</v>
      </c>
      <c r="N156" s="45"/>
      <c r="O156" s="45"/>
      <c r="P156" s="64">
        <f t="shared" si="38"/>
        <v>138</v>
      </c>
      <c r="Q156" s="65">
        <f t="shared" si="39"/>
        <v>895.35799997349602</v>
      </c>
      <c r="R156" s="66">
        <f t="shared" si="44"/>
        <v>760.7504386833931</v>
      </c>
      <c r="S156" s="66">
        <f t="shared" si="43"/>
        <v>134.60756129010292</v>
      </c>
      <c r="T156" s="66">
        <f t="shared" si="40"/>
        <v>89015.834471920025</v>
      </c>
      <c r="U156" s="45"/>
    </row>
    <row r="157" spans="1:21" ht="15">
      <c r="A157" s="45"/>
      <c r="B157" s="64">
        <f t="shared" si="30"/>
        <v>139</v>
      </c>
      <c r="C157" s="65">
        <f t="shared" si="31"/>
        <v>4424.4761644507462</v>
      </c>
      <c r="D157" s="66">
        <f t="shared" si="32"/>
        <v>3090.8562990959394</v>
      </c>
      <c r="E157" s="66">
        <f t="shared" si="33"/>
        <v>1333.6198653548067</v>
      </c>
      <c r="F157" s="66">
        <f t="shared" si="34"/>
        <v>569286.00458312628</v>
      </c>
      <c r="G157" s="45"/>
      <c r="H157" s="45"/>
      <c r="I157" s="64">
        <f t="shared" si="35"/>
        <v>139</v>
      </c>
      <c r="J157" s="65">
        <f t="shared" si="41"/>
        <v>3865.4259149932882</v>
      </c>
      <c r="K157" s="66">
        <f t="shared" si="42"/>
        <v>2398.8354330808233</v>
      </c>
      <c r="L157" s="66">
        <f t="shared" si="36"/>
        <v>1466.5904819124648</v>
      </c>
      <c r="M157" s="66">
        <f t="shared" si="37"/>
        <v>546838.65136513289</v>
      </c>
      <c r="N157" s="45"/>
      <c r="O157" s="45"/>
      <c r="P157" s="64">
        <f t="shared" si="38"/>
        <v>139</v>
      </c>
      <c r="Q157" s="65">
        <f t="shared" si="39"/>
        <v>895.35799997349602</v>
      </c>
      <c r="R157" s="66">
        <f t="shared" si="44"/>
        <v>759.60178749371755</v>
      </c>
      <c r="S157" s="66">
        <f t="shared" si="43"/>
        <v>135.75621247977847</v>
      </c>
      <c r="T157" s="66">
        <f t="shared" si="40"/>
        <v>88880.078259440241</v>
      </c>
      <c r="U157" s="45"/>
    </row>
    <row r="158" spans="1:21" ht="15">
      <c r="A158" s="45"/>
      <c r="B158" s="64">
        <f t="shared" si="30"/>
        <v>140</v>
      </c>
      <c r="C158" s="65">
        <f t="shared" si="31"/>
        <v>4424.4761644507462</v>
      </c>
      <c r="D158" s="66">
        <f t="shared" si="32"/>
        <v>3083.6325248252674</v>
      </c>
      <c r="E158" s="66">
        <f t="shared" si="33"/>
        <v>1340.8436396254788</v>
      </c>
      <c r="F158" s="66">
        <f t="shared" si="34"/>
        <v>567945.16094350081</v>
      </c>
      <c r="G158" s="45"/>
      <c r="H158" s="45"/>
      <c r="I158" s="64">
        <f t="shared" si="35"/>
        <v>140</v>
      </c>
      <c r="J158" s="65">
        <f t="shared" si="41"/>
        <v>3865.4259149932882</v>
      </c>
      <c r="K158" s="66">
        <f t="shared" si="42"/>
        <v>2392.4190997224559</v>
      </c>
      <c r="L158" s="66">
        <f t="shared" si="36"/>
        <v>1473.0068152708322</v>
      </c>
      <c r="M158" s="66">
        <f t="shared" si="37"/>
        <v>545365.64454986202</v>
      </c>
      <c r="N158" s="45"/>
      <c r="O158" s="45"/>
      <c r="P158" s="64">
        <f t="shared" si="38"/>
        <v>140</v>
      </c>
      <c r="Q158" s="65">
        <f t="shared" si="39"/>
        <v>895.35799997349602</v>
      </c>
      <c r="R158" s="66">
        <f t="shared" si="44"/>
        <v>758.44333448055681</v>
      </c>
      <c r="S158" s="66">
        <f t="shared" si="43"/>
        <v>136.91466549293921</v>
      </c>
      <c r="T158" s="66">
        <f t="shared" si="40"/>
        <v>88743.163593947305</v>
      </c>
      <c r="U158" s="45"/>
    </row>
    <row r="159" spans="1:21" ht="15">
      <c r="A159" s="45"/>
      <c r="B159" s="64">
        <f t="shared" si="30"/>
        <v>141</v>
      </c>
      <c r="C159" s="65">
        <f t="shared" si="31"/>
        <v>4424.4761644507462</v>
      </c>
      <c r="D159" s="66">
        <f t="shared" si="32"/>
        <v>3076.3696217772963</v>
      </c>
      <c r="E159" s="66">
        <f t="shared" si="33"/>
        <v>1348.1065426734499</v>
      </c>
      <c r="F159" s="66">
        <f t="shared" si="34"/>
        <v>566597.05440082739</v>
      </c>
      <c r="G159" s="45"/>
      <c r="H159" s="45"/>
      <c r="I159" s="64">
        <f t="shared" si="35"/>
        <v>141</v>
      </c>
      <c r="J159" s="65">
        <f t="shared" si="41"/>
        <v>3865.4259149932882</v>
      </c>
      <c r="K159" s="66">
        <f t="shared" si="42"/>
        <v>2385.9746949056462</v>
      </c>
      <c r="L159" s="66">
        <f t="shared" si="36"/>
        <v>1479.451220087642</v>
      </c>
      <c r="M159" s="66">
        <f t="shared" si="37"/>
        <v>543886.19332977443</v>
      </c>
      <c r="N159" s="45"/>
      <c r="O159" s="45"/>
      <c r="P159" s="64">
        <f t="shared" si="38"/>
        <v>141</v>
      </c>
      <c r="Q159" s="65">
        <f t="shared" si="39"/>
        <v>895.35799997349602</v>
      </c>
      <c r="R159" s="66">
        <f t="shared" si="44"/>
        <v>757.27499600168369</v>
      </c>
      <c r="S159" s="66">
        <f t="shared" si="43"/>
        <v>138.08300397181233</v>
      </c>
      <c r="T159" s="66">
        <f t="shared" si="40"/>
        <v>88605.080589975492</v>
      </c>
      <c r="U159" s="45"/>
    </row>
    <row r="160" spans="1:21" ht="15">
      <c r="A160" s="45"/>
      <c r="B160" s="64">
        <f t="shared" si="30"/>
        <v>142</v>
      </c>
      <c r="C160" s="65">
        <f t="shared" si="31"/>
        <v>4424.4761644507462</v>
      </c>
      <c r="D160" s="66">
        <f t="shared" si="32"/>
        <v>3069.0673780044817</v>
      </c>
      <c r="E160" s="66">
        <f t="shared" si="33"/>
        <v>1355.4087864462645</v>
      </c>
      <c r="F160" s="66">
        <f t="shared" si="34"/>
        <v>565241.64561438106</v>
      </c>
      <c r="G160" s="45"/>
      <c r="H160" s="45"/>
      <c r="I160" s="64">
        <f t="shared" si="35"/>
        <v>142</v>
      </c>
      <c r="J160" s="65">
        <f t="shared" si="41"/>
        <v>3865.4259149932882</v>
      </c>
      <c r="K160" s="66">
        <f t="shared" si="42"/>
        <v>2379.5020958177629</v>
      </c>
      <c r="L160" s="66">
        <f t="shared" si="36"/>
        <v>1485.9238191755253</v>
      </c>
      <c r="M160" s="66">
        <f t="shared" si="37"/>
        <v>542400.26951059885</v>
      </c>
      <c r="N160" s="45"/>
      <c r="O160" s="45"/>
      <c r="P160" s="64">
        <f t="shared" si="38"/>
        <v>142</v>
      </c>
      <c r="Q160" s="65">
        <f t="shared" si="39"/>
        <v>895.35799997349602</v>
      </c>
      <c r="R160" s="66">
        <f t="shared" si="44"/>
        <v>756.09668770112421</v>
      </c>
      <c r="S160" s="66">
        <f t="shared" si="43"/>
        <v>139.26131227237181</v>
      </c>
      <c r="T160" s="66">
        <f t="shared" si="40"/>
        <v>88465.819277703122</v>
      </c>
      <c r="U160" s="45"/>
    </row>
    <row r="161" spans="1:21" ht="15">
      <c r="A161" s="45"/>
      <c r="B161" s="64">
        <f t="shared" si="30"/>
        <v>143</v>
      </c>
      <c r="C161" s="65">
        <f t="shared" si="31"/>
        <v>4424.4761644507462</v>
      </c>
      <c r="D161" s="66">
        <f t="shared" si="32"/>
        <v>3061.725580411231</v>
      </c>
      <c r="E161" s="66">
        <f t="shared" si="33"/>
        <v>1362.7505840395152</v>
      </c>
      <c r="F161" s="66">
        <f t="shared" si="34"/>
        <v>563878.89503034158</v>
      </c>
      <c r="G161" s="45"/>
      <c r="H161" s="45"/>
      <c r="I161" s="64">
        <f t="shared" si="35"/>
        <v>143</v>
      </c>
      <c r="J161" s="65">
        <f t="shared" si="41"/>
        <v>3865.4259149932882</v>
      </c>
      <c r="K161" s="66">
        <f t="shared" si="42"/>
        <v>2373.0011791088696</v>
      </c>
      <c r="L161" s="66">
        <f t="shared" si="36"/>
        <v>1492.4247358844186</v>
      </c>
      <c r="M161" s="66">
        <f t="shared" si="37"/>
        <v>540907.84477471444</v>
      </c>
      <c r="N161" s="45"/>
      <c r="O161" s="45"/>
      <c r="P161" s="64">
        <f t="shared" si="38"/>
        <v>143</v>
      </c>
      <c r="Q161" s="65">
        <f t="shared" si="39"/>
        <v>895.35799997349602</v>
      </c>
      <c r="R161" s="66">
        <f t="shared" si="44"/>
        <v>754.90832450306664</v>
      </c>
      <c r="S161" s="66">
        <f t="shared" si="43"/>
        <v>140.44967547042938</v>
      </c>
      <c r="T161" s="66">
        <f t="shared" si="40"/>
        <v>88325.369602232691</v>
      </c>
      <c r="U161" s="45"/>
    </row>
    <row r="162" spans="1:21" ht="15">
      <c r="A162" s="45"/>
      <c r="B162" s="64">
        <f t="shared" si="30"/>
        <v>144</v>
      </c>
      <c r="C162" s="65">
        <f t="shared" si="31"/>
        <v>4424.4761644507462</v>
      </c>
      <c r="D162" s="66">
        <f t="shared" si="32"/>
        <v>3054.3440147476836</v>
      </c>
      <c r="E162" s="66">
        <f t="shared" si="33"/>
        <v>1370.1321497030626</v>
      </c>
      <c r="F162" s="66">
        <f t="shared" si="34"/>
        <v>562508.76288063847</v>
      </c>
      <c r="G162" s="45"/>
      <c r="H162" s="45"/>
      <c r="I162" s="64">
        <f t="shared" si="35"/>
        <v>144</v>
      </c>
      <c r="J162" s="65">
        <f t="shared" si="41"/>
        <v>3865.4259149932882</v>
      </c>
      <c r="K162" s="66">
        <f t="shared" si="42"/>
        <v>2366.4718208893755</v>
      </c>
      <c r="L162" s="66">
        <f t="shared" si="36"/>
        <v>1498.9540941039127</v>
      </c>
      <c r="M162" s="66">
        <f t="shared" si="37"/>
        <v>539408.89068061055</v>
      </c>
      <c r="N162" s="45"/>
      <c r="O162" s="45"/>
      <c r="P162" s="64">
        <f t="shared" si="38"/>
        <v>144</v>
      </c>
      <c r="Q162" s="65">
        <f t="shared" si="39"/>
        <v>895.35799997349602</v>
      </c>
      <c r="R162" s="66">
        <f t="shared" si="44"/>
        <v>753.70982060571896</v>
      </c>
      <c r="S162" s="66">
        <f t="shared" si="43"/>
        <v>141.64817936777706</v>
      </c>
      <c r="T162" s="66">
        <f t="shared" si="40"/>
        <v>88183.72142286491</v>
      </c>
      <c r="U162" s="45"/>
    </row>
    <row r="163" spans="1:21" ht="15">
      <c r="A163" s="45"/>
      <c r="B163" s="64">
        <f t="shared" si="30"/>
        <v>145</v>
      </c>
      <c r="C163" s="65">
        <f t="shared" si="31"/>
        <v>4424.4761644507462</v>
      </c>
      <c r="D163" s="66">
        <f t="shared" si="32"/>
        <v>3046.9224656034585</v>
      </c>
      <c r="E163" s="66">
        <f t="shared" si="33"/>
        <v>1377.5536988472877</v>
      </c>
      <c r="F163" s="66">
        <f t="shared" si="34"/>
        <v>561131.20918179117</v>
      </c>
      <c r="G163" s="45"/>
      <c r="H163" s="45"/>
      <c r="I163" s="64">
        <f t="shared" si="35"/>
        <v>145</v>
      </c>
      <c r="J163" s="65">
        <f t="shared" si="41"/>
        <v>3865.4259149932882</v>
      </c>
      <c r="K163" s="66">
        <f t="shared" si="42"/>
        <v>2359.9138967276708</v>
      </c>
      <c r="L163" s="66">
        <f t="shared" si="36"/>
        <v>1505.5120182656174</v>
      </c>
      <c r="M163" s="66">
        <f t="shared" si="37"/>
        <v>537903.37866234488</v>
      </c>
      <c r="N163" s="45"/>
      <c r="O163" s="45"/>
      <c r="P163" s="64">
        <f t="shared" si="38"/>
        <v>145</v>
      </c>
      <c r="Q163" s="65">
        <f t="shared" si="39"/>
        <v>895.35799997349602</v>
      </c>
      <c r="R163" s="66">
        <f t="shared" si="44"/>
        <v>752.50108947511399</v>
      </c>
      <c r="S163" s="66">
        <f t="shared" si="43"/>
        <v>142.85691049838204</v>
      </c>
      <c r="T163" s="66">
        <f t="shared" si="40"/>
        <v>88040.864512366534</v>
      </c>
      <c r="U163" s="45"/>
    </row>
    <row r="164" spans="1:21" ht="15">
      <c r="A164" s="45"/>
      <c r="B164" s="64">
        <f t="shared" si="30"/>
        <v>146</v>
      </c>
      <c r="C164" s="65">
        <f t="shared" si="31"/>
        <v>4424.4761644507462</v>
      </c>
      <c r="D164" s="66">
        <f t="shared" si="32"/>
        <v>3039.4607164013692</v>
      </c>
      <c r="E164" s="66">
        <f t="shared" si="33"/>
        <v>1385.015448049377</v>
      </c>
      <c r="F164" s="66">
        <f t="shared" si="34"/>
        <v>559746.19373374176</v>
      </c>
      <c r="G164" s="45"/>
      <c r="H164" s="45"/>
      <c r="I164" s="64">
        <f t="shared" si="35"/>
        <v>146</v>
      </c>
      <c r="J164" s="65">
        <f t="shared" si="41"/>
        <v>3865.4259149932882</v>
      </c>
      <c r="K164" s="66">
        <f t="shared" si="42"/>
        <v>2353.3272816477588</v>
      </c>
      <c r="L164" s="66">
        <f t="shared" si="36"/>
        <v>1512.0986333455294</v>
      </c>
      <c r="M164" s="66">
        <f t="shared" si="37"/>
        <v>536391.28002899932</v>
      </c>
      <c r="N164" s="45"/>
      <c r="O164" s="45"/>
      <c r="P164" s="64">
        <f t="shared" si="38"/>
        <v>146</v>
      </c>
      <c r="Q164" s="65">
        <f t="shared" si="39"/>
        <v>895.35799997349602</v>
      </c>
      <c r="R164" s="66">
        <f t="shared" si="44"/>
        <v>751.28204383886111</v>
      </c>
      <c r="S164" s="66">
        <f t="shared" si="43"/>
        <v>144.07595613463491</v>
      </c>
      <c r="T164" s="66">
        <f t="shared" si="40"/>
        <v>87896.788556231899</v>
      </c>
      <c r="U164" s="45"/>
    </row>
    <row r="165" spans="1:21" ht="15">
      <c r="A165" s="45"/>
      <c r="B165" s="64">
        <f t="shared" si="30"/>
        <v>147</v>
      </c>
      <c r="C165" s="65">
        <f t="shared" si="31"/>
        <v>4424.4761644507462</v>
      </c>
      <c r="D165" s="66">
        <f t="shared" si="32"/>
        <v>3031.9585493911013</v>
      </c>
      <c r="E165" s="66">
        <f t="shared" si="33"/>
        <v>1392.5176150596449</v>
      </c>
      <c r="F165" s="66">
        <f t="shared" si="34"/>
        <v>558353.67611868214</v>
      </c>
      <c r="G165" s="45"/>
      <c r="H165" s="45"/>
      <c r="I165" s="64">
        <f t="shared" si="35"/>
        <v>147</v>
      </c>
      <c r="J165" s="65">
        <f t="shared" si="41"/>
        <v>3865.4259149932882</v>
      </c>
      <c r="K165" s="66">
        <f t="shared" si="42"/>
        <v>2346.7118501268719</v>
      </c>
      <c r="L165" s="66">
        <f t="shared" si="36"/>
        <v>1518.7140648664163</v>
      </c>
      <c r="M165" s="66">
        <f t="shared" si="37"/>
        <v>534872.5659641329</v>
      </c>
      <c r="N165" s="45"/>
      <c r="O165" s="45"/>
      <c r="P165" s="64">
        <f t="shared" si="38"/>
        <v>147</v>
      </c>
      <c r="Q165" s="65">
        <f t="shared" si="39"/>
        <v>895.35799997349602</v>
      </c>
      <c r="R165" s="66">
        <f t="shared" si="44"/>
        <v>750.05259567984558</v>
      </c>
      <c r="S165" s="66">
        <f t="shared" si="43"/>
        <v>145.30540429365044</v>
      </c>
      <c r="T165" s="66">
        <f t="shared" si="40"/>
        <v>87751.483151938242</v>
      </c>
      <c r="U165" s="45"/>
    </row>
    <row r="166" spans="1:21" ht="15">
      <c r="A166" s="45"/>
      <c r="B166" s="64">
        <f t="shared" si="30"/>
        <v>148</v>
      </c>
      <c r="C166" s="65">
        <f t="shared" si="31"/>
        <v>4424.4761644507462</v>
      </c>
      <c r="D166" s="66">
        <f t="shared" si="32"/>
        <v>3024.4157456428616</v>
      </c>
      <c r="E166" s="66">
        <f t="shared" si="33"/>
        <v>1400.0604188078846</v>
      </c>
      <c r="F166" s="66">
        <f t="shared" si="34"/>
        <v>556953.61569987424</v>
      </c>
      <c r="G166" s="45"/>
      <c r="H166" s="45"/>
      <c r="I166" s="64">
        <f t="shared" si="35"/>
        <v>148</v>
      </c>
      <c r="J166" s="65">
        <f t="shared" si="41"/>
        <v>3865.4259149932882</v>
      </c>
      <c r="K166" s="66">
        <f t="shared" si="42"/>
        <v>2340.067476093081</v>
      </c>
      <c r="L166" s="66">
        <f t="shared" si="36"/>
        <v>1525.3584389002071</v>
      </c>
      <c r="M166" s="66">
        <f t="shared" si="37"/>
        <v>533347.20752523269</v>
      </c>
      <c r="N166" s="45"/>
      <c r="O166" s="45"/>
      <c r="P166" s="64">
        <f t="shared" si="38"/>
        <v>148</v>
      </c>
      <c r="Q166" s="65">
        <f t="shared" si="39"/>
        <v>895.35799997349602</v>
      </c>
      <c r="R166" s="66">
        <f t="shared" si="44"/>
        <v>748.81265622987303</v>
      </c>
      <c r="S166" s="66">
        <f t="shared" si="43"/>
        <v>146.54534374362299</v>
      </c>
      <c r="T166" s="66">
        <f t="shared" si="40"/>
        <v>87604.93780819462</v>
      </c>
      <c r="U166" s="45"/>
    </row>
    <row r="167" spans="1:21" ht="15">
      <c r="A167" s="45"/>
      <c r="B167" s="64">
        <f t="shared" si="30"/>
        <v>149</v>
      </c>
      <c r="C167" s="65">
        <f t="shared" si="31"/>
        <v>4424.4761644507462</v>
      </c>
      <c r="D167" s="66">
        <f t="shared" si="32"/>
        <v>3016.8320850409855</v>
      </c>
      <c r="E167" s="66">
        <f t="shared" si="33"/>
        <v>1407.6440794097607</v>
      </c>
      <c r="F167" s="66">
        <f t="shared" si="34"/>
        <v>555545.97162046446</v>
      </c>
      <c r="G167" s="45"/>
      <c r="H167" s="45"/>
      <c r="I167" s="64">
        <f t="shared" si="35"/>
        <v>149</v>
      </c>
      <c r="J167" s="65">
        <f t="shared" si="41"/>
        <v>3865.4259149932882</v>
      </c>
      <c r="K167" s="66">
        <f t="shared" si="42"/>
        <v>2333.3940329228926</v>
      </c>
      <c r="L167" s="66">
        <f t="shared" si="36"/>
        <v>1532.0318820703956</v>
      </c>
      <c r="M167" s="66">
        <f t="shared" si="37"/>
        <v>531815.17564316234</v>
      </c>
      <c r="N167" s="45"/>
      <c r="O167" s="45"/>
      <c r="P167" s="64">
        <f t="shared" si="38"/>
        <v>149</v>
      </c>
      <c r="Q167" s="65">
        <f t="shared" si="39"/>
        <v>895.35799997349602</v>
      </c>
      <c r="R167" s="66">
        <f t="shared" si="44"/>
        <v>747.56213596326074</v>
      </c>
      <c r="S167" s="66">
        <f t="shared" si="43"/>
        <v>147.79586401023528</v>
      </c>
      <c r="T167" s="66">
        <f t="shared" si="40"/>
        <v>87457.14194418439</v>
      </c>
      <c r="U167" s="45"/>
    </row>
    <row r="168" spans="1:21" ht="15">
      <c r="A168" s="45"/>
      <c r="B168" s="64">
        <f t="shared" si="30"/>
        <v>150</v>
      </c>
      <c r="C168" s="65">
        <f t="shared" si="31"/>
        <v>4424.4761644507462</v>
      </c>
      <c r="D168" s="66">
        <f t="shared" si="32"/>
        <v>3009.2073462775161</v>
      </c>
      <c r="E168" s="66">
        <f t="shared" si="33"/>
        <v>1415.2688181732301</v>
      </c>
      <c r="F168" s="66">
        <f t="shared" si="34"/>
        <v>554130.70280229126</v>
      </c>
      <c r="G168" s="45"/>
      <c r="H168" s="45"/>
      <c r="I168" s="64">
        <f t="shared" si="35"/>
        <v>150</v>
      </c>
      <c r="J168" s="65">
        <f t="shared" si="41"/>
        <v>3865.4259149932882</v>
      </c>
      <c r="K168" s="66">
        <f t="shared" si="42"/>
        <v>2326.6913934388349</v>
      </c>
      <c r="L168" s="66">
        <f t="shared" si="36"/>
        <v>1538.7345215544533</v>
      </c>
      <c r="M168" s="66">
        <f t="shared" si="37"/>
        <v>530276.4411216079</v>
      </c>
      <c r="N168" s="45"/>
      <c r="O168" s="45"/>
      <c r="P168" s="64">
        <f t="shared" si="38"/>
        <v>150</v>
      </c>
      <c r="Q168" s="65">
        <f t="shared" si="39"/>
        <v>895.35799997349602</v>
      </c>
      <c r="R168" s="66">
        <f t="shared" si="44"/>
        <v>746.30094459037355</v>
      </c>
      <c r="S168" s="66">
        <f t="shared" si="43"/>
        <v>149.05705538312247</v>
      </c>
      <c r="T168" s="66">
        <f t="shared" si="40"/>
        <v>87308.08488880127</v>
      </c>
      <c r="U168" s="45"/>
    </row>
    <row r="169" spans="1:21" ht="15">
      <c r="A169" s="45"/>
      <c r="B169" s="64">
        <f t="shared" si="30"/>
        <v>151</v>
      </c>
      <c r="C169" s="65">
        <f t="shared" si="31"/>
        <v>4424.4761644507462</v>
      </c>
      <c r="D169" s="66">
        <f t="shared" si="32"/>
        <v>3001.5413068457442</v>
      </c>
      <c r="E169" s="66">
        <f t="shared" si="33"/>
        <v>1422.934857605002</v>
      </c>
      <c r="F169" s="66">
        <f t="shared" si="34"/>
        <v>552707.76794468623</v>
      </c>
      <c r="G169" s="45"/>
      <c r="H169" s="45"/>
      <c r="I169" s="64">
        <f t="shared" si="35"/>
        <v>151</v>
      </c>
      <c r="J169" s="65">
        <f t="shared" si="41"/>
        <v>3865.4259149932882</v>
      </c>
      <c r="K169" s="66">
        <f t="shared" si="42"/>
        <v>2319.9594299070345</v>
      </c>
      <c r="L169" s="66">
        <f t="shared" si="36"/>
        <v>1545.4664850862537</v>
      </c>
      <c r="M169" s="66">
        <f t="shared" si="37"/>
        <v>528730.97463652166</v>
      </c>
      <c r="N169" s="45"/>
      <c r="O169" s="45"/>
      <c r="P169" s="64">
        <f t="shared" si="38"/>
        <v>151</v>
      </c>
      <c r="Q169" s="65">
        <f t="shared" si="39"/>
        <v>895.35799997349602</v>
      </c>
      <c r="R169" s="66">
        <f t="shared" si="44"/>
        <v>745.02899105110419</v>
      </c>
      <c r="S169" s="66">
        <f t="shared" si="43"/>
        <v>150.32900892239184</v>
      </c>
      <c r="T169" s="66">
        <f t="shared" si="40"/>
        <v>87157.755879878881</v>
      </c>
      <c r="U169" s="45"/>
    </row>
    <row r="170" spans="1:21" ht="15">
      <c r="A170" s="45"/>
      <c r="B170" s="64">
        <f t="shared" si="30"/>
        <v>152</v>
      </c>
      <c r="C170" s="65">
        <f t="shared" si="31"/>
        <v>4424.4761644507462</v>
      </c>
      <c r="D170" s="66">
        <f t="shared" si="32"/>
        <v>2993.8337430337174</v>
      </c>
      <c r="E170" s="66">
        <f t="shared" si="33"/>
        <v>1430.6424214170288</v>
      </c>
      <c r="F170" s="66">
        <f t="shared" si="34"/>
        <v>551277.12552326918</v>
      </c>
      <c r="G170" s="45"/>
      <c r="H170" s="45"/>
      <c r="I170" s="64">
        <f t="shared" si="35"/>
        <v>152</v>
      </c>
      <c r="J170" s="65">
        <f t="shared" si="41"/>
        <v>3865.4259149932882</v>
      </c>
      <c r="K170" s="66">
        <f t="shared" si="42"/>
        <v>2313.1980140347819</v>
      </c>
      <c r="L170" s="66">
        <f t="shared" si="36"/>
        <v>1552.2279009585063</v>
      </c>
      <c r="M170" s="66">
        <f t="shared" si="37"/>
        <v>527178.74673556315</v>
      </c>
      <c r="N170" s="45"/>
      <c r="O170" s="45"/>
      <c r="P170" s="64">
        <f t="shared" si="38"/>
        <v>152</v>
      </c>
      <c r="Q170" s="65">
        <f t="shared" si="39"/>
        <v>895.35799997349602</v>
      </c>
      <c r="R170" s="66">
        <f t="shared" si="44"/>
        <v>743.74618350829985</v>
      </c>
      <c r="S170" s="66">
        <f t="shared" si="43"/>
        <v>151.61181646519617</v>
      </c>
      <c r="T170" s="66">
        <f t="shared" si="40"/>
        <v>87006.144063413682</v>
      </c>
      <c r="U170" s="45"/>
    </row>
    <row r="171" spans="1:21" ht="15">
      <c r="A171" s="45"/>
      <c r="B171" s="64">
        <f t="shared" si="30"/>
        <v>153</v>
      </c>
      <c r="C171" s="65">
        <f t="shared" si="31"/>
        <v>4424.4761644507462</v>
      </c>
      <c r="D171" s="66">
        <f t="shared" si="32"/>
        <v>2986.0844299177083</v>
      </c>
      <c r="E171" s="66">
        <f t="shared" si="33"/>
        <v>1438.3917345330378</v>
      </c>
      <c r="F171" s="66">
        <f t="shared" si="34"/>
        <v>549838.73378873616</v>
      </c>
      <c r="G171" s="45"/>
      <c r="H171" s="45"/>
      <c r="I171" s="64">
        <f t="shared" si="35"/>
        <v>153</v>
      </c>
      <c r="J171" s="65">
        <f t="shared" si="41"/>
        <v>3865.4259149932882</v>
      </c>
      <c r="K171" s="66">
        <f t="shared" si="42"/>
        <v>2306.4070169680886</v>
      </c>
      <c r="L171" s="66">
        <f t="shared" si="36"/>
        <v>1559.0188980251996</v>
      </c>
      <c r="M171" s="66">
        <f t="shared" si="37"/>
        <v>525619.727837538</v>
      </c>
      <c r="N171" s="45"/>
      <c r="O171" s="45"/>
      <c r="P171" s="64">
        <f t="shared" si="38"/>
        <v>153</v>
      </c>
      <c r="Q171" s="65">
        <f t="shared" si="39"/>
        <v>895.35799997349602</v>
      </c>
      <c r="R171" s="66">
        <f t="shared" si="44"/>
        <v>742.45242934113014</v>
      </c>
      <c r="S171" s="66">
        <f t="shared" si="43"/>
        <v>152.90557063236588</v>
      </c>
      <c r="T171" s="66">
        <f t="shared" si="40"/>
        <v>86853.238492781311</v>
      </c>
      <c r="U171" s="45"/>
    </row>
    <row r="172" spans="1:21" ht="15">
      <c r="A172" s="45"/>
      <c r="B172" s="64">
        <f t="shared" si="30"/>
        <v>154</v>
      </c>
      <c r="C172" s="65">
        <f t="shared" si="31"/>
        <v>4424.4761644507462</v>
      </c>
      <c r="D172" s="66">
        <f t="shared" si="32"/>
        <v>2978.2931413556544</v>
      </c>
      <c r="E172" s="66">
        <f t="shared" si="33"/>
        <v>1446.1830230950918</v>
      </c>
      <c r="F172" s="66">
        <f t="shared" si="34"/>
        <v>548392.55076564103</v>
      </c>
      <c r="G172" s="45"/>
      <c r="H172" s="45"/>
      <c r="I172" s="64">
        <f t="shared" si="35"/>
        <v>154</v>
      </c>
      <c r="J172" s="65">
        <f t="shared" si="41"/>
        <v>3865.4259149932882</v>
      </c>
      <c r="K172" s="66">
        <f t="shared" si="42"/>
        <v>2299.5863092892287</v>
      </c>
      <c r="L172" s="66">
        <f t="shared" si="36"/>
        <v>1565.8396057040595</v>
      </c>
      <c r="M172" s="66">
        <f t="shared" si="37"/>
        <v>524053.88823183393</v>
      </c>
      <c r="N172" s="45"/>
      <c r="O172" s="45"/>
      <c r="P172" s="64">
        <f t="shared" si="38"/>
        <v>154</v>
      </c>
      <c r="Q172" s="65">
        <f t="shared" si="39"/>
        <v>895.35799997349602</v>
      </c>
      <c r="R172" s="66">
        <f t="shared" si="44"/>
        <v>741.14763513840057</v>
      </c>
      <c r="S172" s="66">
        <f t="shared" si="43"/>
        <v>154.21036483509545</v>
      </c>
      <c r="T172" s="66">
        <f t="shared" si="40"/>
        <v>86699.028127946222</v>
      </c>
      <c r="U172" s="45"/>
    </row>
    <row r="173" spans="1:21" ht="15">
      <c r="A173" s="45"/>
      <c r="B173" s="64">
        <f t="shared" si="30"/>
        <v>155</v>
      </c>
      <c r="C173" s="65">
        <f t="shared" si="31"/>
        <v>4424.4761644507462</v>
      </c>
      <c r="D173" s="66">
        <f t="shared" si="32"/>
        <v>2970.4596499805557</v>
      </c>
      <c r="E173" s="66">
        <f t="shared" si="33"/>
        <v>1454.0165144701905</v>
      </c>
      <c r="F173" s="66">
        <f t="shared" si="34"/>
        <v>546938.53425117081</v>
      </c>
      <c r="G173" s="45"/>
      <c r="H173" s="45"/>
      <c r="I173" s="64">
        <f t="shared" si="35"/>
        <v>155</v>
      </c>
      <c r="J173" s="65">
        <f t="shared" si="41"/>
        <v>3865.4259149932882</v>
      </c>
      <c r="K173" s="66">
        <f t="shared" si="42"/>
        <v>2292.7357610142731</v>
      </c>
      <c r="L173" s="66">
        <f t="shared" si="36"/>
        <v>1572.6901539790151</v>
      </c>
      <c r="M173" s="66">
        <f t="shared" si="37"/>
        <v>522481.19807785493</v>
      </c>
      <c r="N173" s="45"/>
      <c r="O173" s="45"/>
      <c r="P173" s="64">
        <f t="shared" si="38"/>
        <v>155</v>
      </c>
      <c r="Q173" s="65">
        <f t="shared" si="39"/>
        <v>895.35799997349602</v>
      </c>
      <c r="R173" s="66">
        <f t="shared" si="44"/>
        <v>739.83170669180777</v>
      </c>
      <c r="S173" s="66">
        <f t="shared" si="43"/>
        <v>155.52629328168825</v>
      </c>
      <c r="T173" s="66">
        <f t="shared" si="40"/>
        <v>86543.501834664537</v>
      </c>
      <c r="U173" s="45"/>
    </row>
    <row r="174" spans="1:21" ht="15">
      <c r="A174" s="45"/>
      <c r="B174" s="64">
        <f t="shared" si="30"/>
        <v>156</v>
      </c>
      <c r="C174" s="65">
        <f t="shared" si="31"/>
        <v>4424.4761644507462</v>
      </c>
      <c r="D174" s="66">
        <f t="shared" si="32"/>
        <v>2962.5837271938422</v>
      </c>
      <c r="E174" s="66">
        <f t="shared" si="33"/>
        <v>1461.892437256904</v>
      </c>
      <c r="F174" s="66">
        <f t="shared" si="34"/>
        <v>545476.64181391394</v>
      </c>
      <c r="G174" s="45"/>
      <c r="H174" s="45"/>
      <c r="I174" s="64">
        <f t="shared" si="35"/>
        <v>156</v>
      </c>
      <c r="J174" s="65">
        <f t="shared" si="41"/>
        <v>3865.4259149932882</v>
      </c>
      <c r="K174" s="66">
        <f t="shared" si="42"/>
        <v>2285.8552415906152</v>
      </c>
      <c r="L174" s="66">
        <f t="shared" si="36"/>
        <v>1579.570673402673</v>
      </c>
      <c r="M174" s="66">
        <f t="shared" si="37"/>
        <v>520901.62740445224</v>
      </c>
      <c r="N174" s="45"/>
      <c r="O174" s="45"/>
      <c r="P174" s="64">
        <f t="shared" si="38"/>
        <v>156</v>
      </c>
      <c r="Q174" s="65">
        <f t="shared" si="39"/>
        <v>895.35799997349602</v>
      </c>
      <c r="R174" s="66">
        <f t="shared" si="44"/>
        <v>738.50454898913745</v>
      </c>
      <c r="S174" s="66">
        <f t="shared" si="43"/>
        <v>156.85345098435857</v>
      </c>
      <c r="T174" s="66">
        <f t="shared" si="40"/>
        <v>86386.648383680178</v>
      </c>
      <c r="U174" s="45"/>
    </row>
    <row r="175" spans="1:21" ht="15">
      <c r="A175" s="45"/>
      <c r="B175" s="64">
        <f t="shared" si="30"/>
        <v>157</v>
      </c>
      <c r="C175" s="65">
        <f t="shared" si="31"/>
        <v>4424.4761644507462</v>
      </c>
      <c r="D175" s="66">
        <f t="shared" si="32"/>
        <v>2954.6651431587006</v>
      </c>
      <c r="E175" s="66">
        <f t="shared" si="33"/>
        <v>1469.8110212920456</v>
      </c>
      <c r="F175" s="66">
        <f t="shared" si="34"/>
        <v>544006.83079262194</v>
      </c>
      <c r="G175" s="45"/>
      <c r="H175" s="45"/>
      <c r="I175" s="64">
        <f t="shared" si="35"/>
        <v>157</v>
      </c>
      <c r="J175" s="65">
        <f t="shared" si="41"/>
        <v>3865.4259149932882</v>
      </c>
      <c r="K175" s="66">
        <f t="shared" si="42"/>
        <v>2278.9446198944784</v>
      </c>
      <c r="L175" s="66">
        <f t="shared" si="36"/>
        <v>1586.4812950988098</v>
      </c>
      <c r="M175" s="66">
        <f t="shared" si="37"/>
        <v>519315.14610935346</v>
      </c>
      <c r="N175" s="45"/>
      <c r="O175" s="45"/>
      <c r="P175" s="64">
        <f t="shared" si="38"/>
        <v>157</v>
      </c>
      <c r="Q175" s="65">
        <f t="shared" si="39"/>
        <v>895.35799997349602</v>
      </c>
      <c r="R175" s="66">
        <f t="shared" si="44"/>
        <v>737.16606620740424</v>
      </c>
      <c r="S175" s="66">
        <f t="shared" si="43"/>
        <v>158.19193376609178</v>
      </c>
      <c r="T175" s="66">
        <f t="shared" si="40"/>
        <v>86228.456449914083</v>
      </c>
      <c r="U175" s="45"/>
    </row>
    <row r="176" spans="1:21" ht="15">
      <c r="A176" s="45"/>
      <c r="B176" s="64">
        <f t="shared" si="30"/>
        <v>158</v>
      </c>
      <c r="C176" s="65">
        <f t="shared" si="31"/>
        <v>4424.4761644507462</v>
      </c>
      <c r="D176" s="66">
        <f t="shared" si="32"/>
        <v>2946.7036667933689</v>
      </c>
      <c r="E176" s="66">
        <f t="shared" si="33"/>
        <v>1477.7724976573772</v>
      </c>
      <c r="F176" s="66">
        <f t="shared" si="34"/>
        <v>542529.05829496461</v>
      </c>
      <c r="G176" s="45"/>
      <c r="H176" s="45"/>
      <c r="I176" s="64">
        <f t="shared" si="35"/>
        <v>158</v>
      </c>
      <c r="J176" s="65">
        <f t="shared" si="41"/>
        <v>3865.4259149932882</v>
      </c>
      <c r="K176" s="66">
        <f t="shared" si="42"/>
        <v>2272.003764228421</v>
      </c>
      <c r="L176" s="66">
        <f t="shared" si="36"/>
        <v>1593.4221507648672</v>
      </c>
      <c r="M176" s="66">
        <f t="shared" si="37"/>
        <v>517721.72395858861</v>
      </c>
      <c r="N176" s="45"/>
      <c r="O176" s="45"/>
      <c r="P176" s="64">
        <f t="shared" si="38"/>
        <v>158</v>
      </c>
      <c r="Q176" s="65">
        <f t="shared" si="39"/>
        <v>895.35799997349602</v>
      </c>
      <c r="R176" s="66">
        <f t="shared" si="44"/>
        <v>735.8161617059335</v>
      </c>
      <c r="S176" s="66">
        <f t="shared" si="43"/>
        <v>159.54183826756253</v>
      </c>
      <c r="T176" s="66">
        <f t="shared" si="40"/>
        <v>86068.914611646527</v>
      </c>
      <c r="U176" s="45"/>
    </row>
    <row r="177" spans="1:21" ht="15">
      <c r="A177" s="45"/>
      <c r="B177" s="64">
        <f t="shared" si="30"/>
        <v>159</v>
      </c>
      <c r="C177" s="65">
        <f t="shared" si="31"/>
        <v>4424.4761644507462</v>
      </c>
      <c r="D177" s="66">
        <f t="shared" si="32"/>
        <v>2938.6990657643919</v>
      </c>
      <c r="E177" s="66">
        <f t="shared" si="33"/>
        <v>1485.7770986863543</v>
      </c>
      <c r="F177" s="66">
        <f t="shared" si="34"/>
        <v>541043.28119627829</v>
      </c>
      <c r="G177" s="45"/>
      <c r="H177" s="45"/>
      <c r="I177" s="64">
        <f t="shared" si="35"/>
        <v>159</v>
      </c>
      <c r="J177" s="65">
        <f t="shared" si="41"/>
        <v>3865.4259149932882</v>
      </c>
      <c r="K177" s="66">
        <f t="shared" si="42"/>
        <v>2265.0325423188251</v>
      </c>
      <c r="L177" s="66">
        <f t="shared" si="36"/>
        <v>1600.3933726744631</v>
      </c>
      <c r="M177" s="66">
        <f t="shared" si="37"/>
        <v>516121.33058591414</v>
      </c>
      <c r="N177" s="45"/>
      <c r="O177" s="45"/>
      <c r="P177" s="64">
        <f t="shared" si="38"/>
        <v>159</v>
      </c>
      <c r="Q177" s="65">
        <f t="shared" si="39"/>
        <v>895.35799997349602</v>
      </c>
      <c r="R177" s="66">
        <f t="shared" si="44"/>
        <v>734.45473801938374</v>
      </c>
      <c r="S177" s="66">
        <f t="shared" si="43"/>
        <v>160.90326195411228</v>
      </c>
      <c r="T177" s="66">
        <f t="shared" si="40"/>
        <v>85908.011349692417</v>
      </c>
      <c r="U177" s="45"/>
    </row>
    <row r="178" spans="1:21" ht="15">
      <c r="A178" s="45"/>
      <c r="B178" s="64">
        <f t="shared" si="30"/>
        <v>160</v>
      </c>
      <c r="C178" s="65">
        <f t="shared" si="31"/>
        <v>4424.4761644507462</v>
      </c>
      <c r="D178" s="66">
        <f t="shared" si="32"/>
        <v>2930.651106479841</v>
      </c>
      <c r="E178" s="66">
        <f t="shared" si="33"/>
        <v>1493.8250579709052</v>
      </c>
      <c r="F178" s="66">
        <f t="shared" si="34"/>
        <v>539549.45613830735</v>
      </c>
      <c r="G178" s="45"/>
      <c r="H178" s="45"/>
      <c r="I178" s="64">
        <f t="shared" si="35"/>
        <v>160</v>
      </c>
      <c r="J178" s="65">
        <f t="shared" si="41"/>
        <v>3865.4259149932882</v>
      </c>
      <c r="K178" s="66">
        <f t="shared" si="42"/>
        <v>2258.030821313374</v>
      </c>
      <c r="L178" s="66">
        <f t="shared" si="36"/>
        <v>1607.3950936799142</v>
      </c>
      <c r="M178" s="66">
        <f t="shared" si="37"/>
        <v>514513.93549223425</v>
      </c>
      <c r="N178" s="45"/>
      <c r="O178" s="45"/>
      <c r="P178" s="64">
        <f t="shared" si="38"/>
        <v>160</v>
      </c>
      <c r="Q178" s="65">
        <f t="shared" si="39"/>
        <v>895.35799997349602</v>
      </c>
      <c r="R178" s="66">
        <f t="shared" si="44"/>
        <v>733.08169685070868</v>
      </c>
      <c r="S178" s="66">
        <f t="shared" si="43"/>
        <v>162.27630312278734</v>
      </c>
      <c r="T178" s="66">
        <f t="shared" si="40"/>
        <v>85745.735046569636</v>
      </c>
      <c r="U178" s="45"/>
    </row>
    <row r="179" spans="1:21" ht="15">
      <c r="A179" s="45"/>
      <c r="B179" s="64">
        <f t="shared" si="30"/>
        <v>161</v>
      </c>
      <c r="C179" s="65">
        <f t="shared" si="31"/>
        <v>4424.4761644507462</v>
      </c>
      <c r="D179" s="66">
        <f t="shared" si="32"/>
        <v>2922.5595540824984</v>
      </c>
      <c r="E179" s="66">
        <f t="shared" si="33"/>
        <v>1501.9166103682478</v>
      </c>
      <c r="F179" s="66">
        <f t="shared" si="34"/>
        <v>538047.53952793905</v>
      </c>
      <c r="G179" s="45"/>
      <c r="H179" s="45"/>
      <c r="I179" s="64">
        <f t="shared" si="35"/>
        <v>161</v>
      </c>
      <c r="J179" s="65">
        <f t="shared" si="41"/>
        <v>3865.4259149932882</v>
      </c>
      <c r="K179" s="66">
        <f t="shared" si="42"/>
        <v>2250.9984677785246</v>
      </c>
      <c r="L179" s="66">
        <f t="shared" si="36"/>
        <v>1614.4274472147636</v>
      </c>
      <c r="M179" s="66">
        <f t="shared" si="37"/>
        <v>512899.50804501947</v>
      </c>
      <c r="N179" s="45"/>
      <c r="O179" s="45"/>
      <c r="P179" s="64">
        <f t="shared" si="38"/>
        <v>161</v>
      </c>
      <c r="Q179" s="65">
        <f t="shared" si="39"/>
        <v>895.35799997349602</v>
      </c>
      <c r="R179" s="66">
        <f t="shared" si="44"/>
        <v>731.69693906406098</v>
      </c>
      <c r="S179" s="66">
        <f t="shared" si="43"/>
        <v>163.66106090943504</v>
      </c>
      <c r="T179" s="66">
        <f t="shared" si="40"/>
        <v>85582.073985660201</v>
      </c>
      <c r="U179" s="45"/>
    </row>
    <row r="180" spans="1:21" ht="15">
      <c r="A180" s="45"/>
      <c r="B180" s="64">
        <f t="shared" si="30"/>
        <v>162</v>
      </c>
      <c r="C180" s="65">
        <f t="shared" si="31"/>
        <v>4424.4761644507462</v>
      </c>
      <c r="D180" s="66">
        <f t="shared" si="32"/>
        <v>2914.4241724430035</v>
      </c>
      <c r="E180" s="66">
        <f t="shared" si="33"/>
        <v>1510.0519920077427</v>
      </c>
      <c r="F180" s="66">
        <f t="shared" si="34"/>
        <v>536537.48753593129</v>
      </c>
      <c r="G180" s="45"/>
      <c r="H180" s="45"/>
      <c r="I180" s="64">
        <f t="shared" si="35"/>
        <v>162</v>
      </c>
      <c r="J180" s="65">
        <f t="shared" si="41"/>
        <v>3865.4259149932882</v>
      </c>
      <c r="K180" s="66">
        <f t="shared" si="42"/>
        <v>2243.93534769696</v>
      </c>
      <c r="L180" s="66">
        <f t="shared" si="36"/>
        <v>1621.4905672963282</v>
      </c>
      <c r="M180" s="66">
        <f t="shared" si="37"/>
        <v>511278.01747772313</v>
      </c>
      <c r="N180" s="45"/>
      <c r="O180" s="45"/>
      <c r="P180" s="64">
        <f t="shared" si="38"/>
        <v>162</v>
      </c>
      <c r="Q180" s="65">
        <f t="shared" si="39"/>
        <v>895.35799997349602</v>
      </c>
      <c r="R180" s="66">
        <f t="shared" si="44"/>
        <v>730.30036467763375</v>
      </c>
      <c r="S180" s="66">
        <f t="shared" si="43"/>
        <v>165.05763529586227</v>
      </c>
      <c r="T180" s="66">
        <f t="shared" si="40"/>
        <v>85417.016350364342</v>
      </c>
      <c r="U180" s="45"/>
    </row>
    <row r="181" spans="1:21" ht="15">
      <c r="A181" s="45"/>
      <c r="B181" s="64">
        <f t="shared" si="30"/>
        <v>163</v>
      </c>
      <c r="C181" s="65">
        <f t="shared" si="31"/>
        <v>4424.4761644507462</v>
      </c>
      <c r="D181" s="66">
        <f t="shared" si="32"/>
        <v>2906.2447241529612</v>
      </c>
      <c r="E181" s="66">
        <f t="shared" si="33"/>
        <v>1518.231440297785</v>
      </c>
      <c r="F181" s="66">
        <f t="shared" si="34"/>
        <v>535019.25609563349</v>
      </c>
      <c r="G181" s="45"/>
      <c r="H181" s="45"/>
      <c r="I181" s="64">
        <f t="shared" si="35"/>
        <v>163</v>
      </c>
      <c r="J181" s="65">
        <f t="shared" si="41"/>
        <v>3865.4259149932882</v>
      </c>
      <c r="K181" s="66">
        <f t="shared" si="42"/>
        <v>2236.8413264650385</v>
      </c>
      <c r="L181" s="66">
        <f t="shared" si="36"/>
        <v>1628.5845885282497</v>
      </c>
      <c r="M181" s="66">
        <f t="shared" si="37"/>
        <v>509649.43288919487</v>
      </c>
      <c r="N181" s="45"/>
      <c r="O181" s="45"/>
      <c r="P181" s="64">
        <f t="shared" si="38"/>
        <v>163</v>
      </c>
      <c r="Q181" s="65">
        <f t="shared" si="39"/>
        <v>895.35799997349602</v>
      </c>
      <c r="R181" s="66">
        <f t="shared" si="44"/>
        <v>728.89187285644243</v>
      </c>
      <c r="S181" s="66">
        <f t="shared" si="43"/>
        <v>166.46612711705359</v>
      </c>
      <c r="T181" s="66">
        <f t="shared" si="40"/>
        <v>85250.550223247294</v>
      </c>
      <c r="U181" s="45"/>
    </row>
    <row r="182" spans="1:21" ht="15">
      <c r="A182" s="45"/>
      <c r="B182" s="64">
        <f t="shared" si="30"/>
        <v>164</v>
      </c>
      <c r="C182" s="65">
        <f t="shared" si="31"/>
        <v>4424.4761644507462</v>
      </c>
      <c r="D182" s="66">
        <f t="shared" si="32"/>
        <v>2898.020970518015</v>
      </c>
      <c r="E182" s="66">
        <f t="shared" si="33"/>
        <v>1526.4551939327312</v>
      </c>
      <c r="F182" s="66">
        <f t="shared" si="34"/>
        <v>533492.80090170074</v>
      </c>
      <c r="G182" s="45"/>
      <c r="H182" s="45"/>
      <c r="I182" s="64">
        <f t="shared" si="35"/>
        <v>164</v>
      </c>
      <c r="J182" s="65">
        <f t="shared" si="41"/>
        <v>3865.4259149932882</v>
      </c>
      <c r="K182" s="66">
        <f t="shared" si="42"/>
        <v>2229.7162688902272</v>
      </c>
      <c r="L182" s="66">
        <f t="shared" si="36"/>
        <v>1635.709646103061</v>
      </c>
      <c r="M182" s="66">
        <f t="shared" si="37"/>
        <v>508013.72324309178</v>
      </c>
      <c r="N182" s="45"/>
      <c r="O182" s="45"/>
      <c r="P182" s="64">
        <f t="shared" si="38"/>
        <v>164</v>
      </c>
      <c r="Q182" s="65">
        <f t="shared" si="39"/>
        <v>895.35799997349602</v>
      </c>
      <c r="R182" s="66">
        <f t="shared" si="44"/>
        <v>727.47136190504364</v>
      </c>
      <c r="S182" s="66">
        <f t="shared" si="43"/>
        <v>167.88663806845238</v>
      </c>
      <c r="T182" s="66">
        <f t="shared" si="40"/>
        <v>85082.663585178845</v>
      </c>
      <c r="U182" s="45"/>
    </row>
    <row r="183" spans="1:21" ht="15">
      <c r="A183" s="45"/>
      <c r="B183" s="64">
        <f t="shared" si="30"/>
        <v>165</v>
      </c>
      <c r="C183" s="65">
        <f t="shared" si="31"/>
        <v>4424.4761644507462</v>
      </c>
      <c r="D183" s="66">
        <f t="shared" si="32"/>
        <v>2889.7526715508793</v>
      </c>
      <c r="E183" s="66">
        <f t="shared" si="33"/>
        <v>1534.7234928998669</v>
      </c>
      <c r="F183" s="66">
        <f t="shared" si="34"/>
        <v>531958.07740880083</v>
      </c>
      <c r="G183" s="45"/>
      <c r="H183" s="45"/>
      <c r="I183" s="64">
        <f t="shared" si="35"/>
        <v>165</v>
      </c>
      <c r="J183" s="65">
        <f t="shared" si="41"/>
        <v>3865.4259149932882</v>
      </c>
      <c r="K183" s="66">
        <f t="shared" si="42"/>
        <v>2222.5600391885264</v>
      </c>
      <c r="L183" s="66">
        <f t="shared" si="36"/>
        <v>1642.8658758047618</v>
      </c>
      <c r="M183" s="66">
        <f t="shared" si="37"/>
        <v>506370.85736728704</v>
      </c>
      <c r="N183" s="45"/>
      <c r="O183" s="45"/>
      <c r="P183" s="64">
        <f t="shared" si="38"/>
        <v>165</v>
      </c>
      <c r="Q183" s="65">
        <f t="shared" si="39"/>
        <v>895.35799997349602</v>
      </c>
      <c r="R183" s="66">
        <f t="shared" si="44"/>
        <v>726.03872926019289</v>
      </c>
      <c r="S183" s="66">
        <f t="shared" si="43"/>
        <v>169.31927071330313</v>
      </c>
      <c r="T183" s="66">
        <f t="shared" si="40"/>
        <v>84913.344314465547</v>
      </c>
      <c r="U183" s="45"/>
    </row>
    <row r="184" spans="1:21" ht="15">
      <c r="A184" s="45"/>
      <c r="B184" s="64">
        <f t="shared" si="30"/>
        <v>166</v>
      </c>
      <c r="C184" s="65">
        <f t="shared" si="31"/>
        <v>4424.4761644507462</v>
      </c>
      <c r="D184" s="66">
        <f t="shared" si="32"/>
        <v>2881.4395859643378</v>
      </c>
      <c r="E184" s="66">
        <f t="shared" si="33"/>
        <v>1543.0365784864084</v>
      </c>
      <c r="F184" s="66">
        <f t="shared" si="34"/>
        <v>530415.04083031439</v>
      </c>
      <c r="G184" s="45"/>
      <c r="H184" s="45"/>
      <c r="I184" s="64">
        <f t="shared" si="35"/>
        <v>166</v>
      </c>
      <c r="J184" s="65">
        <f t="shared" si="41"/>
        <v>3865.4259149932882</v>
      </c>
      <c r="K184" s="66">
        <f t="shared" si="42"/>
        <v>2215.3725009818804</v>
      </c>
      <c r="L184" s="66">
        <f t="shared" si="36"/>
        <v>1650.0534140114078</v>
      </c>
      <c r="M184" s="66">
        <f t="shared" si="37"/>
        <v>504720.80395327561</v>
      </c>
      <c r="N184" s="45"/>
      <c r="O184" s="45"/>
      <c r="P184" s="64">
        <f t="shared" si="38"/>
        <v>166</v>
      </c>
      <c r="Q184" s="65">
        <f t="shared" si="39"/>
        <v>895.35799997349602</v>
      </c>
      <c r="R184" s="66">
        <f t="shared" si="44"/>
        <v>724.59387148343933</v>
      </c>
      <c r="S184" s="66">
        <f t="shared" si="43"/>
        <v>170.76412849005669</v>
      </c>
      <c r="T184" s="66">
        <f t="shared" si="40"/>
        <v>84742.580185975487</v>
      </c>
      <c r="U184" s="45"/>
    </row>
    <row r="185" spans="1:21" ht="15">
      <c r="A185" s="45"/>
      <c r="B185" s="64">
        <f t="shared" si="30"/>
        <v>167</v>
      </c>
      <c r="C185" s="65">
        <f t="shared" si="31"/>
        <v>4424.4761644507462</v>
      </c>
      <c r="D185" s="66">
        <f t="shared" si="32"/>
        <v>2873.0814711642029</v>
      </c>
      <c r="E185" s="66">
        <f t="shared" si="33"/>
        <v>1551.3946932865433</v>
      </c>
      <c r="F185" s="66">
        <f t="shared" si="34"/>
        <v>528863.64613702788</v>
      </c>
      <c r="G185" s="45"/>
      <c r="H185" s="45"/>
      <c r="I185" s="64">
        <f t="shared" si="35"/>
        <v>167</v>
      </c>
      <c r="J185" s="65">
        <f t="shared" si="41"/>
        <v>3865.4259149932882</v>
      </c>
      <c r="K185" s="66">
        <f t="shared" si="42"/>
        <v>2208.1535172955805</v>
      </c>
      <c r="L185" s="66">
        <f t="shared" si="36"/>
        <v>1657.2723976977077</v>
      </c>
      <c r="M185" s="66">
        <f t="shared" si="37"/>
        <v>503063.53155557788</v>
      </c>
      <c r="N185" s="45"/>
      <c r="O185" s="45"/>
      <c r="P185" s="64">
        <f t="shared" si="38"/>
        <v>167</v>
      </c>
      <c r="Q185" s="65">
        <f t="shared" si="39"/>
        <v>895.35799997349602</v>
      </c>
      <c r="R185" s="66">
        <f t="shared" si="44"/>
        <v>723.13668425365756</v>
      </c>
      <c r="S185" s="66">
        <f t="shared" si="43"/>
        <v>172.22131571983846</v>
      </c>
      <c r="T185" s="66">
        <f t="shared" si="40"/>
        <v>84570.358870255644</v>
      </c>
      <c r="U185" s="45"/>
    </row>
    <row r="186" spans="1:21" ht="15">
      <c r="A186" s="45"/>
      <c r="B186" s="64">
        <f t="shared" si="30"/>
        <v>168</v>
      </c>
      <c r="C186" s="65">
        <f t="shared" si="31"/>
        <v>4424.4761644507462</v>
      </c>
      <c r="D186" s="66">
        <f t="shared" si="32"/>
        <v>2864.6780832422346</v>
      </c>
      <c r="E186" s="66">
        <f t="shared" si="33"/>
        <v>1559.7980812085116</v>
      </c>
      <c r="F186" s="66">
        <f t="shared" si="34"/>
        <v>527303.8480558194</v>
      </c>
      <c r="G186" s="45"/>
      <c r="H186" s="45"/>
      <c r="I186" s="64">
        <f t="shared" si="35"/>
        <v>168</v>
      </c>
      <c r="J186" s="65">
        <f t="shared" si="41"/>
        <v>3865.4259149932882</v>
      </c>
      <c r="K186" s="66">
        <f t="shared" si="42"/>
        <v>2200.9029505556532</v>
      </c>
      <c r="L186" s="66">
        <f t="shared" si="36"/>
        <v>1664.522964437635</v>
      </c>
      <c r="M186" s="66">
        <f t="shared" si="37"/>
        <v>501399.00859114027</v>
      </c>
      <c r="N186" s="45"/>
      <c r="O186" s="45"/>
      <c r="P186" s="64">
        <f t="shared" si="38"/>
        <v>168</v>
      </c>
      <c r="Q186" s="65">
        <f t="shared" si="39"/>
        <v>895.35799997349602</v>
      </c>
      <c r="R186" s="66">
        <f t="shared" si="44"/>
        <v>721.66706235951483</v>
      </c>
      <c r="S186" s="66">
        <f t="shared" si="43"/>
        <v>173.69093761398119</v>
      </c>
      <c r="T186" s="66">
        <f t="shared" si="40"/>
        <v>84396.667932641663</v>
      </c>
      <c r="U186" s="45"/>
    </row>
    <row r="187" spans="1:21" ht="15">
      <c r="A187" s="45"/>
      <c r="B187" s="64">
        <f t="shared" si="30"/>
        <v>169</v>
      </c>
      <c r="C187" s="65">
        <f t="shared" si="31"/>
        <v>4424.4761644507462</v>
      </c>
      <c r="D187" s="66">
        <f t="shared" si="32"/>
        <v>2856.2291769690219</v>
      </c>
      <c r="E187" s="66">
        <f t="shared" si="33"/>
        <v>1568.2469874817243</v>
      </c>
      <c r="F187" s="66">
        <f t="shared" si="34"/>
        <v>525735.60106833768</v>
      </c>
      <c r="G187" s="45"/>
      <c r="H187" s="45"/>
      <c r="I187" s="64">
        <f t="shared" si="35"/>
        <v>169</v>
      </c>
      <c r="J187" s="65">
        <f t="shared" si="41"/>
        <v>3865.4259149932882</v>
      </c>
      <c r="K187" s="66">
        <f t="shared" si="42"/>
        <v>2193.6206625862383</v>
      </c>
      <c r="L187" s="66">
        <f t="shared" si="36"/>
        <v>1671.8052524070499</v>
      </c>
      <c r="M187" s="66">
        <f t="shared" si="37"/>
        <v>499727.20333873323</v>
      </c>
      <c r="N187" s="45"/>
      <c r="O187" s="45"/>
      <c r="P187" s="64">
        <f t="shared" si="38"/>
        <v>169</v>
      </c>
      <c r="Q187" s="65">
        <f t="shared" si="39"/>
        <v>895.35799997349602</v>
      </c>
      <c r="R187" s="66">
        <f t="shared" si="44"/>
        <v>720.18489969187556</v>
      </c>
      <c r="S187" s="66">
        <f t="shared" si="43"/>
        <v>175.17310028162046</v>
      </c>
      <c r="T187" s="66">
        <f t="shared" si="40"/>
        <v>84221.49483236004</v>
      </c>
      <c r="U187" s="45"/>
    </row>
    <row r="188" spans="1:21" ht="15">
      <c r="A188" s="45"/>
      <c r="B188" s="64">
        <f t="shared" si="30"/>
        <v>170</v>
      </c>
      <c r="C188" s="65">
        <f t="shared" si="31"/>
        <v>4424.4761644507462</v>
      </c>
      <c r="D188" s="66">
        <f t="shared" si="32"/>
        <v>2847.7345057868292</v>
      </c>
      <c r="E188" s="66">
        <f t="shared" si="33"/>
        <v>1576.741658663917</v>
      </c>
      <c r="F188" s="66">
        <f t="shared" si="34"/>
        <v>524158.85940967378</v>
      </c>
      <c r="G188" s="45"/>
      <c r="H188" s="45"/>
      <c r="I188" s="64">
        <f t="shared" si="35"/>
        <v>170</v>
      </c>
      <c r="J188" s="65">
        <f t="shared" si="41"/>
        <v>3865.4259149932882</v>
      </c>
      <c r="K188" s="66">
        <f t="shared" si="42"/>
        <v>2186.3065146069575</v>
      </c>
      <c r="L188" s="66">
        <f t="shared" si="36"/>
        <v>1679.1194003863307</v>
      </c>
      <c r="M188" s="66">
        <f t="shared" si="37"/>
        <v>498048.08393834688</v>
      </c>
      <c r="N188" s="45"/>
      <c r="O188" s="45"/>
      <c r="P188" s="64">
        <f t="shared" si="38"/>
        <v>170</v>
      </c>
      <c r="Q188" s="65">
        <f t="shared" si="39"/>
        <v>895.35799997349602</v>
      </c>
      <c r="R188" s="66">
        <f t="shared" si="44"/>
        <v>718.69008923613899</v>
      </c>
      <c r="S188" s="66">
        <f t="shared" si="43"/>
        <v>176.66791073735703</v>
      </c>
      <c r="T188" s="66">
        <f t="shared" si="40"/>
        <v>84044.826921622676</v>
      </c>
      <c r="U188" s="45"/>
    </row>
    <row r="189" spans="1:21" ht="15">
      <c r="A189" s="45"/>
      <c r="B189" s="64">
        <f t="shared" si="30"/>
        <v>171</v>
      </c>
      <c r="C189" s="65">
        <f t="shared" si="31"/>
        <v>4424.4761644507462</v>
      </c>
      <c r="D189" s="66">
        <f t="shared" si="32"/>
        <v>2839.1938218023997</v>
      </c>
      <c r="E189" s="66">
        <f t="shared" si="33"/>
        <v>1585.2823426483465</v>
      </c>
      <c r="F189" s="66">
        <f t="shared" si="34"/>
        <v>522573.57706702541</v>
      </c>
      <c r="G189" s="45"/>
      <c r="H189" s="45"/>
      <c r="I189" s="64">
        <f t="shared" si="35"/>
        <v>171</v>
      </c>
      <c r="J189" s="65">
        <f t="shared" si="41"/>
        <v>3865.4259149932882</v>
      </c>
      <c r="K189" s="66">
        <f t="shared" si="42"/>
        <v>2178.9603672302674</v>
      </c>
      <c r="L189" s="66">
        <f t="shared" si="36"/>
        <v>1686.4655477630208</v>
      </c>
      <c r="M189" s="66">
        <f t="shared" si="37"/>
        <v>496361.61839058384</v>
      </c>
      <c r="N189" s="45"/>
      <c r="O189" s="45"/>
      <c r="P189" s="64">
        <f t="shared" si="38"/>
        <v>171</v>
      </c>
      <c r="Q189" s="65">
        <f t="shared" si="39"/>
        <v>895.35799997349602</v>
      </c>
      <c r="R189" s="66">
        <f t="shared" si="44"/>
        <v>717.18252306451359</v>
      </c>
      <c r="S189" s="66">
        <f t="shared" si="43"/>
        <v>178.17547690898243</v>
      </c>
      <c r="T189" s="66">
        <f t="shared" si="40"/>
        <v>83866.651444713687</v>
      </c>
      <c r="U189" s="45"/>
    </row>
    <row r="190" spans="1:21" ht="15">
      <c r="A190" s="45"/>
      <c r="B190" s="64">
        <f t="shared" si="30"/>
        <v>172</v>
      </c>
      <c r="C190" s="65">
        <f t="shared" si="31"/>
        <v>4424.4761644507462</v>
      </c>
      <c r="D190" s="66">
        <f t="shared" si="32"/>
        <v>2830.6068757797211</v>
      </c>
      <c r="E190" s="66">
        <f t="shared" si="33"/>
        <v>1593.8692886710251</v>
      </c>
      <c r="F190" s="66">
        <f t="shared" si="34"/>
        <v>520979.70777835441</v>
      </c>
      <c r="G190" s="45"/>
      <c r="H190" s="45"/>
      <c r="I190" s="64">
        <f t="shared" si="35"/>
        <v>172</v>
      </c>
      <c r="J190" s="65">
        <f t="shared" si="41"/>
        <v>3865.4259149932882</v>
      </c>
      <c r="K190" s="66">
        <f t="shared" si="42"/>
        <v>2171.5820804588043</v>
      </c>
      <c r="L190" s="66">
        <f t="shared" si="36"/>
        <v>1693.8438345344839</v>
      </c>
      <c r="M190" s="66">
        <f t="shared" si="37"/>
        <v>494667.77455604938</v>
      </c>
      <c r="N190" s="45"/>
      <c r="O190" s="45"/>
      <c r="P190" s="64">
        <f t="shared" si="38"/>
        <v>172</v>
      </c>
      <c r="Q190" s="65">
        <f t="shared" si="39"/>
        <v>895.35799997349602</v>
      </c>
      <c r="R190" s="66">
        <f t="shared" si="44"/>
        <v>715.66209232822348</v>
      </c>
      <c r="S190" s="66">
        <f t="shared" si="43"/>
        <v>179.69590764527254</v>
      </c>
      <c r="T190" s="66">
        <f t="shared" si="40"/>
        <v>83686.95553706841</v>
      </c>
      <c r="U190" s="45"/>
    </row>
    <row r="191" spans="1:21" ht="15">
      <c r="A191" s="45"/>
      <c r="B191" s="64">
        <f t="shared" si="30"/>
        <v>173</v>
      </c>
      <c r="C191" s="65">
        <f t="shared" si="31"/>
        <v>4424.4761644507462</v>
      </c>
      <c r="D191" s="66">
        <f t="shared" si="32"/>
        <v>2821.9734171327532</v>
      </c>
      <c r="E191" s="66">
        <f t="shared" si="33"/>
        <v>1602.502747317993</v>
      </c>
      <c r="F191" s="66">
        <f t="shared" si="34"/>
        <v>519377.2050310364</v>
      </c>
      <c r="G191" s="45"/>
      <c r="H191" s="45"/>
      <c r="I191" s="64">
        <f t="shared" si="35"/>
        <v>173</v>
      </c>
      <c r="J191" s="65">
        <f t="shared" si="41"/>
        <v>3865.4259149932882</v>
      </c>
      <c r="K191" s="66">
        <f t="shared" si="42"/>
        <v>2164.1715136827156</v>
      </c>
      <c r="L191" s="66">
        <f t="shared" si="36"/>
        <v>1701.2544013105726</v>
      </c>
      <c r="M191" s="66">
        <f t="shared" si="37"/>
        <v>492966.5201547388</v>
      </c>
      <c r="N191" s="45"/>
      <c r="O191" s="45"/>
      <c r="P191" s="64">
        <f t="shared" si="38"/>
        <v>173</v>
      </c>
      <c r="Q191" s="65">
        <f t="shared" si="39"/>
        <v>895.35799997349602</v>
      </c>
      <c r="R191" s="66">
        <f t="shared" si="44"/>
        <v>714.12868724965051</v>
      </c>
      <c r="S191" s="66">
        <f t="shared" si="43"/>
        <v>181.22931272384551</v>
      </c>
      <c r="T191" s="66">
        <f t="shared" si="40"/>
        <v>83505.726224344558</v>
      </c>
      <c r="U191" s="45"/>
    </row>
    <row r="192" spans="1:21" ht="15">
      <c r="A192" s="45"/>
      <c r="B192" s="64">
        <f t="shared" si="30"/>
        <v>174</v>
      </c>
      <c r="C192" s="65">
        <f t="shared" si="31"/>
        <v>4424.4761644507462</v>
      </c>
      <c r="D192" s="66">
        <f t="shared" si="32"/>
        <v>2813.293193918114</v>
      </c>
      <c r="E192" s="66">
        <f t="shared" si="33"/>
        <v>1611.1829705326322</v>
      </c>
      <c r="F192" s="66">
        <f t="shared" si="34"/>
        <v>517766.02206050378</v>
      </c>
      <c r="G192" s="45"/>
      <c r="H192" s="45"/>
      <c r="I192" s="64">
        <f t="shared" si="35"/>
        <v>174</v>
      </c>
      <c r="J192" s="65">
        <f t="shared" si="41"/>
        <v>3865.4259149932882</v>
      </c>
      <c r="K192" s="66">
        <f t="shared" si="42"/>
        <v>2156.7285256769819</v>
      </c>
      <c r="L192" s="66">
        <f t="shared" si="36"/>
        <v>1708.6973893163063</v>
      </c>
      <c r="M192" s="66">
        <f t="shared" si="37"/>
        <v>491257.82276542252</v>
      </c>
      <c r="N192" s="45"/>
      <c r="O192" s="45"/>
      <c r="P192" s="64">
        <f t="shared" si="38"/>
        <v>174</v>
      </c>
      <c r="Q192" s="65">
        <f t="shared" si="39"/>
        <v>895.35799997349602</v>
      </c>
      <c r="R192" s="66">
        <f t="shared" si="44"/>
        <v>712.58219711440688</v>
      </c>
      <c r="S192" s="66">
        <f t="shared" si="43"/>
        <v>182.77580285908914</v>
      </c>
      <c r="T192" s="66">
        <f t="shared" si="40"/>
        <v>83322.950421485468</v>
      </c>
      <c r="U192" s="45"/>
    </row>
    <row r="193" spans="1:21" ht="15">
      <c r="A193" s="45"/>
      <c r="B193" s="64">
        <f t="shared" si="30"/>
        <v>175</v>
      </c>
      <c r="C193" s="65">
        <f t="shared" si="31"/>
        <v>4424.4761644507462</v>
      </c>
      <c r="D193" s="66">
        <f t="shared" si="32"/>
        <v>2804.5659528277288</v>
      </c>
      <c r="E193" s="66">
        <f t="shared" si="33"/>
        <v>1619.9102116230174</v>
      </c>
      <c r="F193" s="66">
        <f t="shared" si="34"/>
        <v>516146.11184888077</v>
      </c>
      <c r="G193" s="45"/>
      <c r="H193" s="45"/>
      <c r="I193" s="64">
        <f t="shared" si="35"/>
        <v>175</v>
      </c>
      <c r="J193" s="65">
        <f t="shared" si="41"/>
        <v>3865.4259149932882</v>
      </c>
      <c r="K193" s="66">
        <f t="shared" si="42"/>
        <v>2149.2529745987231</v>
      </c>
      <c r="L193" s="66">
        <f t="shared" si="36"/>
        <v>1716.1729403945651</v>
      </c>
      <c r="M193" s="66">
        <f t="shared" si="37"/>
        <v>489541.64982502797</v>
      </c>
      <c r="N193" s="45"/>
      <c r="O193" s="45"/>
      <c r="P193" s="64">
        <f t="shared" si="38"/>
        <v>175</v>
      </c>
      <c r="Q193" s="65">
        <f t="shared" si="39"/>
        <v>895.35799997349602</v>
      </c>
      <c r="R193" s="66">
        <f t="shared" si="44"/>
        <v>711.02251026334272</v>
      </c>
      <c r="S193" s="66">
        <f t="shared" si="43"/>
        <v>184.3354897101533</v>
      </c>
      <c r="T193" s="66">
        <f t="shared" si="40"/>
        <v>83138.614931775315</v>
      </c>
      <c r="U193" s="45"/>
    </row>
    <row r="194" spans="1:21" ht="15">
      <c r="A194" s="45"/>
      <c r="B194" s="64">
        <f t="shared" si="30"/>
        <v>176</v>
      </c>
      <c r="C194" s="65">
        <f t="shared" si="31"/>
        <v>4424.4761644507462</v>
      </c>
      <c r="D194" s="66">
        <f t="shared" si="32"/>
        <v>2795.7914391814375</v>
      </c>
      <c r="E194" s="66">
        <f t="shared" si="33"/>
        <v>1628.6847252693087</v>
      </c>
      <c r="F194" s="66">
        <f t="shared" si="34"/>
        <v>514517.42712361144</v>
      </c>
      <c r="G194" s="45"/>
      <c r="H194" s="45"/>
      <c r="I194" s="64">
        <f t="shared" si="35"/>
        <v>176</v>
      </c>
      <c r="J194" s="65">
        <f t="shared" si="41"/>
        <v>3865.4259149932882</v>
      </c>
      <c r="K194" s="66">
        <f t="shared" si="42"/>
        <v>2141.7447179844971</v>
      </c>
      <c r="L194" s="66">
        <f t="shared" si="36"/>
        <v>1723.6811970087911</v>
      </c>
      <c r="M194" s="66">
        <f t="shared" si="37"/>
        <v>487817.96862801915</v>
      </c>
      <c r="N194" s="45"/>
      <c r="O194" s="45"/>
      <c r="P194" s="64">
        <f t="shared" si="38"/>
        <v>176</v>
      </c>
      <c r="Q194" s="65">
        <f t="shared" si="39"/>
        <v>895.35799997349602</v>
      </c>
      <c r="R194" s="66">
        <f t="shared" si="44"/>
        <v>709.44951408448276</v>
      </c>
      <c r="S194" s="66">
        <f t="shared" si="43"/>
        <v>185.90848588901326</v>
      </c>
      <c r="T194" s="66">
        <f t="shared" si="40"/>
        <v>82952.706445886302</v>
      </c>
      <c r="U194" s="45"/>
    </row>
    <row r="195" spans="1:21" ht="15">
      <c r="A195" s="45"/>
      <c r="B195" s="64">
        <f t="shared" si="30"/>
        <v>177</v>
      </c>
      <c r="C195" s="65">
        <f t="shared" si="31"/>
        <v>4424.4761644507462</v>
      </c>
      <c r="D195" s="66">
        <f t="shared" si="32"/>
        <v>2786.9693969195619</v>
      </c>
      <c r="E195" s="66">
        <f t="shared" si="33"/>
        <v>1637.5067675311843</v>
      </c>
      <c r="F195" s="66">
        <f t="shared" si="34"/>
        <v>512879.92035608029</v>
      </c>
      <c r="G195" s="45"/>
      <c r="H195" s="45"/>
      <c r="I195" s="64">
        <f t="shared" si="35"/>
        <v>177</v>
      </c>
      <c r="J195" s="65">
        <f t="shared" si="41"/>
        <v>3865.4259149932882</v>
      </c>
      <c r="K195" s="66">
        <f t="shared" si="42"/>
        <v>2134.2036127475835</v>
      </c>
      <c r="L195" s="66">
        <f t="shared" si="36"/>
        <v>1731.2223022457047</v>
      </c>
      <c r="M195" s="66">
        <f t="shared" si="37"/>
        <v>486086.74632577342</v>
      </c>
      <c r="N195" s="45"/>
      <c r="O195" s="45"/>
      <c r="P195" s="64">
        <f t="shared" si="38"/>
        <v>177</v>
      </c>
      <c r="Q195" s="65">
        <f t="shared" si="39"/>
        <v>895.35799997349602</v>
      </c>
      <c r="R195" s="66">
        <f t="shared" si="44"/>
        <v>707.86309500489654</v>
      </c>
      <c r="S195" s="66">
        <f t="shared" si="43"/>
        <v>187.49490496859949</v>
      </c>
      <c r="T195" s="66">
        <f t="shared" si="40"/>
        <v>82765.211540917706</v>
      </c>
      <c r="U195" s="45"/>
    </row>
    <row r="196" spans="1:21" ht="15">
      <c r="A196" s="45"/>
      <c r="B196" s="64">
        <f t="shared" si="30"/>
        <v>178</v>
      </c>
      <c r="C196" s="65">
        <f t="shared" si="31"/>
        <v>4424.4761644507462</v>
      </c>
      <c r="D196" s="66">
        <f t="shared" si="32"/>
        <v>2778.0995685954349</v>
      </c>
      <c r="E196" s="66">
        <f t="shared" si="33"/>
        <v>1646.3765958553113</v>
      </c>
      <c r="F196" s="66">
        <f t="shared" si="34"/>
        <v>511233.543760225</v>
      </c>
      <c r="G196" s="45"/>
      <c r="H196" s="45"/>
      <c r="I196" s="64">
        <f t="shared" si="35"/>
        <v>178</v>
      </c>
      <c r="J196" s="65">
        <f t="shared" si="41"/>
        <v>3865.4259149932882</v>
      </c>
      <c r="K196" s="66">
        <f t="shared" si="42"/>
        <v>2126.6295151752583</v>
      </c>
      <c r="L196" s="66">
        <f t="shared" si="36"/>
        <v>1738.7963998180298</v>
      </c>
      <c r="M196" s="66">
        <f t="shared" si="37"/>
        <v>484347.94992595538</v>
      </c>
      <c r="N196" s="45"/>
      <c r="O196" s="45"/>
      <c r="P196" s="64">
        <f t="shared" si="38"/>
        <v>178</v>
      </c>
      <c r="Q196" s="65">
        <f t="shared" si="39"/>
        <v>895.35799997349602</v>
      </c>
      <c r="R196" s="66">
        <f t="shared" si="44"/>
        <v>706.26313848249777</v>
      </c>
      <c r="S196" s="66">
        <f t="shared" si="43"/>
        <v>189.09486149099826</v>
      </c>
      <c r="T196" s="66">
        <f t="shared" si="40"/>
        <v>82576.116679426705</v>
      </c>
      <c r="U196" s="45"/>
    </row>
    <row r="197" spans="1:21" ht="15">
      <c r="A197" s="45"/>
      <c r="B197" s="64">
        <f t="shared" si="30"/>
        <v>179</v>
      </c>
      <c r="C197" s="65">
        <f t="shared" si="31"/>
        <v>4424.4761644507462</v>
      </c>
      <c r="D197" s="66">
        <f t="shared" si="32"/>
        <v>2769.1816953678854</v>
      </c>
      <c r="E197" s="66">
        <f t="shared" si="33"/>
        <v>1655.2944690828608</v>
      </c>
      <c r="F197" s="66">
        <f t="shared" si="34"/>
        <v>509578.24929114216</v>
      </c>
      <c r="G197" s="45"/>
      <c r="H197" s="45"/>
      <c r="I197" s="64">
        <f t="shared" si="35"/>
        <v>179</v>
      </c>
      <c r="J197" s="65">
        <f t="shared" si="41"/>
        <v>3865.4259149932882</v>
      </c>
      <c r="K197" s="66">
        <f t="shared" si="42"/>
        <v>2119.0222809260545</v>
      </c>
      <c r="L197" s="66">
        <f t="shared" si="36"/>
        <v>1746.4036340672337</v>
      </c>
      <c r="M197" s="66">
        <f t="shared" si="37"/>
        <v>482601.54629188817</v>
      </c>
      <c r="N197" s="45"/>
      <c r="O197" s="45"/>
      <c r="P197" s="64">
        <f t="shared" si="38"/>
        <v>179</v>
      </c>
      <c r="Q197" s="65">
        <f t="shared" si="39"/>
        <v>895.35799997349602</v>
      </c>
      <c r="R197" s="66">
        <f t="shared" si="44"/>
        <v>704.64952899777461</v>
      </c>
      <c r="S197" s="66">
        <f t="shared" si="43"/>
        <v>190.70847097572141</v>
      </c>
      <c r="T197" s="66">
        <f t="shared" si="40"/>
        <v>82385.408208450986</v>
      </c>
      <c r="U197" s="45"/>
    </row>
    <row r="198" spans="1:21" ht="15">
      <c r="A198" s="45"/>
      <c r="B198" s="64">
        <f t="shared" si="30"/>
        <v>180</v>
      </c>
      <c r="C198" s="65">
        <f t="shared" si="31"/>
        <v>4424.4761644507462</v>
      </c>
      <c r="D198" s="66">
        <f t="shared" si="32"/>
        <v>2760.2155169936868</v>
      </c>
      <c r="E198" s="66">
        <f t="shared" si="33"/>
        <v>1664.2606474570593</v>
      </c>
      <c r="F198" s="66">
        <f t="shared" si="34"/>
        <v>507913.98864368512</v>
      </c>
      <c r="G198" s="45"/>
      <c r="H198" s="45"/>
      <c r="I198" s="64">
        <f t="shared" si="35"/>
        <v>180</v>
      </c>
      <c r="J198" s="65">
        <f t="shared" si="41"/>
        <v>3865.4259149932882</v>
      </c>
      <c r="K198" s="66">
        <f t="shared" si="42"/>
        <v>2111.3817650270107</v>
      </c>
      <c r="L198" s="66">
        <f t="shared" si="36"/>
        <v>1754.0441499662775</v>
      </c>
      <c r="M198" s="66">
        <f t="shared" si="37"/>
        <v>480847.5021419219</v>
      </c>
      <c r="N198" s="45"/>
      <c r="O198" s="45"/>
      <c r="P198" s="64">
        <f t="shared" si="38"/>
        <v>180</v>
      </c>
      <c r="Q198" s="65">
        <f t="shared" si="39"/>
        <v>895.35799997349602</v>
      </c>
      <c r="R198" s="66">
        <f t="shared" si="44"/>
        <v>703.02215004544848</v>
      </c>
      <c r="S198" s="66">
        <f t="shared" si="43"/>
        <v>192.33584992804754</v>
      </c>
      <c r="T198" s="66">
        <f t="shared" si="40"/>
        <v>82193.072358522943</v>
      </c>
      <c r="U198" s="45"/>
    </row>
    <row r="199" spans="1:21" ht="15">
      <c r="A199" s="45"/>
      <c r="B199" s="64">
        <f t="shared" si="30"/>
        <v>181</v>
      </c>
      <c r="C199" s="65">
        <f t="shared" si="31"/>
        <v>4424.4761644507462</v>
      </c>
      <c r="D199" s="66">
        <f t="shared" si="32"/>
        <v>2751.2007718199611</v>
      </c>
      <c r="E199" s="66">
        <f t="shared" si="33"/>
        <v>1673.2753926307851</v>
      </c>
      <c r="F199" s="66">
        <f t="shared" si="34"/>
        <v>506240.71325105435</v>
      </c>
      <c r="G199" s="63"/>
      <c r="H199" s="45"/>
      <c r="I199" s="64">
        <f t="shared" si="35"/>
        <v>181</v>
      </c>
      <c r="J199" s="65">
        <f t="shared" si="41"/>
        <v>3865.4259149932882</v>
      </c>
      <c r="K199" s="66">
        <f t="shared" si="42"/>
        <v>2103.707821870908</v>
      </c>
      <c r="L199" s="66">
        <f t="shared" si="36"/>
        <v>1761.7180931223802</v>
      </c>
      <c r="M199" s="66">
        <f t="shared" si="37"/>
        <v>479085.78404879954</v>
      </c>
      <c r="N199" s="63"/>
      <c r="O199" s="45"/>
      <c r="P199" s="64">
        <f t="shared" si="38"/>
        <v>181</v>
      </c>
      <c r="Q199" s="65">
        <f t="shared" si="39"/>
        <v>895.35799997349602</v>
      </c>
      <c r="R199" s="66">
        <f t="shared" si="44"/>
        <v>701.38088412606248</v>
      </c>
      <c r="S199" s="66">
        <f t="shared" si="43"/>
        <v>193.97711584743354</v>
      </c>
      <c r="T199" s="66">
        <f t="shared" si="40"/>
        <v>81999.09524267551</v>
      </c>
      <c r="U199" s="63"/>
    </row>
    <row r="200" spans="1:21" ht="15">
      <c r="A200" s="45"/>
      <c r="B200" s="64">
        <f t="shared" si="30"/>
        <v>182</v>
      </c>
      <c r="C200" s="65">
        <f t="shared" si="31"/>
        <v>4424.4761644507462</v>
      </c>
      <c r="D200" s="66">
        <f t="shared" si="32"/>
        <v>2742.1371967765444</v>
      </c>
      <c r="E200" s="66">
        <f t="shared" si="33"/>
        <v>1682.3389676742017</v>
      </c>
      <c r="F200" s="66">
        <f t="shared" si="34"/>
        <v>504558.37428338017</v>
      </c>
      <c r="G200" s="45"/>
      <c r="H200" s="45"/>
      <c r="I200" s="64">
        <f t="shared" si="35"/>
        <v>182</v>
      </c>
      <c r="J200" s="65">
        <f t="shared" si="41"/>
        <v>3865.4259149932882</v>
      </c>
      <c r="K200" s="66">
        <f t="shared" si="42"/>
        <v>2096.000305213498</v>
      </c>
      <c r="L200" s="66">
        <f t="shared" si="36"/>
        <v>1769.4256097797902</v>
      </c>
      <c r="M200" s="66">
        <f t="shared" si="37"/>
        <v>477316.35843901976</v>
      </c>
      <c r="N200" s="45"/>
      <c r="O200" s="45"/>
      <c r="P200" s="64">
        <f t="shared" si="38"/>
        <v>182</v>
      </c>
      <c r="Q200" s="65">
        <f t="shared" si="39"/>
        <v>895.35799997349602</v>
      </c>
      <c r="R200" s="66">
        <f t="shared" si="44"/>
        <v>699.72561273749773</v>
      </c>
      <c r="S200" s="66">
        <f t="shared" si="43"/>
        <v>195.63238723599829</v>
      </c>
      <c r="T200" s="66">
        <f t="shared" si="40"/>
        <v>81803.462855439517</v>
      </c>
      <c r="U200" s="45"/>
    </row>
    <row r="201" spans="1:21" ht="15">
      <c r="A201" s="45"/>
      <c r="B201" s="64">
        <f t="shared" si="30"/>
        <v>183</v>
      </c>
      <c r="C201" s="65">
        <f t="shared" si="31"/>
        <v>4424.4761644507462</v>
      </c>
      <c r="D201" s="66">
        <f t="shared" si="32"/>
        <v>2733.0245273683095</v>
      </c>
      <c r="E201" s="66">
        <f t="shared" si="33"/>
        <v>1691.4516370824367</v>
      </c>
      <c r="F201" s="66">
        <f t="shared" si="34"/>
        <v>502866.92264629772</v>
      </c>
      <c r="G201" s="45"/>
      <c r="H201" s="45"/>
      <c r="I201" s="64">
        <f t="shared" si="35"/>
        <v>183</v>
      </c>
      <c r="J201" s="65">
        <f t="shared" si="41"/>
        <v>3865.4259149932882</v>
      </c>
      <c r="K201" s="66">
        <f t="shared" si="42"/>
        <v>2088.2590681707111</v>
      </c>
      <c r="L201" s="66">
        <f t="shared" si="36"/>
        <v>1777.1668468225771</v>
      </c>
      <c r="M201" s="66">
        <f t="shared" si="37"/>
        <v>475539.19159219717</v>
      </c>
      <c r="N201" s="45"/>
      <c r="O201" s="45"/>
      <c r="P201" s="64">
        <f t="shared" si="38"/>
        <v>183</v>
      </c>
      <c r="Q201" s="65">
        <f t="shared" si="39"/>
        <v>895.35799997349602</v>
      </c>
      <c r="R201" s="66">
        <f t="shared" si="44"/>
        <v>698.05621636641729</v>
      </c>
      <c r="S201" s="66">
        <f t="shared" si="43"/>
        <v>197.30178360707873</v>
      </c>
      <c r="T201" s="66">
        <f t="shared" si="40"/>
        <v>81606.161071832437</v>
      </c>
      <c r="U201" s="45"/>
    </row>
    <row r="202" spans="1:21" ht="15">
      <c r="A202" s="45"/>
      <c r="B202" s="64">
        <f t="shared" si="30"/>
        <v>184</v>
      </c>
      <c r="C202" s="65">
        <f t="shared" si="31"/>
        <v>4424.4761644507462</v>
      </c>
      <c r="D202" s="66">
        <f t="shared" si="32"/>
        <v>2723.862497667446</v>
      </c>
      <c r="E202" s="66">
        <f t="shared" si="33"/>
        <v>1700.6136667833002</v>
      </c>
      <c r="F202" s="66">
        <f t="shared" si="34"/>
        <v>501166.3089795144</v>
      </c>
      <c r="G202" s="45"/>
      <c r="H202" s="45"/>
      <c r="I202" s="64">
        <f t="shared" si="35"/>
        <v>184</v>
      </c>
      <c r="J202" s="65">
        <f t="shared" si="41"/>
        <v>3865.4259149932882</v>
      </c>
      <c r="K202" s="66">
        <f t="shared" si="42"/>
        <v>2080.4839632158623</v>
      </c>
      <c r="L202" s="66">
        <f t="shared" si="36"/>
        <v>1784.9419517774259</v>
      </c>
      <c r="M202" s="66">
        <f t="shared" si="37"/>
        <v>473754.24964041973</v>
      </c>
      <c r="N202" s="45"/>
      <c r="O202" s="45"/>
      <c r="P202" s="64">
        <f t="shared" si="38"/>
        <v>184</v>
      </c>
      <c r="Q202" s="65">
        <f t="shared" si="39"/>
        <v>895.35799997349602</v>
      </c>
      <c r="R202" s="66">
        <f t="shared" si="44"/>
        <v>696.3725744796368</v>
      </c>
      <c r="S202" s="66">
        <f t="shared" si="43"/>
        <v>198.98542549385922</v>
      </c>
      <c r="T202" s="66">
        <f t="shared" si="40"/>
        <v>81407.175646338583</v>
      </c>
      <c r="U202" s="45"/>
    </row>
    <row r="203" spans="1:21" ht="15">
      <c r="A203" s="45"/>
      <c r="B203" s="64">
        <f t="shared" si="30"/>
        <v>185</v>
      </c>
      <c r="C203" s="65">
        <f t="shared" si="31"/>
        <v>4424.4761644507462</v>
      </c>
      <c r="D203" s="66">
        <f t="shared" si="32"/>
        <v>2714.6508403057032</v>
      </c>
      <c r="E203" s="66">
        <f t="shared" si="33"/>
        <v>1709.8253241450429</v>
      </c>
      <c r="F203" s="66">
        <f t="shared" si="34"/>
        <v>499456.48365536937</v>
      </c>
      <c r="G203" s="45"/>
      <c r="H203" s="45"/>
      <c r="I203" s="64">
        <f t="shared" si="35"/>
        <v>185</v>
      </c>
      <c r="J203" s="65">
        <f t="shared" si="41"/>
        <v>3865.4259149932882</v>
      </c>
      <c r="K203" s="66">
        <f t="shared" si="42"/>
        <v>2072.6748421768361</v>
      </c>
      <c r="L203" s="66">
        <f t="shared" si="36"/>
        <v>1792.7510728164521</v>
      </c>
      <c r="M203" s="66">
        <f t="shared" si="37"/>
        <v>471961.4985676033</v>
      </c>
      <c r="N203" s="45"/>
      <c r="O203" s="45"/>
      <c r="P203" s="64">
        <f t="shared" si="38"/>
        <v>185</v>
      </c>
      <c r="Q203" s="65">
        <f t="shared" si="39"/>
        <v>895.35799997349602</v>
      </c>
      <c r="R203" s="66">
        <f t="shared" si="44"/>
        <v>694.67456551542261</v>
      </c>
      <c r="S203" s="66">
        <f t="shared" si="43"/>
        <v>200.68343445807341</v>
      </c>
      <c r="T203" s="66">
        <f t="shared" si="40"/>
        <v>81206.492211880512</v>
      </c>
      <c r="U203" s="45"/>
    </row>
    <row r="204" spans="1:21" ht="15">
      <c r="A204" s="45"/>
      <c r="B204" s="64">
        <f t="shared" si="30"/>
        <v>186</v>
      </c>
      <c r="C204" s="65">
        <f t="shared" si="31"/>
        <v>4424.4761644507462</v>
      </c>
      <c r="D204" s="66">
        <f t="shared" si="32"/>
        <v>2705.3892864665841</v>
      </c>
      <c r="E204" s="66">
        <f t="shared" si="33"/>
        <v>1719.0868779841621</v>
      </c>
      <c r="F204" s="66">
        <f t="shared" si="34"/>
        <v>497737.39677738521</v>
      </c>
      <c r="G204" s="45"/>
      <c r="H204" s="45"/>
      <c r="I204" s="64">
        <f t="shared" si="35"/>
        <v>186</v>
      </c>
      <c r="J204" s="65">
        <f t="shared" si="41"/>
        <v>3865.4259149932882</v>
      </c>
      <c r="K204" s="66">
        <f t="shared" si="42"/>
        <v>2064.8315562332641</v>
      </c>
      <c r="L204" s="66">
        <f t="shared" si="36"/>
        <v>1800.5943587600241</v>
      </c>
      <c r="M204" s="66">
        <f t="shared" si="37"/>
        <v>470160.90420884325</v>
      </c>
      <c r="N204" s="45"/>
      <c r="O204" s="45"/>
      <c r="P204" s="64">
        <f t="shared" si="38"/>
        <v>186</v>
      </c>
      <c r="Q204" s="65">
        <f t="shared" si="39"/>
        <v>895.35799997349602</v>
      </c>
      <c r="R204" s="66">
        <f t="shared" si="44"/>
        <v>692.96206687471374</v>
      </c>
      <c r="S204" s="66">
        <f t="shared" si="43"/>
        <v>202.39593309878228</v>
      </c>
      <c r="T204" s="66">
        <f t="shared" si="40"/>
        <v>81004.096278781726</v>
      </c>
      <c r="U204" s="45"/>
    </row>
    <row r="205" spans="1:21" ht="15">
      <c r="A205" s="45"/>
      <c r="B205" s="64">
        <f t="shared" si="30"/>
        <v>187</v>
      </c>
      <c r="C205" s="65">
        <f t="shared" si="31"/>
        <v>4424.4761644507462</v>
      </c>
      <c r="D205" s="66">
        <f t="shared" si="32"/>
        <v>2696.0775658775033</v>
      </c>
      <c r="E205" s="66">
        <f t="shared" si="33"/>
        <v>1728.3985985732429</v>
      </c>
      <c r="F205" s="66">
        <f t="shared" si="34"/>
        <v>496008.99817881198</v>
      </c>
      <c r="G205" s="45"/>
      <c r="H205" s="45"/>
      <c r="I205" s="64">
        <f t="shared" si="35"/>
        <v>187</v>
      </c>
      <c r="J205" s="65">
        <f t="shared" si="41"/>
        <v>3865.4259149932882</v>
      </c>
      <c r="K205" s="66">
        <f t="shared" si="42"/>
        <v>2056.9539559136888</v>
      </c>
      <c r="L205" s="66">
        <f t="shared" si="36"/>
        <v>1808.4719590795994</v>
      </c>
      <c r="M205" s="66">
        <f t="shared" si="37"/>
        <v>468352.43224976363</v>
      </c>
      <c r="N205" s="45"/>
      <c r="O205" s="45"/>
      <c r="P205" s="64">
        <f t="shared" si="38"/>
        <v>187</v>
      </c>
      <c r="Q205" s="65">
        <f t="shared" si="39"/>
        <v>895.35799997349602</v>
      </c>
      <c r="R205" s="66">
        <f t="shared" si="44"/>
        <v>691.23495491227072</v>
      </c>
      <c r="S205" s="66">
        <f t="shared" si="43"/>
        <v>204.1230450612253</v>
      </c>
      <c r="T205" s="66">
        <f t="shared" si="40"/>
        <v>80799.973233720506</v>
      </c>
      <c r="U205" s="45"/>
    </row>
    <row r="206" spans="1:21" ht="15">
      <c r="A206" s="45"/>
      <c r="B206" s="64">
        <f t="shared" si="30"/>
        <v>188</v>
      </c>
      <c r="C206" s="65">
        <f t="shared" si="31"/>
        <v>4424.4761644507462</v>
      </c>
      <c r="D206" s="66">
        <f t="shared" si="32"/>
        <v>2686.7154068018981</v>
      </c>
      <c r="E206" s="66">
        <f t="shared" si="33"/>
        <v>1737.7607576488481</v>
      </c>
      <c r="F206" s="66">
        <f t="shared" si="34"/>
        <v>494271.23742116312</v>
      </c>
      <c r="G206" s="45"/>
      <c r="H206" s="45"/>
      <c r="I206" s="64">
        <f t="shared" si="35"/>
        <v>188</v>
      </c>
      <c r="J206" s="65">
        <f t="shared" si="41"/>
        <v>3865.4259149932882</v>
      </c>
      <c r="K206" s="66">
        <f t="shared" si="42"/>
        <v>2049.0418910927156</v>
      </c>
      <c r="L206" s="66">
        <f t="shared" si="36"/>
        <v>1816.3840239005726</v>
      </c>
      <c r="M206" s="66">
        <f t="shared" si="37"/>
        <v>466536.04822586308</v>
      </c>
      <c r="N206" s="45"/>
      <c r="O206" s="45"/>
      <c r="P206" s="64">
        <f t="shared" si="38"/>
        <v>188</v>
      </c>
      <c r="Q206" s="65">
        <f t="shared" si="39"/>
        <v>895.35799997349602</v>
      </c>
      <c r="R206" s="66">
        <f t="shared" si="44"/>
        <v>689.49310492774839</v>
      </c>
      <c r="S206" s="66">
        <f t="shared" si="43"/>
        <v>205.86489504574763</v>
      </c>
      <c r="T206" s="66">
        <f t="shared" si="40"/>
        <v>80594.108338674763</v>
      </c>
      <c r="U206" s="45"/>
    </row>
    <row r="207" spans="1:21" ht="15">
      <c r="A207" s="45"/>
      <c r="B207" s="64">
        <f t="shared" si="30"/>
        <v>189</v>
      </c>
      <c r="C207" s="65">
        <f t="shared" si="31"/>
        <v>4424.4761644507462</v>
      </c>
      <c r="D207" s="66">
        <f t="shared" si="32"/>
        <v>2677.3025360313004</v>
      </c>
      <c r="E207" s="66">
        <f t="shared" si="33"/>
        <v>1747.1736284194458</v>
      </c>
      <c r="F207" s="66">
        <f t="shared" si="34"/>
        <v>492524.06379274366</v>
      </c>
      <c r="G207" s="45"/>
      <c r="H207" s="45"/>
      <c r="I207" s="64">
        <f t="shared" si="35"/>
        <v>189</v>
      </c>
      <c r="J207" s="65">
        <f t="shared" si="41"/>
        <v>3865.4259149932882</v>
      </c>
      <c r="K207" s="66">
        <f t="shared" si="42"/>
        <v>2041.0952109881507</v>
      </c>
      <c r="L207" s="66">
        <f t="shared" si="36"/>
        <v>1824.3307040051375</v>
      </c>
      <c r="M207" s="66">
        <f t="shared" si="37"/>
        <v>464711.71752185794</v>
      </c>
      <c r="N207" s="45"/>
      <c r="O207" s="45"/>
      <c r="P207" s="64">
        <f t="shared" si="38"/>
        <v>189</v>
      </c>
      <c r="Q207" s="65">
        <f t="shared" si="39"/>
        <v>895.35799997349602</v>
      </c>
      <c r="R207" s="66">
        <f t="shared" si="44"/>
        <v>687.7363911566913</v>
      </c>
      <c r="S207" s="66">
        <f t="shared" si="43"/>
        <v>207.62160881680472</v>
      </c>
      <c r="T207" s="66">
        <f t="shared" si="40"/>
        <v>80386.486729857963</v>
      </c>
      <c r="U207" s="45"/>
    </row>
    <row r="208" spans="1:21" ht="15">
      <c r="A208" s="45"/>
      <c r="B208" s="64">
        <f t="shared" si="30"/>
        <v>190</v>
      </c>
      <c r="C208" s="65">
        <f t="shared" si="31"/>
        <v>4424.4761644507462</v>
      </c>
      <c r="D208" s="66">
        <f t="shared" si="32"/>
        <v>2667.8386788773614</v>
      </c>
      <c r="E208" s="66">
        <f t="shared" si="33"/>
        <v>1756.6374855733848</v>
      </c>
      <c r="F208" s="66">
        <f t="shared" si="34"/>
        <v>490767.4263071703</v>
      </c>
      <c r="G208" s="45"/>
      <c r="H208" s="45"/>
      <c r="I208" s="64">
        <f t="shared" si="35"/>
        <v>190</v>
      </c>
      <c r="J208" s="65">
        <f t="shared" si="41"/>
        <v>3865.4259149932882</v>
      </c>
      <c r="K208" s="66">
        <f t="shared" si="42"/>
        <v>2033.1137641581283</v>
      </c>
      <c r="L208" s="66">
        <f t="shared" si="36"/>
        <v>1832.3121508351599</v>
      </c>
      <c r="M208" s="66">
        <f t="shared" si="37"/>
        <v>462879.40537102276</v>
      </c>
      <c r="N208" s="45"/>
      <c r="O208" s="45"/>
      <c r="P208" s="64">
        <f t="shared" si="38"/>
        <v>190</v>
      </c>
      <c r="Q208" s="65">
        <f t="shared" si="39"/>
        <v>895.35799997349602</v>
      </c>
      <c r="R208" s="66">
        <f t="shared" si="44"/>
        <v>685.96468676145469</v>
      </c>
      <c r="S208" s="66">
        <f t="shared" si="43"/>
        <v>209.39331321204133</v>
      </c>
      <c r="T208" s="66">
        <f t="shared" si="40"/>
        <v>80177.093416645919</v>
      </c>
      <c r="U208" s="45"/>
    </row>
    <row r="209" spans="1:21" ht="15">
      <c r="A209" s="45"/>
      <c r="B209" s="64">
        <f t="shared" si="30"/>
        <v>191</v>
      </c>
      <c r="C209" s="65">
        <f t="shared" si="31"/>
        <v>4424.4761644507462</v>
      </c>
      <c r="D209" s="66">
        <f t="shared" si="32"/>
        <v>2658.323559163839</v>
      </c>
      <c r="E209" s="66">
        <f t="shared" si="33"/>
        <v>1766.1526052869071</v>
      </c>
      <c r="F209" s="66">
        <f t="shared" si="34"/>
        <v>489001.27370188339</v>
      </c>
      <c r="G209" s="45"/>
      <c r="H209" s="45"/>
      <c r="I209" s="64">
        <f t="shared" si="35"/>
        <v>191</v>
      </c>
      <c r="J209" s="65">
        <f t="shared" si="41"/>
        <v>3865.4259149932882</v>
      </c>
      <c r="K209" s="66">
        <f t="shared" si="42"/>
        <v>2025.0973984982243</v>
      </c>
      <c r="L209" s="66">
        <f t="shared" si="36"/>
        <v>1840.3285164950639</v>
      </c>
      <c r="M209" s="66">
        <f t="shared" si="37"/>
        <v>461039.0768545277</v>
      </c>
      <c r="N209" s="45"/>
      <c r="O209" s="45"/>
      <c r="P209" s="64">
        <f t="shared" si="38"/>
        <v>191</v>
      </c>
      <c r="Q209" s="65">
        <f t="shared" si="39"/>
        <v>895.35799997349602</v>
      </c>
      <c r="R209" s="66">
        <f t="shared" si="44"/>
        <v>684.1778638220452</v>
      </c>
      <c r="S209" s="66">
        <f t="shared" si="43"/>
        <v>211.18013615145082</v>
      </c>
      <c r="T209" s="66">
        <f t="shared" si="40"/>
        <v>79965.913280494467</v>
      </c>
      <c r="U209" s="45"/>
    </row>
    <row r="210" spans="1:21" ht="15">
      <c r="A210" s="45"/>
      <c r="B210" s="64">
        <f t="shared" si="30"/>
        <v>192</v>
      </c>
      <c r="C210" s="65">
        <f t="shared" si="31"/>
        <v>4424.4761644507462</v>
      </c>
      <c r="D210" s="66">
        <f t="shared" si="32"/>
        <v>2648.7568992185352</v>
      </c>
      <c r="E210" s="66">
        <f t="shared" si="33"/>
        <v>1775.719265232211</v>
      </c>
      <c r="F210" s="66">
        <f t="shared" si="34"/>
        <v>487225.55443665117</v>
      </c>
      <c r="G210" s="45"/>
      <c r="H210" s="45"/>
      <c r="I210" s="64">
        <f t="shared" si="35"/>
        <v>192</v>
      </c>
      <c r="J210" s="65">
        <f t="shared" si="41"/>
        <v>3865.4259149932882</v>
      </c>
      <c r="K210" s="66">
        <f t="shared" si="42"/>
        <v>2017.0459612385584</v>
      </c>
      <c r="L210" s="66">
        <f t="shared" si="36"/>
        <v>1848.3799537547297</v>
      </c>
      <c r="M210" s="66">
        <f t="shared" si="37"/>
        <v>459190.69690077298</v>
      </c>
      <c r="N210" s="45"/>
      <c r="O210" s="45"/>
      <c r="P210" s="64">
        <f t="shared" si="38"/>
        <v>192</v>
      </c>
      <c r="Q210" s="65">
        <f t="shared" si="39"/>
        <v>895.35799997349602</v>
      </c>
      <c r="R210" s="66">
        <f t="shared" si="44"/>
        <v>682.3757933268862</v>
      </c>
      <c r="S210" s="66">
        <f t="shared" si="43"/>
        <v>212.98220664660982</v>
      </c>
      <c r="T210" s="66">
        <f t="shared" si="40"/>
        <v>79752.931073847853</v>
      </c>
      <c r="U210" s="45"/>
    </row>
    <row r="211" spans="1:21" ht="15">
      <c r="A211" s="45"/>
      <c r="B211" s="64">
        <f t="shared" si="30"/>
        <v>193</v>
      </c>
      <c r="C211" s="65">
        <f t="shared" si="31"/>
        <v>4424.4761644507462</v>
      </c>
      <c r="D211" s="66">
        <f t="shared" si="32"/>
        <v>2639.138419865194</v>
      </c>
      <c r="E211" s="66">
        <f t="shared" si="33"/>
        <v>1785.3377445855522</v>
      </c>
      <c r="F211" s="66">
        <f t="shared" si="34"/>
        <v>485440.21669206565</v>
      </c>
      <c r="G211" s="45"/>
      <c r="H211" s="45"/>
      <c r="I211" s="64">
        <f t="shared" si="35"/>
        <v>193</v>
      </c>
      <c r="J211" s="65">
        <f t="shared" si="41"/>
        <v>3865.4259149932882</v>
      </c>
      <c r="K211" s="66">
        <f t="shared" si="42"/>
        <v>2008.9592989408816</v>
      </c>
      <c r="L211" s="66">
        <f t="shared" si="36"/>
        <v>1856.4666160524066</v>
      </c>
      <c r="M211" s="66">
        <f t="shared" si="37"/>
        <v>457334.23028472054</v>
      </c>
      <c r="N211" s="45"/>
      <c r="O211" s="45"/>
      <c r="P211" s="64">
        <f t="shared" si="38"/>
        <v>193</v>
      </c>
      <c r="Q211" s="65">
        <f t="shared" si="39"/>
        <v>895.35799997349602</v>
      </c>
      <c r="R211" s="66">
        <f t="shared" si="44"/>
        <v>680.55834516350171</v>
      </c>
      <c r="S211" s="66">
        <f t="shared" si="43"/>
        <v>214.79965480999431</v>
      </c>
      <c r="T211" s="66">
        <f t="shared" si="40"/>
        <v>79538.131419037862</v>
      </c>
      <c r="U211" s="45"/>
    </row>
    <row r="212" spans="1:21" ht="15">
      <c r="A212" s="45"/>
      <c r="B212" s="64">
        <f t="shared" ref="B212:B275" si="45">IF(B211&lt;$D$6,B211+1,"")</f>
        <v>194</v>
      </c>
      <c r="C212" s="65">
        <f t="shared" ref="C212:C275" si="46">IF(B211&lt;$D$6,+C211,"")</f>
        <v>4424.4761644507462</v>
      </c>
      <c r="D212" s="66">
        <f t="shared" ref="D212:D275" si="47">IF(B211&lt;$D$6,+F211*($D$7/12),"")</f>
        <v>2629.4678404153556</v>
      </c>
      <c r="E212" s="66">
        <f t="shared" ref="E212:E275" si="48">IF(B211&lt;$D$6,+C212-D212,"")</f>
        <v>1795.0083240353906</v>
      </c>
      <c r="F212" s="66">
        <f t="shared" ref="F212:F275" si="49">IF(B211&lt;$D$6,+F211-E212,"")</f>
        <v>483645.20836803026</v>
      </c>
      <c r="G212" s="45"/>
      <c r="H212" s="45"/>
      <c r="I212" s="64">
        <f t="shared" si="35"/>
        <v>194</v>
      </c>
      <c r="J212" s="65">
        <f t="shared" si="41"/>
        <v>3865.4259149932882</v>
      </c>
      <c r="K212" s="66">
        <f t="shared" si="42"/>
        <v>2000.8372574956522</v>
      </c>
      <c r="L212" s="66">
        <f t="shared" si="36"/>
        <v>1864.5886574976359</v>
      </c>
      <c r="M212" s="66">
        <f t="shared" si="37"/>
        <v>455469.64162722288</v>
      </c>
      <c r="N212" s="45"/>
      <c r="O212" s="45"/>
      <c r="P212" s="64">
        <f t="shared" si="38"/>
        <v>194</v>
      </c>
      <c r="Q212" s="65">
        <f t="shared" si="39"/>
        <v>895.35799997349602</v>
      </c>
      <c r="R212" s="66">
        <f t="shared" si="44"/>
        <v>678.72538810912317</v>
      </c>
      <c r="S212" s="66">
        <f t="shared" si="43"/>
        <v>216.63261186437285</v>
      </c>
      <c r="T212" s="66">
        <f t="shared" si="40"/>
        <v>79321.498807173484</v>
      </c>
      <c r="U212" s="45"/>
    </row>
    <row r="213" spans="1:21" ht="15">
      <c r="A213" s="45"/>
      <c r="B213" s="64">
        <f t="shared" si="45"/>
        <v>195</v>
      </c>
      <c r="C213" s="65">
        <f t="shared" si="46"/>
        <v>4424.4761644507462</v>
      </c>
      <c r="D213" s="66">
        <f t="shared" si="47"/>
        <v>2619.744878660164</v>
      </c>
      <c r="E213" s="66">
        <f t="shared" si="48"/>
        <v>1804.7312857905822</v>
      </c>
      <c r="F213" s="66">
        <f t="shared" si="49"/>
        <v>481840.4770822397</v>
      </c>
      <c r="G213" s="45"/>
      <c r="H213" s="45"/>
      <c r="I213" s="64">
        <f t="shared" ref="I213:I276" si="50">IF(I212&lt;$K$6,I212+1,"")</f>
        <v>195</v>
      </c>
      <c r="J213" s="65">
        <f t="shared" si="41"/>
        <v>3865.4259149932882</v>
      </c>
      <c r="K213" s="66">
        <f t="shared" si="42"/>
        <v>1992.6796821190999</v>
      </c>
      <c r="L213" s="66">
        <f t="shared" ref="L213:L276" si="51">IF(I212&lt;$K$6,+J213-K213,"")</f>
        <v>1872.7462328741883</v>
      </c>
      <c r="M213" s="66">
        <f t="shared" ref="M213:M276" si="52">IF(I212&lt;$K$6,+M212-L213,"")</f>
        <v>453596.89539434871</v>
      </c>
      <c r="N213" s="45"/>
      <c r="O213" s="45"/>
      <c r="P213" s="64">
        <f t="shared" ref="P213:P276" si="53">IF(P212&lt;$K$6,P212+1,"")</f>
        <v>195</v>
      </c>
      <c r="Q213" s="65">
        <f t="shared" ref="Q213:Q276" si="54">IF(P212&lt;$R$6,+Q212,"")</f>
        <v>895.35799997349602</v>
      </c>
      <c r="R213" s="66">
        <f t="shared" si="44"/>
        <v>676.87678982121372</v>
      </c>
      <c r="S213" s="66">
        <f t="shared" si="43"/>
        <v>218.4812101522823</v>
      </c>
      <c r="T213" s="66">
        <f t="shared" ref="T213:T276" si="55">IF(P212&lt;$R$6,+T212-S213,"")</f>
        <v>79103.0175970212</v>
      </c>
      <c r="U213" s="45"/>
    </row>
    <row r="214" spans="1:21" ht="15">
      <c r="A214" s="45"/>
      <c r="B214" s="64">
        <f t="shared" si="45"/>
        <v>196</v>
      </c>
      <c r="C214" s="65">
        <f t="shared" si="46"/>
        <v>4424.4761644507462</v>
      </c>
      <c r="D214" s="66">
        <f t="shared" si="47"/>
        <v>2609.969250862132</v>
      </c>
      <c r="E214" s="66">
        <f t="shared" si="48"/>
        <v>1814.5069135886142</v>
      </c>
      <c r="F214" s="66">
        <f t="shared" si="49"/>
        <v>480025.97016865108</v>
      </c>
      <c r="G214" s="45"/>
      <c r="H214" s="45"/>
      <c r="I214" s="64">
        <f t="shared" si="50"/>
        <v>196</v>
      </c>
      <c r="J214" s="65">
        <f t="shared" ref="J214:J277" si="56">IF(I213&lt;$K$6,+J213,"")</f>
        <v>3865.4259149932882</v>
      </c>
      <c r="K214" s="66">
        <f t="shared" ref="K214:K277" si="57">IF(I213&lt;$K$6,+M213*($K$7/12),"")</f>
        <v>1984.4864173502754</v>
      </c>
      <c r="L214" s="66">
        <f t="shared" si="51"/>
        <v>1880.9394976430128</v>
      </c>
      <c r="M214" s="66">
        <f t="shared" si="52"/>
        <v>451715.95589670568</v>
      </c>
      <c r="N214" s="45"/>
      <c r="O214" s="45"/>
      <c r="P214" s="64">
        <f t="shared" si="53"/>
        <v>196</v>
      </c>
      <c r="Q214" s="65">
        <f t="shared" si="54"/>
        <v>895.35799997349602</v>
      </c>
      <c r="R214" s="66">
        <f t="shared" si="44"/>
        <v>675.01241682791431</v>
      </c>
      <c r="S214" s="66">
        <f t="shared" ref="S214:S277" si="58">IF(P213&lt;$R$6,+Q214-R214,"")</f>
        <v>220.34558314558171</v>
      </c>
      <c r="T214" s="66">
        <f t="shared" si="55"/>
        <v>78882.672013875621</v>
      </c>
      <c r="U214" s="45"/>
    </row>
    <row r="215" spans="1:21" ht="15">
      <c r="A215" s="45"/>
      <c r="B215" s="64">
        <f t="shared" si="45"/>
        <v>197</v>
      </c>
      <c r="C215" s="65">
        <f t="shared" si="46"/>
        <v>4424.4761644507462</v>
      </c>
      <c r="D215" s="66">
        <f t="shared" si="47"/>
        <v>2600.1406717468603</v>
      </c>
      <c r="E215" s="66">
        <f t="shared" si="48"/>
        <v>1824.3354927038858</v>
      </c>
      <c r="F215" s="66">
        <f t="shared" si="49"/>
        <v>478201.63467594719</v>
      </c>
      <c r="G215" s="45"/>
      <c r="H215" s="45"/>
      <c r="I215" s="64">
        <f t="shared" si="50"/>
        <v>197</v>
      </c>
      <c r="J215" s="65">
        <f t="shared" si="56"/>
        <v>3865.4259149932882</v>
      </c>
      <c r="K215" s="66">
        <f t="shared" si="57"/>
        <v>1976.2573070480871</v>
      </c>
      <c r="L215" s="66">
        <f t="shared" si="51"/>
        <v>1889.1686079452011</v>
      </c>
      <c r="M215" s="66">
        <f t="shared" si="52"/>
        <v>449826.78728876048</v>
      </c>
      <c r="N215" s="45"/>
      <c r="O215" s="45"/>
      <c r="P215" s="64">
        <f t="shared" si="53"/>
        <v>197</v>
      </c>
      <c r="Q215" s="65">
        <f t="shared" si="54"/>
        <v>895.35799997349602</v>
      </c>
      <c r="R215" s="66">
        <f t="shared" ref="R215:R278" si="59">IF(P214&lt;$R$6,+T214*($R$7/12),"")</f>
        <v>673.13213451840534</v>
      </c>
      <c r="S215" s="66">
        <f t="shared" si="58"/>
        <v>222.22586545509068</v>
      </c>
      <c r="T215" s="66">
        <f t="shared" si="55"/>
        <v>78660.446148420524</v>
      </c>
      <c r="U215" s="45"/>
    </row>
    <row r="216" spans="1:21" ht="15">
      <c r="A216" s="45"/>
      <c r="B216" s="64">
        <f t="shared" si="45"/>
        <v>198</v>
      </c>
      <c r="C216" s="65">
        <f t="shared" si="46"/>
        <v>4424.4761644507462</v>
      </c>
      <c r="D216" s="66">
        <f t="shared" si="47"/>
        <v>2590.2588544947139</v>
      </c>
      <c r="E216" s="66">
        <f t="shared" si="48"/>
        <v>1834.2173099560323</v>
      </c>
      <c r="F216" s="66">
        <f t="shared" si="49"/>
        <v>476367.41736599116</v>
      </c>
      <c r="G216" s="45"/>
      <c r="H216" s="45"/>
      <c r="I216" s="64">
        <f t="shared" si="50"/>
        <v>198</v>
      </c>
      <c r="J216" s="65">
        <f t="shared" si="56"/>
        <v>3865.4259149932882</v>
      </c>
      <c r="K216" s="66">
        <f t="shared" si="57"/>
        <v>1967.9921943883269</v>
      </c>
      <c r="L216" s="66">
        <f t="shared" si="51"/>
        <v>1897.4337206049613</v>
      </c>
      <c r="M216" s="66">
        <f t="shared" si="52"/>
        <v>447929.35356815549</v>
      </c>
      <c r="N216" s="45"/>
      <c r="O216" s="45"/>
      <c r="P216" s="64">
        <f t="shared" si="53"/>
        <v>198</v>
      </c>
      <c r="Q216" s="65">
        <f t="shared" si="54"/>
        <v>895.35799997349602</v>
      </c>
      <c r="R216" s="66">
        <f t="shared" si="59"/>
        <v>671.23580713318847</v>
      </c>
      <c r="S216" s="66">
        <f t="shared" si="58"/>
        <v>224.12219284030755</v>
      </c>
      <c r="T216" s="66">
        <f t="shared" si="55"/>
        <v>78436.323955580214</v>
      </c>
      <c r="U216" s="45"/>
    </row>
    <row r="217" spans="1:21" ht="15">
      <c r="A217" s="45"/>
      <c r="B217" s="64">
        <f t="shared" si="45"/>
        <v>199</v>
      </c>
      <c r="C217" s="65">
        <f t="shared" si="46"/>
        <v>4424.4761644507462</v>
      </c>
      <c r="D217" s="66">
        <f t="shared" si="47"/>
        <v>2580.3235107324522</v>
      </c>
      <c r="E217" s="66">
        <f t="shared" si="48"/>
        <v>1844.152653718294</v>
      </c>
      <c r="F217" s="66">
        <f t="shared" si="49"/>
        <v>474523.26471227285</v>
      </c>
      <c r="G217" s="45"/>
      <c r="H217" s="45"/>
      <c r="I217" s="64">
        <f t="shared" si="50"/>
        <v>199</v>
      </c>
      <c r="J217" s="65">
        <f t="shared" si="56"/>
        <v>3865.4259149932882</v>
      </c>
      <c r="K217" s="66">
        <f t="shared" si="57"/>
        <v>1959.6909218606802</v>
      </c>
      <c r="L217" s="66">
        <f t="shared" si="51"/>
        <v>1905.734993132608</v>
      </c>
      <c r="M217" s="66">
        <f t="shared" si="52"/>
        <v>446023.61857502291</v>
      </c>
      <c r="N217" s="45"/>
      <c r="O217" s="45"/>
      <c r="P217" s="64">
        <f t="shared" si="53"/>
        <v>199</v>
      </c>
      <c r="Q217" s="65">
        <f t="shared" si="54"/>
        <v>895.35799997349602</v>
      </c>
      <c r="R217" s="66">
        <f t="shared" si="59"/>
        <v>669.32329775428457</v>
      </c>
      <c r="S217" s="66">
        <f t="shared" si="58"/>
        <v>226.03470221921145</v>
      </c>
      <c r="T217" s="66">
        <f t="shared" si="55"/>
        <v>78210.289253360999</v>
      </c>
      <c r="U217" s="45"/>
    </row>
    <row r="218" spans="1:21" ht="15">
      <c r="A218" s="45"/>
      <c r="B218" s="64">
        <f t="shared" si="45"/>
        <v>200</v>
      </c>
      <c r="C218" s="65">
        <f t="shared" si="46"/>
        <v>4424.4761644507462</v>
      </c>
      <c r="D218" s="66">
        <f t="shared" si="47"/>
        <v>2570.3343505248113</v>
      </c>
      <c r="E218" s="66">
        <f t="shared" si="48"/>
        <v>1854.1418139259349</v>
      </c>
      <c r="F218" s="66">
        <f t="shared" si="49"/>
        <v>472669.12289834692</v>
      </c>
      <c r="G218" s="45"/>
      <c r="H218" s="45"/>
      <c r="I218" s="64">
        <f t="shared" si="50"/>
        <v>200</v>
      </c>
      <c r="J218" s="65">
        <f t="shared" si="56"/>
        <v>3865.4259149932882</v>
      </c>
      <c r="K218" s="66">
        <f t="shared" si="57"/>
        <v>1951.353331265725</v>
      </c>
      <c r="L218" s="66">
        <f t="shared" si="51"/>
        <v>1914.0725837275631</v>
      </c>
      <c r="M218" s="66">
        <f t="shared" si="52"/>
        <v>444109.54599129537</v>
      </c>
      <c r="N218" s="45"/>
      <c r="O218" s="45"/>
      <c r="P218" s="64">
        <f t="shared" si="53"/>
        <v>200</v>
      </c>
      <c r="Q218" s="65">
        <f t="shared" si="54"/>
        <v>895.35799997349602</v>
      </c>
      <c r="R218" s="66">
        <f t="shared" si="59"/>
        <v>667.39446829534722</v>
      </c>
      <c r="S218" s="66">
        <f t="shared" si="58"/>
        <v>227.9635316781488</v>
      </c>
      <c r="T218" s="66">
        <f t="shared" si="55"/>
        <v>77982.32572168285</v>
      </c>
      <c r="U218" s="45"/>
    </row>
    <row r="219" spans="1:21" ht="15">
      <c r="A219" s="45"/>
      <c r="B219" s="64">
        <f t="shared" si="45"/>
        <v>201</v>
      </c>
      <c r="C219" s="65">
        <f t="shared" si="46"/>
        <v>4424.4761644507462</v>
      </c>
      <c r="D219" s="66">
        <f t="shared" si="47"/>
        <v>2560.2910823660459</v>
      </c>
      <c r="E219" s="66">
        <f t="shared" si="48"/>
        <v>1864.1850820847003</v>
      </c>
      <c r="F219" s="66">
        <f t="shared" si="49"/>
        <v>470804.93781626225</v>
      </c>
      <c r="G219" s="45"/>
      <c r="H219" s="45"/>
      <c r="I219" s="64">
        <f t="shared" si="50"/>
        <v>201</v>
      </c>
      <c r="J219" s="65">
        <f t="shared" si="56"/>
        <v>3865.4259149932882</v>
      </c>
      <c r="K219" s="66">
        <f t="shared" si="57"/>
        <v>1942.9792637119169</v>
      </c>
      <c r="L219" s="66">
        <f t="shared" si="51"/>
        <v>1922.4466512813713</v>
      </c>
      <c r="M219" s="66">
        <f t="shared" si="52"/>
        <v>442187.09934001399</v>
      </c>
      <c r="N219" s="45"/>
      <c r="O219" s="45"/>
      <c r="P219" s="64">
        <f t="shared" si="53"/>
        <v>201</v>
      </c>
      <c r="Q219" s="65">
        <f t="shared" si="54"/>
        <v>895.35799997349602</v>
      </c>
      <c r="R219" s="66">
        <f t="shared" si="59"/>
        <v>665.44917949169371</v>
      </c>
      <c r="S219" s="66">
        <f t="shared" si="58"/>
        <v>229.90882048180231</v>
      </c>
      <c r="T219" s="66">
        <f t="shared" si="55"/>
        <v>77752.416901201053</v>
      </c>
      <c r="U219" s="45"/>
    </row>
    <row r="220" spans="1:21" ht="15">
      <c r="A220" s="45"/>
      <c r="B220" s="64">
        <f t="shared" si="45"/>
        <v>202</v>
      </c>
      <c r="C220" s="65">
        <f t="shared" si="46"/>
        <v>4424.4761644507462</v>
      </c>
      <c r="D220" s="66">
        <f t="shared" si="47"/>
        <v>2550.1934131714206</v>
      </c>
      <c r="E220" s="66">
        <f t="shared" si="48"/>
        <v>1874.2827512793256</v>
      </c>
      <c r="F220" s="66">
        <f t="shared" si="49"/>
        <v>468930.65506498294</v>
      </c>
      <c r="G220" s="45"/>
      <c r="H220" s="45"/>
      <c r="I220" s="64">
        <f t="shared" si="50"/>
        <v>202</v>
      </c>
      <c r="J220" s="65">
        <f t="shared" si="56"/>
        <v>3865.4259149932882</v>
      </c>
      <c r="K220" s="66">
        <f t="shared" si="57"/>
        <v>1934.5685596125609</v>
      </c>
      <c r="L220" s="66">
        <f t="shared" si="51"/>
        <v>1930.8573553807273</v>
      </c>
      <c r="M220" s="66">
        <f t="shared" si="52"/>
        <v>440256.24198463326</v>
      </c>
      <c r="N220" s="45"/>
      <c r="O220" s="45"/>
      <c r="P220" s="64">
        <f t="shared" si="53"/>
        <v>202</v>
      </c>
      <c r="Q220" s="65">
        <f t="shared" si="54"/>
        <v>895.35799997349602</v>
      </c>
      <c r="R220" s="66">
        <f t="shared" si="59"/>
        <v>663.48729089024903</v>
      </c>
      <c r="S220" s="66">
        <f t="shared" si="58"/>
        <v>231.87070908324699</v>
      </c>
      <c r="T220" s="66">
        <f t="shared" si="55"/>
        <v>77520.546192117807</v>
      </c>
      <c r="U220" s="45"/>
    </row>
    <row r="221" spans="1:21" ht="15">
      <c r="A221" s="45"/>
      <c r="B221" s="64">
        <f t="shared" si="45"/>
        <v>203</v>
      </c>
      <c r="C221" s="65">
        <f t="shared" si="46"/>
        <v>4424.4761644507462</v>
      </c>
      <c r="D221" s="66">
        <f t="shared" si="47"/>
        <v>2540.0410482686575</v>
      </c>
      <c r="E221" s="66">
        <f t="shared" si="48"/>
        <v>1884.4351161820887</v>
      </c>
      <c r="F221" s="66">
        <f t="shared" si="49"/>
        <v>467046.21994880086</v>
      </c>
      <c r="G221" s="45"/>
      <c r="H221" s="45"/>
      <c r="I221" s="64">
        <f t="shared" si="50"/>
        <v>203</v>
      </c>
      <c r="J221" s="65">
        <f t="shared" si="56"/>
        <v>3865.4259149932882</v>
      </c>
      <c r="K221" s="66">
        <f t="shared" si="57"/>
        <v>1926.1210586827704</v>
      </c>
      <c r="L221" s="66">
        <f t="shared" si="51"/>
        <v>1939.3048563105178</v>
      </c>
      <c r="M221" s="66">
        <f t="shared" si="52"/>
        <v>438316.93712832272</v>
      </c>
      <c r="N221" s="45"/>
      <c r="O221" s="45"/>
      <c r="P221" s="64">
        <f t="shared" si="53"/>
        <v>203</v>
      </c>
      <c r="Q221" s="65">
        <f t="shared" si="54"/>
        <v>895.35799997349602</v>
      </c>
      <c r="R221" s="66">
        <f t="shared" si="59"/>
        <v>661.50866083940537</v>
      </c>
      <c r="S221" s="66">
        <f t="shared" si="58"/>
        <v>233.84933913409066</v>
      </c>
      <c r="T221" s="66">
        <f t="shared" si="55"/>
        <v>77286.696852983718</v>
      </c>
      <c r="U221" s="45"/>
    </row>
    <row r="222" spans="1:21" ht="15">
      <c r="A222" s="45"/>
      <c r="B222" s="64">
        <f t="shared" si="45"/>
        <v>204</v>
      </c>
      <c r="C222" s="65">
        <f t="shared" si="46"/>
        <v>4424.4761644507462</v>
      </c>
      <c r="D222" s="66">
        <f t="shared" si="47"/>
        <v>2529.8336913893381</v>
      </c>
      <c r="E222" s="66">
        <f t="shared" si="48"/>
        <v>1894.6424730614081</v>
      </c>
      <c r="F222" s="66">
        <f t="shared" si="49"/>
        <v>465151.57747573947</v>
      </c>
      <c r="G222" s="45"/>
      <c r="H222" s="45"/>
      <c r="I222" s="64">
        <f t="shared" si="50"/>
        <v>204</v>
      </c>
      <c r="J222" s="65">
        <f t="shared" si="56"/>
        <v>3865.4259149932882</v>
      </c>
      <c r="K222" s="66">
        <f t="shared" si="57"/>
        <v>1917.6365999364118</v>
      </c>
      <c r="L222" s="66">
        <f t="shared" si="51"/>
        <v>1947.7893150568764</v>
      </c>
      <c r="M222" s="66">
        <f t="shared" si="52"/>
        <v>436369.14781326585</v>
      </c>
      <c r="N222" s="45"/>
      <c r="O222" s="45"/>
      <c r="P222" s="64">
        <f t="shared" si="53"/>
        <v>204</v>
      </c>
      <c r="Q222" s="65">
        <f t="shared" si="54"/>
        <v>895.35799997349602</v>
      </c>
      <c r="R222" s="66">
        <f t="shared" si="59"/>
        <v>659.5131464787944</v>
      </c>
      <c r="S222" s="66">
        <f t="shared" si="58"/>
        <v>235.84485349470162</v>
      </c>
      <c r="T222" s="66">
        <f t="shared" si="55"/>
        <v>77050.851999489023</v>
      </c>
      <c r="U222" s="45"/>
    </row>
    <row r="223" spans="1:21" ht="15">
      <c r="A223" s="45"/>
      <c r="B223" s="64">
        <f t="shared" si="45"/>
        <v>205</v>
      </c>
      <c r="C223" s="65">
        <f t="shared" si="46"/>
        <v>4424.4761644507462</v>
      </c>
      <c r="D223" s="66">
        <f t="shared" si="47"/>
        <v>2519.5710446602557</v>
      </c>
      <c r="E223" s="66">
        <f t="shared" si="48"/>
        <v>1904.9051197904905</v>
      </c>
      <c r="F223" s="66">
        <f t="shared" si="49"/>
        <v>463246.67235594901</v>
      </c>
      <c r="G223" s="45"/>
      <c r="H223" s="45"/>
      <c r="I223" s="64">
        <f t="shared" si="50"/>
        <v>205</v>
      </c>
      <c r="J223" s="65">
        <f t="shared" si="56"/>
        <v>3865.4259149932882</v>
      </c>
      <c r="K223" s="66">
        <f t="shared" si="57"/>
        <v>1909.1150216830379</v>
      </c>
      <c r="L223" s="66">
        <f t="shared" si="51"/>
        <v>1956.3108933102503</v>
      </c>
      <c r="M223" s="66">
        <f t="shared" si="52"/>
        <v>434412.83691995562</v>
      </c>
      <c r="N223" s="45"/>
      <c r="O223" s="45"/>
      <c r="P223" s="64">
        <f t="shared" si="53"/>
        <v>205</v>
      </c>
      <c r="Q223" s="65">
        <f t="shared" si="54"/>
        <v>895.35799997349602</v>
      </c>
      <c r="R223" s="66">
        <f t="shared" si="59"/>
        <v>657.50060372897303</v>
      </c>
      <c r="S223" s="66">
        <f t="shared" si="58"/>
        <v>237.85739624452299</v>
      </c>
      <c r="T223" s="66">
        <f t="shared" si="55"/>
        <v>76812.9946032445</v>
      </c>
      <c r="U223" s="45"/>
    </row>
    <row r="224" spans="1:21" ht="15">
      <c r="A224" s="45"/>
      <c r="B224" s="64">
        <f t="shared" si="45"/>
        <v>206</v>
      </c>
      <c r="C224" s="65">
        <f t="shared" si="46"/>
        <v>4424.4761644507462</v>
      </c>
      <c r="D224" s="66">
        <f t="shared" si="47"/>
        <v>2509.2528085947238</v>
      </c>
      <c r="E224" s="66">
        <f t="shared" si="48"/>
        <v>1915.2233558560224</v>
      </c>
      <c r="F224" s="66">
        <f t="shared" si="49"/>
        <v>461331.44900009298</v>
      </c>
      <c r="G224" s="45"/>
      <c r="H224" s="45"/>
      <c r="I224" s="64">
        <f t="shared" si="50"/>
        <v>206</v>
      </c>
      <c r="J224" s="65">
        <f t="shared" si="56"/>
        <v>3865.4259149932882</v>
      </c>
      <c r="K224" s="66">
        <f t="shared" si="57"/>
        <v>1900.5561615248057</v>
      </c>
      <c r="L224" s="66">
        <f t="shared" si="51"/>
        <v>1964.8697534684825</v>
      </c>
      <c r="M224" s="66">
        <f t="shared" si="52"/>
        <v>432447.96716648713</v>
      </c>
      <c r="N224" s="45"/>
      <c r="O224" s="45"/>
      <c r="P224" s="64">
        <f t="shared" si="53"/>
        <v>206</v>
      </c>
      <c r="Q224" s="65">
        <f t="shared" si="54"/>
        <v>895.35799997349602</v>
      </c>
      <c r="R224" s="66">
        <f t="shared" si="59"/>
        <v>655.47088728101971</v>
      </c>
      <c r="S224" s="66">
        <f t="shared" si="58"/>
        <v>239.88711269247631</v>
      </c>
      <c r="T224" s="66">
        <f t="shared" si="55"/>
        <v>76573.107490552022</v>
      </c>
      <c r="U224" s="45"/>
    </row>
    <row r="225" spans="1:21" ht="15">
      <c r="A225" s="45"/>
      <c r="B225" s="64">
        <f t="shared" si="45"/>
        <v>207</v>
      </c>
      <c r="C225" s="65">
        <f t="shared" si="46"/>
        <v>4424.4761644507462</v>
      </c>
      <c r="D225" s="66">
        <f t="shared" si="47"/>
        <v>2498.8786820838372</v>
      </c>
      <c r="E225" s="66">
        <f t="shared" si="48"/>
        <v>1925.5974823669089</v>
      </c>
      <c r="F225" s="66">
        <f t="shared" si="49"/>
        <v>459405.85151772609</v>
      </c>
      <c r="G225" s="45"/>
      <c r="H225" s="45"/>
      <c r="I225" s="64">
        <f t="shared" si="50"/>
        <v>207</v>
      </c>
      <c r="J225" s="65">
        <f t="shared" si="56"/>
        <v>3865.4259149932882</v>
      </c>
      <c r="K225" s="66">
        <f t="shared" si="57"/>
        <v>1891.9598563533809</v>
      </c>
      <c r="L225" s="66">
        <f t="shared" si="51"/>
        <v>1973.4660586399073</v>
      </c>
      <c r="M225" s="66">
        <f t="shared" si="52"/>
        <v>430474.5011078472</v>
      </c>
      <c r="N225" s="45"/>
      <c r="O225" s="45"/>
      <c r="P225" s="64">
        <f t="shared" si="53"/>
        <v>207</v>
      </c>
      <c r="Q225" s="65">
        <f t="shared" si="54"/>
        <v>895.35799997349602</v>
      </c>
      <c r="R225" s="66">
        <f t="shared" si="59"/>
        <v>653.42385058604395</v>
      </c>
      <c r="S225" s="66">
        <f t="shared" si="58"/>
        <v>241.93414938745207</v>
      </c>
      <c r="T225" s="66">
        <f t="shared" si="55"/>
        <v>76331.173341164569</v>
      </c>
      <c r="U225" s="45"/>
    </row>
    <row r="226" spans="1:21" ht="15">
      <c r="A226" s="45"/>
      <c r="B226" s="64">
        <f t="shared" si="45"/>
        <v>208</v>
      </c>
      <c r="C226" s="65">
        <f t="shared" si="46"/>
        <v>4424.4761644507462</v>
      </c>
      <c r="D226" s="66">
        <f t="shared" si="47"/>
        <v>2488.4483623876831</v>
      </c>
      <c r="E226" s="66">
        <f t="shared" si="48"/>
        <v>1936.0278020630631</v>
      </c>
      <c r="F226" s="66">
        <f t="shared" si="49"/>
        <v>457469.82371566305</v>
      </c>
      <c r="G226" s="45"/>
      <c r="H226" s="45"/>
      <c r="I226" s="64">
        <f t="shared" si="50"/>
        <v>208</v>
      </c>
      <c r="J226" s="65">
        <f t="shared" si="56"/>
        <v>3865.4259149932882</v>
      </c>
      <c r="K226" s="66">
        <f t="shared" si="57"/>
        <v>1883.3259423468314</v>
      </c>
      <c r="L226" s="66">
        <f t="shared" si="51"/>
        <v>1982.0999726464568</v>
      </c>
      <c r="M226" s="66">
        <f t="shared" si="52"/>
        <v>428492.40113520075</v>
      </c>
      <c r="N226" s="45"/>
      <c r="O226" s="45"/>
      <c r="P226" s="64">
        <f t="shared" si="53"/>
        <v>208</v>
      </c>
      <c r="Q226" s="65">
        <f t="shared" si="54"/>
        <v>895.35799997349602</v>
      </c>
      <c r="R226" s="66">
        <f t="shared" si="59"/>
        <v>651.35934584460438</v>
      </c>
      <c r="S226" s="66">
        <f t="shared" si="58"/>
        <v>243.99865412889164</v>
      </c>
      <c r="T226" s="66">
        <f t="shared" si="55"/>
        <v>76087.174687035673</v>
      </c>
      <c r="U226" s="45"/>
    </row>
    <row r="227" spans="1:21" ht="15">
      <c r="A227" s="45"/>
      <c r="B227" s="64">
        <f t="shared" si="45"/>
        <v>209</v>
      </c>
      <c r="C227" s="65">
        <f t="shared" si="46"/>
        <v>4424.4761644507462</v>
      </c>
      <c r="D227" s="66">
        <f t="shared" si="47"/>
        <v>2477.9615451265081</v>
      </c>
      <c r="E227" s="66">
        <f t="shared" si="48"/>
        <v>1946.5146193242381</v>
      </c>
      <c r="F227" s="66">
        <f t="shared" si="49"/>
        <v>455523.30909633881</v>
      </c>
      <c r="G227" s="45"/>
      <c r="H227" s="45"/>
      <c r="I227" s="64">
        <f t="shared" si="50"/>
        <v>209</v>
      </c>
      <c r="J227" s="65">
        <f t="shared" si="56"/>
        <v>3865.4259149932882</v>
      </c>
      <c r="K227" s="66">
        <f t="shared" si="57"/>
        <v>1874.654254966503</v>
      </c>
      <c r="L227" s="66">
        <f t="shared" si="51"/>
        <v>1990.7716600267852</v>
      </c>
      <c r="M227" s="66">
        <f t="shared" si="52"/>
        <v>426501.62947517395</v>
      </c>
      <c r="N227" s="45"/>
      <c r="O227" s="45"/>
      <c r="P227" s="64">
        <f t="shared" si="53"/>
        <v>209</v>
      </c>
      <c r="Q227" s="65">
        <f t="shared" si="54"/>
        <v>895.35799997349602</v>
      </c>
      <c r="R227" s="66">
        <f t="shared" si="59"/>
        <v>649.27722399603772</v>
      </c>
      <c r="S227" s="66">
        <f t="shared" si="58"/>
        <v>246.0807759774583</v>
      </c>
      <c r="T227" s="66">
        <f t="shared" si="55"/>
        <v>75841.093911058211</v>
      </c>
      <c r="U227" s="45"/>
    </row>
    <row r="228" spans="1:21" ht="15">
      <c r="A228" s="45"/>
      <c r="B228" s="64">
        <f t="shared" si="45"/>
        <v>210</v>
      </c>
      <c r="C228" s="65">
        <f t="shared" si="46"/>
        <v>4424.4761644507462</v>
      </c>
      <c r="D228" s="66">
        <f t="shared" si="47"/>
        <v>2467.4179242718351</v>
      </c>
      <c r="E228" s="66">
        <f t="shared" si="48"/>
        <v>1957.0582401789111</v>
      </c>
      <c r="F228" s="66">
        <f t="shared" si="49"/>
        <v>453566.2508561599</v>
      </c>
      <c r="G228" s="45"/>
      <c r="H228" s="45"/>
      <c r="I228" s="64">
        <f t="shared" si="50"/>
        <v>210</v>
      </c>
      <c r="J228" s="65">
        <f t="shared" si="56"/>
        <v>3865.4259149932882</v>
      </c>
      <c r="K228" s="66">
        <f t="shared" si="57"/>
        <v>1865.9446289538857</v>
      </c>
      <c r="L228" s="66">
        <f t="shared" si="51"/>
        <v>1999.4812860394024</v>
      </c>
      <c r="M228" s="66">
        <f t="shared" si="52"/>
        <v>424502.14818913455</v>
      </c>
      <c r="N228" s="45"/>
      <c r="O228" s="45"/>
      <c r="P228" s="64">
        <f t="shared" si="53"/>
        <v>210</v>
      </c>
      <c r="Q228" s="65">
        <f t="shared" si="54"/>
        <v>895.35799997349602</v>
      </c>
      <c r="R228" s="66">
        <f t="shared" si="59"/>
        <v>647.17733470769679</v>
      </c>
      <c r="S228" s="66">
        <f t="shared" si="58"/>
        <v>248.18066526579923</v>
      </c>
      <c r="T228" s="66">
        <f t="shared" si="55"/>
        <v>75592.913245792413</v>
      </c>
      <c r="U228" s="45"/>
    </row>
    <row r="229" spans="1:21" ht="15">
      <c r="A229" s="45"/>
      <c r="B229" s="64">
        <f t="shared" si="45"/>
        <v>211</v>
      </c>
      <c r="C229" s="65">
        <f t="shared" si="46"/>
        <v>4424.4761644507462</v>
      </c>
      <c r="D229" s="66">
        <f t="shared" si="47"/>
        <v>2456.8171921375329</v>
      </c>
      <c r="E229" s="66">
        <f t="shared" si="48"/>
        <v>1967.6589723132133</v>
      </c>
      <c r="F229" s="66">
        <f t="shared" si="49"/>
        <v>451598.59188384668</v>
      </c>
      <c r="G229" s="45"/>
      <c r="H229" s="45"/>
      <c r="I229" s="64">
        <f t="shared" si="50"/>
        <v>211</v>
      </c>
      <c r="J229" s="65">
        <f t="shared" si="56"/>
        <v>3865.4259149932882</v>
      </c>
      <c r="K229" s="66">
        <f t="shared" si="57"/>
        <v>1857.1968983274635</v>
      </c>
      <c r="L229" s="66">
        <f t="shared" si="51"/>
        <v>2008.2290166658247</v>
      </c>
      <c r="M229" s="66">
        <f t="shared" si="52"/>
        <v>422493.91917246871</v>
      </c>
      <c r="N229" s="45"/>
      <c r="O229" s="45"/>
      <c r="P229" s="64">
        <f t="shared" si="53"/>
        <v>211</v>
      </c>
      <c r="Q229" s="65">
        <f t="shared" si="54"/>
        <v>895.35799997349602</v>
      </c>
      <c r="R229" s="66">
        <f t="shared" si="59"/>
        <v>645.05952636409529</v>
      </c>
      <c r="S229" s="66">
        <f t="shared" si="58"/>
        <v>250.29847360940073</v>
      </c>
      <c r="T229" s="66">
        <f t="shared" si="55"/>
        <v>75342.614772183006</v>
      </c>
      <c r="U229" s="45"/>
    </row>
    <row r="230" spans="1:21" ht="15">
      <c r="A230" s="45"/>
      <c r="B230" s="64">
        <f t="shared" si="45"/>
        <v>212</v>
      </c>
      <c r="C230" s="65">
        <f t="shared" si="46"/>
        <v>4424.4761644507462</v>
      </c>
      <c r="D230" s="66">
        <f t="shared" si="47"/>
        <v>2446.1590393708361</v>
      </c>
      <c r="E230" s="66">
        <f t="shared" si="48"/>
        <v>1978.3171250799101</v>
      </c>
      <c r="F230" s="66">
        <f t="shared" si="49"/>
        <v>449620.27475876675</v>
      </c>
      <c r="G230" s="45"/>
      <c r="H230" s="45"/>
      <c r="I230" s="64">
        <f t="shared" si="50"/>
        <v>212</v>
      </c>
      <c r="J230" s="65">
        <f t="shared" si="56"/>
        <v>3865.4259149932882</v>
      </c>
      <c r="K230" s="66">
        <f t="shared" si="57"/>
        <v>1848.4108963795504</v>
      </c>
      <c r="L230" s="66">
        <f t="shared" si="51"/>
        <v>2017.0150186137378</v>
      </c>
      <c r="M230" s="66">
        <f t="shared" si="52"/>
        <v>420476.90415385499</v>
      </c>
      <c r="N230" s="45"/>
      <c r="O230" s="45"/>
      <c r="P230" s="64">
        <f t="shared" si="53"/>
        <v>212</v>
      </c>
      <c r="Q230" s="65">
        <f t="shared" si="54"/>
        <v>895.35799997349602</v>
      </c>
      <c r="R230" s="66">
        <f t="shared" si="59"/>
        <v>642.92364605596163</v>
      </c>
      <c r="S230" s="66">
        <f t="shared" si="58"/>
        <v>252.43435391753439</v>
      </c>
      <c r="T230" s="66">
        <f t="shared" si="55"/>
        <v>75090.180418265474</v>
      </c>
      <c r="U230" s="45"/>
    </row>
    <row r="231" spans="1:21" ht="15">
      <c r="A231" s="45"/>
      <c r="B231" s="64">
        <f t="shared" si="45"/>
        <v>213</v>
      </c>
      <c r="C231" s="65">
        <f t="shared" si="46"/>
        <v>4424.4761644507462</v>
      </c>
      <c r="D231" s="66">
        <f t="shared" si="47"/>
        <v>2435.4431549433202</v>
      </c>
      <c r="E231" s="66">
        <f t="shared" si="48"/>
        <v>1989.033009507426</v>
      </c>
      <c r="F231" s="66">
        <f t="shared" si="49"/>
        <v>447631.24174925935</v>
      </c>
      <c r="G231" s="45"/>
      <c r="H231" s="45"/>
      <c r="I231" s="64">
        <f t="shared" si="50"/>
        <v>213</v>
      </c>
      <c r="J231" s="65">
        <f t="shared" si="56"/>
        <v>3865.4259149932882</v>
      </c>
      <c r="K231" s="66">
        <f t="shared" si="57"/>
        <v>1839.5864556731153</v>
      </c>
      <c r="L231" s="66">
        <f t="shared" si="51"/>
        <v>2025.8394593201729</v>
      </c>
      <c r="M231" s="66">
        <f t="shared" si="52"/>
        <v>418451.06469453481</v>
      </c>
      <c r="N231" s="45"/>
      <c r="O231" s="45"/>
      <c r="P231" s="64">
        <f t="shared" si="53"/>
        <v>213</v>
      </c>
      <c r="Q231" s="65">
        <f t="shared" si="54"/>
        <v>895.35799997349602</v>
      </c>
      <c r="R231" s="66">
        <f t="shared" si="59"/>
        <v>640.76953956919874</v>
      </c>
      <c r="S231" s="66">
        <f t="shared" si="58"/>
        <v>254.58846040429728</v>
      </c>
      <c r="T231" s="66">
        <f t="shared" si="55"/>
        <v>74835.591957861179</v>
      </c>
      <c r="U231" s="45"/>
    </row>
    <row r="232" spans="1:21" ht="15">
      <c r="A232" s="45"/>
      <c r="B232" s="64">
        <f t="shared" si="45"/>
        <v>214</v>
      </c>
      <c r="C232" s="65">
        <f t="shared" si="46"/>
        <v>4424.4761644507462</v>
      </c>
      <c r="D232" s="66">
        <f t="shared" si="47"/>
        <v>2424.6692261418216</v>
      </c>
      <c r="E232" s="66">
        <f t="shared" si="48"/>
        <v>1999.8069383089246</v>
      </c>
      <c r="F232" s="66">
        <f t="shared" si="49"/>
        <v>445631.43481095042</v>
      </c>
      <c r="G232" s="45"/>
      <c r="H232" s="45"/>
      <c r="I232" s="64">
        <f t="shared" si="50"/>
        <v>214</v>
      </c>
      <c r="J232" s="65">
        <f t="shared" si="56"/>
        <v>3865.4259149932882</v>
      </c>
      <c r="K232" s="66">
        <f t="shared" si="57"/>
        <v>1830.7234080385897</v>
      </c>
      <c r="L232" s="66">
        <f t="shared" si="51"/>
        <v>2034.7025069546985</v>
      </c>
      <c r="M232" s="66">
        <f t="shared" si="52"/>
        <v>416416.36218758009</v>
      </c>
      <c r="N232" s="45"/>
      <c r="O232" s="45"/>
      <c r="P232" s="64">
        <f t="shared" si="53"/>
        <v>214</v>
      </c>
      <c r="Q232" s="65">
        <f t="shared" si="54"/>
        <v>895.35799997349602</v>
      </c>
      <c r="R232" s="66">
        <f t="shared" si="59"/>
        <v>638.59705137374874</v>
      </c>
      <c r="S232" s="66">
        <f t="shared" si="58"/>
        <v>256.76094859974728</v>
      </c>
      <c r="T232" s="66">
        <f t="shared" si="55"/>
        <v>74578.831009261427</v>
      </c>
      <c r="U232" s="45"/>
    </row>
    <row r="233" spans="1:21" ht="15">
      <c r="A233" s="45"/>
      <c r="B233" s="64">
        <f t="shared" si="45"/>
        <v>215</v>
      </c>
      <c r="C233" s="65">
        <f t="shared" si="46"/>
        <v>4424.4761644507462</v>
      </c>
      <c r="D233" s="66">
        <f t="shared" si="47"/>
        <v>2413.8369385593151</v>
      </c>
      <c r="E233" s="66">
        <f t="shared" si="48"/>
        <v>2010.6392258914311</v>
      </c>
      <c r="F233" s="66">
        <f t="shared" si="49"/>
        <v>443620.79558505898</v>
      </c>
      <c r="G233" s="45"/>
      <c r="H233" s="45"/>
      <c r="I233" s="64">
        <f t="shared" si="50"/>
        <v>215</v>
      </c>
      <c r="J233" s="65">
        <f t="shared" si="56"/>
        <v>3865.4259149932882</v>
      </c>
      <c r="K233" s="66">
        <f t="shared" si="57"/>
        <v>1821.8215845706627</v>
      </c>
      <c r="L233" s="66">
        <f t="shared" si="51"/>
        <v>2043.6043304226255</v>
      </c>
      <c r="M233" s="66">
        <f t="shared" si="52"/>
        <v>414372.75785715744</v>
      </c>
      <c r="N233" s="45"/>
      <c r="O233" s="45"/>
      <c r="P233" s="64">
        <f t="shared" si="53"/>
        <v>215</v>
      </c>
      <c r="Q233" s="65">
        <f t="shared" si="54"/>
        <v>895.35799997349602</v>
      </c>
      <c r="R233" s="66">
        <f t="shared" si="59"/>
        <v>636.40602461236415</v>
      </c>
      <c r="S233" s="66">
        <f t="shared" si="58"/>
        <v>258.95197536113187</v>
      </c>
      <c r="T233" s="66">
        <f t="shared" si="55"/>
        <v>74319.879033900288</v>
      </c>
      <c r="U233" s="45"/>
    </row>
    <row r="234" spans="1:21" ht="15">
      <c r="A234" s="45"/>
      <c r="B234" s="64">
        <f t="shared" si="45"/>
        <v>216</v>
      </c>
      <c r="C234" s="65">
        <f t="shared" si="46"/>
        <v>4424.4761644507462</v>
      </c>
      <c r="D234" s="66">
        <f t="shared" si="47"/>
        <v>2402.9459760857362</v>
      </c>
      <c r="E234" s="66">
        <f t="shared" si="48"/>
        <v>2021.53018836501</v>
      </c>
      <c r="F234" s="66">
        <f t="shared" si="49"/>
        <v>441599.26539669395</v>
      </c>
      <c r="G234" s="45"/>
      <c r="H234" s="45"/>
      <c r="I234" s="64">
        <f t="shared" si="50"/>
        <v>216</v>
      </c>
      <c r="J234" s="65">
        <f t="shared" si="56"/>
        <v>3865.4259149932882</v>
      </c>
      <c r="K234" s="66">
        <f t="shared" si="57"/>
        <v>1812.8808156250636</v>
      </c>
      <c r="L234" s="66">
        <f t="shared" si="51"/>
        <v>2052.5450993682243</v>
      </c>
      <c r="M234" s="66">
        <f t="shared" si="52"/>
        <v>412320.21275778924</v>
      </c>
      <c r="N234" s="45"/>
      <c r="O234" s="45"/>
      <c r="P234" s="64">
        <f t="shared" si="53"/>
        <v>216</v>
      </c>
      <c r="Q234" s="65">
        <f t="shared" si="54"/>
        <v>895.35799997349602</v>
      </c>
      <c r="R234" s="66">
        <f t="shared" si="59"/>
        <v>634.19630108928254</v>
      </c>
      <c r="S234" s="66">
        <f t="shared" si="58"/>
        <v>261.16169888421348</v>
      </c>
      <c r="T234" s="66">
        <f t="shared" si="55"/>
        <v>74058.717335016074</v>
      </c>
      <c r="U234" s="45"/>
    </row>
    <row r="235" spans="1:21" ht="15">
      <c r="A235" s="45"/>
      <c r="B235" s="64">
        <f t="shared" si="45"/>
        <v>217</v>
      </c>
      <c r="C235" s="65">
        <f t="shared" si="46"/>
        <v>4424.4761644507462</v>
      </c>
      <c r="D235" s="66">
        <f t="shared" si="47"/>
        <v>2391.9960208987591</v>
      </c>
      <c r="E235" s="66">
        <f t="shared" si="48"/>
        <v>2032.4801435519871</v>
      </c>
      <c r="F235" s="66">
        <f t="shared" si="49"/>
        <v>439566.78525314195</v>
      </c>
      <c r="G235" s="45"/>
      <c r="H235" s="45"/>
      <c r="I235" s="64">
        <f t="shared" si="50"/>
        <v>217</v>
      </c>
      <c r="J235" s="65">
        <f t="shared" si="56"/>
        <v>3865.4259149932882</v>
      </c>
      <c r="K235" s="66">
        <f t="shared" si="57"/>
        <v>1803.9009308153277</v>
      </c>
      <c r="L235" s="66">
        <f t="shared" si="51"/>
        <v>2061.5249841779605</v>
      </c>
      <c r="M235" s="66">
        <f t="shared" si="52"/>
        <v>410258.68777361128</v>
      </c>
      <c r="N235" s="45"/>
      <c r="O235" s="45"/>
      <c r="P235" s="64">
        <f t="shared" si="53"/>
        <v>217</v>
      </c>
      <c r="Q235" s="65">
        <f t="shared" si="54"/>
        <v>895.35799997349602</v>
      </c>
      <c r="R235" s="66">
        <f t="shared" si="59"/>
        <v>631.96772125880386</v>
      </c>
      <c r="S235" s="66">
        <f t="shared" si="58"/>
        <v>263.39027871469216</v>
      </c>
      <c r="T235" s="66">
        <f t="shared" si="55"/>
        <v>73795.327056301379</v>
      </c>
      <c r="U235" s="45"/>
    </row>
    <row r="236" spans="1:21" ht="15">
      <c r="A236" s="45"/>
      <c r="B236" s="64">
        <f t="shared" si="45"/>
        <v>218</v>
      </c>
      <c r="C236" s="65">
        <f t="shared" si="46"/>
        <v>4424.4761644507462</v>
      </c>
      <c r="D236" s="66">
        <f t="shared" si="47"/>
        <v>2380.9867534545187</v>
      </c>
      <c r="E236" s="66">
        <f t="shared" si="48"/>
        <v>2043.4894109962274</v>
      </c>
      <c r="F236" s="66">
        <f t="shared" si="49"/>
        <v>437523.29584214574</v>
      </c>
      <c r="G236" s="45"/>
      <c r="H236" s="45"/>
      <c r="I236" s="64">
        <f t="shared" si="50"/>
        <v>218</v>
      </c>
      <c r="J236" s="65">
        <f t="shared" si="56"/>
        <v>3865.4259149932882</v>
      </c>
      <c r="K236" s="66">
        <f t="shared" si="57"/>
        <v>1794.8817590095491</v>
      </c>
      <c r="L236" s="66">
        <f t="shared" si="51"/>
        <v>2070.5441559837391</v>
      </c>
      <c r="M236" s="66">
        <f t="shared" si="52"/>
        <v>408188.14361762756</v>
      </c>
      <c r="N236" s="45"/>
      <c r="O236" s="45"/>
      <c r="P236" s="64">
        <f t="shared" si="53"/>
        <v>218</v>
      </c>
      <c r="Q236" s="65">
        <f t="shared" si="54"/>
        <v>895.35799997349602</v>
      </c>
      <c r="R236" s="66">
        <f t="shared" si="59"/>
        <v>629.72012421377178</v>
      </c>
      <c r="S236" s="66">
        <f t="shared" si="58"/>
        <v>265.63787575972424</v>
      </c>
      <c r="T236" s="66">
        <f t="shared" si="55"/>
        <v>73529.689180541653</v>
      </c>
      <c r="U236" s="45"/>
    </row>
    <row r="237" spans="1:21" ht="15">
      <c r="A237" s="45"/>
      <c r="B237" s="64">
        <f t="shared" si="45"/>
        <v>219</v>
      </c>
      <c r="C237" s="65">
        <f t="shared" si="46"/>
        <v>4424.4761644507462</v>
      </c>
      <c r="D237" s="66">
        <f t="shared" si="47"/>
        <v>2369.9178524782897</v>
      </c>
      <c r="E237" s="66">
        <f t="shared" si="48"/>
        <v>2054.5583119724565</v>
      </c>
      <c r="F237" s="66">
        <f t="shared" si="49"/>
        <v>435468.73753017327</v>
      </c>
      <c r="G237" s="45"/>
      <c r="H237" s="45"/>
      <c r="I237" s="64">
        <f t="shared" si="50"/>
        <v>219</v>
      </c>
      <c r="J237" s="65">
        <f t="shared" si="56"/>
        <v>3865.4259149932882</v>
      </c>
      <c r="K237" s="66">
        <f t="shared" si="57"/>
        <v>1785.8231283271205</v>
      </c>
      <c r="L237" s="66">
        <f t="shared" si="51"/>
        <v>2079.602786666168</v>
      </c>
      <c r="M237" s="66">
        <f t="shared" si="52"/>
        <v>406108.54083096137</v>
      </c>
      <c r="N237" s="45"/>
      <c r="O237" s="45"/>
      <c r="P237" s="64">
        <f t="shared" si="53"/>
        <v>219</v>
      </c>
      <c r="Q237" s="65">
        <f t="shared" si="54"/>
        <v>895.35799997349602</v>
      </c>
      <c r="R237" s="66">
        <f t="shared" si="59"/>
        <v>627.45334767395548</v>
      </c>
      <c r="S237" s="66">
        <f t="shared" si="58"/>
        <v>267.90465229954054</v>
      </c>
      <c r="T237" s="66">
        <f t="shared" si="55"/>
        <v>73261.784528242119</v>
      </c>
      <c r="U237" s="45"/>
    </row>
    <row r="238" spans="1:21" ht="15">
      <c r="A238" s="45"/>
      <c r="B238" s="64">
        <f t="shared" si="45"/>
        <v>220</v>
      </c>
      <c r="C238" s="65">
        <f t="shared" si="46"/>
        <v>4424.4761644507462</v>
      </c>
      <c r="D238" s="66">
        <f t="shared" si="47"/>
        <v>2358.7889949551054</v>
      </c>
      <c r="E238" s="66">
        <f t="shared" si="48"/>
        <v>2065.6871694956408</v>
      </c>
      <c r="F238" s="66">
        <f t="shared" si="49"/>
        <v>433403.05036067765</v>
      </c>
      <c r="G238" s="45"/>
      <c r="H238" s="45"/>
      <c r="I238" s="64">
        <f t="shared" si="50"/>
        <v>220</v>
      </c>
      <c r="J238" s="65">
        <f t="shared" si="56"/>
        <v>3865.4259149932882</v>
      </c>
      <c r="K238" s="66">
        <f t="shared" si="57"/>
        <v>1776.7248661354558</v>
      </c>
      <c r="L238" s="66">
        <f t="shared" si="51"/>
        <v>2088.7010488578326</v>
      </c>
      <c r="M238" s="66">
        <f t="shared" si="52"/>
        <v>404019.83978210355</v>
      </c>
      <c r="N238" s="45"/>
      <c r="O238" s="45"/>
      <c r="P238" s="64">
        <f t="shared" si="53"/>
        <v>220</v>
      </c>
      <c r="Q238" s="65">
        <f t="shared" si="54"/>
        <v>895.35799997349602</v>
      </c>
      <c r="R238" s="66">
        <f t="shared" si="59"/>
        <v>625.16722797433272</v>
      </c>
      <c r="S238" s="66">
        <f t="shared" si="58"/>
        <v>270.1907719991633</v>
      </c>
      <c r="T238" s="66">
        <f t="shared" si="55"/>
        <v>72991.593756242961</v>
      </c>
      <c r="U238" s="45"/>
    </row>
    <row r="239" spans="1:21" ht="15">
      <c r="A239" s="45"/>
      <c r="B239" s="64">
        <f t="shared" si="45"/>
        <v>221</v>
      </c>
      <c r="C239" s="65">
        <f t="shared" si="46"/>
        <v>4424.4761644507462</v>
      </c>
      <c r="D239" s="66">
        <f t="shared" si="47"/>
        <v>2347.5998561203373</v>
      </c>
      <c r="E239" s="66">
        <f t="shared" si="48"/>
        <v>2076.8763083304088</v>
      </c>
      <c r="F239" s="66">
        <f t="shared" si="49"/>
        <v>431326.17405234725</v>
      </c>
      <c r="G239" s="45"/>
      <c r="H239" s="45"/>
      <c r="I239" s="64">
        <f t="shared" si="50"/>
        <v>221</v>
      </c>
      <c r="J239" s="65">
        <f t="shared" si="56"/>
        <v>3865.4259149932882</v>
      </c>
      <c r="K239" s="66">
        <f t="shared" si="57"/>
        <v>1767.5867990467029</v>
      </c>
      <c r="L239" s="66">
        <f t="shared" si="51"/>
        <v>2097.8391159465855</v>
      </c>
      <c r="M239" s="66">
        <f t="shared" si="52"/>
        <v>401922.00066615694</v>
      </c>
      <c r="N239" s="45"/>
      <c r="O239" s="45"/>
      <c r="P239" s="64">
        <f t="shared" si="53"/>
        <v>221</v>
      </c>
      <c r="Q239" s="65">
        <f t="shared" si="54"/>
        <v>895.35799997349602</v>
      </c>
      <c r="R239" s="66">
        <f t="shared" si="59"/>
        <v>622.86160005327326</v>
      </c>
      <c r="S239" s="66">
        <f t="shared" si="58"/>
        <v>272.49639992022276</v>
      </c>
      <c r="T239" s="66">
        <f t="shared" si="55"/>
        <v>72719.097356322745</v>
      </c>
      <c r="U239" s="45"/>
    </row>
    <row r="240" spans="1:21" ht="15">
      <c r="A240" s="45"/>
      <c r="B240" s="64">
        <f t="shared" si="45"/>
        <v>222</v>
      </c>
      <c r="C240" s="65">
        <f t="shared" si="46"/>
        <v>4424.4761644507462</v>
      </c>
      <c r="D240" s="66">
        <f t="shared" si="47"/>
        <v>2336.3501094502144</v>
      </c>
      <c r="E240" s="66">
        <f t="shared" si="48"/>
        <v>2088.1260550005318</v>
      </c>
      <c r="F240" s="66">
        <f t="shared" si="49"/>
        <v>429238.04799734673</v>
      </c>
      <c r="G240" s="45"/>
      <c r="H240" s="45"/>
      <c r="I240" s="64">
        <f t="shared" si="50"/>
        <v>222</v>
      </c>
      <c r="J240" s="65">
        <f t="shared" si="56"/>
        <v>3865.4259149932882</v>
      </c>
      <c r="K240" s="66">
        <f t="shared" si="57"/>
        <v>1758.4087529144365</v>
      </c>
      <c r="L240" s="66">
        <f t="shared" si="51"/>
        <v>2107.0171620788515</v>
      </c>
      <c r="M240" s="66">
        <f t="shared" si="52"/>
        <v>399814.98350407806</v>
      </c>
      <c r="N240" s="45"/>
      <c r="O240" s="45"/>
      <c r="P240" s="64">
        <f t="shared" si="53"/>
        <v>222</v>
      </c>
      <c r="Q240" s="65">
        <f t="shared" si="54"/>
        <v>895.35799997349602</v>
      </c>
      <c r="R240" s="66">
        <f t="shared" si="59"/>
        <v>620.53629744062084</v>
      </c>
      <c r="S240" s="66">
        <f t="shared" si="58"/>
        <v>274.82170253287518</v>
      </c>
      <c r="T240" s="66">
        <f t="shared" si="55"/>
        <v>72444.275653789868</v>
      </c>
      <c r="U240" s="45"/>
    </row>
    <row r="241" spans="1:21" ht="15">
      <c r="A241" s="45"/>
      <c r="B241" s="64">
        <f t="shared" si="45"/>
        <v>223</v>
      </c>
      <c r="C241" s="65">
        <f t="shared" si="46"/>
        <v>4424.4761644507462</v>
      </c>
      <c r="D241" s="66">
        <f t="shared" si="47"/>
        <v>2325.0394266522949</v>
      </c>
      <c r="E241" s="66">
        <f t="shared" si="48"/>
        <v>2099.4367377984513</v>
      </c>
      <c r="F241" s="66">
        <f t="shared" si="49"/>
        <v>427138.61125954828</v>
      </c>
      <c r="G241" s="45"/>
      <c r="H241" s="45"/>
      <c r="I241" s="64">
        <f t="shared" si="50"/>
        <v>223</v>
      </c>
      <c r="J241" s="65">
        <f t="shared" si="56"/>
        <v>3865.4259149932882</v>
      </c>
      <c r="K241" s="66">
        <f t="shared" si="57"/>
        <v>1749.1905528303414</v>
      </c>
      <c r="L241" s="66">
        <f t="shared" si="51"/>
        <v>2116.2353621629468</v>
      </c>
      <c r="M241" s="66">
        <f t="shared" si="52"/>
        <v>397698.74814191513</v>
      </c>
      <c r="N241" s="45"/>
      <c r="O241" s="45"/>
      <c r="P241" s="64">
        <f t="shared" si="53"/>
        <v>223</v>
      </c>
      <c r="Q241" s="65">
        <f t="shared" si="54"/>
        <v>895.35799997349602</v>
      </c>
      <c r="R241" s="66">
        <f t="shared" si="59"/>
        <v>618.19115224567361</v>
      </c>
      <c r="S241" s="66">
        <f t="shared" si="58"/>
        <v>277.16684772782241</v>
      </c>
      <c r="T241" s="66">
        <f t="shared" si="55"/>
        <v>72167.108806062039</v>
      </c>
      <c r="U241" s="45"/>
    </row>
    <row r="242" spans="1:21" ht="15">
      <c r="A242" s="45"/>
      <c r="B242" s="64">
        <f t="shared" si="45"/>
        <v>224</v>
      </c>
      <c r="C242" s="65">
        <f t="shared" si="46"/>
        <v>4424.4761644507462</v>
      </c>
      <c r="D242" s="66">
        <f t="shared" si="47"/>
        <v>2313.6674776558866</v>
      </c>
      <c r="E242" s="66">
        <f t="shared" si="48"/>
        <v>2110.8086867948596</v>
      </c>
      <c r="F242" s="66">
        <f t="shared" si="49"/>
        <v>425027.8025727534</v>
      </c>
      <c r="G242" s="45"/>
      <c r="H242" s="45"/>
      <c r="I242" s="64">
        <f t="shared" si="50"/>
        <v>224</v>
      </c>
      <c r="J242" s="65">
        <f t="shared" si="56"/>
        <v>3865.4259149932882</v>
      </c>
      <c r="K242" s="66">
        <f t="shared" si="57"/>
        <v>1739.9320231208785</v>
      </c>
      <c r="L242" s="66">
        <f t="shared" si="51"/>
        <v>2125.4938918724097</v>
      </c>
      <c r="M242" s="66">
        <f t="shared" si="52"/>
        <v>395573.25425004272</v>
      </c>
      <c r="N242" s="45"/>
      <c r="O242" s="45"/>
      <c r="P242" s="64">
        <f t="shared" si="53"/>
        <v>224</v>
      </c>
      <c r="Q242" s="65">
        <f t="shared" si="54"/>
        <v>895.35799997349602</v>
      </c>
      <c r="R242" s="66">
        <f t="shared" si="59"/>
        <v>615.82599514506273</v>
      </c>
      <c r="S242" s="66">
        <f t="shared" si="58"/>
        <v>279.53200482843329</v>
      </c>
      <c r="T242" s="66">
        <f t="shared" si="55"/>
        <v>71887.576801233605</v>
      </c>
      <c r="U242" s="45"/>
    </row>
    <row r="243" spans="1:21" ht="15">
      <c r="A243" s="45"/>
      <c r="B243" s="64">
        <f t="shared" si="45"/>
        <v>225</v>
      </c>
      <c r="C243" s="65">
        <f t="shared" si="46"/>
        <v>4424.4761644507462</v>
      </c>
      <c r="D243" s="66">
        <f t="shared" si="47"/>
        <v>2302.2339306024141</v>
      </c>
      <c r="E243" s="66">
        <f t="shared" si="48"/>
        <v>2122.242233848332</v>
      </c>
      <c r="F243" s="66">
        <f t="shared" si="49"/>
        <v>422905.56033890508</v>
      </c>
      <c r="G243" s="45"/>
      <c r="H243" s="45"/>
      <c r="I243" s="64">
        <f t="shared" si="50"/>
        <v>225</v>
      </c>
      <c r="J243" s="65">
        <f t="shared" si="56"/>
        <v>3865.4259149932882</v>
      </c>
      <c r="K243" s="66">
        <f t="shared" si="57"/>
        <v>1730.6329873439367</v>
      </c>
      <c r="L243" s="66">
        <f t="shared" si="51"/>
        <v>2134.7929276493514</v>
      </c>
      <c r="M243" s="66">
        <f t="shared" si="52"/>
        <v>393438.46132239338</v>
      </c>
      <c r="N243" s="45"/>
      <c r="O243" s="45"/>
      <c r="P243" s="64">
        <f t="shared" si="53"/>
        <v>225</v>
      </c>
      <c r="Q243" s="65">
        <f t="shared" si="54"/>
        <v>895.35799997349602</v>
      </c>
      <c r="R243" s="66">
        <f t="shared" si="59"/>
        <v>613.44065537052677</v>
      </c>
      <c r="S243" s="66">
        <f t="shared" si="58"/>
        <v>281.91734460296925</v>
      </c>
      <c r="T243" s="66">
        <f t="shared" si="55"/>
        <v>71605.65945663063</v>
      </c>
      <c r="U243" s="45"/>
    </row>
    <row r="244" spans="1:21" ht="15">
      <c r="A244" s="45"/>
      <c r="B244" s="64">
        <f t="shared" si="45"/>
        <v>226</v>
      </c>
      <c r="C244" s="65">
        <f t="shared" si="46"/>
        <v>4424.4761644507462</v>
      </c>
      <c r="D244" s="66">
        <f t="shared" si="47"/>
        <v>2290.7384518357358</v>
      </c>
      <c r="E244" s="66">
        <f t="shared" si="48"/>
        <v>2133.7377126150104</v>
      </c>
      <c r="F244" s="66">
        <f t="shared" si="49"/>
        <v>420771.82262629009</v>
      </c>
      <c r="G244" s="45"/>
      <c r="H244" s="45"/>
      <c r="I244" s="64">
        <f t="shared" si="50"/>
        <v>226</v>
      </c>
      <c r="J244" s="65">
        <f t="shared" si="56"/>
        <v>3865.4259149932882</v>
      </c>
      <c r="K244" s="66">
        <f t="shared" si="57"/>
        <v>1721.293268285471</v>
      </c>
      <c r="L244" s="66">
        <f t="shared" si="51"/>
        <v>2144.132646707817</v>
      </c>
      <c r="M244" s="66">
        <f t="shared" si="52"/>
        <v>391294.32867568557</v>
      </c>
      <c r="N244" s="45"/>
      <c r="O244" s="45"/>
      <c r="P244" s="64">
        <f t="shared" si="53"/>
        <v>226</v>
      </c>
      <c r="Q244" s="65">
        <f t="shared" si="54"/>
        <v>895.35799997349602</v>
      </c>
      <c r="R244" s="66">
        <f t="shared" si="59"/>
        <v>611.03496069658138</v>
      </c>
      <c r="S244" s="66">
        <f t="shared" si="58"/>
        <v>284.32303927691464</v>
      </c>
      <c r="T244" s="66">
        <f t="shared" si="55"/>
        <v>71321.336417353712</v>
      </c>
      <c r="U244" s="45"/>
    </row>
    <row r="245" spans="1:21" ht="15">
      <c r="A245" s="45"/>
      <c r="B245" s="64">
        <f t="shared" si="45"/>
        <v>227</v>
      </c>
      <c r="C245" s="65">
        <f t="shared" si="46"/>
        <v>4424.4761644507462</v>
      </c>
      <c r="D245" s="66">
        <f t="shared" si="47"/>
        <v>2279.1807058924046</v>
      </c>
      <c r="E245" s="66">
        <f t="shared" si="48"/>
        <v>2145.2954585583416</v>
      </c>
      <c r="F245" s="66">
        <f t="shared" si="49"/>
        <v>418626.52716773172</v>
      </c>
      <c r="G245" s="45"/>
      <c r="H245" s="45"/>
      <c r="I245" s="64">
        <f t="shared" si="50"/>
        <v>227</v>
      </c>
      <c r="J245" s="65">
        <f t="shared" si="56"/>
        <v>3865.4259149932882</v>
      </c>
      <c r="K245" s="66">
        <f t="shared" si="57"/>
        <v>1711.9126879561243</v>
      </c>
      <c r="L245" s="66">
        <f t="shared" si="51"/>
        <v>2153.5132270371641</v>
      </c>
      <c r="M245" s="66">
        <f t="shared" si="52"/>
        <v>389140.81544864841</v>
      </c>
      <c r="N245" s="45"/>
      <c r="O245" s="45"/>
      <c r="P245" s="64">
        <f t="shared" si="53"/>
        <v>227</v>
      </c>
      <c r="Q245" s="65">
        <f t="shared" si="54"/>
        <v>895.35799997349602</v>
      </c>
      <c r="R245" s="66">
        <f t="shared" si="59"/>
        <v>608.60873742808508</v>
      </c>
      <c r="S245" s="66">
        <f t="shared" si="58"/>
        <v>286.74926254541094</v>
      </c>
      <c r="T245" s="66">
        <f t="shared" si="55"/>
        <v>71034.587154808294</v>
      </c>
      <c r="U245" s="45"/>
    </row>
    <row r="246" spans="1:21" ht="15">
      <c r="A246" s="45"/>
      <c r="B246" s="64">
        <f t="shared" si="45"/>
        <v>228</v>
      </c>
      <c r="C246" s="65">
        <f t="shared" si="46"/>
        <v>4424.4761644507462</v>
      </c>
      <c r="D246" s="66">
        <f t="shared" si="47"/>
        <v>2267.5603554918803</v>
      </c>
      <c r="E246" s="66">
        <f t="shared" si="48"/>
        <v>2156.9158089588659</v>
      </c>
      <c r="F246" s="66">
        <f t="shared" si="49"/>
        <v>416469.61135877285</v>
      </c>
      <c r="G246" s="45"/>
      <c r="H246" s="45"/>
      <c r="I246" s="64">
        <f t="shared" si="50"/>
        <v>228</v>
      </c>
      <c r="J246" s="65">
        <f t="shared" si="56"/>
        <v>3865.4259149932882</v>
      </c>
      <c r="K246" s="66">
        <f t="shared" si="57"/>
        <v>1702.4910675878366</v>
      </c>
      <c r="L246" s="66">
        <f t="shared" si="51"/>
        <v>2162.9348474054514</v>
      </c>
      <c r="M246" s="66">
        <f t="shared" si="52"/>
        <v>386977.88060124294</v>
      </c>
      <c r="N246" s="45"/>
      <c r="O246" s="45"/>
      <c r="P246" s="64">
        <f t="shared" si="53"/>
        <v>228</v>
      </c>
      <c r="Q246" s="65">
        <f t="shared" si="54"/>
        <v>895.35799997349602</v>
      </c>
      <c r="R246" s="66">
        <f t="shared" si="59"/>
        <v>606.16181038769753</v>
      </c>
      <c r="S246" s="66">
        <f t="shared" si="58"/>
        <v>289.19618958579849</v>
      </c>
      <c r="T246" s="66">
        <f t="shared" si="55"/>
        <v>70745.390965222497</v>
      </c>
      <c r="U246" s="45"/>
    </row>
    <row r="247" spans="1:21" ht="15">
      <c r="A247" s="45"/>
      <c r="B247" s="64">
        <f t="shared" si="45"/>
        <v>229</v>
      </c>
      <c r="C247" s="65">
        <f t="shared" si="46"/>
        <v>4424.4761644507462</v>
      </c>
      <c r="D247" s="66">
        <f t="shared" si="47"/>
        <v>2255.8770615266862</v>
      </c>
      <c r="E247" s="66">
        <f t="shared" si="48"/>
        <v>2168.5991029240599</v>
      </c>
      <c r="F247" s="66">
        <f t="shared" si="49"/>
        <v>414301.01225584879</v>
      </c>
      <c r="G247" s="45"/>
      <c r="H247" s="45"/>
      <c r="I247" s="64">
        <f t="shared" si="50"/>
        <v>229</v>
      </c>
      <c r="J247" s="65">
        <f t="shared" si="56"/>
        <v>3865.4259149932882</v>
      </c>
      <c r="K247" s="66">
        <f t="shared" si="57"/>
        <v>1693.0282276304376</v>
      </c>
      <c r="L247" s="66">
        <f t="shared" si="51"/>
        <v>2172.3976873628508</v>
      </c>
      <c r="M247" s="66">
        <f t="shared" si="52"/>
        <v>384805.48291388009</v>
      </c>
      <c r="N247" s="45"/>
      <c r="O247" s="45"/>
      <c r="P247" s="64">
        <f t="shared" si="53"/>
        <v>229</v>
      </c>
      <c r="Q247" s="65">
        <f t="shared" si="54"/>
        <v>895.35799997349602</v>
      </c>
      <c r="R247" s="66">
        <f t="shared" si="59"/>
        <v>603.69400290323199</v>
      </c>
      <c r="S247" s="66">
        <f t="shared" si="58"/>
        <v>291.66399707026403</v>
      </c>
      <c r="T247" s="66">
        <f t="shared" si="55"/>
        <v>70453.72696815223</v>
      </c>
      <c r="U247" s="45"/>
    </row>
    <row r="248" spans="1:21" ht="15">
      <c r="A248" s="45"/>
      <c r="B248" s="64">
        <f t="shared" si="45"/>
        <v>230</v>
      </c>
      <c r="C248" s="65">
        <f t="shared" si="46"/>
        <v>4424.4761644507462</v>
      </c>
      <c r="D248" s="66">
        <f t="shared" si="47"/>
        <v>2244.1304830525146</v>
      </c>
      <c r="E248" s="66">
        <f t="shared" si="48"/>
        <v>2180.3456813982316</v>
      </c>
      <c r="F248" s="66">
        <f t="shared" si="49"/>
        <v>412120.66657445056</v>
      </c>
      <c r="G248" s="45"/>
      <c r="H248" s="45"/>
      <c r="I248" s="64">
        <f t="shared" si="50"/>
        <v>230</v>
      </c>
      <c r="J248" s="65">
        <f t="shared" si="56"/>
        <v>3865.4259149932882</v>
      </c>
      <c r="K248" s="66">
        <f t="shared" si="57"/>
        <v>1683.5239877482252</v>
      </c>
      <c r="L248" s="66">
        <f t="shared" si="51"/>
        <v>2181.9019272450632</v>
      </c>
      <c r="M248" s="66">
        <f t="shared" si="52"/>
        <v>382623.580986635</v>
      </c>
      <c r="N248" s="45"/>
      <c r="O248" s="45"/>
      <c r="P248" s="64">
        <f t="shared" si="53"/>
        <v>230</v>
      </c>
      <c r="Q248" s="65">
        <f t="shared" si="54"/>
        <v>895.35799997349602</v>
      </c>
      <c r="R248" s="66">
        <f t="shared" si="59"/>
        <v>601.20513679489909</v>
      </c>
      <c r="S248" s="66">
        <f t="shared" si="58"/>
        <v>294.15286317859693</v>
      </c>
      <c r="T248" s="66">
        <f t="shared" si="55"/>
        <v>70159.574104973639</v>
      </c>
      <c r="U248" s="45"/>
    </row>
    <row r="249" spans="1:21" ht="15">
      <c r="A249" s="45"/>
      <c r="B249" s="64">
        <f t="shared" si="45"/>
        <v>231</v>
      </c>
      <c r="C249" s="65">
        <f t="shared" si="46"/>
        <v>4424.4761644507462</v>
      </c>
      <c r="D249" s="66">
        <f t="shared" si="47"/>
        <v>2232.3202772782738</v>
      </c>
      <c r="E249" s="66">
        <f t="shared" si="48"/>
        <v>2192.1558871724724</v>
      </c>
      <c r="F249" s="66">
        <f t="shared" si="49"/>
        <v>409928.51068727806</v>
      </c>
      <c r="G249" s="45"/>
      <c r="H249" s="45"/>
      <c r="I249" s="64">
        <f t="shared" si="50"/>
        <v>231</v>
      </c>
      <c r="J249" s="65">
        <f t="shared" si="56"/>
        <v>3865.4259149932882</v>
      </c>
      <c r="K249" s="66">
        <f t="shared" si="57"/>
        <v>1673.9781668165281</v>
      </c>
      <c r="L249" s="66">
        <f t="shared" si="51"/>
        <v>2191.4477481767599</v>
      </c>
      <c r="M249" s="66">
        <f t="shared" si="52"/>
        <v>380432.13323845825</v>
      </c>
      <c r="N249" s="45"/>
      <c r="O249" s="45"/>
      <c r="P249" s="64">
        <f t="shared" si="53"/>
        <v>231</v>
      </c>
      <c r="Q249" s="65">
        <f t="shared" si="54"/>
        <v>895.35799997349602</v>
      </c>
      <c r="R249" s="66">
        <f t="shared" si="59"/>
        <v>598.69503236244179</v>
      </c>
      <c r="S249" s="66">
        <f t="shared" si="58"/>
        <v>296.66296761105423</v>
      </c>
      <c r="T249" s="66">
        <f t="shared" si="55"/>
        <v>69862.911137362578</v>
      </c>
      <c r="U249" s="45"/>
    </row>
    <row r="250" spans="1:21" ht="15">
      <c r="A250" s="45"/>
      <c r="B250" s="64">
        <f t="shared" si="45"/>
        <v>232</v>
      </c>
      <c r="C250" s="65">
        <f t="shared" si="46"/>
        <v>4424.4761644507462</v>
      </c>
      <c r="D250" s="66">
        <f t="shared" si="47"/>
        <v>2220.4460995560894</v>
      </c>
      <c r="E250" s="66">
        <f t="shared" si="48"/>
        <v>2204.0300648946568</v>
      </c>
      <c r="F250" s="66">
        <f t="shared" si="49"/>
        <v>407724.48062238342</v>
      </c>
      <c r="G250" s="45"/>
      <c r="H250" s="45"/>
      <c r="I250" s="64">
        <f t="shared" si="50"/>
        <v>232</v>
      </c>
      <c r="J250" s="65">
        <f t="shared" si="56"/>
        <v>3865.4259149932882</v>
      </c>
      <c r="K250" s="66">
        <f t="shared" si="57"/>
        <v>1664.3905829182547</v>
      </c>
      <c r="L250" s="66">
        <f t="shared" si="51"/>
        <v>2201.0353320750337</v>
      </c>
      <c r="M250" s="66">
        <f t="shared" si="52"/>
        <v>378231.09790638322</v>
      </c>
      <c r="N250" s="45"/>
      <c r="O250" s="45"/>
      <c r="P250" s="64">
        <f t="shared" si="53"/>
        <v>232</v>
      </c>
      <c r="Q250" s="65">
        <f t="shared" si="54"/>
        <v>895.35799997349602</v>
      </c>
      <c r="R250" s="66">
        <f t="shared" si="59"/>
        <v>596.16350837216066</v>
      </c>
      <c r="S250" s="66">
        <f t="shared" si="58"/>
        <v>299.19449160133536</v>
      </c>
      <c r="T250" s="66">
        <f t="shared" si="55"/>
        <v>69563.716645761247</v>
      </c>
      <c r="U250" s="45"/>
    </row>
    <row r="251" spans="1:21" ht="15">
      <c r="A251" s="45"/>
      <c r="B251" s="64">
        <f t="shared" si="45"/>
        <v>233</v>
      </c>
      <c r="C251" s="65">
        <f t="shared" si="46"/>
        <v>4424.4761644507462</v>
      </c>
      <c r="D251" s="66">
        <f t="shared" si="47"/>
        <v>2208.5076033712435</v>
      </c>
      <c r="E251" s="66">
        <f t="shared" si="48"/>
        <v>2215.9685610795027</v>
      </c>
      <c r="F251" s="66">
        <f t="shared" si="49"/>
        <v>405508.51206130389</v>
      </c>
      <c r="G251" s="45"/>
      <c r="H251" s="45"/>
      <c r="I251" s="64">
        <f t="shared" si="50"/>
        <v>233</v>
      </c>
      <c r="J251" s="65">
        <f t="shared" si="56"/>
        <v>3865.4259149932882</v>
      </c>
      <c r="K251" s="66">
        <f t="shared" si="57"/>
        <v>1654.7610533404263</v>
      </c>
      <c r="L251" s="66">
        <f t="shared" si="51"/>
        <v>2210.6648616528619</v>
      </c>
      <c r="M251" s="66">
        <f t="shared" si="52"/>
        <v>376020.43304473034</v>
      </c>
      <c r="N251" s="45"/>
      <c r="O251" s="45"/>
      <c r="P251" s="64">
        <f t="shared" si="53"/>
        <v>233</v>
      </c>
      <c r="Q251" s="65">
        <f t="shared" si="54"/>
        <v>895.35799997349602</v>
      </c>
      <c r="R251" s="66">
        <f t="shared" si="59"/>
        <v>593.6103820438293</v>
      </c>
      <c r="S251" s="66">
        <f t="shared" si="58"/>
        <v>301.74761792966672</v>
      </c>
      <c r="T251" s="66">
        <f t="shared" si="55"/>
        <v>69261.969027831583</v>
      </c>
      <c r="U251" s="45"/>
    </row>
    <row r="252" spans="1:21" ht="15">
      <c r="A252" s="45"/>
      <c r="B252" s="64">
        <f t="shared" si="45"/>
        <v>234</v>
      </c>
      <c r="C252" s="65">
        <f t="shared" si="46"/>
        <v>4424.4761644507462</v>
      </c>
      <c r="D252" s="66">
        <f t="shared" si="47"/>
        <v>2196.5044403320626</v>
      </c>
      <c r="E252" s="66">
        <f t="shared" si="48"/>
        <v>2227.9717241186836</v>
      </c>
      <c r="F252" s="66">
        <f t="shared" si="49"/>
        <v>403280.5403371852</v>
      </c>
      <c r="G252" s="45"/>
      <c r="H252" s="45"/>
      <c r="I252" s="64">
        <f t="shared" si="50"/>
        <v>234</v>
      </c>
      <c r="J252" s="65">
        <f t="shared" si="56"/>
        <v>3865.4259149932882</v>
      </c>
      <c r="K252" s="66">
        <f t="shared" si="57"/>
        <v>1645.089394570695</v>
      </c>
      <c r="L252" s="66">
        <f t="shared" si="51"/>
        <v>2220.3365204225929</v>
      </c>
      <c r="M252" s="66">
        <f t="shared" si="52"/>
        <v>373800.09652430774</v>
      </c>
      <c r="N252" s="45"/>
      <c r="O252" s="45"/>
      <c r="P252" s="64">
        <f t="shared" si="53"/>
        <v>234</v>
      </c>
      <c r="Q252" s="65">
        <f t="shared" si="54"/>
        <v>895.35799997349602</v>
      </c>
      <c r="R252" s="66">
        <f t="shared" si="59"/>
        <v>591.03546903749623</v>
      </c>
      <c r="S252" s="66">
        <f t="shared" si="58"/>
        <v>304.32253093599979</v>
      </c>
      <c r="T252" s="66">
        <f t="shared" si="55"/>
        <v>68957.646496895584</v>
      </c>
      <c r="U252" s="45"/>
    </row>
    <row r="253" spans="1:21" ht="15">
      <c r="A253" s="45"/>
      <c r="B253" s="64">
        <f t="shared" si="45"/>
        <v>235</v>
      </c>
      <c r="C253" s="65">
        <f t="shared" si="46"/>
        <v>4424.4761644507462</v>
      </c>
      <c r="D253" s="66">
        <f t="shared" si="47"/>
        <v>2184.4362601597531</v>
      </c>
      <c r="E253" s="66">
        <f t="shared" si="48"/>
        <v>2240.039904290993</v>
      </c>
      <c r="F253" s="66">
        <f t="shared" si="49"/>
        <v>401040.50043289422</v>
      </c>
      <c r="G253" s="45"/>
      <c r="H253" s="45"/>
      <c r="I253" s="64">
        <f t="shared" si="50"/>
        <v>235</v>
      </c>
      <c r="J253" s="65">
        <f t="shared" si="56"/>
        <v>3865.4259149932882</v>
      </c>
      <c r="K253" s="66">
        <f t="shared" si="57"/>
        <v>1635.3754222938462</v>
      </c>
      <c r="L253" s="66">
        <f t="shared" si="51"/>
        <v>2230.0504926994417</v>
      </c>
      <c r="M253" s="66">
        <f t="shared" si="52"/>
        <v>371570.0460316083</v>
      </c>
      <c r="N253" s="45"/>
      <c r="O253" s="45"/>
      <c r="P253" s="64">
        <f t="shared" si="53"/>
        <v>235</v>
      </c>
      <c r="Q253" s="65">
        <f t="shared" si="54"/>
        <v>895.35799997349602</v>
      </c>
      <c r="R253" s="66">
        <f t="shared" si="59"/>
        <v>588.43858344017565</v>
      </c>
      <c r="S253" s="66">
        <f t="shared" si="58"/>
        <v>306.91941653332037</v>
      </c>
      <c r="T253" s="66">
        <f t="shared" si="55"/>
        <v>68650.727080362267</v>
      </c>
      <c r="U253" s="45"/>
    </row>
    <row r="254" spans="1:21" ht="15">
      <c r="A254" s="45"/>
      <c r="B254" s="64">
        <f t="shared" si="45"/>
        <v>236</v>
      </c>
      <c r="C254" s="65">
        <f t="shared" si="46"/>
        <v>4424.4761644507462</v>
      </c>
      <c r="D254" s="66">
        <f t="shared" si="47"/>
        <v>2172.3027106781769</v>
      </c>
      <c r="E254" s="66">
        <f t="shared" si="48"/>
        <v>2252.1734537725692</v>
      </c>
      <c r="F254" s="66">
        <f t="shared" si="49"/>
        <v>398788.32697912166</v>
      </c>
      <c r="G254" s="45"/>
      <c r="H254" s="45"/>
      <c r="I254" s="64">
        <f t="shared" si="50"/>
        <v>236</v>
      </c>
      <c r="J254" s="65">
        <f t="shared" si="56"/>
        <v>3865.4259149932882</v>
      </c>
      <c r="K254" s="66">
        <f t="shared" si="57"/>
        <v>1625.6189513882862</v>
      </c>
      <c r="L254" s="66">
        <f t="shared" si="51"/>
        <v>2239.8069636050022</v>
      </c>
      <c r="M254" s="66">
        <f t="shared" si="52"/>
        <v>369330.23906800331</v>
      </c>
      <c r="N254" s="45"/>
      <c r="O254" s="45"/>
      <c r="P254" s="64">
        <f t="shared" si="53"/>
        <v>236</v>
      </c>
      <c r="Q254" s="65">
        <f t="shared" si="54"/>
        <v>895.35799997349602</v>
      </c>
      <c r="R254" s="66">
        <f t="shared" si="59"/>
        <v>585.81953775242471</v>
      </c>
      <c r="S254" s="66">
        <f t="shared" si="58"/>
        <v>309.53846222107131</v>
      </c>
      <c r="T254" s="66">
        <f t="shared" si="55"/>
        <v>68341.188618141197</v>
      </c>
      <c r="U254" s="45"/>
    </row>
    <row r="255" spans="1:21" ht="15">
      <c r="A255" s="45"/>
      <c r="B255" s="64">
        <f t="shared" si="45"/>
        <v>237</v>
      </c>
      <c r="C255" s="65">
        <f t="shared" si="46"/>
        <v>4424.4761644507462</v>
      </c>
      <c r="D255" s="66">
        <f t="shared" si="47"/>
        <v>2160.1034378035756</v>
      </c>
      <c r="E255" s="66">
        <f t="shared" si="48"/>
        <v>2264.3727266471706</v>
      </c>
      <c r="F255" s="66">
        <f t="shared" si="49"/>
        <v>396523.95425247448</v>
      </c>
      <c r="G255" s="45"/>
      <c r="H255" s="45"/>
      <c r="I255" s="64">
        <f t="shared" si="50"/>
        <v>237</v>
      </c>
      <c r="J255" s="65">
        <f t="shared" si="56"/>
        <v>3865.4259149932882</v>
      </c>
      <c r="K255" s="66">
        <f t="shared" si="57"/>
        <v>1615.8197959225142</v>
      </c>
      <c r="L255" s="66">
        <f t="shared" si="51"/>
        <v>2249.6061190707742</v>
      </c>
      <c r="M255" s="66">
        <f t="shared" si="52"/>
        <v>367080.63294893253</v>
      </c>
      <c r="N255" s="45"/>
      <c r="O255" s="45"/>
      <c r="P255" s="64">
        <f t="shared" si="53"/>
        <v>237</v>
      </c>
      <c r="Q255" s="65">
        <f t="shared" si="54"/>
        <v>895.35799997349602</v>
      </c>
      <c r="R255" s="66">
        <f t="shared" si="59"/>
        <v>583.17814287480496</v>
      </c>
      <c r="S255" s="66">
        <f t="shared" si="58"/>
        <v>312.17985709869106</v>
      </c>
      <c r="T255" s="66">
        <f t="shared" si="55"/>
        <v>68029.008761042511</v>
      </c>
      <c r="U255" s="45"/>
    </row>
    <row r="256" spans="1:21" ht="15">
      <c r="A256" s="45"/>
      <c r="B256" s="64">
        <f t="shared" si="45"/>
        <v>238</v>
      </c>
      <c r="C256" s="65">
        <f t="shared" si="46"/>
        <v>4424.4761644507462</v>
      </c>
      <c r="D256" s="66">
        <f t="shared" si="47"/>
        <v>2147.8380855342366</v>
      </c>
      <c r="E256" s="66">
        <f t="shared" si="48"/>
        <v>2276.6380789165096</v>
      </c>
      <c r="F256" s="66">
        <f t="shared" si="49"/>
        <v>394247.31617355795</v>
      </c>
      <c r="G256" s="45"/>
      <c r="H256" s="45"/>
      <c r="I256" s="64">
        <f t="shared" si="50"/>
        <v>238</v>
      </c>
      <c r="J256" s="65">
        <f t="shared" si="56"/>
        <v>3865.4259149932882</v>
      </c>
      <c r="K256" s="66">
        <f t="shared" si="57"/>
        <v>1605.9777691515797</v>
      </c>
      <c r="L256" s="66">
        <f t="shared" si="51"/>
        <v>2259.4481458417085</v>
      </c>
      <c r="M256" s="66">
        <f t="shared" si="52"/>
        <v>364821.18480309081</v>
      </c>
      <c r="N256" s="45"/>
      <c r="O256" s="45"/>
      <c r="P256" s="64">
        <f t="shared" si="53"/>
        <v>238</v>
      </c>
      <c r="Q256" s="65">
        <f t="shared" si="54"/>
        <v>895.35799997349602</v>
      </c>
      <c r="R256" s="66">
        <f t="shared" si="59"/>
        <v>580.5142080942295</v>
      </c>
      <c r="S256" s="66">
        <f t="shared" si="58"/>
        <v>314.84379187926652</v>
      </c>
      <c r="T256" s="66">
        <f t="shared" si="55"/>
        <v>67714.164969163248</v>
      </c>
      <c r="U256" s="45"/>
    </row>
    <row r="257" spans="1:21" ht="15">
      <c r="A257" s="45"/>
      <c r="B257" s="64">
        <f t="shared" si="45"/>
        <v>239</v>
      </c>
      <c r="C257" s="65">
        <f t="shared" si="46"/>
        <v>4424.4761644507462</v>
      </c>
      <c r="D257" s="66">
        <f t="shared" si="47"/>
        <v>2135.5062959401057</v>
      </c>
      <c r="E257" s="66">
        <f t="shared" si="48"/>
        <v>2288.9698685106405</v>
      </c>
      <c r="F257" s="66">
        <f t="shared" si="49"/>
        <v>391958.34630504734</v>
      </c>
      <c r="G257" s="45"/>
      <c r="H257" s="45"/>
      <c r="I257" s="64">
        <f t="shared" si="50"/>
        <v>239</v>
      </c>
      <c r="J257" s="65">
        <f t="shared" si="56"/>
        <v>3865.4259149932882</v>
      </c>
      <c r="K257" s="66">
        <f t="shared" si="57"/>
        <v>1596.0926835135222</v>
      </c>
      <c r="L257" s="66">
        <f t="shared" si="51"/>
        <v>2269.3332314797663</v>
      </c>
      <c r="M257" s="66">
        <f t="shared" si="52"/>
        <v>362551.85157161107</v>
      </c>
      <c r="N257" s="45"/>
      <c r="O257" s="45"/>
      <c r="P257" s="64">
        <f t="shared" si="53"/>
        <v>239</v>
      </c>
      <c r="Q257" s="65">
        <f t="shared" si="54"/>
        <v>895.35799997349602</v>
      </c>
      <c r="R257" s="66">
        <f t="shared" si="59"/>
        <v>577.82754107019309</v>
      </c>
      <c r="S257" s="66">
        <f t="shared" si="58"/>
        <v>317.53045890330293</v>
      </c>
      <c r="T257" s="66">
        <f t="shared" si="55"/>
        <v>67396.634510259944</v>
      </c>
      <c r="U257" s="45"/>
    </row>
    <row r="258" spans="1:21" ht="15">
      <c r="A258" s="45"/>
      <c r="B258" s="64">
        <f t="shared" si="45"/>
        <v>240</v>
      </c>
      <c r="C258" s="65">
        <f t="shared" si="46"/>
        <v>4424.4761644507462</v>
      </c>
      <c r="D258" s="66">
        <f t="shared" si="47"/>
        <v>2123.1077091523398</v>
      </c>
      <c r="E258" s="66">
        <f t="shared" si="48"/>
        <v>2301.3684552984064</v>
      </c>
      <c r="F258" s="66">
        <f t="shared" si="49"/>
        <v>389656.97784974892</v>
      </c>
      <c r="G258" s="45"/>
      <c r="H258" s="45"/>
      <c r="I258" s="64">
        <f t="shared" si="50"/>
        <v>240</v>
      </c>
      <c r="J258" s="65">
        <f t="shared" si="56"/>
        <v>3865.4259149932882</v>
      </c>
      <c r="K258" s="66">
        <f t="shared" si="57"/>
        <v>1586.1643506257983</v>
      </c>
      <c r="L258" s="66">
        <f t="shared" si="51"/>
        <v>2279.2615643674899</v>
      </c>
      <c r="M258" s="66">
        <f t="shared" si="52"/>
        <v>360272.59000724356</v>
      </c>
      <c r="N258" s="45"/>
      <c r="O258" s="45"/>
      <c r="P258" s="64">
        <f t="shared" si="53"/>
        <v>240</v>
      </c>
      <c r="Q258" s="65">
        <f t="shared" si="54"/>
        <v>895.35799997349602</v>
      </c>
      <c r="R258" s="66">
        <f t="shared" si="59"/>
        <v>575.11794782088486</v>
      </c>
      <c r="S258" s="66">
        <f t="shared" si="58"/>
        <v>320.24005215261116</v>
      </c>
      <c r="T258" s="66">
        <f t="shared" si="55"/>
        <v>67076.39445810733</v>
      </c>
      <c r="U258" s="45"/>
    </row>
    <row r="259" spans="1:21" ht="15">
      <c r="A259" s="45"/>
      <c r="B259" s="64">
        <f t="shared" si="45"/>
        <v>241</v>
      </c>
      <c r="C259" s="65">
        <f t="shared" si="46"/>
        <v>4424.4761644507462</v>
      </c>
      <c r="D259" s="66">
        <f t="shared" si="47"/>
        <v>2110.6419633528067</v>
      </c>
      <c r="E259" s="66">
        <f t="shared" si="48"/>
        <v>2313.8342010979395</v>
      </c>
      <c r="F259" s="66">
        <f t="shared" si="49"/>
        <v>387343.14364865096</v>
      </c>
      <c r="G259" s="45"/>
      <c r="H259" s="45"/>
      <c r="I259" s="64">
        <f t="shared" si="50"/>
        <v>241</v>
      </c>
      <c r="J259" s="65">
        <f t="shared" si="56"/>
        <v>3865.4259149932882</v>
      </c>
      <c r="K259" s="66">
        <f t="shared" si="57"/>
        <v>1576.1925812816903</v>
      </c>
      <c r="L259" s="66">
        <f t="shared" si="51"/>
        <v>2289.2333337115979</v>
      </c>
      <c r="M259" s="66">
        <f t="shared" si="52"/>
        <v>357983.35667353199</v>
      </c>
      <c r="N259" s="45"/>
      <c r="O259" s="45"/>
      <c r="P259" s="64">
        <f t="shared" si="53"/>
        <v>241</v>
      </c>
      <c r="Q259" s="65">
        <f t="shared" si="54"/>
        <v>895.35799997349602</v>
      </c>
      <c r="R259" s="66">
        <f t="shared" si="59"/>
        <v>572.38523270918256</v>
      </c>
      <c r="S259" s="66">
        <f t="shared" si="58"/>
        <v>322.97276726431346</v>
      </c>
      <c r="T259" s="66">
        <f t="shared" si="55"/>
        <v>66753.42169084301</v>
      </c>
      <c r="U259" s="45"/>
    </row>
    <row r="260" spans="1:21" ht="15">
      <c r="A260" s="45"/>
      <c r="B260" s="64">
        <f t="shared" si="45"/>
        <v>242</v>
      </c>
      <c r="C260" s="65">
        <f t="shared" si="46"/>
        <v>4424.4761644507462</v>
      </c>
      <c r="D260" s="66">
        <f t="shared" si="47"/>
        <v>2098.1086947635263</v>
      </c>
      <c r="E260" s="66">
        <f t="shared" si="48"/>
        <v>2326.3674696872199</v>
      </c>
      <c r="F260" s="66">
        <f t="shared" si="49"/>
        <v>385016.77617896372</v>
      </c>
      <c r="G260" s="45"/>
      <c r="H260" s="45"/>
      <c r="I260" s="64">
        <f t="shared" si="50"/>
        <v>242</v>
      </c>
      <c r="J260" s="65">
        <f t="shared" si="56"/>
        <v>3865.4259149932882</v>
      </c>
      <c r="K260" s="66">
        <f t="shared" si="57"/>
        <v>1566.1771854467022</v>
      </c>
      <c r="L260" s="66">
        <f t="shared" si="51"/>
        <v>2299.2487295465862</v>
      </c>
      <c r="M260" s="66">
        <f t="shared" si="52"/>
        <v>355684.10794398538</v>
      </c>
      <c r="N260" s="45"/>
      <c r="O260" s="45"/>
      <c r="P260" s="64">
        <f t="shared" si="53"/>
        <v>242</v>
      </c>
      <c r="Q260" s="65">
        <f t="shared" si="54"/>
        <v>895.35799997349602</v>
      </c>
      <c r="R260" s="66">
        <f t="shared" si="59"/>
        <v>569.62919842852705</v>
      </c>
      <c r="S260" s="66">
        <f t="shared" si="58"/>
        <v>325.72880154496897</v>
      </c>
      <c r="T260" s="66">
        <f t="shared" si="55"/>
        <v>66427.692889298036</v>
      </c>
      <c r="U260" s="45"/>
    </row>
    <row r="261" spans="1:21" ht="15">
      <c r="A261" s="45"/>
      <c r="B261" s="64">
        <f t="shared" si="45"/>
        <v>243</v>
      </c>
      <c r="C261" s="65">
        <f t="shared" si="46"/>
        <v>4424.4761644507462</v>
      </c>
      <c r="D261" s="66">
        <f t="shared" si="47"/>
        <v>2085.5075376360537</v>
      </c>
      <c r="E261" s="66">
        <f t="shared" si="48"/>
        <v>2338.9686268146925</v>
      </c>
      <c r="F261" s="66">
        <f t="shared" si="49"/>
        <v>382677.807552149</v>
      </c>
      <c r="G261" s="45"/>
      <c r="H261" s="45"/>
      <c r="I261" s="64">
        <f t="shared" si="50"/>
        <v>243</v>
      </c>
      <c r="J261" s="65">
        <f t="shared" si="56"/>
        <v>3865.4259149932882</v>
      </c>
      <c r="K261" s="66">
        <f t="shared" si="57"/>
        <v>1556.1179722549359</v>
      </c>
      <c r="L261" s="66">
        <f t="shared" si="51"/>
        <v>2309.3079427383523</v>
      </c>
      <c r="M261" s="66">
        <f t="shared" si="52"/>
        <v>353374.80000124703</v>
      </c>
      <c r="N261" s="45"/>
      <c r="O261" s="45"/>
      <c r="P261" s="64">
        <f t="shared" si="53"/>
        <v>243</v>
      </c>
      <c r="Q261" s="65">
        <f t="shared" si="54"/>
        <v>895.35799997349602</v>
      </c>
      <c r="R261" s="66">
        <f t="shared" si="59"/>
        <v>566.84964598867657</v>
      </c>
      <c r="S261" s="66">
        <f t="shared" si="58"/>
        <v>328.50835398481945</v>
      </c>
      <c r="T261" s="66">
        <f t="shared" si="55"/>
        <v>66099.184535313223</v>
      </c>
      <c r="U261" s="45"/>
    </row>
    <row r="262" spans="1:21" ht="15">
      <c r="A262" s="45"/>
      <c r="B262" s="64">
        <f t="shared" si="45"/>
        <v>244</v>
      </c>
      <c r="C262" s="65">
        <f t="shared" si="46"/>
        <v>4424.4761644507462</v>
      </c>
      <c r="D262" s="66">
        <f t="shared" si="47"/>
        <v>2072.8381242408072</v>
      </c>
      <c r="E262" s="66">
        <f t="shared" si="48"/>
        <v>2351.6380402099389</v>
      </c>
      <c r="F262" s="66">
        <f t="shared" si="49"/>
        <v>380326.16951193905</v>
      </c>
      <c r="G262" s="45"/>
      <c r="H262" s="45"/>
      <c r="I262" s="64">
        <f t="shared" si="50"/>
        <v>244</v>
      </c>
      <c r="J262" s="65">
        <f t="shared" si="56"/>
        <v>3865.4259149932882</v>
      </c>
      <c r="K262" s="66">
        <f t="shared" si="57"/>
        <v>1546.0147500054557</v>
      </c>
      <c r="L262" s="66">
        <f t="shared" si="51"/>
        <v>2319.4111649878323</v>
      </c>
      <c r="M262" s="66">
        <f t="shared" si="52"/>
        <v>351055.3888362592</v>
      </c>
      <c r="N262" s="45"/>
      <c r="O262" s="45"/>
      <c r="P262" s="64">
        <f t="shared" si="53"/>
        <v>244</v>
      </c>
      <c r="Q262" s="65">
        <f t="shared" si="54"/>
        <v>895.35799997349602</v>
      </c>
      <c r="R262" s="66">
        <f t="shared" si="59"/>
        <v>564.04637470133957</v>
      </c>
      <c r="S262" s="66">
        <f t="shared" si="58"/>
        <v>331.31162527215645</v>
      </c>
      <c r="T262" s="66">
        <f t="shared" si="55"/>
        <v>65767.872910041071</v>
      </c>
      <c r="U262" s="45"/>
    </row>
    <row r="263" spans="1:21" ht="15">
      <c r="A263" s="45"/>
      <c r="B263" s="64">
        <f t="shared" si="45"/>
        <v>245</v>
      </c>
      <c r="C263" s="65">
        <f t="shared" si="46"/>
        <v>4424.4761644507462</v>
      </c>
      <c r="D263" s="66">
        <f t="shared" si="47"/>
        <v>2060.1000848563367</v>
      </c>
      <c r="E263" s="66">
        <f t="shared" si="48"/>
        <v>2364.3760795944095</v>
      </c>
      <c r="F263" s="66">
        <f t="shared" si="49"/>
        <v>377961.79343234462</v>
      </c>
      <c r="G263" s="45"/>
      <c r="H263" s="45"/>
      <c r="I263" s="64">
        <f t="shared" si="50"/>
        <v>245</v>
      </c>
      <c r="J263" s="65">
        <f t="shared" si="56"/>
        <v>3865.4259149932882</v>
      </c>
      <c r="K263" s="66">
        <f t="shared" si="57"/>
        <v>1535.8673261586339</v>
      </c>
      <c r="L263" s="66">
        <f t="shared" si="51"/>
        <v>2329.5585888346541</v>
      </c>
      <c r="M263" s="66">
        <f t="shared" si="52"/>
        <v>348725.83024742454</v>
      </c>
      <c r="N263" s="45"/>
      <c r="O263" s="45"/>
      <c r="P263" s="64">
        <f t="shared" si="53"/>
        <v>245</v>
      </c>
      <c r="Q263" s="65">
        <f t="shared" si="54"/>
        <v>895.35799997349602</v>
      </c>
      <c r="R263" s="66">
        <f t="shared" si="59"/>
        <v>561.21918216568383</v>
      </c>
      <c r="S263" s="66">
        <f t="shared" si="58"/>
        <v>334.13881780781219</v>
      </c>
      <c r="T263" s="66">
        <f t="shared" si="55"/>
        <v>65433.734092233259</v>
      </c>
      <c r="U263" s="45"/>
    </row>
    <row r="264" spans="1:21" ht="15">
      <c r="A264" s="45"/>
      <c r="B264" s="64">
        <f t="shared" si="45"/>
        <v>246</v>
      </c>
      <c r="C264" s="65">
        <f t="shared" si="46"/>
        <v>4424.4761644507462</v>
      </c>
      <c r="D264" s="66">
        <f t="shared" si="47"/>
        <v>2047.2930477585335</v>
      </c>
      <c r="E264" s="66">
        <f t="shared" si="48"/>
        <v>2377.1831166922129</v>
      </c>
      <c r="F264" s="66">
        <f t="shared" si="49"/>
        <v>375584.61031565239</v>
      </c>
      <c r="G264" s="45"/>
      <c r="H264" s="45"/>
      <c r="I264" s="64">
        <f t="shared" si="50"/>
        <v>246</v>
      </c>
      <c r="J264" s="65">
        <f t="shared" si="56"/>
        <v>3865.4259149932882</v>
      </c>
      <c r="K264" s="66">
        <f t="shared" si="57"/>
        <v>1525.6755073324823</v>
      </c>
      <c r="L264" s="66">
        <f t="shared" si="51"/>
        <v>2339.7504076608056</v>
      </c>
      <c r="M264" s="66">
        <f t="shared" si="52"/>
        <v>346386.07983976376</v>
      </c>
      <c r="N264" s="45"/>
      <c r="O264" s="45"/>
      <c r="P264" s="64">
        <f t="shared" si="53"/>
        <v>246</v>
      </c>
      <c r="Q264" s="65">
        <f t="shared" si="54"/>
        <v>895.35799997349602</v>
      </c>
      <c r="R264" s="66">
        <f t="shared" si="59"/>
        <v>558.36786425372384</v>
      </c>
      <c r="S264" s="66">
        <f t="shared" si="58"/>
        <v>336.99013571977218</v>
      </c>
      <c r="T264" s="66">
        <f t="shared" si="55"/>
        <v>65096.743956513485</v>
      </c>
      <c r="U264" s="45"/>
    </row>
    <row r="265" spans="1:21" ht="15">
      <c r="A265" s="45"/>
      <c r="B265" s="64">
        <f t="shared" si="45"/>
        <v>247</v>
      </c>
      <c r="C265" s="65">
        <f t="shared" si="46"/>
        <v>4424.4761644507462</v>
      </c>
      <c r="D265" s="66">
        <f t="shared" si="47"/>
        <v>2034.4166392097839</v>
      </c>
      <c r="E265" s="66">
        <f t="shared" si="48"/>
        <v>2390.0595252409621</v>
      </c>
      <c r="F265" s="66">
        <f t="shared" si="49"/>
        <v>373194.55079041142</v>
      </c>
      <c r="G265" s="45"/>
      <c r="H265" s="45"/>
      <c r="I265" s="64">
        <f t="shared" si="50"/>
        <v>247</v>
      </c>
      <c r="J265" s="65">
        <f t="shared" si="56"/>
        <v>3865.4259149932882</v>
      </c>
      <c r="K265" s="66">
        <f t="shared" si="57"/>
        <v>1515.4390992989663</v>
      </c>
      <c r="L265" s="66">
        <f t="shared" si="51"/>
        <v>2349.9868156943221</v>
      </c>
      <c r="M265" s="66">
        <f t="shared" si="52"/>
        <v>344036.09302406944</v>
      </c>
      <c r="N265" s="45"/>
      <c r="O265" s="45"/>
      <c r="P265" s="64">
        <f t="shared" si="53"/>
        <v>247</v>
      </c>
      <c r="Q265" s="65">
        <f t="shared" si="54"/>
        <v>895.35799997349602</v>
      </c>
      <c r="R265" s="66">
        <f t="shared" si="59"/>
        <v>555.49221509558174</v>
      </c>
      <c r="S265" s="66">
        <f t="shared" si="58"/>
        <v>339.86578487791428</v>
      </c>
      <c r="T265" s="66">
        <f t="shared" si="55"/>
        <v>64756.878171635573</v>
      </c>
      <c r="U265" s="45"/>
    </row>
    <row r="266" spans="1:21" ht="15">
      <c r="A266" s="45"/>
      <c r="B266" s="64">
        <f t="shared" si="45"/>
        <v>248</v>
      </c>
      <c r="C266" s="65">
        <f t="shared" si="46"/>
        <v>4424.4761644507462</v>
      </c>
      <c r="D266" s="66">
        <f t="shared" si="47"/>
        <v>2021.4704834480619</v>
      </c>
      <c r="E266" s="66">
        <f t="shared" si="48"/>
        <v>2403.0056810026845</v>
      </c>
      <c r="F266" s="66">
        <f t="shared" si="49"/>
        <v>370791.54510940873</v>
      </c>
      <c r="G266" s="45"/>
      <c r="H266" s="45"/>
      <c r="I266" s="64">
        <f t="shared" si="50"/>
        <v>248</v>
      </c>
      <c r="J266" s="65">
        <f t="shared" si="56"/>
        <v>3865.4259149932882</v>
      </c>
      <c r="K266" s="66">
        <f t="shared" si="57"/>
        <v>1505.1579069803036</v>
      </c>
      <c r="L266" s="66">
        <f t="shared" si="51"/>
        <v>2360.2680080129849</v>
      </c>
      <c r="M266" s="66">
        <f t="shared" si="52"/>
        <v>341675.82501605648</v>
      </c>
      <c r="N266" s="45"/>
      <c r="O266" s="45"/>
      <c r="P266" s="64">
        <f t="shared" si="53"/>
        <v>248</v>
      </c>
      <c r="Q266" s="65">
        <f t="shared" si="54"/>
        <v>895.35799997349602</v>
      </c>
      <c r="R266" s="66">
        <f t="shared" si="59"/>
        <v>552.59202706462361</v>
      </c>
      <c r="S266" s="66">
        <f t="shared" si="58"/>
        <v>342.76597290887241</v>
      </c>
      <c r="T266" s="66">
        <f t="shared" si="55"/>
        <v>64414.112198726703</v>
      </c>
      <c r="U266" s="45"/>
    </row>
    <row r="267" spans="1:21" ht="15">
      <c r="A267" s="45"/>
      <c r="B267" s="64">
        <f t="shared" si="45"/>
        <v>249</v>
      </c>
      <c r="C267" s="65">
        <f t="shared" si="46"/>
        <v>4424.4761644507462</v>
      </c>
      <c r="D267" s="66">
        <f t="shared" si="47"/>
        <v>2008.4542026759641</v>
      </c>
      <c r="E267" s="66">
        <f t="shared" si="48"/>
        <v>2416.0219617747821</v>
      </c>
      <c r="F267" s="66">
        <f t="shared" si="49"/>
        <v>368375.52314763394</v>
      </c>
      <c r="G267" s="45"/>
      <c r="H267" s="45"/>
      <c r="I267" s="64">
        <f t="shared" si="50"/>
        <v>249</v>
      </c>
      <c r="J267" s="65">
        <f t="shared" si="56"/>
        <v>3865.4259149932882</v>
      </c>
      <c r="K267" s="66">
        <f t="shared" si="57"/>
        <v>1494.8317344452469</v>
      </c>
      <c r="L267" s="66">
        <f t="shared" si="51"/>
        <v>2370.5941805480415</v>
      </c>
      <c r="M267" s="66">
        <f t="shared" si="52"/>
        <v>339305.23083550844</v>
      </c>
      <c r="N267" s="45"/>
      <c r="O267" s="45"/>
      <c r="P267" s="64">
        <f t="shared" si="53"/>
        <v>249</v>
      </c>
      <c r="Q267" s="65">
        <f t="shared" si="54"/>
        <v>895.35799997349602</v>
      </c>
      <c r="R267" s="66">
        <f t="shared" si="59"/>
        <v>549.66709076246786</v>
      </c>
      <c r="S267" s="66">
        <f t="shared" si="58"/>
        <v>345.69090921102816</v>
      </c>
      <c r="T267" s="66">
        <f t="shared" si="55"/>
        <v>64068.421289515674</v>
      </c>
      <c r="U267" s="45"/>
    </row>
    <row r="268" spans="1:21" ht="15">
      <c r="A268" s="45"/>
      <c r="B268" s="64">
        <f t="shared" si="45"/>
        <v>250</v>
      </c>
      <c r="C268" s="65">
        <f t="shared" si="46"/>
        <v>4424.4761644507462</v>
      </c>
      <c r="D268" s="66">
        <f t="shared" si="47"/>
        <v>1995.3674170496838</v>
      </c>
      <c r="E268" s="66">
        <f t="shared" si="48"/>
        <v>2429.1087474010624</v>
      </c>
      <c r="F268" s="66">
        <f t="shared" si="49"/>
        <v>365946.4144002329</v>
      </c>
      <c r="G268" s="45"/>
      <c r="H268" s="45"/>
      <c r="I268" s="64">
        <f t="shared" si="50"/>
        <v>250</v>
      </c>
      <c r="J268" s="65">
        <f t="shared" si="56"/>
        <v>3865.4259149932882</v>
      </c>
      <c r="K268" s="66">
        <f t="shared" si="57"/>
        <v>1484.4603849053492</v>
      </c>
      <c r="L268" s="66">
        <f t="shared" si="51"/>
        <v>2380.965530087939</v>
      </c>
      <c r="M268" s="66">
        <f t="shared" si="52"/>
        <v>336924.2653054205</v>
      </c>
      <c r="N268" s="45"/>
      <c r="O268" s="45"/>
      <c r="P268" s="64">
        <f t="shared" si="53"/>
        <v>250</v>
      </c>
      <c r="Q268" s="65">
        <f t="shared" si="54"/>
        <v>895.35799997349602</v>
      </c>
      <c r="R268" s="66">
        <f t="shared" si="59"/>
        <v>546.71719500386712</v>
      </c>
      <c r="S268" s="66">
        <f t="shared" si="58"/>
        <v>348.6408049696289</v>
      </c>
      <c r="T268" s="66">
        <f t="shared" si="55"/>
        <v>63719.780484546049</v>
      </c>
      <c r="U268" s="45"/>
    </row>
    <row r="269" spans="1:21" ht="15">
      <c r="A269" s="45"/>
      <c r="B269" s="64">
        <f t="shared" si="45"/>
        <v>251</v>
      </c>
      <c r="C269" s="65">
        <f t="shared" si="46"/>
        <v>4424.4761644507462</v>
      </c>
      <c r="D269" s="66">
        <f t="shared" si="47"/>
        <v>1982.2097446679284</v>
      </c>
      <c r="E269" s="66">
        <f t="shared" si="48"/>
        <v>2442.266419782818</v>
      </c>
      <c r="F269" s="66">
        <f t="shared" si="49"/>
        <v>363504.14798045007</v>
      </c>
      <c r="G269" s="45"/>
      <c r="H269" s="45"/>
      <c r="I269" s="64">
        <f t="shared" si="50"/>
        <v>251</v>
      </c>
      <c r="J269" s="65">
        <f t="shared" si="56"/>
        <v>3865.4259149932882</v>
      </c>
      <c r="K269" s="66">
        <f t="shared" si="57"/>
        <v>1474.0436607112144</v>
      </c>
      <c r="L269" s="66">
        <f t="shared" si="51"/>
        <v>2391.3822542820735</v>
      </c>
      <c r="M269" s="66">
        <f t="shared" si="52"/>
        <v>334532.88305113843</v>
      </c>
      <c r="N269" s="45"/>
      <c r="O269" s="45"/>
      <c r="P269" s="64">
        <f t="shared" si="53"/>
        <v>251</v>
      </c>
      <c r="Q269" s="65">
        <f t="shared" si="54"/>
        <v>895.35799997349602</v>
      </c>
      <c r="R269" s="66">
        <f t="shared" si="59"/>
        <v>543.74212680145968</v>
      </c>
      <c r="S269" s="66">
        <f t="shared" si="58"/>
        <v>351.61587317203634</v>
      </c>
      <c r="T269" s="66">
        <f t="shared" si="55"/>
        <v>63368.164611374013</v>
      </c>
      <c r="U269" s="45"/>
    </row>
    <row r="270" spans="1:21" ht="15">
      <c r="A270" s="45"/>
      <c r="B270" s="64">
        <f t="shared" si="45"/>
        <v>252</v>
      </c>
      <c r="C270" s="65">
        <f t="shared" si="46"/>
        <v>4424.4761644507462</v>
      </c>
      <c r="D270" s="66">
        <f t="shared" si="47"/>
        <v>1968.9808015607712</v>
      </c>
      <c r="E270" s="66">
        <f t="shared" si="48"/>
        <v>2455.4953628899748</v>
      </c>
      <c r="F270" s="66">
        <f t="shared" si="49"/>
        <v>361048.65261756012</v>
      </c>
      <c r="G270" s="45"/>
      <c r="H270" s="45"/>
      <c r="I270" s="64">
        <f t="shared" si="50"/>
        <v>252</v>
      </c>
      <c r="J270" s="65">
        <f t="shared" si="56"/>
        <v>3865.4259149932882</v>
      </c>
      <c r="K270" s="66">
        <f t="shared" si="57"/>
        <v>1463.5813633487305</v>
      </c>
      <c r="L270" s="66">
        <f t="shared" si="51"/>
        <v>2401.8445516445577</v>
      </c>
      <c r="M270" s="66">
        <f t="shared" si="52"/>
        <v>332131.03849949385</v>
      </c>
      <c r="N270" s="45"/>
      <c r="O270" s="45"/>
      <c r="P270" s="64">
        <f t="shared" si="53"/>
        <v>252</v>
      </c>
      <c r="Q270" s="65">
        <f t="shared" si="54"/>
        <v>895.35799997349602</v>
      </c>
      <c r="R270" s="66">
        <f t="shared" si="59"/>
        <v>540.74167135039158</v>
      </c>
      <c r="S270" s="66">
        <f t="shared" si="58"/>
        <v>354.61632862310444</v>
      </c>
      <c r="T270" s="66">
        <f t="shared" si="55"/>
        <v>63013.548282750911</v>
      </c>
      <c r="U270" s="45"/>
    </row>
    <row r="271" spans="1:21" ht="15">
      <c r="A271" s="45"/>
      <c r="B271" s="64">
        <f t="shared" si="45"/>
        <v>253</v>
      </c>
      <c r="C271" s="65">
        <f t="shared" si="46"/>
        <v>4424.4761644507462</v>
      </c>
      <c r="D271" s="66">
        <f t="shared" si="47"/>
        <v>1955.6802016784507</v>
      </c>
      <c r="E271" s="66">
        <f t="shared" si="48"/>
        <v>2468.7959627722958</v>
      </c>
      <c r="F271" s="66">
        <f t="shared" si="49"/>
        <v>358579.85665478784</v>
      </c>
      <c r="G271" s="45"/>
      <c r="H271" s="45"/>
      <c r="I271" s="64">
        <f t="shared" si="50"/>
        <v>253</v>
      </c>
      <c r="J271" s="65">
        <f t="shared" si="56"/>
        <v>3865.4259149932882</v>
      </c>
      <c r="K271" s="66">
        <f t="shared" si="57"/>
        <v>1453.0732934352854</v>
      </c>
      <c r="L271" s="66">
        <f t="shared" si="51"/>
        <v>2412.3526215580027</v>
      </c>
      <c r="M271" s="66">
        <f t="shared" si="52"/>
        <v>329718.68587793584</v>
      </c>
      <c r="N271" s="45"/>
      <c r="O271" s="45"/>
      <c r="P271" s="64">
        <f t="shared" si="53"/>
        <v>253</v>
      </c>
      <c r="Q271" s="65">
        <f t="shared" si="54"/>
        <v>895.35799997349602</v>
      </c>
      <c r="R271" s="66">
        <f t="shared" si="59"/>
        <v>537.71561201280781</v>
      </c>
      <c r="S271" s="66">
        <f t="shared" si="58"/>
        <v>357.64238796068821</v>
      </c>
      <c r="T271" s="66">
        <f t="shared" si="55"/>
        <v>62655.905894790223</v>
      </c>
      <c r="U271" s="45"/>
    </row>
    <row r="272" spans="1:21" ht="15">
      <c r="A272" s="45"/>
      <c r="B272" s="64">
        <f t="shared" si="45"/>
        <v>254</v>
      </c>
      <c r="C272" s="65">
        <f t="shared" si="46"/>
        <v>4424.4761644507462</v>
      </c>
      <c r="D272" s="66">
        <f t="shared" si="47"/>
        <v>1942.3075568801009</v>
      </c>
      <c r="E272" s="66">
        <f t="shared" si="48"/>
        <v>2482.1686075706452</v>
      </c>
      <c r="F272" s="66">
        <f t="shared" si="49"/>
        <v>356097.68804721721</v>
      </c>
      <c r="G272" s="45"/>
      <c r="H272" s="45"/>
      <c r="I272" s="64">
        <f t="shared" si="50"/>
        <v>254</v>
      </c>
      <c r="J272" s="65">
        <f t="shared" si="56"/>
        <v>3865.4259149932882</v>
      </c>
      <c r="K272" s="66">
        <f t="shared" si="57"/>
        <v>1442.5192507159691</v>
      </c>
      <c r="L272" s="66">
        <f t="shared" si="51"/>
        <v>2422.9066642773191</v>
      </c>
      <c r="M272" s="66">
        <f t="shared" si="52"/>
        <v>327295.77921365853</v>
      </c>
      <c r="N272" s="45"/>
      <c r="O272" s="45"/>
      <c r="P272" s="64">
        <f t="shared" si="53"/>
        <v>254</v>
      </c>
      <c r="Q272" s="65">
        <f t="shared" si="54"/>
        <v>895.35799997349602</v>
      </c>
      <c r="R272" s="66">
        <f t="shared" si="59"/>
        <v>534.66373030220996</v>
      </c>
      <c r="S272" s="66">
        <f t="shared" si="58"/>
        <v>360.69426967128607</v>
      </c>
      <c r="T272" s="66">
        <f t="shared" si="55"/>
        <v>62295.211625118936</v>
      </c>
      <c r="U272" s="45"/>
    </row>
    <row r="273" spans="1:21" ht="15">
      <c r="A273" s="45"/>
      <c r="B273" s="64">
        <f t="shared" si="45"/>
        <v>255</v>
      </c>
      <c r="C273" s="65">
        <f t="shared" si="46"/>
        <v>4424.4761644507462</v>
      </c>
      <c r="D273" s="66">
        <f t="shared" si="47"/>
        <v>1928.8624769224266</v>
      </c>
      <c r="E273" s="66">
        <f t="shared" si="48"/>
        <v>2495.6136875283196</v>
      </c>
      <c r="F273" s="66">
        <f t="shared" si="49"/>
        <v>353602.07435968891</v>
      </c>
      <c r="G273" s="45"/>
      <c r="H273" s="45"/>
      <c r="I273" s="64">
        <f t="shared" si="50"/>
        <v>255</v>
      </c>
      <c r="J273" s="65">
        <f t="shared" si="56"/>
        <v>3865.4259149932882</v>
      </c>
      <c r="K273" s="66">
        <f t="shared" si="57"/>
        <v>1431.9190340597559</v>
      </c>
      <c r="L273" s="66">
        <f t="shared" si="51"/>
        <v>2433.5068809335326</v>
      </c>
      <c r="M273" s="66">
        <f t="shared" si="52"/>
        <v>324862.272332725</v>
      </c>
      <c r="N273" s="45"/>
      <c r="O273" s="45"/>
      <c r="P273" s="64">
        <f t="shared" si="53"/>
        <v>255</v>
      </c>
      <c r="Q273" s="65">
        <f t="shared" si="54"/>
        <v>895.35799997349602</v>
      </c>
      <c r="R273" s="66">
        <f t="shared" si="59"/>
        <v>531.58580586768164</v>
      </c>
      <c r="S273" s="66">
        <f t="shared" si="58"/>
        <v>363.77219410581438</v>
      </c>
      <c r="T273" s="66">
        <f t="shared" si="55"/>
        <v>61931.439431013125</v>
      </c>
      <c r="U273" s="45"/>
    </row>
    <row r="274" spans="1:21" ht="15">
      <c r="A274" s="45"/>
      <c r="B274" s="64">
        <f t="shared" si="45"/>
        <v>256</v>
      </c>
      <c r="C274" s="65">
        <f t="shared" si="46"/>
        <v>4424.4761644507462</v>
      </c>
      <c r="D274" s="66">
        <f t="shared" si="47"/>
        <v>1915.344569448315</v>
      </c>
      <c r="E274" s="66">
        <f t="shared" si="48"/>
        <v>2509.1315950024309</v>
      </c>
      <c r="F274" s="66">
        <f t="shared" si="49"/>
        <v>351092.94276468648</v>
      </c>
      <c r="G274" s="45"/>
      <c r="H274" s="45"/>
      <c r="I274" s="64">
        <f t="shared" si="50"/>
        <v>256</v>
      </c>
      <c r="J274" s="65">
        <f t="shared" si="56"/>
        <v>3865.4259149932882</v>
      </c>
      <c r="K274" s="66">
        <f t="shared" si="57"/>
        <v>1421.2724414556717</v>
      </c>
      <c r="L274" s="66">
        <f t="shared" si="51"/>
        <v>2444.1534735376163</v>
      </c>
      <c r="M274" s="66">
        <f t="shared" si="52"/>
        <v>322418.11885918741</v>
      </c>
      <c r="N274" s="45"/>
      <c r="O274" s="45"/>
      <c r="P274" s="64">
        <f t="shared" si="53"/>
        <v>256</v>
      </c>
      <c r="Q274" s="65">
        <f t="shared" si="54"/>
        <v>895.35799997349602</v>
      </c>
      <c r="R274" s="66">
        <f t="shared" si="59"/>
        <v>528.48161647797872</v>
      </c>
      <c r="S274" s="66">
        <f t="shared" si="58"/>
        <v>366.8763834955173</v>
      </c>
      <c r="T274" s="66">
        <f t="shared" si="55"/>
        <v>61564.563047517608</v>
      </c>
      <c r="U274" s="45"/>
    </row>
    <row r="275" spans="1:21" ht="15">
      <c r="A275" s="45"/>
      <c r="B275" s="64">
        <f t="shared" si="45"/>
        <v>257</v>
      </c>
      <c r="C275" s="65">
        <f t="shared" si="46"/>
        <v>4424.4761644507462</v>
      </c>
      <c r="D275" s="66">
        <f t="shared" si="47"/>
        <v>1901.7534399753852</v>
      </c>
      <c r="E275" s="66">
        <f t="shared" si="48"/>
        <v>2522.7227244753612</v>
      </c>
      <c r="F275" s="66">
        <f t="shared" si="49"/>
        <v>348570.2200402111</v>
      </c>
      <c r="G275" s="45"/>
      <c r="H275" s="45"/>
      <c r="I275" s="64">
        <f t="shared" si="50"/>
        <v>257</v>
      </c>
      <c r="J275" s="65">
        <f t="shared" si="56"/>
        <v>3865.4259149932882</v>
      </c>
      <c r="K275" s="66">
        <f t="shared" si="57"/>
        <v>1410.5792700089448</v>
      </c>
      <c r="L275" s="66">
        <f t="shared" si="51"/>
        <v>2454.8466449843436</v>
      </c>
      <c r="M275" s="66">
        <f t="shared" si="52"/>
        <v>319963.27221420308</v>
      </c>
      <c r="N275" s="45"/>
      <c r="O275" s="45"/>
      <c r="P275" s="64">
        <f t="shared" si="53"/>
        <v>257</v>
      </c>
      <c r="Q275" s="65">
        <f t="shared" si="54"/>
        <v>895.35799997349602</v>
      </c>
      <c r="R275" s="66">
        <f t="shared" si="59"/>
        <v>525.35093800548361</v>
      </c>
      <c r="S275" s="66">
        <f t="shared" si="58"/>
        <v>370.00706196801241</v>
      </c>
      <c r="T275" s="66">
        <f t="shared" si="55"/>
        <v>61194.555985549596</v>
      </c>
      <c r="U275" s="45"/>
    </row>
    <row r="276" spans="1:21" ht="15">
      <c r="A276" s="45"/>
      <c r="B276" s="64">
        <f t="shared" ref="B276:B339" si="60">IF(B275&lt;$D$6,B275+1,"")</f>
        <v>258</v>
      </c>
      <c r="C276" s="65">
        <f t="shared" ref="C276:C339" si="61">IF(B275&lt;$D$6,+C275,"")</f>
        <v>4424.4761644507462</v>
      </c>
      <c r="D276" s="66">
        <f t="shared" ref="D276:D339" si="62">IF(B275&lt;$D$6,+F275*($D$7/12),"")</f>
        <v>1888.0886918844769</v>
      </c>
      <c r="E276" s="66">
        <f t="shared" ref="E276:E339" si="63">IF(B275&lt;$D$6,+C276-D276,"")</f>
        <v>2536.387472566269</v>
      </c>
      <c r="F276" s="66">
        <f t="shared" ref="F276:F339" si="64">IF(B275&lt;$D$6,+F275-E276,"")</f>
        <v>346033.83256764483</v>
      </c>
      <c r="G276" s="45"/>
      <c r="H276" s="45"/>
      <c r="I276" s="64">
        <f t="shared" si="50"/>
        <v>258</v>
      </c>
      <c r="J276" s="65">
        <f t="shared" si="56"/>
        <v>3865.4259149932882</v>
      </c>
      <c r="K276" s="66">
        <f t="shared" si="57"/>
        <v>1399.8393159371383</v>
      </c>
      <c r="L276" s="66">
        <f t="shared" si="51"/>
        <v>2465.5865990561497</v>
      </c>
      <c r="M276" s="66">
        <f t="shared" si="52"/>
        <v>317497.68561514694</v>
      </c>
      <c r="N276" s="45"/>
      <c r="O276" s="45"/>
      <c r="P276" s="64">
        <f t="shared" si="53"/>
        <v>258</v>
      </c>
      <c r="Q276" s="65">
        <f t="shared" si="54"/>
        <v>895.35799997349602</v>
      </c>
      <c r="R276" s="66">
        <f t="shared" si="59"/>
        <v>522.19354441002326</v>
      </c>
      <c r="S276" s="66">
        <f t="shared" si="58"/>
        <v>373.16445556347276</v>
      </c>
      <c r="T276" s="66">
        <f t="shared" si="55"/>
        <v>60821.391529986126</v>
      </c>
      <c r="U276" s="45"/>
    </row>
    <row r="277" spans="1:21" ht="15">
      <c r="A277" s="45"/>
      <c r="B277" s="64">
        <f t="shared" si="60"/>
        <v>259</v>
      </c>
      <c r="C277" s="65">
        <f t="shared" si="61"/>
        <v>4424.4761644507462</v>
      </c>
      <c r="D277" s="66">
        <f t="shared" si="62"/>
        <v>1874.3499264080763</v>
      </c>
      <c r="E277" s="66">
        <f t="shared" si="63"/>
        <v>2550.1262380426697</v>
      </c>
      <c r="F277" s="66">
        <f t="shared" si="64"/>
        <v>343483.70632960217</v>
      </c>
      <c r="G277" s="45"/>
      <c r="H277" s="45"/>
      <c r="I277" s="64">
        <f t="shared" ref="I277:I340" si="65">IF(I276&lt;$K$6,I276+1,"")</f>
        <v>259</v>
      </c>
      <c r="J277" s="65">
        <f t="shared" si="56"/>
        <v>3865.4259149932882</v>
      </c>
      <c r="K277" s="66">
        <f t="shared" si="57"/>
        <v>1389.0523745662676</v>
      </c>
      <c r="L277" s="66">
        <f t="shared" ref="L277:L340" si="66">IF(I276&lt;$K$6,+J277-K277,"")</f>
        <v>2476.3735404270205</v>
      </c>
      <c r="M277" s="66">
        <f t="shared" ref="M277:M340" si="67">IF(I276&lt;$K$6,+M276-L277,"")</f>
        <v>315021.31207471993</v>
      </c>
      <c r="N277" s="45"/>
      <c r="O277" s="45"/>
      <c r="P277" s="64">
        <f t="shared" ref="P277:P340" si="68">IF(P276&lt;$K$6,P276+1,"")</f>
        <v>259</v>
      </c>
      <c r="Q277" s="65">
        <f t="shared" ref="Q277:Q340" si="69">IF(P276&lt;$R$6,+Q276,"")</f>
        <v>895.35799997349602</v>
      </c>
      <c r="R277" s="66">
        <f t="shared" si="59"/>
        <v>519.00920772254824</v>
      </c>
      <c r="S277" s="66">
        <f t="shared" si="58"/>
        <v>376.34879225094778</v>
      </c>
      <c r="T277" s="66">
        <f t="shared" ref="T277:T340" si="70">IF(P276&lt;$R$6,+T276-S277,"")</f>
        <v>60445.042737735181</v>
      </c>
      <c r="U277" s="45"/>
    </row>
    <row r="278" spans="1:21" ht="15">
      <c r="A278" s="45"/>
      <c r="B278" s="64">
        <f t="shared" si="60"/>
        <v>260</v>
      </c>
      <c r="C278" s="65">
        <f t="shared" si="61"/>
        <v>4424.4761644507462</v>
      </c>
      <c r="D278" s="66">
        <f t="shared" si="62"/>
        <v>1860.5367426186785</v>
      </c>
      <c r="E278" s="66">
        <f t="shared" si="63"/>
        <v>2563.9394218320676</v>
      </c>
      <c r="F278" s="66">
        <f t="shared" si="64"/>
        <v>340919.76690777007</v>
      </c>
      <c r="G278" s="45"/>
      <c r="H278" s="45"/>
      <c r="I278" s="64">
        <f t="shared" si="65"/>
        <v>260</v>
      </c>
      <c r="J278" s="65">
        <f t="shared" ref="J278:J341" si="71">IF(I277&lt;$K$6,+J277,"")</f>
        <v>3865.4259149932882</v>
      </c>
      <c r="K278" s="66">
        <f t="shared" ref="K278:K341" si="72">IF(I277&lt;$K$6,+M277*($K$7/12),"")</f>
        <v>1378.2182403268996</v>
      </c>
      <c r="L278" s="66">
        <f t="shared" si="66"/>
        <v>2487.2076746663888</v>
      </c>
      <c r="M278" s="66">
        <f t="shared" si="67"/>
        <v>312534.10440005356</v>
      </c>
      <c r="N278" s="45"/>
      <c r="O278" s="45"/>
      <c r="P278" s="64">
        <f t="shared" si="68"/>
        <v>260</v>
      </c>
      <c r="Q278" s="65">
        <f t="shared" si="69"/>
        <v>895.35799997349602</v>
      </c>
      <c r="R278" s="66">
        <f t="shared" si="59"/>
        <v>515.79769802867361</v>
      </c>
      <c r="S278" s="66">
        <f t="shared" ref="S278:S341" si="73">IF(P277&lt;$R$6,+Q278-R278,"")</f>
        <v>379.56030194482241</v>
      </c>
      <c r="T278" s="66">
        <f t="shared" si="70"/>
        <v>60065.482435790356</v>
      </c>
      <c r="U278" s="45"/>
    </row>
    <row r="279" spans="1:21" ht="15">
      <c r="A279" s="45"/>
      <c r="B279" s="64">
        <f t="shared" si="60"/>
        <v>261</v>
      </c>
      <c r="C279" s="65">
        <f t="shared" si="61"/>
        <v>4424.4761644507462</v>
      </c>
      <c r="D279" s="66">
        <f t="shared" si="62"/>
        <v>1846.6487374170879</v>
      </c>
      <c r="E279" s="66">
        <f t="shared" si="63"/>
        <v>2577.8274270336583</v>
      </c>
      <c r="F279" s="66">
        <f t="shared" si="64"/>
        <v>338341.93948073639</v>
      </c>
      <c r="G279" s="45"/>
      <c r="H279" s="45"/>
      <c r="I279" s="64">
        <f t="shared" si="65"/>
        <v>261</v>
      </c>
      <c r="J279" s="65">
        <f t="shared" si="71"/>
        <v>3865.4259149932882</v>
      </c>
      <c r="K279" s="66">
        <f t="shared" si="72"/>
        <v>1367.3367067502343</v>
      </c>
      <c r="L279" s="66">
        <f t="shared" si="66"/>
        <v>2498.0892082430537</v>
      </c>
      <c r="M279" s="66">
        <f t="shared" si="67"/>
        <v>310036.0151918105</v>
      </c>
      <c r="N279" s="45"/>
      <c r="O279" s="45"/>
      <c r="P279" s="64">
        <f t="shared" si="68"/>
        <v>261</v>
      </c>
      <c r="Q279" s="65">
        <f t="shared" si="69"/>
        <v>895.35799997349602</v>
      </c>
      <c r="R279" s="66">
        <f t="shared" ref="R279:R342" si="74">IF(P278&lt;$R$6,+T278*($R$7/12),"")</f>
        <v>512.55878345207771</v>
      </c>
      <c r="S279" s="66">
        <f t="shared" si="73"/>
        <v>382.79921652141832</v>
      </c>
      <c r="T279" s="66">
        <f t="shared" si="70"/>
        <v>59682.68321926894</v>
      </c>
      <c r="U279" s="45"/>
    </row>
    <row r="280" spans="1:21" ht="15">
      <c r="A280" s="45"/>
      <c r="B280" s="64">
        <f t="shared" si="60"/>
        <v>262</v>
      </c>
      <c r="C280" s="65">
        <f t="shared" si="61"/>
        <v>4424.4761644507462</v>
      </c>
      <c r="D280" s="66">
        <f t="shared" si="62"/>
        <v>1832.6855055206554</v>
      </c>
      <c r="E280" s="66">
        <f t="shared" si="63"/>
        <v>2591.790658930091</v>
      </c>
      <c r="F280" s="66">
        <f t="shared" si="64"/>
        <v>335750.1488218063</v>
      </c>
      <c r="G280" s="45"/>
      <c r="H280" s="45"/>
      <c r="I280" s="64">
        <f t="shared" si="65"/>
        <v>262</v>
      </c>
      <c r="J280" s="65">
        <f t="shared" si="71"/>
        <v>3865.4259149932882</v>
      </c>
      <c r="K280" s="66">
        <f t="shared" si="72"/>
        <v>1356.4075664641707</v>
      </c>
      <c r="L280" s="66">
        <f t="shared" si="66"/>
        <v>2509.0183485291172</v>
      </c>
      <c r="M280" s="66">
        <f t="shared" si="67"/>
        <v>307526.99684328138</v>
      </c>
      <c r="N280" s="45"/>
      <c r="O280" s="45"/>
      <c r="P280" s="64">
        <f t="shared" si="68"/>
        <v>262</v>
      </c>
      <c r="Q280" s="65">
        <f t="shared" si="69"/>
        <v>895.35799997349602</v>
      </c>
      <c r="R280" s="66">
        <f t="shared" si="74"/>
        <v>509.29223013776163</v>
      </c>
      <c r="S280" s="66">
        <f t="shared" si="73"/>
        <v>386.06576983573439</v>
      </c>
      <c r="T280" s="66">
        <f t="shared" si="70"/>
        <v>59296.617449433208</v>
      </c>
      <c r="U280" s="45"/>
    </row>
    <row r="281" spans="1:21" ht="15">
      <c r="A281" s="45"/>
      <c r="B281" s="64">
        <f t="shared" si="60"/>
        <v>263</v>
      </c>
      <c r="C281" s="65">
        <f t="shared" si="61"/>
        <v>4424.4761644507462</v>
      </c>
      <c r="D281" s="66">
        <f t="shared" si="62"/>
        <v>1818.6466394514509</v>
      </c>
      <c r="E281" s="66">
        <f t="shared" si="63"/>
        <v>2605.8295249992952</v>
      </c>
      <c r="F281" s="66">
        <f t="shared" si="64"/>
        <v>333144.31929680699</v>
      </c>
      <c r="G281" s="45"/>
      <c r="H281" s="45"/>
      <c r="I281" s="64">
        <f t="shared" si="65"/>
        <v>263</v>
      </c>
      <c r="J281" s="65">
        <f t="shared" si="71"/>
        <v>3865.4259149932882</v>
      </c>
      <c r="K281" s="66">
        <f t="shared" si="72"/>
        <v>1345.4306111893559</v>
      </c>
      <c r="L281" s="66">
        <f t="shared" si="66"/>
        <v>2519.9953038039321</v>
      </c>
      <c r="M281" s="66">
        <f t="shared" si="67"/>
        <v>305007.00153947744</v>
      </c>
      <c r="N281" s="45"/>
      <c r="O281" s="45"/>
      <c r="P281" s="64">
        <f t="shared" si="68"/>
        <v>263</v>
      </c>
      <c r="Q281" s="65">
        <f t="shared" si="69"/>
        <v>895.35799997349602</v>
      </c>
      <c r="R281" s="66">
        <f t="shared" si="74"/>
        <v>505.99780223516342</v>
      </c>
      <c r="S281" s="66">
        <f t="shared" si="73"/>
        <v>389.3601977383326</v>
      </c>
      <c r="T281" s="66">
        <f t="shared" si="70"/>
        <v>58907.257251694879</v>
      </c>
      <c r="U281" s="45"/>
    </row>
    <row r="282" spans="1:21" ht="15">
      <c r="A282" s="45"/>
      <c r="B282" s="64">
        <f t="shared" si="60"/>
        <v>264</v>
      </c>
      <c r="C282" s="65">
        <f t="shared" si="61"/>
        <v>4424.4761644507462</v>
      </c>
      <c r="D282" s="66">
        <f t="shared" si="62"/>
        <v>1804.5317295243713</v>
      </c>
      <c r="E282" s="66">
        <f t="shared" si="63"/>
        <v>2619.9444349263749</v>
      </c>
      <c r="F282" s="66">
        <f t="shared" si="64"/>
        <v>330524.37486188061</v>
      </c>
      <c r="G282" s="45"/>
      <c r="H282" s="45"/>
      <c r="I282" s="64">
        <f t="shared" si="65"/>
        <v>264</v>
      </c>
      <c r="J282" s="65">
        <f t="shared" si="71"/>
        <v>3865.4259149932882</v>
      </c>
      <c r="K282" s="66">
        <f t="shared" si="72"/>
        <v>1334.4056317352135</v>
      </c>
      <c r="L282" s="66">
        <f t="shared" si="66"/>
        <v>2531.0202832580744</v>
      </c>
      <c r="M282" s="66">
        <f t="shared" si="67"/>
        <v>302475.98125621938</v>
      </c>
      <c r="N282" s="45"/>
      <c r="O282" s="45"/>
      <c r="P282" s="64">
        <f t="shared" si="68"/>
        <v>264</v>
      </c>
      <c r="Q282" s="65">
        <f t="shared" si="69"/>
        <v>895.35799997349602</v>
      </c>
      <c r="R282" s="66">
        <f t="shared" si="74"/>
        <v>502.67526188112964</v>
      </c>
      <c r="S282" s="66">
        <f t="shared" si="73"/>
        <v>392.68273809236638</v>
      </c>
      <c r="T282" s="66">
        <f t="shared" si="70"/>
        <v>58514.574513602514</v>
      </c>
      <c r="U282" s="45"/>
    </row>
    <row r="283" spans="1:21" ht="15">
      <c r="A283" s="45"/>
      <c r="B283" s="64">
        <f t="shared" si="60"/>
        <v>265</v>
      </c>
      <c r="C283" s="65">
        <f t="shared" si="61"/>
        <v>4424.4761644507462</v>
      </c>
      <c r="D283" s="66">
        <f t="shared" si="62"/>
        <v>1790.3403638351867</v>
      </c>
      <c r="E283" s="66">
        <f t="shared" si="63"/>
        <v>2634.1358006155597</v>
      </c>
      <c r="F283" s="66">
        <f t="shared" si="64"/>
        <v>327890.23906126508</v>
      </c>
      <c r="G283" s="45"/>
      <c r="H283" s="45"/>
      <c r="I283" s="64">
        <f t="shared" si="65"/>
        <v>265</v>
      </c>
      <c r="J283" s="65">
        <f t="shared" si="71"/>
        <v>3865.4259149932882</v>
      </c>
      <c r="K283" s="66">
        <f t="shared" si="72"/>
        <v>1323.3324179959598</v>
      </c>
      <c r="L283" s="66">
        <f t="shared" si="66"/>
        <v>2542.0934969973287</v>
      </c>
      <c r="M283" s="66">
        <f t="shared" si="67"/>
        <v>299933.88775922207</v>
      </c>
      <c r="N283" s="45"/>
      <c r="O283" s="45"/>
      <c r="P283" s="64">
        <f t="shared" si="68"/>
        <v>265</v>
      </c>
      <c r="Q283" s="65">
        <f t="shared" si="69"/>
        <v>895.35799997349602</v>
      </c>
      <c r="R283" s="66">
        <f t="shared" si="74"/>
        <v>499.32436918274146</v>
      </c>
      <c r="S283" s="66">
        <f t="shared" si="73"/>
        <v>396.03363079075456</v>
      </c>
      <c r="T283" s="66">
        <f t="shared" si="70"/>
        <v>58118.540882811758</v>
      </c>
      <c r="U283" s="45"/>
    </row>
    <row r="284" spans="1:21" ht="15">
      <c r="A284" s="45"/>
      <c r="B284" s="64">
        <f t="shared" si="60"/>
        <v>266</v>
      </c>
      <c r="C284" s="65">
        <f t="shared" si="61"/>
        <v>4424.4761644507462</v>
      </c>
      <c r="D284" s="66">
        <f t="shared" si="62"/>
        <v>1776.0721282485192</v>
      </c>
      <c r="E284" s="66">
        <f t="shared" si="63"/>
        <v>2648.404036202227</v>
      </c>
      <c r="F284" s="66">
        <f t="shared" si="64"/>
        <v>325241.83502506284</v>
      </c>
      <c r="G284" s="45"/>
      <c r="H284" s="45"/>
      <c r="I284" s="64">
        <f t="shared" si="65"/>
        <v>266</v>
      </c>
      <c r="J284" s="65">
        <f t="shared" si="71"/>
        <v>3865.4259149932882</v>
      </c>
      <c r="K284" s="66">
        <f t="shared" si="72"/>
        <v>1312.2107589465963</v>
      </c>
      <c r="L284" s="66">
        <f t="shared" si="66"/>
        <v>2553.2151560466918</v>
      </c>
      <c r="M284" s="66">
        <f t="shared" si="67"/>
        <v>297380.67260317539</v>
      </c>
      <c r="N284" s="45"/>
      <c r="O284" s="45"/>
      <c r="P284" s="64">
        <f t="shared" si="68"/>
        <v>266</v>
      </c>
      <c r="Q284" s="65">
        <f t="shared" si="69"/>
        <v>895.35799997349602</v>
      </c>
      <c r="R284" s="66">
        <f t="shared" si="74"/>
        <v>495.94488219999369</v>
      </c>
      <c r="S284" s="66">
        <f t="shared" si="73"/>
        <v>399.41311777350234</v>
      </c>
      <c r="T284" s="66">
        <f t="shared" si="70"/>
        <v>57719.127765038254</v>
      </c>
      <c r="U284" s="45"/>
    </row>
    <row r="285" spans="1:21" ht="15">
      <c r="A285" s="45"/>
      <c r="B285" s="64">
        <f t="shared" si="60"/>
        <v>267</v>
      </c>
      <c r="C285" s="65">
        <f t="shared" si="61"/>
        <v>4424.4761644507462</v>
      </c>
      <c r="D285" s="66">
        <f t="shared" si="62"/>
        <v>1761.7266063857571</v>
      </c>
      <c r="E285" s="66">
        <f t="shared" si="63"/>
        <v>2662.7495580649893</v>
      </c>
      <c r="F285" s="66">
        <f t="shared" si="64"/>
        <v>322579.08546699787</v>
      </c>
      <c r="G285" s="45"/>
      <c r="H285" s="45"/>
      <c r="I285" s="64">
        <f t="shared" si="65"/>
        <v>267</v>
      </c>
      <c r="J285" s="65">
        <f t="shared" si="71"/>
        <v>3865.4259149932882</v>
      </c>
      <c r="K285" s="66">
        <f t="shared" si="72"/>
        <v>1301.0404426388923</v>
      </c>
      <c r="L285" s="66">
        <f t="shared" si="66"/>
        <v>2564.3854723543959</v>
      </c>
      <c r="M285" s="66">
        <f t="shared" si="67"/>
        <v>294816.28713082097</v>
      </c>
      <c r="N285" s="45"/>
      <c r="O285" s="45"/>
      <c r="P285" s="64">
        <f t="shared" si="68"/>
        <v>267</v>
      </c>
      <c r="Q285" s="65">
        <f t="shared" si="69"/>
        <v>895.35799997349602</v>
      </c>
      <c r="R285" s="66">
        <f t="shared" si="74"/>
        <v>492.53655692832643</v>
      </c>
      <c r="S285" s="66">
        <f t="shared" si="73"/>
        <v>402.82144304516959</v>
      </c>
      <c r="T285" s="66">
        <f t="shared" si="70"/>
        <v>57316.306321993085</v>
      </c>
      <c r="U285" s="45"/>
    </row>
    <row r="286" spans="1:21" ht="15">
      <c r="A286" s="45"/>
      <c r="B286" s="64">
        <f t="shared" si="60"/>
        <v>268</v>
      </c>
      <c r="C286" s="65">
        <f t="shared" si="61"/>
        <v>4424.4761644507462</v>
      </c>
      <c r="D286" s="66">
        <f t="shared" si="62"/>
        <v>1747.3033796129052</v>
      </c>
      <c r="E286" s="66">
        <f t="shared" si="63"/>
        <v>2677.1727848378409</v>
      </c>
      <c r="F286" s="66">
        <f t="shared" si="64"/>
        <v>319901.91268216004</v>
      </c>
      <c r="G286" s="45"/>
      <c r="H286" s="45"/>
      <c r="I286" s="64">
        <f t="shared" si="65"/>
        <v>268</v>
      </c>
      <c r="J286" s="65">
        <f t="shared" si="71"/>
        <v>3865.4259149932882</v>
      </c>
      <c r="K286" s="66">
        <f t="shared" si="72"/>
        <v>1289.8212561973417</v>
      </c>
      <c r="L286" s="66">
        <f t="shared" si="66"/>
        <v>2575.6046587959463</v>
      </c>
      <c r="M286" s="66">
        <f t="shared" si="67"/>
        <v>292240.68247202504</v>
      </c>
      <c r="N286" s="45"/>
      <c r="O286" s="45"/>
      <c r="P286" s="64">
        <f t="shared" si="68"/>
        <v>268</v>
      </c>
      <c r="Q286" s="65">
        <f t="shared" si="69"/>
        <v>895.35799997349602</v>
      </c>
      <c r="R286" s="66">
        <f t="shared" si="74"/>
        <v>489.09914728100767</v>
      </c>
      <c r="S286" s="66">
        <f t="shared" si="73"/>
        <v>406.25885269248835</v>
      </c>
      <c r="T286" s="66">
        <f t="shared" si="70"/>
        <v>56910.047469300596</v>
      </c>
      <c r="U286" s="45"/>
    </row>
    <row r="287" spans="1:21" ht="15">
      <c r="A287" s="45"/>
      <c r="B287" s="64">
        <f t="shared" si="60"/>
        <v>269</v>
      </c>
      <c r="C287" s="65">
        <f t="shared" si="61"/>
        <v>4424.4761644507462</v>
      </c>
      <c r="D287" s="66">
        <f t="shared" si="62"/>
        <v>1732.8020270283669</v>
      </c>
      <c r="E287" s="66">
        <f t="shared" si="63"/>
        <v>2691.6741374223793</v>
      </c>
      <c r="F287" s="66">
        <f t="shared" si="64"/>
        <v>317210.23854473763</v>
      </c>
      <c r="G287" s="45"/>
      <c r="H287" s="45"/>
      <c r="I287" s="64">
        <f t="shared" si="65"/>
        <v>269</v>
      </c>
      <c r="J287" s="65">
        <f t="shared" si="71"/>
        <v>3865.4259149932882</v>
      </c>
      <c r="K287" s="66">
        <f t="shared" si="72"/>
        <v>1278.5529858151094</v>
      </c>
      <c r="L287" s="66">
        <f t="shared" si="66"/>
        <v>2586.8729291781788</v>
      </c>
      <c r="M287" s="66">
        <f t="shared" si="67"/>
        <v>289653.80954284687</v>
      </c>
      <c r="N287" s="45"/>
      <c r="O287" s="45"/>
      <c r="P287" s="64">
        <f t="shared" si="68"/>
        <v>269</v>
      </c>
      <c r="Q287" s="65">
        <f t="shared" si="69"/>
        <v>895.35799997349602</v>
      </c>
      <c r="R287" s="66">
        <f t="shared" si="74"/>
        <v>485.6324050713651</v>
      </c>
      <c r="S287" s="66">
        <f t="shared" si="73"/>
        <v>409.72559490213092</v>
      </c>
      <c r="T287" s="66">
        <f t="shared" si="70"/>
        <v>56500.321874398469</v>
      </c>
      <c r="U287" s="45"/>
    </row>
    <row r="288" spans="1:21" ht="15">
      <c r="A288" s="45"/>
      <c r="B288" s="64">
        <f t="shared" si="60"/>
        <v>270</v>
      </c>
      <c r="C288" s="65">
        <f t="shared" si="61"/>
        <v>4424.4761644507462</v>
      </c>
      <c r="D288" s="66">
        <f t="shared" si="62"/>
        <v>1718.2221254506621</v>
      </c>
      <c r="E288" s="66">
        <f t="shared" si="63"/>
        <v>2706.254039000084</v>
      </c>
      <c r="F288" s="66">
        <f t="shared" si="64"/>
        <v>314503.98450573755</v>
      </c>
      <c r="G288" s="45"/>
      <c r="H288" s="45"/>
      <c r="I288" s="64">
        <f t="shared" si="65"/>
        <v>270</v>
      </c>
      <c r="J288" s="65">
        <f t="shared" si="71"/>
        <v>3865.4259149932882</v>
      </c>
      <c r="K288" s="66">
        <f t="shared" si="72"/>
        <v>1267.235416749955</v>
      </c>
      <c r="L288" s="66">
        <f t="shared" si="66"/>
        <v>2598.1904982433334</v>
      </c>
      <c r="M288" s="66">
        <f t="shared" si="67"/>
        <v>287055.61904460355</v>
      </c>
      <c r="N288" s="45"/>
      <c r="O288" s="45"/>
      <c r="P288" s="64">
        <f t="shared" si="68"/>
        <v>270</v>
      </c>
      <c r="Q288" s="65">
        <f t="shared" si="69"/>
        <v>895.35799997349602</v>
      </c>
      <c r="R288" s="66">
        <f t="shared" si="74"/>
        <v>482.13607999486698</v>
      </c>
      <c r="S288" s="66">
        <f t="shared" si="73"/>
        <v>413.22191997862905</v>
      </c>
      <c r="T288" s="66">
        <f t="shared" si="70"/>
        <v>56087.099954419842</v>
      </c>
      <c r="U288" s="45"/>
    </row>
    <row r="289" spans="1:21" ht="15">
      <c r="A289" s="45"/>
      <c r="B289" s="64">
        <f t="shared" si="60"/>
        <v>271</v>
      </c>
      <c r="C289" s="65">
        <f t="shared" si="61"/>
        <v>4424.4761644507462</v>
      </c>
      <c r="D289" s="66">
        <f t="shared" si="62"/>
        <v>1703.5632494060785</v>
      </c>
      <c r="E289" s="66">
        <f t="shared" si="63"/>
        <v>2720.9129150446679</v>
      </c>
      <c r="F289" s="66">
        <f t="shared" si="64"/>
        <v>311783.07159069285</v>
      </c>
      <c r="G289" s="45"/>
      <c r="H289" s="45"/>
      <c r="I289" s="64">
        <f t="shared" si="65"/>
        <v>271</v>
      </c>
      <c r="J289" s="65">
        <f t="shared" si="71"/>
        <v>3865.4259149932882</v>
      </c>
      <c r="K289" s="66">
        <f t="shared" si="72"/>
        <v>1255.8683333201404</v>
      </c>
      <c r="L289" s="66">
        <f t="shared" si="66"/>
        <v>2609.557581673148</v>
      </c>
      <c r="M289" s="66">
        <f t="shared" si="67"/>
        <v>284446.0614629304</v>
      </c>
      <c r="N289" s="45"/>
      <c r="O289" s="45"/>
      <c r="P289" s="64">
        <f t="shared" si="68"/>
        <v>271</v>
      </c>
      <c r="Q289" s="65">
        <f t="shared" si="69"/>
        <v>895.35799997349602</v>
      </c>
      <c r="R289" s="66">
        <f t="shared" si="74"/>
        <v>478.60991961104935</v>
      </c>
      <c r="S289" s="66">
        <f t="shared" si="73"/>
        <v>416.74808036244667</v>
      </c>
      <c r="T289" s="66">
        <f t="shared" si="70"/>
        <v>55670.351874057393</v>
      </c>
      <c r="U289" s="45"/>
    </row>
    <row r="290" spans="1:21" ht="15">
      <c r="A290" s="45"/>
      <c r="B290" s="64">
        <f t="shared" si="60"/>
        <v>272</v>
      </c>
      <c r="C290" s="65">
        <f t="shared" si="61"/>
        <v>4424.4761644507462</v>
      </c>
      <c r="D290" s="66">
        <f t="shared" si="62"/>
        <v>1688.824971116253</v>
      </c>
      <c r="E290" s="66">
        <f t="shared" si="63"/>
        <v>2735.6511933344932</v>
      </c>
      <c r="F290" s="66">
        <f t="shared" si="64"/>
        <v>309047.42039735836</v>
      </c>
      <c r="G290" s="45"/>
      <c r="H290" s="45"/>
      <c r="I290" s="64">
        <f t="shared" si="65"/>
        <v>272</v>
      </c>
      <c r="J290" s="65">
        <f t="shared" si="71"/>
        <v>3865.4259149932882</v>
      </c>
      <c r="K290" s="66">
        <f t="shared" si="72"/>
        <v>1244.4515189003205</v>
      </c>
      <c r="L290" s="66">
        <f t="shared" si="66"/>
        <v>2620.9743960929677</v>
      </c>
      <c r="M290" s="66">
        <f t="shared" si="67"/>
        <v>281825.08706683741</v>
      </c>
      <c r="N290" s="45"/>
      <c r="O290" s="45"/>
      <c r="P290" s="64">
        <f t="shared" si="68"/>
        <v>272</v>
      </c>
      <c r="Q290" s="65">
        <f t="shared" si="69"/>
        <v>895.35799997349602</v>
      </c>
      <c r="R290" s="66">
        <f t="shared" si="74"/>
        <v>475.05366932528977</v>
      </c>
      <c r="S290" s="66">
        <f t="shared" si="73"/>
        <v>420.30433064820625</v>
      </c>
      <c r="T290" s="66">
        <f t="shared" si="70"/>
        <v>55250.047543409186</v>
      </c>
      <c r="U290" s="45"/>
    </row>
    <row r="291" spans="1:21" ht="15">
      <c r="A291" s="45"/>
      <c r="B291" s="64">
        <f t="shared" si="60"/>
        <v>273</v>
      </c>
      <c r="C291" s="65">
        <f t="shared" si="61"/>
        <v>4424.4761644507462</v>
      </c>
      <c r="D291" s="66">
        <f t="shared" si="62"/>
        <v>1674.0068604856913</v>
      </c>
      <c r="E291" s="66">
        <f t="shared" si="63"/>
        <v>2750.4693039650547</v>
      </c>
      <c r="F291" s="66">
        <f t="shared" si="64"/>
        <v>306296.95109339332</v>
      </c>
      <c r="G291" s="45"/>
      <c r="H291" s="45"/>
      <c r="I291" s="64">
        <f t="shared" si="65"/>
        <v>273</v>
      </c>
      <c r="J291" s="65">
        <f t="shared" si="71"/>
        <v>3865.4259149932882</v>
      </c>
      <c r="K291" s="66">
        <f t="shared" si="72"/>
        <v>1232.9847559174136</v>
      </c>
      <c r="L291" s="66">
        <f t="shared" si="66"/>
        <v>2632.4411590758746</v>
      </c>
      <c r="M291" s="66">
        <f t="shared" si="67"/>
        <v>279192.64590776153</v>
      </c>
      <c r="N291" s="45"/>
      <c r="O291" s="45"/>
      <c r="P291" s="64">
        <f t="shared" si="68"/>
        <v>273</v>
      </c>
      <c r="Q291" s="65">
        <f t="shared" si="69"/>
        <v>895.35799997349602</v>
      </c>
      <c r="R291" s="66">
        <f t="shared" si="74"/>
        <v>471.46707237042506</v>
      </c>
      <c r="S291" s="66">
        <f t="shared" si="73"/>
        <v>423.89092760307096</v>
      </c>
      <c r="T291" s="66">
        <f t="shared" si="70"/>
        <v>54826.156615806118</v>
      </c>
      <c r="U291" s="45"/>
    </row>
    <row r="292" spans="1:21" ht="15">
      <c r="A292" s="45"/>
      <c r="B292" s="64">
        <f t="shared" si="60"/>
        <v>274</v>
      </c>
      <c r="C292" s="65">
        <f t="shared" si="61"/>
        <v>4424.4761644507462</v>
      </c>
      <c r="D292" s="66">
        <f t="shared" si="62"/>
        <v>1659.1084850892139</v>
      </c>
      <c r="E292" s="66">
        <f t="shared" si="63"/>
        <v>2765.3676793615323</v>
      </c>
      <c r="F292" s="66">
        <f t="shared" si="64"/>
        <v>303531.58341403177</v>
      </c>
      <c r="G292" s="45"/>
      <c r="H292" s="45"/>
      <c r="I292" s="64">
        <f t="shared" si="65"/>
        <v>274</v>
      </c>
      <c r="J292" s="65">
        <f t="shared" si="71"/>
        <v>3865.4259149932882</v>
      </c>
      <c r="K292" s="66">
        <f t="shared" si="72"/>
        <v>1221.4678258464567</v>
      </c>
      <c r="L292" s="66">
        <f t="shared" si="66"/>
        <v>2643.9580891468313</v>
      </c>
      <c r="M292" s="66">
        <f t="shared" si="67"/>
        <v>276548.68781861471</v>
      </c>
      <c r="N292" s="45"/>
      <c r="O292" s="45"/>
      <c r="P292" s="64">
        <f t="shared" si="68"/>
        <v>274</v>
      </c>
      <c r="Q292" s="65">
        <f t="shared" si="69"/>
        <v>895.35799997349602</v>
      </c>
      <c r="R292" s="66">
        <f t="shared" si="74"/>
        <v>467.84986978821223</v>
      </c>
      <c r="S292" s="66">
        <f t="shared" si="73"/>
        <v>427.50813018528379</v>
      </c>
      <c r="T292" s="66">
        <f t="shared" si="70"/>
        <v>54398.648485620834</v>
      </c>
      <c r="U292" s="45"/>
    </row>
    <row r="293" spans="1:21" ht="15">
      <c r="A293" s="45"/>
      <c r="B293" s="64">
        <f t="shared" si="60"/>
        <v>275</v>
      </c>
      <c r="C293" s="65">
        <f t="shared" si="61"/>
        <v>4424.4761644507462</v>
      </c>
      <c r="D293" s="66">
        <f t="shared" si="62"/>
        <v>1644.1294101593389</v>
      </c>
      <c r="E293" s="66">
        <f t="shared" si="63"/>
        <v>2780.3467542914073</v>
      </c>
      <c r="F293" s="66">
        <f t="shared" si="64"/>
        <v>300751.23665974039</v>
      </c>
      <c r="G293" s="45"/>
      <c r="H293" s="45"/>
      <c r="I293" s="64">
        <f t="shared" si="65"/>
        <v>275</v>
      </c>
      <c r="J293" s="65">
        <f t="shared" si="71"/>
        <v>3865.4259149932882</v>
      </c>
      <c r="K293" s="66">
        <f t="shared" si="72"/>
        <v>1209.9005092064392</v>
      </c>
      <c r="L293" s="66">
        <f t="shared" si="66"/>
        <v>2655.5254057868488</v>
      </c>
      <c r="M293" s="66">
        <f t="shared" si="67"/>
        <v>273893.16241282783</v>
      </c>
      <c r="N293" s="45"/>
      <c r="O293" s="45"/>
      <c r="P293" s="64">
        <f t="shared" si="68"/>
        <v>275</v>
      </c>
      <c r="Q293" s="65">
        <f t="shared" si="69"/>
        <v>895.35799997349602</v>
      </c>
      <c r="R293" s="66">
        <f t="shared" si="74"/>
        <v>464.20180041063111</v>
      </c>
      <c r="S293" s="66">
        <f t="shared" si="73"/>
        <v>431.15619956286491</v>
      </c>
      <c r="T293" s="66">
        <f t="shared" si="70"/>
        <v>53967.492286057968</v>
      </c>
      <c r="U293" s="45"/>
    </row>
    <row r="294" spans="1:21" ht="15">
      <c r="A294" s="45"/>
      <c r="B294" s="64">
        <f t="shared" si="60"/>
        <v>276</v>
      </c>
      <c r="C294" s="65">
        <f t="shared" si="61"/>
        <v>4424.4761644507462</v>
      </c>
      <c r="D294" s="66">
        <f t="shared" si="62"/>
        <v>1629.0691985735939</v>
      </c>
      <c r="E294" s="66">
        <f t="shared" si="63"/>
        <v>2795.4069658771523</v>
      </c>
      <c r="F294" s="66">
        <f t="shared" si="64"/>
        <v>297955.82969386323</v>
      </c>
      <c r="G294" s="45"/>
      <c r="H294" s="45"/>
      <c r="I294" s="64">
        <f t="shared" si="65"/>
        <v>276</v>
      </c>
      <c r="J294" s="65">
        <f t="shared" si="71"/>
        <v>3865.4259149932882</v>
      </c>
      <c r="K294" s="66">
        <f t="shared" si="72"/>
        <v>1198.2825855561216</v>
      </c>
      <c r="L294" s="66">
        <f t="shared" si="66"/>
        <v>2667.1433294371664</v>
      </c>
      <c r="M294" s="66">
        <f t="shared" si="67"/>
        <v>271226.01908339065</v>
      </c>
      <c r="N294" s="45"/>
      <c r="O294" s="45"/>
      <c r="P294" s="64">
        <f t="shared" si="68"/>
        <v>276</v>
      </c>
      <c r="Q294" s="65">
        <f t="shared" si="69"/>
        <v>895.35799997349602</v>
      </c>
      <c r="R294" s="66">
        <f t="shared" si="74"/>
        <v>460.52260084102801</v>
      </c>
      <c r="S294" s="66">
        <f t="shared" si="73"/>
        <v>434.83539913246801</v>
      </c>
      <c r="T294" s="66">
        <f t="shared" si="70"/>
        <v>53532.656886925499</v>
      </c>
      <c r="U294" s="45"/>
    </row>
    <row r="295" spans="1:21" ht="15">
      <c r="A295" s="45"/>
      <c r="B295" s="64">
        <f t="shared" si="60"/>
        <v>277</v>
      </c>
      <c r="C295" s="65">
        <f t="shared" si="61"/>
        <v>4424.4761644507462</v>
      </c>
      <c r="D295" s="66">
        <f t="shared" si="62"/>
        <v>1613.9274108417592</v>
      </c>
      <c r="E295" s="66">
        <f t="shared" si="63"/>
        <v>2810.5487536089868</v>
      </c>
      <c r="F295" s="66">
        <f t="shared" si="64"/>
        <v>295145.28094025422</v>
      </c>
      <c r="G295" s="45"/>
      <c r="H295" s="45"/>
      <c r="I295" s="64">
        <f t="shared" si="65"/>
        <v>277</v>
      </c>
      <c r="J295" s="65">
        <f t="shared" si="71"/>
        <v>3865.4259149932882</v>
      </c>
      <c r="K295" s="66">
        <f t="shared" si="72"/>
        <v>1186.613833489834</v>
      </c>
      <c r="L295" s="66">
        <f t="shared" si="66"/>
        <v>2678.8120815034545</v>
      </c>
      <c r="M295" s="66">
        <f t="shared" si="67"/>
        <v>268547.2070018872</v>
      </c>
      <c r="N295" s="45"/>
      <c r="O295" s="45"/>
      <c r="P295" s="64">
        <f t="shared" si="68"/>
        <v>277</v>
      </c>
      <c r="Q295" s="65">
        <f t="shared" si="69"/>
        <v>895.35799997349602</v>
      </c>
      <c r="R295" s="66">
        <f t="shared" si="74"/>
        <v>456.8120054350976</v>
      </c>
      <c r="S295" s="66">
        <f t="shared" si="73"/>
        <v>438.54599453839842</v>
      </c>
      <c r="T295" s="66">
        <f t="shared" si="70"/>
        <v>53094.1108923871</v>
      </c>
      <c r="U295" s="45"/>
    </row>
    <row r="296" spans="1:21" ht="15">
      <c r="A296" s="45"/>
      <c r="B296" s="64">
        <f t="shared" si="60"/>
        <v>278</v>
      </c>
      <c r="C296" s="65">
        <f t="shared" si="61"/>
        <v>4424.4761644507462</v>
      </c>
      <c r="D296" s="66">
        <f t="shared" si="62"/>
        <v>1598.7036050930437</v>
      </c>
      <c r="E296" s="66">
        <f t="shared" si="63"/>
        <v>2825.7725593577024</v>
      </c>
      <c r="F296" s="66">
        <f t="shared" si="64"/>
        <v>292319.50838089653</v>
      </c>
      <c r="G296" s="45"/>
      <c r="H296" s="45"/>
      <c r="I296" s="64">
        <f t="shared" si="65"/>
        <v>278</v>
      </c>
      <c r="J296" s="65">
        <f t="shared" si="71"/>
        <v>3865.4259149932882</v>
      </c>
      <c r="K296" s="66">
        <f t="shared" si="72"/>
        <v>1174.8940306332563</v>
      </c>
      <c r="L296" s="66">
        <f t="shared" si="66"/>
        <v>2690.5318843600317</v>
      </c>
      <c r="M296" s="66">
        <f t="shared" si="67"/>
        <v>265856.67511752719</v>
      </c>
      <c r="N296" s="45"/>
      <c r="O296" s="45"/>
      <c r="P296" s="64">
        <f t="shared" si="68"/>
        <v>278</v>
      </c>
      <c r="Q296" s="65">
        <f t="shared" si="69"/>
        <v>895.35799997349602</v>
      </c>
      <c r="R296" s="66">
        <f t="shared" si="74"/>
        <v>453.06974628170326</v>
      </c>
      <c r="S296" s="66">
        <f t="shared" si="73"/>
        <v>442.28825369179276</v>
      </c>
      <c r="T296" s="66">
        <f t="shared" si="70"/>
        <v>52651.82263869531</v>
      </c>
      <c r="U296" s="45"/>
    </row>
    <row r="297" spans="1:21" ht="15">
      <c r="A297" s="45"/>
      <c r="B297" s="64">
        <f t="shared" si="60"/>
        <v>279</v>
      </c>
      <c r="C297" s="65">
        <f t="shared" si="61"/>
        <v>4424.4761644507462</v>
      </c>
      <c r="D297" s="66">
        <f t="shared" si="62"/>
        <v>1583.3973370631895</v>
      </c>
      <c r="E297" s="66">
        <f t="shared" si="63"/>
        <v>2841.0788273875569</v>
      </c>
      <c r="F297" s="66">
        <f t="shared" si="64"/>
        <v>289478.42955350899</v>
      </c>
      <c r="G297" s="45"/>
      <c r="H297" s="45"/>
      <c r="I297" s="64">
        <f t="shared" si="65"/>
        <v>279</v>
      </c>
      <c r="J297" s="65">
        <f t="shared" si="71"/>
        <v>3865.4259149932882</v>
      </c>
      <c r="K297" s="66">
        <f t="shared" si="72"/>
        <v>1163.1229536391813</v>
      </c>
      <c r="L297" s="66">
        <f t="shared" si="66"/>
        <v>2702.3029613541066</v>
      </c>
      <c r="M297" s="66">
        <f t="shared" si="67"/>
        <v>263154.37215617311</v>
      </c>
      <c r="N297" s="45"/>
      <c r="O297" s="45"/>
      <c r="P297" s="64">
        <f t="shared" si="68"/>
        <v>279</v>
      </c>
      <c r="Q297" s="65">
        <f t="shared" si="69"/>
        <v>895.35799997349602</v>
      </c>
      <c r="R297" s="66">
        <f t="shared" si="74"/>
        <v>449.29555318353334</v>
      </c>
      <c r="S297" s="66">
        <f t="shared" si="73"/>
        <v>446.06244678996268</v>
      </c>
      <c r="T297" s="66">
        <f t="shared" si="70"/>
        <v>52205.760191905349</v>
      </c>
      <c r="U297" s="45"/>
    </row>
    <row r="298" spans="1:21" ht="15">
      <c r="A298" s="45"/>
      <c r="B298" s="64">
        <f t="shared" si="60"/>
        <v>280</v>
      </c>
      <c r="C298" s="65">
        <f t="shared" si="61"/>
        <v>4424.4761644507462</v>
      </c>
      <c r="D298" s="66">
        <f t="shared" si="62"/>
        <v>1568.0081600815072</v>
      </c>
      <c r="E298" s="66">
        <f t="shared" si="63"/>
        <v>2856.4680043692388</v>
      </c>
      <c r="F298" s="66">
        <f t="shared" si="64"/>
        <v>286621.96154913976</v>
      </c>
      <c r="G298" s="45"/>
      <c r="H298" s="45"/>
      <c r="I298" s="64">
        <f t="shared" si="65"/>
        <v>280</v>
      </c>
      <c r="J298" s="65">
        <f t="shared" si="71"/>
        <v>3865.4259149932882</v>
      </c>
      <c r="K298" s="66">
        <f t="shared" si="72"/>
        <v>1151.3003781832572</v>
      </c>
      <c r="L298" s="66">
        <f t="shared" si="66"/>
        <v>2714.125536810031</v>
      </c>
      <c r="M298" s="66">
        <f t="shared" si="67"/>
        <v>260440.24661936308</v>
      </c>
      <c r="N298" s="45"/>
      <c r="O298" s="45"/>
      <c r="P298" s="64">
        <f t="shared" si="68"/>
        <v>280</v>
      </c>
      <c r="Q298" s="65">
        <f t="shared" si="69"/>
        <v>895.35799997349602</v>
      </c>
      <c r="R298" s="66">
        <f t="shared" si="74"/>
        <v>445.48915363759232</v>
      </c>
      <c r="S298" s="66">
        <f t="shared" si="73"/>
        <v>449.8688463359037</v>
      </c>
      <c r="T298" s="66">
        <f t="shared" si="70"/>
        <v>51755.891345569442</v>
      </c>
      <c r="U298" s="45"/>
    </row>
    <row r="299" spans="1:21" ht="15">
      <c r="A299" s="45"/>
      <c r="B299" s="64">
        <f t="shared" si="60"/>
        <v>281</v>
      </c>
      <c r="C299" s="65">
        <f t="shared" si="61"/>
        <v>4424.4761644507462</v>
      </c>
      <c r="D299" s="66">
        <f t="shared" si="62"/>
        <v>1552.5356250578404</v>
      </c>
      <c r="E299" s="66">
        <f t="shared" si="63"/>
        <v>2871.9405393929055</v>
      </c>
      <c r="F299" s="66">
        <f t="shared" si="64"/>
        <v>283750.02100974682</v>
      </c>
      <c r="G299" s="45"/>
      <c r="H299" s="45"/>
      <c r="I299" s="64">
        <f t="shared" si="65"/>
        <v>281</v>
      </c>
      <c r="J299" s="65">
        <f t="shared" si="71"/>
        <v>3865.4259149932882</v>
      </c>
      <c r="K299" s="66">
        <f t="shared" si="72"/>
        <v>1139.4260789597133</v>
      </c>
      <c r="L299" s="66">
        <f t="shared" si="66"/>
        <v>2725.9998360335749</v>
      </c>
      <c r="M299" s="66">
        <f t="shared" si="67"/>
        <v>257714.24678332949</v>
      </c>
      <c r="N299" s="45"/>
      <c r="O299" s="45"/>
      <c r="P299" s="64">
        <f t="shared" si="68"/>
        <v>281</v>
      </c>
      <c r="Q299" s="65">
        <f t="shared" si="69"/>
        <v>895.35799997349602</v>
      </c>
      <c r="R299" s="66">
        <f t="shared" si="74"/>
        <v>441.65027281552591</v>
      </c>
      <c r="S299" s="66">
        <f t="shared" si="73"/>
        <v>453.70772715797011</v>
      </c>
      <c r="T299" s="66">
        <f t="shared" si="70"/>
        <v>51302.183618411473</v>
      </c>
      <c r="U299" s="45"/>
    </row>
    <row r="300" spans="1:21" ht="15">
      <c r="A300" s="45"/>
      <c r="B300" s="64">
        <f t="shared" si="60"/>
        <v>282</v>
      </c>
      <c r="C300" s="65">
        <f t="shared" si="61"/>
        <v>4424.4761644507462</v>
      </c>
      <c r="D300" s="66">
        <f t="shared" si="62"/>
        <v>1536.9792804694621</v>
      </c>
      <c r="E300" s="66">
        <f t="shared" si="63"/>
        <v>2887.4968839812841</v>
      </c>
      <c r="F300" s="66">
        <f t="shared" si="64"/>
        <v>280862.52412576554</v>
      </c>
      <c r="G300" s="45"/>
      <c r="H300" s="45"/>
      <c r="I300" s="64">
        <f t="shared" si="65"/>
        <v>282</v>
      </c>
      <c r="J300" s="65">
        <f t="shared" si="71"/>
        <v>3865.4259149932882</v>
      </c>
      <c r="K300" s="66">
        <f t="shared" si="72"/>
        <v>1127.4998296770664</v>
      </c>
      <c r="L300" s="66">
        <f t="shared" si="66"/>
        <v>2737.9260853162218</v>
      </c>
      <c r="M300" s="66">
        <f t="shared" si="67"/>
        <v>254976.32069801327</v>
      </c>
      <c r="N300" s="45"/>
      <c r="O300" s="45"/>
      <c r="P300" s="64">
        <f t="shared" si="68"/>
        <v>282</v>
      </c>
      <c r="Q300" s="65">
        <f t="shared" si="69"/>
        <v>895.35799997349602</v>
      </c>
      <c r="R300" s="66">
        <f t="shared" si="74"/>
        <v>437.77863354377791</v>
      </c>
      <c r="S300" s="66">
        <f t="shared" si="73"/>
        <v>457.57936642971811</v>
      </c>
      <c r="T300" s="66">
        <f t="shared" si="70"/>
        <v>50844.604251981757</v>
      </c>
      <c r="U300" s="45"/>
    </row>
    <row r="301" spans="1:21" ht="15">
      <c r="A301" s="45"/>
      <c r="B301" s="64">
        <f t="shared" si="60"/>
        <v>283</v>
      </c>
      <c r="C301" s="65">
        <f t="shared" si="61"/>
        <v>4424.4761644507462</v>
      </c>
      <c r="D301" s="66">
        <f t="shared" si="62"/>
        <v>1521.3386723478968</v>
      </c>
      <c r="E301" s="66">
        <f t="shared" si="63"/>
        <v>2903.1374921028491</v>
      </c>
      <c r="F301" s="66">
        <f t="shared" si="64"/>
        <v>277959.38663366268</v>
      </c>
      <c r="G301" s="45"/>
      <c r="H301" s="45"/>
      <c r="I301" s="64">
        <f t="shared" si="65"/>
        <v>283</v>
      </c>
      <c r="J301" s="65">
        <f t="shared" si="71"/>
        <v>3865.4259149932882</v>
      </c>
      <c r="K301" s="66">
        <f t="shared" si="72"/>
        <v>1115.5214030538079</v>
      </c>
      <c r="L301" s="66">
        <f t="shared" si="66"/>
        <v>2749.9045119394805</v>
      </c>
      <c r="M301" s="66">
        <f t="shared" si="67"/>
        <v>252226.41618607379</v>
      </c>
      <c r="N301" s="45"/>
      <c r="O301" s="45"/>
      <c r="P301" s="64">
        <f t="shared" si="68"/>
        <v>283</v>
      </c>
      <c r="Q301" s="65">
        <f t="shared" si="69"/>
        <v>895.35799997349602</v>
      </c>
      <c r="R301" s="66">
        <f t="shared" si="74"/>
        <v>433.87395628357768</v>
      </c>
      <c r="S301" s="66">
        <f t="shared" si="73"/>
        <v>461.48404368991834</v>
      </c>
      <c r="T301" s="66">
        <f t="shared" si="70"/>
        <v>50383.120208291839</v>
      </c>
      <c r="U301" s="45"/>
    </row>
    <row r="302" spans="1:21" ht="15">
      <c r="A302" s="45"/>
      <c r="B302" s="64">
        <f t="shared" si="60"/>
        <v>284</v>
      </c>
      <c r="C302" s="65">
        <f t="shared" si="61"/>
        <v>4424.4761644507462</v>
      </c>
      <c r="D302" s="66">
        <f t="shared" si="62"/>
        <v>1505.6133442656728</v>
      </c>
      <c r="E302" s="66">
        <f t="shared" si="63"/>
        <v>2918.8628201850734</v>
      </c>
      <c r="F302" s="66">
        <f t="shared" si="64"/>
        <v>275040.5238134776</v>
      </c>
      <c r="G302" s="45"/>
      <c r="H302" s="45"/>
      <c r="I302" s="64">
        <f t="shared" si="65"/>
        <v>284</v>
      </c>
      <c r="J302" s="65">
        <f t="shared" si="71"/>
        <v>3865.4259149932882</v>
      </c>
      <c r="K302" s="66">
        <f t="shared" si="72"/>
        <v>1103.4905708140727</v>
      </c>
      <c r="L302" s="66">
        <f t="shared" si="66"/>
        <v>2761.9353441792155</v>
      </c>
      <c r="M302" s="66">
        <f t="shared" si="67"/>
        <v>249464.48084189458</v>
      </c>
      <c r="N302" s="45"/>
      <c r="O302" s="45"/>
      <c r="P302" s="64">
        <f t="shared" si="68"/>
        <v>284</v>
      </c>
      <c r="Q302" s="65">
        <f t="shared" si="69"/>
        <v>895.35799997349602</v>
      </c>
      <c r="R302" s="66">
        <f t="shared" si="74"/>
        <v>429.93595911075704</v>
      </c>
      <c r="S302" s="66">
        <f t="shared" si="73"/>
        <v>465.42204086273898</v>
      </c>
      <c r="T302" s="66">
        <f t="shared" si="70"/>
        <v>49917.698167429102</v>
      </c>
      <c r="U302" s="45"/>
    </row>
    <row r="303" spans="1:21" ht="15">
      <c r="A303" s="45"/>
      <c r="B303" s="64">
        <f t="shared" si="60"/>
        <v>285</v>
      </c>
      <c r="C303" s="65">
        <f t="shared" si="61"/>
        <v>4424.4761644507462</v>
      </c>
      <c r="D303" s="66">
        <f t="shared" si="62"/>
        <v>1489.8028373230038</v>
      </c>
      <c r="E303" s="66">
        <f t="shared" si="63"/>
        <v>2934.6733271277426</v>
      </c>
      <c r="F303" s="66">
        <f t="shared" si="64"/>
        <v>272105.85048634984</v>
      </c>
      <c r="G303" s="45"/>
      <c r="H303" s="45"/>
      <c r="I303" s="64">
        <f t="shared" si="65"/>
        <v>285</v>
      </c>
      <c r="J303" s="65">
        <f t="shared" si="71"/>
        <v>3865.4259149932882</v>
      </c>
      <c r="K303" s="66">
        <f t="shared" si="72"/>
        <v>1091.4071036832886</v>
      </c>
      <c r="L303" s="66">
        <f t="shared" si="66"/>
        <v>2774.0188113099994</v>
      </c>
      <c r="M303" s="66">
        <f t="shared" si="67"/>
        <v>246690.46203058457</v>
      </c>
      <c r="N303" s="45"/>
      <c r="O303" s="45"/>
      <c r="P303" s="64">
        <f t="shared" si="68"/>
        <v>285</v>
      </c>
      <c r="Q303" s="65">
        <f t="shared" si="69"/>
        <v>895.35799997349602</v>
      </c>
      <c r="R303" s="66">
        <f t="shared" si="74"/>
        <v>425.96435769539505</v>
      </c>
      <c r="S303" s="66">
        <f t="shared" si="73"/>
        <v>469.39364227810097</v>
      </c>
      <c r="T303" s="66">
        <f t="shared" si="70"/>
        <v>49448.304525150998</v>
      </c>
      <c r="U303" s="45"/>
    </row>
    <row r="304" spans="1:21" ht="15">
      <c r="A304" s="45"/>
      <c r="B304" s="64">
        <f t="shared" si="60"/>
        <v>286</v>
      </c>
      <c r="C304" s="65">
        <f t="shared" si="61"/>
        <v>4424.4761644507462</v>
      </c>
      <c r="D304" s="66">
        <f t="shared" si="62"/>
        <v>1473.9066901343949</v>
      </c>
      <c r="E304" s="66">
        <f t="shared" si="63"/>
        <v>2950.5694743163513</v>
      </c>
      <c r="F304" s="66">
        <f t="shared" si="64"/>
        <v>269155.28101203346</v>
      </c>
      <c r="G304" s="45"/>
      <c r="H304" s="45"/>
      <c r="I304" s="64">
        <f t="shared" si="65"/>
        <v>286</v>
      </c>
      <c r="J304" s="65">
        <f t="shared" si="71"/>
        <v>3865.4259149932882</v>
      </c>
      <c r="K304" s="66">
        <f t="shared" si="72"/>
        <v>1079.2707713838074</v>
      </c>
      <c r="L304" s="66">
        <f t="shared" si="66"/>
        <v>2786.1551436094805</v>
      </c>
      <c r="M304" s="66">
        <f t="shared" si="67"/>
        <v>243904.3068869751</v>
      </c>
      <c r="N304" s="45"/>
      <c r="O304" s="45"/>
      <c r="P304" s="64">
        <f t="shared" si="68"/>
        <v>286</v>
      </c>
      <c r="Q304" s="65">
        <f t="shared" si="69"/>
        <v>895.35799997349602</v>
      </c>
      <c r="R304" s="66">
        <f t="shared" si="74"/>
        <v>421.95886528128852</v>
      </c>
      <c r="S304" s="66">
        <f t="shared" si="73"/>
        <v>473.3991346922075</v>
      </c>
      <c r="T304" s="66">
        <f t="shared" si="70"/>
        <v>48974.905390458793</v>
      </c>
      <c r="U304" s="45"/>
    </row>
    <row r="305" spans="1:21" ht="15">
      <c r="A305" s="45"/>
      <c r="B305" s="64">
        <f t="shared" si="60"/>
        <v>287</v>
      </c>
      <c r="C305" s="65">
        <f t="shared" si="61"/>
        <v>4424.4761644507462</v>
      </c>
      <c r="D305" s="66">
        <f t="shared" si="62"/>
        <v>1457.9244388151812</v>
      </c>
      <c r="E305" s="66">
        <f t="shared" si="63"/>
        <v>2966.5517256355652</v>
      </c>
      <c r="F305" s="66">
        <f t="shared" si="64"/>
        <v>266188.72928639792</v>
      </c>
      <c r="G305" s="45"/>
      <c r="H305" s="45"/>
      <c r="I305" s="64">
        <f t="shared" si="65"/>
        <v>287</v>
      </c>
      <c r="J305" s="65">
        <f t="shared" si="71"/>
        <v>3865.4259149932882</v>
      </c>
      <c r="K305" s="66">
        <f t="shared" si="72"/>
        <v>1067.081342630516</v>
      </c>
      <c r="L305" s="66">
        <f t="shared" si="66"/>
        <v>2798.3445723627719</v>
      </c>
      <c r="M305" s="66">
        <f t="shared" si="67"/>
        <v>241105.96231461232</v>
      </c>
      <c r="N305" s="45"/>
      <c r="O305" s="45"/>
      <c r="P305" s="64">
        <f t="shared" si="68"/>
        <v>287</v>
      </c>
      <c r="Q305" s="65">
        <f t="shared" si="69"/>
        <v>895.35799997349602</v>
      </c>
      <c r="R305" s="66">
        <f t="shared" si="74"/>
        <v>417.91919266524837</v>
      </c>
      <c r="S305" s="66">
        <f t="shared" si="73"/>
        <v>477.43880730824765</v>
      </c>
      <c r="T305" s="66">
        <f t="shared" si="70"/>
        <v>48497.466583150548</v>
      </c>
      <c r="U305" s="45"/>
    </row>
    <row r="306" spans="1:21" ht="15">
      <c r="A306" s="45"/>
      <c r="B306" s="64">
        <f t="shared" si="60"/>
        <v>288</v>
      </c>
      <c r="C306" s="65">
        <f t="shared" si="61"/>
        <v>4424.4761644507462</v>
      </c>
      <c r="D306" s="66">
        <f t="shared" si="62"/>
        <v>1441.8556169679889</v>
      </c>
      <c r="E306" s="66">
        <f t="shared" si="63"/>
        <v>2982.6205474827575</v>
      </c>
      <c r="F306" s="66">
        <f t="shared" si="64"/>
        <v>263206.10873891518</v>
      </c>
      <c r="G306" s="45"/>
      <c r="H306" s="45"/>
      <c r="I306" s="64">
        <f t="shared" si="65"/>
        <v>288</v>
      </c>
      <c r="J306" s="65">
        <f t="shared" si="71"/>
        <v>3865.4259149932882</v>
      </c>
      <c r="K306" s="66">
        <f t="shared" si="72"/>
        <v>1054.8385851264288</v>
      </c>
      <c r="L306" s="66">
        <f t="shared" si="66"/>
        <v>2810.5873298668594</v>
      </c>
      <c r="M306" s="66">
        <f t="shared" si="67"/>
        <v>238295.37498474546</v>
      </c>
      <c r="N306" s="45"/>
      <c r="O306" s="45"/>
      <c r="P306" s="64">
        <f t="shared" si="68"/>
        <v>288</v>
      </c>
      <c r="Q306" s="65">
        <f t="shared" si="69"/>
        <v>895.35799997349602</v>
      </c>
      <c r="R306" s="66">
        <f t="shared" si="74"/>
        <v>413.84504817621803</v>
      </c>
      <c r="S306" s="66">
        <f t="shared" si="73"/>
        <v>481.51295179727799</v>
      </c>
      <c r="T306" s="66">
        <f t="shared" si="70"/>
        <v>48015.953631353274</v>
      </c>
      <c r="U306" s="45"/>
    </row>
    <row r="307" spans="1:21" ht="15">
      <c r="A307" s="45"/>
      <c r="B307" s="64">
        <f t="shared" si="60"/>
        <v>289</v>
      </c>
      <c r="C307" s="65">
        <f t="shared" si="61"/>
        <v>4424.4761644507462</v>
      </c>
      <c r="D307" s="66">
        <f t="shared" si="62"/>
        <v>1425.699755669124</v>
      </c>
      <c r="E307" s="66">
        <f t="shared" si="63"/>
        <v>2998.7764087816222</v>
      </c>
      <c r="F307" s="66">
        <f t="shared" si="64"/>
        <v>260207.33233013356</v>
      </c>
      <c r="G307" s="45"/>
      <c r="H307" s="45"/>
      <c r="I307" s="64">
        <f t="shared" si="65"/>
        <v>289</v>
      </c>
      <c r="J307" s="65">
        <f t="shared" si="71"/>
        <v>3865.4259149932882</v>
      </c>
      <c r="K307" s="66">
        <f t="shared" si="72"/>
        <v>1042.5422655582613</v>
      </c>
      <c r="L307" s="66">
        <f t="shared" si="66"/>
        <v>2822.8836494350271</v>
      </c>
      <c r="M307" s="66">
        <f t="shared" si="67"/>
        <v>235472.49133531042</v>
      </c>
      <c r="N307" s="45"/>
      <c r="O307" s="45"/>
      <c r="P307" s="64">
        <f t="shared" si="68"/>
        <v>289</v>
      </c>
      <c r="Q307" s="65">
        <f t="shared" si="69"/>
        <v>895.35799997349602</v>
      </c>
      <c r="R307" s="66">
        <f t="shared" si="74"/>
        <v>409.73613765421464</v>
      </c>
      <c r="S307" s="66">
        <f t="shared" si="73"/>
        <v>485.62186231928138</v>
      </c>
      <c r="T307" s="66">
        <f t="shared" si="70"/>
        <v>47530.33176903399</v>
      </c>
      <c r="U307" s="45"/>
    </row>
    <row r="308" spans="1:21" ht="15">
      <c r="A308" s="45"/>
      <c r="B308" s="64">
        <f t="shared" si="60"/>
        <v>290</v>
      </c>
      <c r="C308" s="65">
        <f t="shared" si="61"/>
        <v>4424.4761644507462</v>
      </c>
      <c r="D308" s="66">
        <f t="shared" si="62"/>
        <v>1409.4563834548901</v>
      </c>
      <c r="E308" s="66">
        <f t="shared" si="63"/>
        <v>3015.0197809958563</v>
      </c>
      <c r="F308" s="66">
        <f t="shared" si="64"/>
        <v>257192.31254913771</v>
      </c>
      <c r="G308" s="45"/>
      <c r="H308" s="45"/>
      <c r="I308" s="64">
        <f t="shared" si="65"/>
        <v>290</v>
      </c>
      <c r="J308" s="65">
        <f t="shared" si="71"/>
        <v>3865.4259149932882</v>
      </c>
      <c r="K308" s="66">
        <f t="shared" si="72"/>
        <v>1030.192149591983</v>
      </c>
      <c r="L308" s="66">
        <f t="shared" si="66"/>
        <v>2835.2337654013054</v>
      </c>
      <c r="M308" s="66">
        <f t="shared" si="67"/>
        <v>232637.25756990912</v>
      </c>
      <c r="N308" s="45"/>
      <c r="O308" s="45"/>
      <c r="P308" s="64">
        <f t="shared" si="68"/>
        <v>290</v>
      </c>
      <c r="Q308" s="65">
        <f t="shared" si="69"/>
        <v>895.35799997349602</v>
      </c>
      <c r="R308" s="66">
        <f t="shared" si="74"/>
        <v>405.59216442909008</v>
      </c>
      <c r="S308" s="66">
        <f t="shared" si="73"/>
        <v>489.76583554440595</v>
      </c>
      <c r="T308" s="66">
        <f t="shared" si="70"/>
        <v>47040.565933489583</v>
      </c>
      <c r="U308" s="45"/>
    </row>
    <row r="309" spans="1:21" ht="15">
      <c r="A309" s="45"/>
      <c r="B309" s="64">
        <f t="shared" si="60"/>
        <v>291</v>
      </c>
      <c r="C309" s="65">
        <f t="shared" si="61"/>
        <v>4424.4761644507462</v>
      </c>
      <c r="D309" s="66">
        <f t="shared" si="62"/>
        <v>1393.1250263078293</v>
      </c>
      <c r="E309" s="66">
        <f t="shared" si="63"/>
        <v>3031.3511381429171</v>
      </c>
      <c r="F309" s="66">
        <f t="shared" si="64"/>
        <v>254160.96141099479</v>
      </c>
      <c r="G309" s="45"/>
      <c r="H309" s="45"/>
      <c r="I309" s="64">
        <f t="shared" si="65"/>
        <v>291</v>
      </c>
      <c r="J309" s="65">
        <f t="shared" si="71"/>
        <v>3865.4259149932882</v>
      </c>
      <c r="K309" s="66">
        <f t="shared" si="72"/>
        <v>1017.7880018683524</v>
      </c>
      <c r="L309" s="66">
        <f t="shared" si="66"/>
        <v>2847.6379131249359</v>
      </c>
      <c r="M309" s="66">
        <f t="shared" si="67"/>
        <v>229789.6196567842</v>
      </c>
      <c r="N309" s="45"/>
      <c r="O309" s="45"/>
      <c r="P309" s="64">
        <f t="shared" si="68"/>
        <v>291</v>
      </c>
      <c r="Q309" s="65">
        <f t="shared" si="69"/>
        <v>895.35799997349602</v>
      </c>
      <c r="R309" s="66">
        <f t="shared" si="74"/>
        <v>401.41282929911114</v>
      </c>
      <c r="S309" s="66">
        <f t="shared" si="73"/>
        <v>493.94517067438488</v>
      </c>
      <c r="T309" s="66">
        <f t="shared" si="70"/>
        <v>46546.620762815197</v>
      </c>
      <c r="U309" s="45"/>
    </row>
    <row r="310" spans="1:21" ht="15">
      <c r="A310" s="45"/>
      <c r="B310" s="64">
        <f t="shared" si="60"/>
        <v>292</v>
      </c>
      <c r="C310" s="65">
        <f t="shared" si="61"/>
        <v>4424.4761644507462</v>
      </c>
      <c r="D310" s="66">
        <f t="shared" si="62"/>
        <v>1376.7052076428886</v>
      </c>
      <c r="E310" s="66">
        <f t="shared" si="63"/>
        <v>3047.7709568078576</v>
      </c>
      <c r="F310" s="66">
        <f t="shared" si="64"/>
        <v>251113.19045418693</v>
      </c>
      <c r="G310" s="45"/>
      <c r="H310" s="45"/>
      <c r="I310" s="64">
        <f t="shared" si="65"/>
        <v>292</v>
      </c>
      <c r="J310" s="65">
        <f t="shared" si="71"/>
        <v>3865.4259149932882</v>
      </c>
      <c r="K310" s="66">
        <f t="shared" si="72"/>
        <v>1005.3295859984307</v>
      </c>
      <c r="L310" s="66">
        <f t="shared" si="66"/>
        <v>2860.0963289948577</v>
      </c>
      <c r="M310" s="66">
        <f t="shared" si="67"/>
        <v>226929.52332778933</v>
      </c>
      <c r="N310" s="45"/>
      <c r="O310" s="45"/>
      <c r="P310" s="64">
        <f t="shared" si="68"/>
        <v>292</v>
      </c>
      <c r="Q310" s="65">
        <f t="shared" si="69"/>
        <v>895.35799997349602</v>
      </c>
      <c r="R310" s="66">
        <f t="shared" si="74"/>
        <v>397.19783050935638</v>
      </c>
      <c r="S310" s="66">
        <f t="shared" si="73"/>
        <v>498.16016946413964</v>
      </c>
      <c r="T310" s="66">
        <f t="shared" si="70"/>
        <v>46048.460593351054</v>
      </c>
      <c r="U310" s="45"/>
    </row>
    <row r="311" spans="1:21" ht="15">
      <c r="A311" s="45"/>
      <c r="B311" s="64">
        <f t="shared" si="60"/>
        <v>293</v>
      </c>
      <c r="C311" s="65">
        <f t="shared" si="61"/>
        <v>4424.4761644507462</v>
      </c>
      <c r="D311" s="66">
        <f t="shared" si="62"/>
        <v>1360.1964482935125</v>
      </c>
      <c r="E311" s="66">
        <f t="shared" si="63"/>
        <v>3064.2797161572335</v>
      </c>
      <c r="F311" s="66">
        <f t="shared" si="64"/>
        <v>248048.91073802969</v>
      </c>
      <c r="G311" s="45"/>
      <c r="H311" s="45"/>
      <c r="I311" s="64">
        <f t="shared" si="65"/>
        <v>293</v>
      </c>
      <c r="J311" s="65">
        <f t="shared" si="71"/>
        <v>3865.4259149932882</v>
      </c>
      <c r="K311" s="66">
        <f t="shared" si="72"/>
        <v>992.81666455907816</v>
      </c>
      <c r="L311" s="66">
        <f t="shared" si="66"/>
        <v>2872.60925043421</v>
      </c>
      <c r="M311" s="66">
        <f t="shared" si="67"/>
        <v>224056.91407735512</v>
      </c>
      <c r="N311" s="45"/>
      <c r="O311" s="45"/>
      <c r="P311" s="64">
        <f t="shared" si="68"/>
        <v>293</v>
      </c>
      <c r="Q311" s="65">
        <f t="shared" si="69"/>
        <v>895.35799997349602</v>
      </c>
      <c r="R311" s="66">
        <f t="shared" si="74"/>
        <v>392.94686372992902</v>
      </c>
      <c r="S311" s="66">
        <f t="shared" si="73"/>
        <v>502.411136243567</v>
      </c>
      <c r="T311" s="66">
        <f t="shared" si="70"/>
        <v>45546.049457107489</v>
      </c>
      <c r="U311" s="45"/>
    </row>
    <row r="312" spans="1:21" ht="15">
      <c r="A312" s="45"/>
      <c r="B312" s="64">
        <f t="shared" si="60"/>
        <v>294</v>
      </c>
      <c r="C312" s="65">
        <f t="shared" si="61"/>
        <v>4424.4761644507462</v>
      </c>
      <c r="D312" s="66">
        <f t="shared" si="62"/>
        <v>1343.5982664976609</v>
      </c>
      <c r="E312" s="66">
        <f t="shared" si="63"/>
        <v>3080.8778979530853</v>
      </c>
      <c r="F312" s="66">
        <f t="shared" si="64"/>
        <v>244968.0328400766</v>
      </c>
      <c r="G312" s="45"/>
      <c r="H312" s="45"/>
      <c r="I312" s="64">
        <f t="shared" si="65"/>
        <v>294</v>
      </c>
      <c r="J312" s="65">
        <f t="shared" si="71"/>
        <v>3865.4259149932882</v>
      </c>
      <c r="K312" s="66">
        <f t="shared" si="72"/>
        <v>980.24899908842849</v>
      </c>
      <c r="L312" s="66">
        <f t="shared" si="66"/>
        <v>2885.1769159048599</v>
      </c>
      <c r="M312" s="66">
        <f t="shared" si="67"/>
        <v>221171.73716145026</v>
      </c>
      <c r="N312" s="45"/>
      <c r="O312" s="45"/>
      <c r="P312" s="64">
        <f t="shared" si="68"/>
        <v>294</v>
      </c>
      <c r="Q312" s="65">
        <f t="shared" si="69"/>
        <v>895.35799997349602</v>
      </c>
      <c r="R312" s="66">
        <f t="shared" si="74"/>
        <v>388.65962203398391</v>
      </c>
      <c r="S312" s="66">
        <f t="shared" si="73"/>
        <v>506.69837793951211</v>
      </c>
      <c r="T312" s="66">
        <f t="shared" si="70"/>
        <v>45039.35107916798</v>
      </c>
      <c r="U312" s="45"/>
    </row>
    <row r="313" spans="1:21" ht="15">
      <c r="A313" s="45"/>
      <c r="B313" s="64">
        <f t="shared" si="60"/>
        <v>295</v>
      </c>
      <c r="C313" s="65">
        <f t="shared" si="61"/>
        <v>4424.4761644507462</v>
      </c>
      <c r="D313" s="66">
        <f t="shared" si="62"/>
        <v>1326.9101778837482</v>
      </c>
      <c r="E313" s="66">
        <f t="shared" si="63"/>
        <v>3097.5659865669977</v>
      </c>
      <c r="F313" s="66">
        <f t="shared" si="64"/>
        <v>241870.4668535096</v>
      </c>
      <c r="G313" s="45"/>
      <c r="H313" s="45"/>
      <c r="I313" s="64">
        <f t="shared" si="65"/>
        <v>295</v>
      </c>
      <c r="J313" s="65">
        <f t="shared" si="71"/>
        <v>3865.4259149932882</v>
      </c>
      <c r="K313" s="66">
        <f t="shared" si="72"/>
        <v>967.62635008134475</v>
      </c>
      <c r="L313" s="66">
        <f t="shared" si="66"/>
        <v>2897.7995649119434</v>
      </c>
      <c r="M313" s="66">
        <f t="shared" si="67"/>
        <v>218273.93759653831</v>
      </c>
      <c r="N313" s="45"/>
      <c r="O313" s="45"/>
      <c r="P313" s="64">
        <f t="shared" si="68"/>
        <v>295</v>
      </c>
      <c r="Q313" s="65">
        <f t="shared" si="69"/>
        <v>895.35799997349602</v>
      </c>
      <c r="R313" s="66">
        <f t="shared" si="74"/>
        <v>384.33579587556676</v>
      </c>
      <c r="S313" s="66">
        <f t="shared" si="73"/>
        <v>511.02220409792926</v>
      </c>
      <c r="T313" s="66">
        <f t="shared" si="70"/>
        <v>44528.328875070052</v>
      </c>
      <c r="U313" s="45"/>
    </row>
    <row r="314" spans="1:21" ht="15">
      <c r="A314" s="45"/>
      <c r="B314" s="64">
        <f t="shared" si="60"/>
        <v>296</v>
      </c>
      <c r="C314" s="65">
        <f t="shared" si="61"/>
        <v>4424.4761644507462</v>
      </c>
      <c r="D314" s="66">
        <f t="shared" si="62"/>
        <v>1310.1316954565104</v>
      </c>
      <c r="E314" s="66">
        <f t="shared" si="63"/>
        <v>3114.3444689942357</v>
      </c>
      <c r="F314" s="66">
        <f t="shared" si="64"/>
        <v>238756.12238451536</v>
      </c>
      <c r="G314" s="45"/>
      <c r="H314" s="45"/>
      <c r="I314" s="64">
        <f t="shared" si="65"/>
        <v>296</v>
      </c>
      <c r="J314" s="65">
        <f t="shared" si="71"/>
        <v>3865.4259149932882</v>
      </c>
      <c r="K314" s="66">
        <f t="shared" si="72"/>
        <v>954.94847698485501</v>
      </c>
      <c r="L314" s="66">
        <f t="shared" si="66"/>
        <v>2910.4774380084332</v>
      </c>
      <c r="M314" s="66">
        <f t="shared" si="67"/>
        <v>215363.46015852987</v>
      </c>
      <c r="N314" s="45"/>
      <c r="O314" s="45"/>
      <c r="P314" s="64">
        <f t="shared" si="68"/>
        <v>296</v>
      </c>
      <c r="Q314" s="65">
        <f t="shared" si="69"/>
        <v>895.35799997349602</v>
      </c>
      <c r="R314" s="66">
        <f t="shared" si="74"/>
        <v>379.97507306726447</v>
      </c>
      <c r="S314" s="66">
        <f t="shared" si="73"/>
        <v>515.38292690623155</v>
      </c>
      <c r="T314" s="66">
        <f t="shared" si="70"/>
        <v>44012.945948163819</v>
      </c>
      <c r="U314" s="45"/>
    </row>
    <row r="315" spans="1:21" ht="15">
      <c r="A315" s="45"/>
      <c r="B315" s="64">
        <f t="shared" si="60"/>
        <v>297</v>
      </c>
      <c r="C315" s="65">
        <f t="shared" si="61"/>
        <v>4424.4761644507462</v>
      </c>
      <c r="D315" s="66">
        <f t="shared" si="62"/>
        <v>1293.2623295827916</v>
      </c>
      <c r="E315" s="66">
        <f t="shared" si="63"/>
        <v>3131.2138348679546</v>
      </c>
      <c r="F315" s="66">
        <f t="shared" si="64"/>
        <v>235624.9085496474</v>
      </c>
      <c r="G315" s="45"/>
      <c r="H315" s="45"/>
      <c r="I315" s="64">
        <f t="shared" si="65"/>
        <v>297</v>
      </c>
      <c r="J315" s="65">
        <f t="shared" si="71"/>
        <v>3865.4259149932882</v>
      </c>
      <c r="K315" s="66">
        <f t="shared" si="72"/>
        <v>942.21513819356812</v>
      </c>
      <c r="L315" s="66">
        <f t="shared" si="66"/>
        <v>2923.21077679972</v>
      </c>
      <c r="M315" s="66">
        <f t="shared" si="67"/>
        <v>212440.24938173016</v>
      </c>
      <c r="N315" s="45"/>
      <c r="O315" s="45"/>
      <c r="P315" s="64">
        <f t="shared" si="68"/>
        <v>297</v>
      </c>
      <c r="Q315" s="65">
        <f t="shared" si="69"/>
        <v>895.35799997349602</v>
      </c>
      <c r="R315" s="66">
        <f t="shared" si="74"/>
        <v>375.57713875766461</v>
      </c>
      <c r="S315" s="66">
        <f t="shared" si="73"/>
        <v>519.78086121583146</v>
      </c>
      <c r="T315" s="66">
        <f t="shared" si="70"/>
        <v>43493.165086947985</v>
      </c>
      <c r="U315" s="45"/>
    </row>
    <row r="316" spans="1:21" ht="15">
      <c r="A316" s="45"/>
      <c r="B316" s="64">
        <f t="shared" si="60"/>
        <v>298</v>
      </c>
      <c r="C316" s="65">
        <f t="shared" si="61"/>
        <v>4424.4761644507462</v>
      </c>
      <c r="D316" s="66">
        <f t="shared" si="62"/>
        <v>1276.3015879772568</v>
      </c>
      <c r="E316" s="66">
        <f t="shared" si="63"/>
        <v>3148.1745764734897</v>
      </c>
      <c r="F316" s="66">
        <f t="shared" si="64"/>
        <v>232476.73397317392</v>
      </c>
      <c r="G316" s="45"/>
      <c r="H316" s="45"/>
      <c r="I316" s="64">
        <f t="shared" si="65"/>
        <v>298</v>
      </c>
      <c r="J316" s="65">
        <f t="shared" si="71"/>
        <v>3865.4259149932882</v>
      </c>
      <c r="K316" s="66">
        <f t="shared" si="72"/>
        <v>929.42609104506937</v>
      </c>
      <c r="L316" s="66">
        <f t="shared" si="66"/>
        <v>2935.9998239482188</v>
      </c>
      <c r="M316" s="66">
        <f t="shared" si="67"/>
        <v>209504.24955778194</v>
      </c>
      <c r="N316" s="45"/>
      <c r="O316" s="45"/>
      <c r="P316" s="64">
        <f t="shared" si="68"/>
        <v>298</v>
      </c>
      <c r="Q316" s="65">
        <f t="shared" si="69"/>
        <v>895.35799997349602</v>
      </c>
      <c r="R316" s="66">
        <f t="shared" si="74"/>
        <v>371.1416754086228</v>
      </c>
      <c r="S316" s="66">
        <f t="shared" si="73"/>
        <v>524.21632456487328</v>
      </c>
      <c r="T316" s="66">
        <f t="shared" si="70"/>
        <v>42968.948762383116</v>
      </c>
      <c r="U316" s="45"/>
    </row>
    <row r="317" spans="1:21" ht="15">
      <c r="A317" s="45"/>
      <c r="B317" s="64">
        <f t="shared" si="60"/>
        <v>299</v>
      </c>
      <c r="C317" s="65">
        <f t="shared" si="61"/>
        <v>4424.4761644507462</v>
      </c>
      <c r="D317" s="66">
        <f t="shared" si="62"/>
        <v>1259.2489756880254</v>
      </c>
      <c r="E317" s="66">
        <f t="shared" si="63"/>
        <v>3165.2271887627207</v>
      </c>
      <c r="F317" s="66">
        <f t="shared" si="64"/>
        <v>229311.50678441121</v>
      </c>
      <c r="G317" s="45"/>
      <c r="H317" s="45"/>
      <c r="I317" s="64">
        <f t="shared" si="65"/>
        <v>299</v>
      </c>
      <c r="J317" s="65">
        <f t="shared" si="71"/>
        <v>3865.4259149932882</v>
      </c>
      <c r="K317" s="66">
        <f t="shared" si="72"/>
        <v>916.58109181529585</v>
      </c>
      <c r="L317" s="66">
        <f t="shared" si="66"/>
        <v>2948.8448231779921</v>
      </c>
      <c r="M317" s="66">
        <f t="shared" si="67"/>
        <v>206555.40473460394</v>
      </c>
      <c r="N317" s="45"/>
      <c r="O317" s="45"/>
      <c r="P317" s="64">
        <f t="shared" si="68"/>
        <v>299</v>
      </c>
      <c r="Q317" s="65">
        <f t="shared" si="69"/>
        <v>895.35799997349602</v>
      </c>
      <c r="R317" s="66">
        <f t="shared" si="74"/>
        <v>366.66836277233591</v>
      </c>
      <c r="S317" s="66">
        <f t="shared" si="73"/>
        <v>528.68963720116017</v>
      </c>
      <c r="T317" s="66">
        <f t="shared" si="70"/>
        <v>42440.259125181954</v>
      </c>
      <c r="U317" s="45"/>
    </row>
    <row r="318" spans="1:21" ht="15">
      <c r="A318" s="45"/>
      <c r="B318" s="64">
        <f t="shared" si="60"/>
        <v>300</v>
      </c>
      <c r="C318" s="65">
        <f t="shared" si="61"/>
        <v>4424.4761644507462</v>
      </c>
      <c r="D318" s="66">
        <f t="shared" si="62"/>
        <v>1242.1039950822274</v>
      </c>
      <c r="E318" s="66">
        <f t="shared" si="63"/>
        <v>3182.3721693685188</v>
      </c>
      <c r="F318" s="66">
        <f t="shared" si="64"/>
        <v>226129.13461504268</v>
      </c>
      <c r="G318" s="45"/>
      <c r="H318" s="45"/>
      <c r="I318" s="64">
        <f t="shared" si="65"/>
        <v>300</v>
      </c>
      <c r="J318" s="65">
        <f t="shared" si="71"/>
        <v>3865.4259149932882</v>
      </c>
      <c r="K318" s="66">
        <f t="shared" si="72"/>
        <v>903.67989571389217</v>
      </c>
      <c r="L318" s="66">
        <f t="shared" si="66"/>
        <v>2961.746019279396</v>
      </c>
      <c r="M318" s="66">
        <f t="shared" si="67"/>
        <v>203593.65871532453</v>
      </c>
      <c r="N318" s="45"/>
      <c r="O318" s="45"/>
      <c r="P318" s="64">
        <f t="shared" si="68"/>
        <v>300</v>
      </c>
      <c r="Q318" s="65">
        <f t="shared" si="69"/>
        <v>895.35799997349602</v>
      </c>
      <c r="R318" s="66">
        <f t="shared" si="74"/>
        <v>362.15687786821934</v>
      </c>
      <c r="S318" s="66">
        <f t="shared" si="73"/>
        <v>533.20112210527668</v>
      </c>
      <c r="T318" s="66">
        <f t="shared" si="70"/>
        <v>41907.05800307668</v>
      </c>
      <c r="U318" s="45"/>
    </row>
    <row r="319" spans="1:21" ht="15">
      <c r="A319" s="45"/>
      <c r="B319" s="64">
        <f t="shared" si="60"/>
        <v>301</v>
      </c>
      <c r="C319" s="65">
        <f t="shared" si="61"/>
        <v>4424.4761644507462</v>
      </c>
      <c r="D319" s="66">
        <f t="shared" si="62"/>
        <v>1224.8661458314812</v>
      </c>
      <c r="E319" s="66">
        <f t="shared" si="63"/>
        <v>3199.6100186192652</v>
      </c>
      <c r="F319" s="66">
        <f t="shared" si="64"/>
        <v>222929.52459642341</v>
      </c>
      <c r="G319" s="45"/>
      <c r="H319" s="45"/>
      <c r="I319" s="64">
        <f t="shared" si="65"/>
        <v>301</v>
      </c>
      <c r="J319" s="65">
        <f t="shared" si="71"/>
        <v>3865.4259149932882</v>
      </c>
      <c r="K319" s="66">
        <f t="shared" si="72"/>
        <v>890.72225687954472</v>
      </c>
      <c r="L319" s="66">
        <f t="shared" si="66"/>
        <v>2974.7036581137436</v>
      </c>
      <c r="M319" s="66">
        <f t="shared" si="67"/>
        <v>200618.95505721078</v>
      </c>
      <c r="N319" s="45"/>
      <c r="O319" s="45"/>
      <c r="P319" s="64">
        <f t="shared" si="68"/>
        <v>301</v>
      </c>
      <c r="Q319" s="65">
        <f t="shared" si="69"/>
        <v>895.35799997349602</v>
      </c>
      <c r="R319" s="66">
        <f t="shared" si="74"/>
        <v>357.60689495958769</v>
      </c>
      <c r="S319" s="66">
        <f t="shared" si="73"/>
        <v>537.75110501390827</v>
      </c>
      <c r="T319" s="66">
        <f t="shared" si="70"/>
        <v>41369.306898062772</v>
      </c>
      <c r="U319" s="45"/>
    </row>
    <row r="320" spans="1:21" ht="15">
      <c r="A320" s="45"/>
      <c r="B320" s="64">
        <f t="shared" si="60"/>
        <v>302</v>
      </c>
      <c r="C320" s="65">
        <f t="shared" si="61"/>
        <v>4424.4761644507462</v>
      </c>
      <c r="D320" s="66">
        <f t="shared" si="62"/>
        <v>1207.5349248972934</v>
      </c>
      <c r="E320" s="66">
        <f t="shared" si="63"/>
        <v>3216.9412395534528</v>
      </c>
      <c r="F320" s="66">
        <f t="shared" si="64"/>
        <v>219712.58335686996</v>
      </c>
      <c r="G320" s="45"/>
      <c r="H320" s="45"/>
      <c r="I320" s="64">
        <f t="shared" si="65"/>
        <v>302</v>
      </c>
      <c r="J320" s="65">
        <f t="shared" si="71"/>
        <v>3865.4259149932882</v>
      </c>
      <c r="K320" s="66">
        <f t="shared" si="72"/>
        <v>877.70792837529712</v>
      </c>
      <c r="L320" s="66">
        <f t="shared" si="66"/>
        <v>2987.7179866179913</v>
      </c>
      <c r="M320" s="66">
        <f t="shared" si="67"/>
        <v>197631.23707059279</v>
      </c>
      <c r="N320" s="45"/>
      <c r="O320" s="45"/>
      <c r="P320" s="64">
        <f t="shared" si="68"/>
        <v>302</v>
      </c>
      <c r="Q320" s="65">
        <f t="shared" si="69"/>
        <v>895.35799997349602</v>
      </c>
      <c r="R320" s="66">
        <f t="shared" si="74"/>
        <v>353.01808553013569</v>
      </c>
      <c r="S320" s="66">
        <f t="shared" si="73"/>
        <v>542.33991444336039</v>
      </c>
      <c r="T320" s="66">
        <f t="shared" si="70"/>
        <v>40826.966983619415</v>
      </c>
      <c r="U320" s="45"/>
    </row>
    <row r="321" spans="1:21" ht="15">
      <c r="A321" s="45"/>
      <c r="B321" s="64">
        <f t="shared" si="60"/>
        <v>303</v>
      </c>
      <c r="C321" s="65">
        <f t="shared" si="61"/>
        <v>4424.4761644507462</v>
      </c>
      <c r="D321" s="66">
        <f t="shared" si="62"/>
        <v>1190.1098265163789</v>
      </c>
      <c r="E321" s="66">
        <f t="shared" si="63"/>
        <v>3234.366337934367</v>
      </c>
      <c r="F321" s="66">
        <f t="shared" si="64"/>
        <v>216478.2170189356</v>
      </c>
      <c r="G321" s="45"/>
      <c r="H321" s="45"/>
      <c r="I321" s="64">
        <f t="shared" si="65"/>
        <v>303</v>
      </c>
      <c r="J321" s="65">
        <f t="shared" si="71"/>
        <v>3865.4259149932882</v>
      </c>
      <c r="K321" s="66">
        <f t="shared" si="72"/>
        <v>864.63666218384333</v>
      </c>
      <c r="L321" s="66">
        <f t="shared" si="66"/>
        <v>3000.7892528094449</v>
      </c>
      <c r="M321" s="66">
        <f t="shared" si="67"/>
        <v>194630.44781778334</v>
      </c>
      <c r="N321" s="45"/>
      <c r="O321" s="45"/>
      <c r="P321" s="64">
        <f t="shared" si="68"/>
        <v>303</v>
      </c>
      <c r="Q321" s="65">
        <f t="shared" si="69"/>
        <v>895.35799997349602</v>
      </c>
      <c r="R321" s="66">
        <f t="shared" si="74"/>
        <v>348.39011826021903</v>
      </c>
      <c r="S321" s="66">
        <f t="shared" si="73"/>
        <v>546.96788171327694</v>
      </c>
      <c r="T321" s="66">
        <f t="shared" si="70"/>
        <v>40279.999101906142</v>
      </c>
      <c r="U321" s="45"/>
    </row>
    <row r="322" spans="1:21" ht="15">
      <c r="A322" s="45"/>
      <c r="B322" s="64">
        <f t="shared" si="60"/>
        <v>304</v>
      </c>
      <c r="C322" s="65">
        <f t="shared" si="61"/>
        <v>4424.4761644507462</v>
      </c>
      <c r="D322" s="66">
        <f t="shared" si="62"/>
        <v>1172.5903421859011</v>
      </c>
      <c r="E322" s="66">
        <f t="shared" si="63"/>
        <v>3251.885822264845</v>
      </c>
      <c r="F322" s="66">
        <f t="shared" si="64"/>
        <v>213226.33119667074</v>
      </c>
      <c r="G322" s="45"/>
      <c r="H322" s="45"/>
      <c r="I322" s="64">
        <f t="shared" si="65"/>
        <v>304</v>
      </c>
      <c r="J322" s="65">
        <f t="shared" si="71"/>
        <v>3865.4259149932882</v>
      </c>
      <c r="K322" s="66">
        <f t="shared" si="72"/>
        <v>851.50820920280205</v>
      </c>
      <c r="L322" s="66">
        <f t="shared" si="66"/>
        <v>3013.9177057904863</v>
      </c>
      <c r="M322" s="66">
        <f t="shared" si="67"/>
        <v>191616.53011199285</v>
      </c>
      <c r="N322" s="45"/>
      <c r="O322" s="45"/>
      <c r="P322" s="64">
        <f t="shared" si="68"/>
        <v>304</v>
      </c>
      <c r="Q322" s="65">
        <f t="shared" si="69"/>
        <v>895.35799997349602</v>
      </c>
      <c r="R322" s="66">
        <f t="shared" si="74"/>
        <v>343.7226590029324</v>
      </c>
      <c r="S322" s="66">
        <f t="shared" si="73"/>
        <v>551.63534097056368</v>
      </c>
      <c r="T322" s="66">
        <f t="shared" si="70"/>
        <v>39728.363760935579</v>
      </c>
      <c r="U322" s="45"/>
    </row>
    <row r="323" spans="1:21" ht="15">
      <c r="A323" s="45"/>
      <c r="B323" s="64">
        <f t="shared" si="60"/>
        <v>305</v>
      </c>
      <c r="C323" s="65">
        <f t="shared" si="61"/>
        <v>4424.4761644507462</v>
      </c>
      <c r="D323" s="66">
        <f t="shared" si="62"/>
        <v>1154.9759606486332</v>
      </c>
      <c r="E323" s="66">
        <f t="shared" si="63"/>
        <v>3269.500203802113</v>
      </c>
      <c r="F323" s="66">
        <f t="shared" si="64"/>
        <v>209956.83099286864</v>
      </c>
      <c r="G323" s="45"/>
      <c r="H323" s="45"/>
      <c r="I323" s="64">
        <f t="shared" si="65"/>
        <v>305</v>
      </c>
      <c r="J323" s="65">
        <f t="shared" si="71"/>
        <v>3865.4259149932882</v>
      </c>
      <c r="K323" s="66">
        <f t="shared" si="72"/>
        <v>838.32231923996858</v>
      </c>
      <c r="L323" s="66">
        <f t="shared" si="66"/>
        <v>3027.1035957533195</v>
      </c>
      <c r="M323" s="66">
        <f t="shared" si="67"/>
        <v>188589.42651623953</v>
      </c>
      <c r="N323" s="45"/>
      <c r="O323" s="45"/>
      <c r="P323" s="64">
        <f t="shared" si="68"/>
        <v>305</v>
      </c>
      <c r="Q323" s="65">
        <f t="shared" si="69"/>
        <v>895.35799997349602</v>
      </c>
      <c r="R323" s="66">
        <f t="shared" si="74"/>
        <v>339.01537075998363</v>
      </c>
      <c r="S323" s="66">
        <f t="shared" si="73"/>
        <v>556.3426292135124</v>
      </c>
      <c r="T323" s="66">
        <f t="shared" si="70"/>
        <v>39172.021131722067</v>
      </c>
      <c r="U323" s="45"/>
    </row>
    <row r="324" spans="1:21" ht="15">
      <c r="A324" s="45"/>
      <c r="B324" s="64">
        <f t="shared" si="60"/>
        <v>306</v>
      </c>
      <c r="C324" s="65">
        <f t="shared" si="61"/>
        <v>4424.4761644507462</v>
      </c>
      <c r="D324" s="66">
        <f t="shared" si="62"/>
        <v>1137.2661678780385</v>
      </c>
      <c r="E324" s="66">
        <f t="shared" si="63"/>
        <v>3287.2099965727075</v>
      </c>
      <c r="F324" s="66">
        <f t="shared" si="64"/>
        <v>206669.62099629594</v>
      </c>
      <c r="G324" s="45"/>
      <c r="H324" s="45"/>
      <c r="I324" s="64">
        <f t="shared" si="65"/>
        <v>306</v>
      </c>
      <c r="J324" s="65">
        <f t="shared" si="71"/>
        <v>3865.4259149932882</v>
      </c>
      <c r="K324" s="66">
        <f t="shared" si="72"/>
        <v>825.07874100854781</v>
      </c>
      <c r="L324" s="66">
        <f t="shared" si="66"/>
        <v>3040.3471739847405</v>
      </c>
      <c r="M324" s="66">
        <f t="shared" si="67"/>
        <v>185549.07934225479</v>
      </c>
      <c r="N324" s="45"/>
      <c r="O324" s="45"/>
      <c r="P324" s="64">
        <f t="shared" si="68"/>
        <v>306</v>
      </c>
      <c r="Q324" s="65">
        <f t="shared" si="69"/>
        <v>895.35799997349602</v>
      </c>
      <c r="R324" s="66">
        <f t="shared" si="74"/>
        <v>334.26791365736165</v>
      </c>
      <c r="S324" s="66">
        <f t="shared" si="73"/>
        <v>561.09008631613438</v>
      </c>
      <c r="T324" s="66">
        <f t="shared" si="70"/>
        <v>38610.93104540593</v>
      </c>
      <c r="U324" s="45"/>
    </row>
    <row r="325" spans="1:21" ht="15">
      <c r="A325" s="45"/>
      <c r="B325" s="64">
        <f t="shared" si="60"/>
        <v>307</v>
      </c>
      <c r="C325" s="65">
        <f t="shared" si="61"/>
        <v>4424.4761644507462</v>
      </c>
      <c r="D325" s="66">
        <f t="shared" si="62"/>
        <v>1119.4604470632696</v>
      </c>
      <c r="E325" s="66">
        <f t="shared" si="63"/>
        <v>3305.0157173874768</v>
      </c>
      <c r="F325" s="66">
        <f t="shared" si="64"/>
        <v>203364.60527890845</v>
      </c>
      <c r="G325" s="45"/>
      <c r="H325" s="45"/>
      <c r="I325" s="64">
        <f t="shared" si="65"/>
        <v>307</v>
      </c>
      <c r="J325" s="65">
        <f t="shared" si="71"/>
        <v>3865.4259149932882</v>
      </c>
      <c r="K325" s="66">
        <f t="shared" si="72"/>
        <v>811.77722212236461</v>
      </c>
      <c r="L325" s="66">
        <f t="shared" si="66"/>
        <v>3053.6486928709237</v>
      </c>
      <c r="M325" s="66">
        <f t="shared" si="67"/>
        <v>182495.43064938387</v>
      </c>
      <c r="N325" s="45"/>
      <c r="O325" s="45"/>
      <c r="P325" s="64">
        <f t="shared" si="68"/>
        <v>307</v>
      </c>
      <c r="Q325" s="65">
        <f t="shared" si="69"/>
        <v>895.35799997349602</v>
      </c>
      <c r="R325" s="66">
        <f t="shared" si="74"/>
        <v>329.47994492079727</v>
      </c>
      <c r="S325" s="66">
        <f t="shared" si="73"/>
        <v>565.87805505269876</v>
      </c>
      <c r="T325" s="66">
        <f t="shared" si="70"/>
        <v>38045.05299035323</v>
      </c>
      <c r="U325" s="45"/>
    </row>
    <row r="326" spans="1:21" ht="15">
      <c r="A326" s="45"/>
      <c r="B326" s="64">
        <f t="shared" si="60"/>
        <v>308</v>
      </c>
      <c r="C326" s="65">
        <f t="shared" si="61"/>
        <v>4424.4761644507462</v>
      </c>
      <c r="D326" s="66">
        <f t="shared" si="62"/>
        <v>1101.5582785940874</v>
      </c>
      <c r="E326" s="66">
        <f t="shared" si="63"/>
        <v>3322.9178858566588</v>
      </c>
      <c r="F326" s="66">
        <f t="shared" si="64"/>
        <v>200041.6873930518</v>
      </c>
      <c r="G326" s="45"/>
      <c r="H326" s="45"/>
      <c r="I326" s="64">
        <f t="shared" si="65"/>
        <v>308</v>
      </c>
      <c r="J326" s="65">
        <f t="shared" si="71"/>
        <v>3865.4259149932882</v>
      </c>
      <c r="K326" s="66">
        <f t="shared" si="72"/>
        <v>798.41750909105428</v>
      </c>
      <c r="L326" s="66">
        <f t="shared" si="66"/>
        <v>3067.0084059022338</v>
      </c>
      <c r="M326" s="66">
        <f t="shared" si="67"/>
        <v>179428.42224348162</v>
      </c>
      <c r="N326" s="45"/>
      <c r="O326" s="45"/>
      <c r="P326" s="64">
        <f t="shared" si="68"/>
        <v>308</v>
      </c>
      <c r="Q326" s="65">
        <f t="shared" si="69"/>
        <v>895.35799997349602</v>
      </c>
      <c r="R326" s="66">
        <f t="shared" si="74"/>
        <v>324.65111885101425</v>
      </c>
      <c r="S326" s="66">
        <f t="shared" si="73"/>
        <v>570.70688112248172</v>
      </c>
      <c r="T326" s="66">
        <f t="shared" si="70"/>
        <v>37474.346109230748</v>
      </c>
      <c r="U326" s="45"/>
    </row>
    <row r="327" spans="1:21" ht="15">
      <c r="A327" s="45"/>
      <c r="B327" s="64">
        <f t="shared" si="60"/>
        <v>309</v>
      </c>
      <c r="C327" s="65">
        <f t="shared" si="61"/>
        <v>4424.4761644507462</v>
      </c>
      <c r="D327" s="66">
        <f t="shared" si="62"/>
        <v>1083.5591400456974</v>
      </c>
      <c r="E327" s="66">
        <f t="shared" si="63"/>
        <v>3340.9170244050488</v>
      </c>
      <c r="F327" s="66">
        <f t="shared" si="64"/>
        <v>196700.77036864674</v>
      </c>
      <c r="G327" s="45"/>
      <c r="H327" s="45"/>
      <c r="I327" s="64">
        <f t="shared" si="65"/>
        <v>309</v>
      </c>
      <c r="J327" s="65">
        <f t="shared" si="71"/>
        <v>3865.4259149932882</v>
      </c>
      <c r="K327" s="66">
        <f t="shared" si="72"/>
        <v>784.99934731523194</v>
      </c>
      <c r="L327" s="66">
        <f t="shared" si="66"/>
        <v>3080.426567678056</v>
      </c>
      <c r="M327" s="66">
        <f t="shared" si="67"/>
        <v>176347.99567580357</v>
      </c>
      <c r="N327" s="45"/>
      <c r="O327" s="45"/>
      <c r="P327" s="64">
        <f t="shared" si="68"/>
        <v>309</v>
      </c>
      <c r="Q327" s="65">
        <f t="shared" si="69"/>
        <v>895.35799997349602</v>
      </c>
      <c r="R327" s="66">
        <f t="shared" si="74"/>
        <v>319.78108679876908</v>
      </c>
      <c r="S327" s="66">
        <f t="shared" si="73"/>
        <v>575.576913174727</v>
      </c>
      <c r="T327" s="66">
        <f t="shared" si="70"/>
        <v>36898.769196056019</v>
      </c>
      <c r="U327" s="45"/>
    </row>
    <row r="328" spans="1:21" ht="15">
      <c r="A328" s="45"/>
      <c r="B328" s="64">
        <f t="shared" si="60"/>
        <v>310</v>
      </c>
      <c r="C328" s="65">
        <f t="shared" si="61"/>
        <v>4424.4761644507462</v>
      </c>
      <c r="D328" s="66">
        <f t="shared" si="62"/>
        <v>1065.4625061635031</v>
      </c>
      <c r="E328" s="66">
        <f t="shared" si="63"/>
        <v>3359.0136582872428</v>
      </c>
      <c r="F328" s="66">
        <f t="shared" si="64"/>
        <v>193341.75671035951</v>
      </c>
      <c r="G328" s="45"/>
      <c r="H328" s="45"/>
      <c r="I328" s="64">
        <f t="shared" si="65"/>
        <v>310</v>
      </c>
      <c r="J328" s="65">
        <f t="shared" si="71"/>
        <v>3865.4259149932882</v>
      </c>
      <c r="K328" s="66">
        <f t="shared" si="72"/>
        <v>771.52248108164054</v>
      </c>
      <c r="L328" s="66">
        <f t="shared" si="66"/>
        <v>3093.9034339116479</v>
      </c>
      <c r="M328" s="66">
        <f t="shared" si="67"/>
        <v>173254.09224189192</v>
      </c>
      <c r="N328" s="45"/>
      <c r="O328" s="45"/>
      <c r="P328" s="64">
        <f t="shared" si="68"/>
        <v>310</v>
      </c>
      <c r="Q328" s="65">
        <f t="shared" si="69"/>
        <v>895.35799997349602</v>
      </c>
      <c r="R328" s="66">
        <f t="shared" si="74"/>
        <v>314.86949713967806</v>
      </c>
      <c r="S328" s="66">
        <f t="shared" si="73"/>
        <v>580.48850283381796</v>
      </c>
      <c r="T328" s="66">
        <f t="shared" si="70"/>
        <v>36318.280693222201</v>
      </c>
      <c r="U328" s="45"/>
    </row>
    <row r="329" spans="1:21" ht="15">
      <c r="A329" s="45"/>
      <c r="B329" s="64">
        <f t="shared" si="60"/>
        <v>311</v>
      </c>
      <c r="C329" s="65">
        <f t="shared" si="61"/>
        <v>4424.4761644507462</v>
      </c>
      <c r="D329" s="66">
        <f t="shared" si="62"/>
        <v>1047.2678488477807</v>
      </c>
      <c r="E329" s="66">
        <f t="shared" si="63"/>
        <v>3377.2083156029657</v>
      </c>
      <c r="F329" s="66">
        <f t="shared" si="64"/>
        <v>189964.54839475654</v>
      </c>
      <c r="G329" s="45"/>
      <c r="H329" s="45"/>
      <c r="I329" s="64">
        <f t="shared" si="65"/>
        <v>311</v>
      </c>
      <c r="J329" s="65">
        <f t="shared" si="71"/>
        <v>3865.4259149932882</v>
      </c>
      <c r="K329" s="66">
        <f t="shared" si="72"/>
        <v>757.98665355827711</v>
      </c>
      <c r="L329" s="66">
        <f t="shared" si="66"/>
        <v>3107.4392614350108</v>
      </c>
      <c r="M329" s="66">
        <f t="shared" si="67"/>
        <v>170146.65298045691</v>
      </c>
      <c r="N329" s="45"/>
      <c r="O329" s="45"/>
      <c r="P329" s="64">
        <f t="shared" si="68"/>
        <v>311</v>
      </c>
      <c r="Q329" s="65">
        <f t="shared" si="69"/>
        <v>895.35799997349602</v>
      </c>
      <c r="R329" s="66">
        <f t="shared" si="74"/>
        <v>309.91599524882946</v>
      </c>
      <c r="S329" s="66">
        <f t="shared" si="73"/>
        <v>585.4420047246665</v>
      </c>
      <c r="T329" s="66">
        <f t="shared" si="70"/>
        <v>35732.838688497533</v>
      </c>
      <c r="U329" s="45"/>
    </row>
    <row r="330" spans="1:21" ht="15">
      <c r="A330" s="45"/>
      <c r="B330" s="64">
        <f t="shared" si="60"/>
        <v>312</v>
      </c>
      <c r="C330" s="65">
        <f t="shared" si="61"/>
        <v>4424.4761644507462</v>
      </c>
      <c r="D330" s="66">
        <f t="shared" si="62"/>
        <v>1028.9746371382646</v>
      </c>
      <c r="E330" s="66">
        <f t="shared" si="63"/>
        <v>3395.5015273124818</v>
      </c>
      <c r="F330" s="66">
        <f t="shared" si="64"/>
        <v>186569.04686744406</v>
      </c>
      <c r="G330" s="45"/>
      <c r="H330" s="45"/>
      <c r="I330" s="64">
        <f t="shared" si="65"/>
        <v>312</v>
      </c>
      <c r="J330" s="65">
        <f t="shared" si="71"/>
        <v>3865.4259149932882</v>
      </c>
      <c r="K330" s="66">
        <f t="shared" si="72"/>
        <v>744.39160678949895</v>
      </c>
      <c r="L330" s="66">
        <f t="shared" si="66"/>
        <v>3121.0343082037894</v>
      </c>
      <c r="M330" s="66">
        <f t="shared" si="67"/>
        <v>167025.61867225313</v>
      </c>
      <c r="N330" s="45"/>
      <c r="O330" s="45"/>
      <c r="P330" s="64">
        <f t="shared" si="68"/>
        <v>312</v>
      </c>
      <c r="Q330" s="65">
        <f t="shared" si="69"/>
        <v>895.35799997349602</v>
      </c>
      <c r="R330" s="66">
        <f t="shared" si="74"/>
        <v>304.92022347517894</v>
      </c>
      <c r="S330" s="66">
        <f t="shared" si="73"/>
        <v>590.43777649831713</v>
      </c>
      <c r="T330" s="66">
        <f t="shared" si="70"/>
        <v>35142.400911999219</v>
      </c>
      <c r="U330" s="45"/>
    </row>
    <row r="331" spans="1:21" ht="15">
      <c r="A331" s="45"/>
      <c r="B331" s="64">
        <f t="shared" si="60"/>
        <v>313</v>
      </c>
      <c r="C331" s="65">
        <f t="shared" si="61"/>
        <v>4424.4761644507462</v>
      </c>
      <c r="D331" s="66">
        <f t="shared" si="62"/>
        <v>1010.5823371986554</v>
      </c>
      <c r="E331" s="66">
        <f t="shared" si="63"/>
        <v>3413.8938272520909</v>
      </c>
      <c r="F331" s="66">
        <f t="shared" si="64"/>
        <v>183155.15304019197</v>
      </c>
      <c r="G331" s="45"/>
      <c r="H331" s="45"/>
      <c r="I331" s="64">
        <f t="shared" si="65"/>
        <v>313</v>
      </c>
      <c r="J331" s="65">
        <f t="shared" si="71"/>
        <v>3865.4259149932882</v>
      </c>
      <c r="K331" s="66">
        <f t="shared" si="72"/>
        <v>730.73708169110739</v>
      </c>
      <c r="L331" s="66">
        <f t="shared" si="66"/>
        <v>3134.6888333021807</v>
      </c>
      <c r="M331" s="66">
        <f t="shared" si="67"/>
        <v>163890.92983895095</v>
      </c>
      <c r="N331" s="45"/>
      <c r="O331" s="45"/>
      <c r="P331" s="64">
        <f t="shared" si="68"/>
        <v>313</v>
      </c>
      <c r="Q331" s="65">
        <f t="shared" si="69"/>
        <v>895.35799997349602</v>
      </c>
      <c r="R331" s="66">
        <f t="shared" si="74"/>
        <v>299.88182111572667</v>
      </c>
      <c r="S331" s="66">
        <f t="shared" si="73"/>
        <v>595.47617885776936</v>
      </c>
      <c r="T331" s="66">
        <f t="shared" si="70"/>
        <v>34546.924733141452</v>
      </c>
      <c r="U331" s="45"/>
    </row>
    <row r="332" spans="1:21" ht="15">
      <c r="A332" s="45"/>
      <c r="B332" s="64">
        <f t="shared" si="60"/>
        <v>314</v>
      </c>
      <c r="C332" s="65">
        <f t="shared" si="61"/>
        <v>4424.4761644507462</v>
      </c>
      <c r="D332" s="66">
        <f t="shared" si="62"/>
        <v>992.09041230103992</v>
      </c>
      <c r="E332" s="66">
        <f t="shared" si="63"/>
        <v>3432.3857521497061</v>
      </c>
      <c r="F332" s="66">
        <f t="shared" si="64"/>
        <v>179722.76728804226</v>
      </c>
      <c r="G332" s="45"/>
      <c r="H332" s="45"/>
      <c r="I332" s="64">
        <f t="shared" si="65"/>
        <v>314</v>
      </c>
      <c r="J332" s="65">
        <f t="shared" si="71"/>
        <v>3865.4259149932882</v>
      </c>
      <c r="K332" s="66">
        <f t="shared" si="72"/>
        <v>717.0228180454103</v>
      </c>
      <c r="L332" s="66">
        <f t="shared" si="66"/>
        <v>3148.4030969478781</v>
      </c>
      <c r="M332" s="66">
        <f t="shared" si="67"/>
        <v>160742.52674200307</v>
      </c>
      <c r="N332" s="45"/>
      <c r="O332" s="45"/>
      <c r="P332" s="64">
        <f t="shared" si="68"/>
        <v>314</v>
      </c>
      <c r="Q332" s="65">
        <f t="shared" si="69"/>
        <v>895.35799997349602</v>
      </c>
      <c r="R332" s="66">
        <f t="shared" si="74"/>
        <v>294.80042438947373</v>
      </c>
      <c r="S332" s="66">
        <f t="shared" si="73"/>
        <v>600.55757558402229</v>
      </c>
      <c r="T332" s="66">
        <f t="shared" si="70"/>
        <v>33946.367157557426</v>
      </c>
      <c r="U332" s="45"/>
    </row>
    <row r="333" spans="1:21" ht="15">
      <c r="A333" s="45"/>
      <c r="B333" s="64">
        <f t="shared" si="60"/>
        <v>315</v>
      </c>
      <c r="C333" s="65">
        <f t="shared" si="61"/>
        <v>4424.4761644507462</v>
      </c>
      <c r="D333" s="66">
        <f t="shared" si="62"/>
        <v>973.49832281022896</v>
      </c>
      <c r="E333" s="66">
        <f t="shared" si="63"/>
        <v>3450.977841640517</v>
      </c>
      <c r="F333" s="66">
        <f t="shared" si="64"/>
        <v>176271.78944640176</v>
      </c>
      <c r="G333" s="45"/>
      <c r="H333" s="45"/>
      <c r="I333" s="64">
        <f t="shared" si="65"/>
        <v>315</v>
      </c>
      <c r="J333" s="65">
        <f t="shared" si="71"/>
        <v>3865.4259149932882</v>
      </c>
      <c r="K333" s="66">
        <f t="shared" si="72"/>
        <v>703.24855449626341</v>
      </c>
      <c r="L333" s="66">
        <f t="shared" si="66"/>
        <v>3162.1773604970249</v>
      </c>
      <c r="M333" s="66">
        <f t="shared" si="67"/>
        <v>157580.34938150604</v>
      </c>
      <c r="N333" s="45"/>
      <c r="O333" s="45"/>
      <c r="P333" s="64">
        <f t="shared" si="68"/>
        <v>315</v>
      </c>
      <c r="Q333" s="65">
        <f t="shared" si="69"/>
        <v>895.35799997349602</v>
      </c>
      <c r="R333" s="66">
        <f t="shared" si="74"/>
        <v>289.67566641115673</v>
      </c>
      <c r="S333" s="66">
        <f t="shared" si="73"/>
        <v>605.68233356233929</v>
      </c>
      <c r="T333" s="66">
        <f t="shared" si="70"/>
        <v>33340.684823995085</v>
      </c>
      <c r="U333" s="45"/>
    </row>
    <row r="334" spans="1:21" ht="15">
      <c r="A334" s="45"/>
      <c r="B334" s="64">
        <f t="shared" si="60"/>
        <v>316</v>
      </c>
      <c r="C334" s="65">
        <f t="shared" si="61"/>
        <v>4424.4761644507462</v>
      </c>
      <c r="D334" s="66">
        <f t="shared" si="62"/>
        <v>954.80552616800958</v>
      </c>
      <c r="E334" s="66">
        <f t="shared" si="63"/>
        <v>3469.6706382827365</v>
      </c>
      <c r="F334" s="66">
        <f t="shared" si="64"/>
        <v>172802.11880811903</v>
      </c>
      <c r="G334" s="45"/>
      <c r="H334" s="45"/>
      <c r="I334" s="64">
        <f t="shared" si="65"/>
        <v>316</v>
      </c>
      <c r="J334" s="65">
        <f t="shared" si="71"/>
        <v>3865.4259149932882</v>
      </c>
      <c r="K334" s="66">
        <f t="shared" si="72"/>
        <v>689.41402854408886</v>
      </c>
      <c r="L334" s="66">
        <f t="shared" si="66"/>
        <v>3176.0118864491992</v>
      </c>
      <c r="M334" s="66">
        <f t="shared" si="67"/>
        <v>154404.33749505682</v>
      </c>
      <c r="N334" s="45"/>
      <c r="O334" s="45"/>
      <c r="P334" s="64">
        <f t="shared" si="68"/>
        <v>316</v>
      </c>
      <c r="Q334" s="65">
        <f t="shared" si="69"/>
        <v>895.35799997349602</v>
      </c>
      <c r="R334" s="66">
        <f t="shared" si="74"/>
        <v>284.50717716475805</v>
      </c>
      <c r="S334" s="66">
        <f t="shared" si="73"/>
        <v>610.85082280873803</v>
      </c>
      <c r="T334" s="66">
        <f t="shared" si="70"/>
        <v>32729.834001186347</v>
      </c>
      <c r="U334" s="45"/>
    </row>
    <row r="335" spans="1:21" ht="15">
      <c r="A335" s="45"/>
      <c r="B335" s="64">
        <f t="shared" si="60"/>
        <v>317</v>
      </c>
      <c r="C335" s="65">
        <f t="shared" si="61"/>
        <v>4424.4761644507462</v>
      </c>
      <c r="D335" s="66">
        <f t="shared" si="62"/>
        <v>936.01147687731145</v>
      </c>
      <c r="E335" s="66">
        <f t="shared" si="63"/>
        <v>3488.4646875734347</v>
      </c>
      <c r="F335" s="66">
        <f t="shared" si="64"/>
        <v>169313.6541205456</v>
      </c>
      <c r="G335" s="45"/>
      <c r="H335" s="45"/>
      <c r="I335" s="64">
        <f t="shared" si="65"/>
        <v>317</v>
      </c>
      <c r="J335" s="65">
        <f t="shared" si="71"/>
        <v>3865.4259149932882</v>
      </c>
      <c r="K335" s="66">
        <f t="shared" si="72"/>
        <v>675.5189765408735</v>
      </c>
      <c r="L335" s="66">
        <f t="shared" si="66"/>
        <v>3189.9069384524146</v>
      </c>
      <c r="M335" s="66">
        <f t="shared" si="67"/>
        <v>151214.43055660441</v>
      </c>
      <c r="N335" s="45"/>
      <c r="O335" s="45"/>
      <c r="P335" s="64">
        <f t="shared" si="68"/>
        <v>317</v>
      </c>
      <c r="Q335" s="65">
        <f t="shared" si="69"/>
        <v>895.35799997349602</v>
      </c>
      <c r="R335" s="66">
        <f t="shared" si="74"/>
        <v>279.29458347679019</v>
      </c>
      <c r="S335" s="66">
        <f t="shared" si="73"/>
        <v>616.06341649670583</v>
      </c>
      <c r="T335" s="66">
        <f t="shared" si="70"/>
        <v>32113.770584689642</v>
      </c>
      <c r="U335" s="45"/>
    </row>
    <row r="336" spans="1:21" ht="15">
      <c r="A336" s="45"/>
      <c r="B336" s="64">
        <f t="shared" si="60"/>
        <v>318</v>
      </c>
      <c r="C336" s="65">
        <f t="shared" si="61"/>
        <v>4424.4761644507462</v>
      </c>
      <c r="D336" s="66">
        <f t="shared" si="62"/>
        <v>917.11562648628876</v>
      </c>
      <c r="E336" s="66">
        <f t="shared" si="63"/>
        <v>3507.3605379644573</v>
      </c>
      <c r="F336" s="66">
        <f t="shared" si="64"/>
        <v>165806.29358258116</v>
      </c>
      <c r="G336" s="45"/>
      <c r="H336" s="45"/>
      <c r="I336" s="64">
        <f t="shared" si="65"/>
        <v>318</v>
      </c>
      <c r="J336" s="65">
        <f t="shared" si="71"/>
        <v>3865.4259149932882</v>
      </c>
      <c r="K336" s="66">
        <f t="shared" si="72"/>
        <v>661.56313368514418</v>
      </c>
      <c r="L336" s="66">
        <f t="shared" si="66"/>
        <v>3203.8627813081439</v>
      </c>
      <c r="M336" s="66">
        <f t="shared" si="67"/>
        <v>148010.56777529625</v>
      </c>
      <c r="N336" s="45"/>
      <c r="O336" s="45"/>
      <c r="P336" s="64">
        <f t="shared" si="68"/>
        <v>318</v>
      </c>
      <c r="Q336" s="65">
        <f t="shared" si="69"/>
        <v>895.35799997349602</v>
      </c>
      <c r="R336" s="66">
        <f t="shared" si="74"/>
        <v>274.03750898935164</v>
      </c>
      <c r="S336" s="66">
        <f t="shared" si="73"/>
        <v>621.32049098414439</v>
      </c>
      <c r="T336" s="66">
        <f t="shared" si="70"/>
        <v>31492.450093705498</v>
      </c>
      <c r="U336" s="45"/>
    </row>
    <row r="337" spans="1:21" ht="15">
      <c r="A337" s="45"/>
      <c r="B337" s="64">
        <f t="shared" si="60"/>
        <v>319</v>
      </c>
      <c r="C337" s="65">
        <f t="shared" si="61"/>
        <v>4424.4761644507462</v>
      </c>
      <c r="D337" s="66">
        <f t="shared" si="62"/>
        <v>898.11742357231469</v>
      </c>
      <c r="E337" s="66">
        <f t="shared" si="63"/>
        <v>3526.3587408784315</v>
      </c>
      <c r="F337" s="66">
        <f t="shared" si="64"/>
        <v>162279.93484170272</v>
      </c>
      <c r="G337" s="45"/>
      <c r="H337" s="45"/>
      <c r="I337" s="64">
        <f t="shared" si="65"/>
        <v>319</v>
      </c>
      <c r="J337" s="65">
        <f t="shared" si="71"/>
        <v>3865.4259149932882</v>
      </c>
      <c r="K337" s="66">
        <f t="shared" si="72"/>
        <v>647.54623401692106</v>
      </c>
      <c r="L337" s="66">
        <f t="shared" si="66"/>
        <v>3217.8796809763671</v>
      </c>
      <c r="M337" s="66">
        <f t="shared" si="67"/>
        <v>144792.68809431989</v>
      </c>
      <c r="N337" s="45"/>
      <c r="O337" s="45"/>
      <c r="P337" s="64">
        <f t="shared" si="68"/>
        <v>319</v>
      </c>
      <c r="Q337" s="65">
        <f t="shared" si="69"/>
        <v>895.35799997349602</v>
      </c>
      <c r="R337" s="66">
        <f t="shared" si="74"/>
        <v>268.73557413295362</v>
      </c>
      <c r="S337" s="66">
        <f t="shared" si="73"/>
        <v>626.62242584054241</v>
      </c>
      <c r="T337" s="66">
        <f t="shared" si="70"/>
        <v>30865.827667864956</v>
      </c>
      <c r="U337" s="45"/>
    </row>
    <row r="338" spans="1:21" ht="15">
      <c r="A338" s="45"/>
      <c r="B338" s="64">
        <f t="shared" si="60"/>
        <v>320</v>
      </c>
      <c r="C338" s="65">
        <f t="shared" si="61"/>
        <v>4424.4761644507462</v>
      </c>
      <c r="D338" s="66">
        <f t="shared" si="62"/>
        <v>879.01631372588975</v>
      </c>
      <c r="E338" s="66">
        <f t="shared" si="63"/>
        <v>3545.4598507248566</v>
      </c>
      <c r="F338" s="66">
        <f t="shared" si="64"/>
        <v>158734.47499097788</v>
      </c>
      <c r="G338" s="45"/>
      <c r="H338" s="45"/>
      <c r="I338" s="64">
        <f t="shared" si="65"/>
        <v>320</v>
      </c>
      <c r="J338" s="65">
        <f t="shared" si="71"/>
        <v>3865.4259149932882</v>
      </c>
      <c r="K338" s="66">
        <f t="shared" si="72"/>
        <v>633.46801041264951</v>
      </c>
      <c r="L338" s="66">
        <f t="shared" si="66"/>
        <v>3231.9579045806386</v>
      </c>
      <c r="M338" s="66">
        <f t="shared" si="67"/>
        <v>141560.73018973926</v>
      </c>
      <c r="N338" s="45"/>
      <c r="O338" s="45"/>
      <c r="P338" s="64">
        <f t="shared" si="68"/>
        <v>320</v>
      </c>
      <c r="Q338" s="65">
        <f t="shared" si="69"/>
        <v>895.35799997349602</v>
      </c>
      <c r="R338" s="66">
        <f t="shared" si="74"/>
        <v>263.38839609911429</v>
      </c>
      <c r="S338" s="66">
        <f t="shared" si="73"/>
        <v>631.96960387438173</v>
      </c>
      <c r="T338" s="66">
        <f t="shared" si="70"/>
        <v>30233.858063990574</v>
      </c>
      <c r="U338" s="45"/>
    </row>
    <row r="339" spans="1:21" ht="15">
      <c r="A339" s="45"/>
      <c r="B339" s="64">
        <f t="shared" si="60"/>
        <v>321</v>
      </c>
      <c r="C339" s="65">
        <f t="shared" si="61"/>
        <v>4424.4761644507462</v>
      </c>
      <c r="D339" s="66">
        <f t="shared" si="62"/>
        <v>859.81173953446353</v>
      </c>
      <c r="E339" s="66">
        <f t="shared" si="63"/>
        <v>3564.6644249162828</v>
      </c>
      <c r="F339" s="66">
        <f t="shared" si="64"/>
        <v>155169.81056606158</v>
      </c>
      <c r="G339" s="45"/>
      <c r="H339" s="45"/>
      <c r="I339" s="64">
        <f t="shared" si="65"/>
        <v>321</v>
      </c>
      <c r="J339" s="65">
        <f t="shared" si="71"/>
        <v>3865.4259149932882</v>
      </c>
      <c r="K339" s="66">
        <f t="shared" si="72"/>
        <v>619.3281945801092</v>
      </c>
      <c r="L339" s="66">
        <f t="shared" si="66"/>
        <v>3246.0977204131791</v>
      </c>
      <c r="M339" s="66">
        <f t="shared" si="67"/>
        <v>138314.63246932608</v>
      </c>
      <c r="N339" s="45"/>
      <c r="O339" s="45"/>
      <c r="P339" s="64">
        <f t="shared" si="68"/>
        <v>321</v>
      </c>
      <c r="Q339" s="65">
        <f t="shared" si="69"/>
        <v>895.35799997349602</v>
      </c>
      <c r="R339" s="66">
        <f t="shared" si="74"/>
        <v>257.99558881271957</v>
      </c>
      <c r="S339" s="66">
        <f t="shared" si="73"/>
        <v>637.36241116077645</v>
      </c>
      <c r="T339" s="66">
        <f t="shared" si="70"/>
        <v>29596.495652829799</v>
      </c>
      <c r="U339" s="45"/>
    </row>
    <row r="340" spans="1:21" ht="15">
      <c r="A340" s="45"/>
      <c r="B340" s="64">
        <f t="shared" ref="B340:B403" si="75">IF(B339&lt;$D$6,B339+1,"")</f>
        <v>322</v>
      </c>
      <c r="C340" s="65">
        <f t="shared" ref="C340:C403" si="76">IF(B339&lt;$D$6,+C339,"")</f>
        <v>4424.4761644507462</v>
      </c>
      <c r="D340" s="66">
        <f t="shared" ref="D340:D403" si="77">IF(B339&lt;$D$6,+F339*($D$7/12),"")</f>
        <v>840.50314056616696</v>
      </c>
      <c r="E340" s="66">
        <f t="shared" ref="E340:E403" si="78">IF(B339&lt;$D$6,+C340-D340,"")</f>
        <v>3583.9730238845791</v>
      </c>
      <c r="F340" s="66">
        <f t="shared" ref="F340:F403" si="79">IF(B339&lt;$D$6,+F339-E340,"")</f>
        <v>151585.837542177</v>
      </c>
      <c r="G340" s="45"/>
      <c r="H340" s="45"/>
      <c r="I340" s="64">
        <f t="shared" si="65"/>
        <v>322</v>
      </c>
      <c r="J340" s="65">
        <f t="shared" si="71"/>
        <v>3865.4259149932882</v>
      </c>
      <c r="K340" s="66">
        <f t="shared" si="72"/>
        <v>605.12651705330154</v>
      </c>
      <c r="L340" s="66">
        <f t="shared" si="66"/>
        <v>3260.2993979399866</v>
      </c>
      <c r="M340" s="66">
        <f t="shared" si="67"/>
        <v>135054.33307138609</v>
      </c>
      <c r="N340" s="45"/>
      <c r="O340" s="45"/>
      <c r="P340" s="64">
        <f t="shared" si="68"/>
        <v>322</v>
      </c>
      <c r="Q340" s="65">
        <f t="shared" si="69"/>
        <v>895.35799997349602</v>
      </c>
      <c r="R340" s="66">
        <f t="shared" si="74"/>
        <v>252.55676290414763</v>
      </c>
      <c r="S340" s="66">
        <f t="shared" si="73"/>
        <v>642.80123706934842</v>
      </c>
      <c r="T340" s="66">
        <f t="shared" si="70"/>
        <v>28953.694415760452</v>
      </c>
      <c r="U340" s="45"/>
    </row>
    <row r="341" spans="1:21" ht="15">
      <c r="A341" s="45"/>
      <c r="B341" s="64">
        <f t="shared" si="75"/>
        <v>323</v>
      </c>
      <c r="C341" s="65">
        <f t="shared" si="76"/>
        <v>4424.4761644507462</v>
      </c>
      <c r="D341" s="66">
        <f t="shared" si="77"/>
        <v>821.08995335345878</v>
      </c>
      <c r="E341" s="66">
        <f t="shared" si="78"/>
        <v>3603.3862110972873</v>
      </c>
      <c r="F341" s="66">
        <f t="shared" si="79"/>
        <v>147982.4513310797</v>
      </c>
      <c r="G341" s="45"/>
      <c r="H341" s="45"/>
      <c r="I341" s="64">
        <f t="shared" ref="I341:I404" si="80">IF(I340&lt;$K$6,I340+1,"")</f>
        <v>323</v>
      </c>
      <c r="J341" s="65">
        <f t="shared" si="71"/>
        <v>3865.4259149932882</v>
      </c>
      <c r="K341" s="66">
        <f t="shared" si="72"/>
        <v>590.86270718731407</v>
      </c>
      <c r="L341" s="66">
        <f t="shared" ref="L341:L404" si="81">IF(I340&lt;$K$6,+J341-K341,"")</f>
        <v>3274.5632078059743</v>
      </c>
      <c r="M341" s="66">
        <f t="shared" ref="M341:M404" si="82">IF(I340&lt;$K$6,+M340-L341,"")</f>
        <v>131779.76986358012</v>
      </c>
      <c r="N341" s="45"/>
      <c r="O341" s="45"/>
      <c r="P341" s="64">
        <f t="shared" ref="P341:P404" si="83">IF(P340&lt;$K$6,P340+1,"")</f>
        <v>323</v>
      </c>
      <c r="Q341" s="65">
        <f t="shared" ref="Q341:Q404" si="84">IF(P340&lt;$R$6,+Q340,"")</f>
        <v>895.35799997349602</v>
      </c>
      <c r="R341" s="66">
        <f t="shared" si="74"/>
        <v>247.07152568115586</v>
      </c>
      <c r="S341" s="66">
        <f t="shared" si="73"/>
        <v>648.28647429234013</v>
      </c>
      <c r="T341" s="66">
        <f t="shared" ref="T341:T404" si="85">IF(P340&lt;$R$6,+T340-S341,"")</f>
        <v>28305.407941468111</v>
      </c>
      <c r="U341" s="45"/>
    </row>
    <row r="342" spans="1:21" ht="15">
      <c r="A342" s="45"/>
      <c r="B342" s="64">
        <f t="shared" si="75"/>
        <v>324</v>
      </c>
      <c r="C342" s="65">
        <f t="shared" si="76"/>
        <v>4424.4761644507462</v>
      </c>
      <c r="D342" s="66">
        <f t="shared" si="77"/>
        <v>801.57161137668174</v>
      </c>
      <c r="E342" s="66">
        <f t="shared" si="78"/>
        <v>3622.9045530740646</v>
      </c>
      <c r="F342" s="66">
        <f t="shared" si="79"/>
        <v>144359.54677800564</v>
      </c>
      <c r="G342" s="45"/>
      <c r="H342" s="45"/>
      <c r="I342" s="64">
        <f t="shared" si="80"/>
        <v>324</v>
      </c>
      <c r="J342" s="65">
        <f t="shared" ref="J342:J380" si="86">IF(I341&lt;$K$6,+J341,"")</f>
        <v>3865.4259149932882</v>
      </c>
      <c r="K342" s="66">
        <f t="shared" ref="K342:K405" si="87">IF(I341&lt;$K$6,+M341*($K$7/12),"")</f>
        <v>576.53649315316295</v>
      </c>
      <c r="L342" s="66">
        <f t="shared" si="81"/>
        <v>3288.8894218401251</v>
      </c>
      <c r="M342" s="66">
        <f t="shared" si="82"/>
        <v>128490.88044174</v>
      </c>
      <c r="N342" s="45"/>
      <c r="O342" s="45"/>
      <c r="P342" s="64">
        <f t="shared" si="83"/>
        <v>324</v>
      </c>
      <c r="Q342" s="65">
        <f t="shared" si="84"/>
        <v>895.35799997349602</v>
      </c>
      <c r="R342" s="66">
        <f t="shared" si="74"/>
        <v>241.53948110052789</v>
      </c>
      <c r="S342" s="66">
        <f t="shared" ref="S342:S405" si="88">IF(P341&lt;$R$6,+Q342-R342,"")</f>
        <v>653.81851887296807</v>
      </c>
      <c r="T342" s="66">
        <f t="shared" si="85"/>
        <v>27651.589422595142</v>
      </c>
      <c r="U342" s="45"/>
    </row>
    <row r="343" spans="1:21" ht="15">
      <c r="A343" s="45"/>
      <c r="B343" s="64">
        <f t="shared" si="75"/>
        <v>325</v>
      </c>
      <c r="C343" s="65">
        <f t="shared" si="76"/>
        <v>4424.4761644507462</v>
      </c>
      <c r="D343" s="66">
        <f t="shared" si="77"/>
        <v>781.94754504753053</v>
      </c>
      <c r="E343" s="66">
        <f t="shared" si="78"/>
        <v>3642.5286194032155</v>
      </c>
      <c r="F343" s="66">
        <f t="shared" si="79"/>
        <v>140717.01815860241</v>
      </c>
      <c r="G343" s="45"/>
      <c r="H343" s="45"/>
      <c r="I343" s="64">
        <f t="shared" si="80"/>
        <v>325</v>
      </c>
      <c r="J343" s="65">
        <f t="shared" si="86"/>
        <v>3865.4259149932882</v>
      </c>
      <c r="K343" s="66">
        <f t="shared" si="87"/>
        <v>562.14760193261247</v>
      </c>
      <c r="L343" s="66">
        <f t="shared" si="81"/>
        <v>3303.2783130606758</v>
      </c>
      <c r="M343" s="66">
        <f t="shared" si="82"/>
        <v>125187.60212867933</v>
      </c>
      <c r="N343" s="45"/>
      <c r="O343" s="45"/>
      <c r="P343" s="64">
        <f t="shared" si="83"/>
        <v>325</v>
      </c>
      <c r="Q343" s="65">
        <f t="shared" si="84"/>
        <v>895.35799997349602</v>
      </c>
      <c r="R343" s="66">
        <f t="shared" ref="R343:R406" si="89">IF(P342&lt;$R$6,+T342*($R$7/12),"")</f>
        <v>235.96022973947856</v>
      </c>
      <c r="S343" s="66">
        <f t="shared" si="88"/>
        <v>659.39777023401746</v>
      </c>
      <c r="T343" s="66">
        <f t="shared" si="85"/>
        <v>26992.191652361125</v>
      </c>
      <c r="U343" s="45"/>
    </row>
    <row r="344" spans="1:21" ht="15">
      <c r="A344" s="45"/>
      <c r="B344" s="64">
        <f t="shared" si="75"/>
        <v>326</v>
      </c>
      <c r="C344" s="65">
        <f t="shared" si="76"/>
        <v>4424.4761644507462</v>
      </c>
      <c r="D344" s="66">
        <f t="shared" si="77"/>
        <v>762.21718169242979</v>
      </c>
      <c r="E344" s="66">
        <f t="shared" si="78"/>
        <v>3662.2589827583165</v>
      </c>
      <c r="F344" s="66">
        <f t="shared" si="79"/>
        <v>137054.75917584408</v>
      </c>
      <c r="G344" s="45"/>
      <c r="H344" s="45"/>
      <c r="I344" s="64">
        <f t="shared" si="80"/>
        <v>326</v>
      </c>
      <c r="J344" s="65">
        <f t="shared" si="86"/>
        <v>3865.4259149932882</v>
      </c>
      <c r="K344" s="66">
        <f t="shared" si="87"/>
        <v>547.69575931297197</v>
      </c>
      <c r="L344" s="66">
        <f t="shared" si="81"/>
        <v>3317.7301556803163</v>
      </c>
      <c r="M344" s="66">
        <f t="shared" si="82"/>
        <v>121869.87197299901</v>
      </c>
      <c r="N344" s="45"/>
      <c r="O344" s="45"/>
      <c r="P344" s="64">
        <f t="shared" si="83"/>
        <v>326</v>
      </c>
      <c r="Q344" s="65">
        <f t="shared" si="84"/>
        <v>895.35799997349602</v>
      </c>
      <c r="R344" s="66">
        <f t="shared" si="89"/>
        <v>230.33336876681494</v>
      </c>
      <c r="S344" s="66">
        <f t="shared" si="88"/>
        <v>665.02463120668108</v>
      </c>
      <c r="T344" s="66">
        <f t="shared" si="85"/>
        <v>26327.167021154444</v>
      </c>
      <c r="U344" s="45"/>
    </row>
    <row r="345" spans="1:21" ht="15">
      <c r="A345" s="45"/>
      <c r="B345" s="64">
        <f t="shared" si="75"/>
        <v>327</v>
      </c>
      <c r="C345" s="65">
        <f t="shared" si="76"/>
        <v>4424.4761644507462</v>
      </c>
      <c r="D345" s="66">
        <f t="shared" si="77"/>
        <v>742.37994553582212</v>
      </c>
      <c r="E345" s="66">
        <f t="shared" si="78"/>
        <v>3682.0962189149241</v>
      </c>
      <c r="F345" s="66">
        <f t="shared" si="79"/>
        <v>133372.66295692915</v>
      </c>
      <c r="G345" s="45"/>
      <c r="H345" s="45"/>
      <c r="I345" s="64">
        <f t="shared" si="80"/>
        <v>327</v>
      </c>
      <c r="J345" s="65">
        <f t="shared" si="86"/>
        <v>3865.4259149932882</v>
      </c>
      <c r="K345" s="66">
        <f t="shared" si="87"/>
        <v>533.18068988187065</v>
      </c>
      <c r="L345" s="66">
        <f t="shared" si="81"/>
        <v>3332.2452251114173</v>
      </c>
      <c r="M345" s="66">
        <f t="shared" si="82"/>
        <v>118537.6267478876</v>
      </c>
      <c r="N345" s="45"/>
      <c r="O345" s="45"/>
      <c r="P345" s="64">
        <f t="shared" si="83"/>
        <v>327</v>
      </c>
      <c r="Q345" s="65">
        <f t="shared" si="84"/>
        <v>895.35799997349602</v>
      </c>
      <c r="R345" s="66">
        <f t="shared" si="89"/>
        <v>224.65849191385126</v>
      </c>
      <c r="S345" s="66">
        <f t="shared" si="88"/>
        <v>670.69950805964481</v>
      </c>
      <c r="T345" s="66">
        <f t="shared" si="85"/>
        <v>25656.467513094798</v>
      </c>
      <c r="U345" s="45"/>
    </row>
    <row r="346" spans="1:21" ht="15">
      <c r="A346" s="45"/>
      <c r="B346" s="64">
        <f t="shared" si="75"/>
        <v>328</v>
      </c>
      <c r="C346" s="65">
        <f t="shared" si="76"/>
        <v>4424.4761644507462</v>
      </c>
      <c r="D346" s="66">
        <f t="shared" si="77"/>
        <v>722.43525768336633</v>
      </c>
      <c r="E346" s="66">
        <f t="shared" si="78"/>
        <v>3702.04090676738</v>
      </c>
      <c r="F346" s="66">
        <f t="shared" si="79"/>
        <v>129670.62205016178</v>
      </c>
      <c r="G346" s="45"/>
      <c r="H346" s="45"/>
      <c r="I346" s="64">
        <f t="shared" si="80"/>
        <v>328</v>
      </c>
      <c r="J346" s="65">
        <f t="shared" si="86"/>
        <v>3865.4259149932882</v>
      </c>
      <c r="K346" s="66">
        <f t="shared" si="87"/>
        <v>518.6021170220082</v>
      </c>
      <c r="L346" s="66">
        <f t="shared" si="81"/>
        <v>3346.8237979712799</v>
      </c>
      <c r="M346" s="66">
        <f t="shared" si="82"/>
        <v>115190.80294991631</v>
      </c>
      <c r="N346" s="45"/>
      <c r="O346" s="45"/>
      <c r="P346" s="64">
        <f t="shared" si="83"/>
        <v>328</v>
      </c>
      <c r="Q346" s="65">
        <f t="shared" si="84"/>
        <v>895.35799997349602</v>
      </c>
      <c r="R346" s="66">
        <f t="shared" si="89"/>
        <v>218.93518944507562</v>
      </c>
      <c r="S346" s="66">
        <f t="shared" si="88"/>
        <v>676.42281052842043</v>
      </c>
      <c r="T346" s="66">
        <f t="shared" si="85"/>
        <v>24980.044702566378</v>
      </c>
      <c r="U346" s="45"/>
    </row>
    <row r="347" spans="1:21" ht="15">
      <c r="A347" s="45"/>
      <c r="B347" s="64">
        <f t="shared" si="75"/>
        <v>329</v>
      </c>
      <c r="C347" s="65">
        <f t="shared" si="76"/>
        <v>4424.4761644507462</v>
      </c>
      <c r="D347" s="66">
        <f t="shared" si="77"/>
        <v>702.38253610504296</v>
      </c>
      <c r="E347" s="66">
        <f t="shared" si="78"/>
        <v>3722.0936283457031</v>
      </c>
      <c r="F347" s="66">
        <f t="shared" si="79"/>
        <v>125948.52842181608</v>
      </c>
      <c r="G347" s="45"/>
      <c r="H347" s="45"/>
      <c r="I347" s="64">
        <f t="shared" si="80"/>
        <v>329</v>
      </c>
      <c r="J347" s="65">
        <f t="shared" si="86"/>
        <v>3865.4259149932882</v>
      </c>
      <c r="K347" s="66">
        <f t="shared" si="87"/>
        <v>503.95976290588379</v>
      </c>
      <c r="L347" s="66">
        <f t="shared" si="81"/>
        <v>3361.4661520874042</v>
      </c>
      <c r="M347" s="66">
        <f t="shared" si="82"/>
        <v>111829.3367978289</v>
      </c>
      <c r="N347" s="45"/>
      <c r="O347" s="45"/>
      <c r="P347" s="64">
        <f t="shared" si="83"/>
        <v>329</v>
      </c>
      <c r="Q347" s="65">
        <f t="shared" si="84"/>
        <v>895.35799997349602</v>
      </c>
      <c r="R347" s="66">
        <f t="shared" si="89"/>
        <v>213.16304812856643</v>
      </c>
      <c r="S347" s="66">
        <f t="shared" si="88"/>
        <v>682.19495184492962</v>
      </c>
      <c r="T347" s="66">
        <f t="shared" si="85"/>
        <v>24297.849750721449</v>
      </c>
      <c r="U347" s="45"/>
    </row>
    <row r="348" spans="1:21" ht="15">
      <c r="A348" s="45"/>
      <c r="B348" s="64">
        <f t="shared" si="75"/>
        <v>330</v>
      </c>
      <c r="C348" s="65">
        <f t="shared" si="76"/>
        <v>4424.4761644507462</v>
      </c>
      <c r="D348" s="66">
        <f t="shared" si="77"/>
        <v>682.22119561817044</v>
      </c>
      <c r="E348" s="66">
        <f t="shared" si="78"/>
        <v>3742.2549688325757</v>
      </c>
      <c r="F348" s="66">
        <f t="shared" si="79"/>
        <v>122206.2734529835</v>
      </c>
      <c r="G348" s="45"/>
      <c r="H348" s="45"/>
      <c r="I348" s="64">
        <f t="shared" si="80"/>
        <v>330</v>
      </c>
      <c r="J348" s="65">
        <f t="shared" si="86"/>
        <v>3865.4259149932882</v>
      </c>
      <c r="K348" s="66">
        <f t="shared" si="87"/>
        <v>489.25334849050142</v>
      </c>
      <c r="L348" s="66">
        <f t="shared" si="81"/>
        <v>3376.1725665027866</v>
      </c>
      <c r="M348" s="66">
        <f t="shared" si="82"/>
        <v>108453.16423132611</v>
      </c>
      <c r="N348" s="45"/>
      <c r="O348" s="45"/>
      <c r="P348" s="64">
        <f t="shared" si="83"/>
        <v>330</v>
      </c>
      <c r="Q348" s="65">
        <f t="shared" si="84"/>
        <v>895.35799997349602</v>
      </c>
      <c r="R348" s="66">
        <f t="shared" si="89"/>
        <v>207.34165120615637</v>
      </c>
      <c r="S348" s="66">
        <f t="shared" si="88"/>
        <v>688.01634876733965</v>
      </c>
      <c r="T348" s="66">
        <f t="shared" si="85"/>
        <v>23609.833401954111</v>
      </c>
      <c r="U348" s="45"/>
    </row>
    <row r="349" spans="1:21" ht="15">
      <c r="A349" s="45"/>
      <c r="B349" s="64">
        <f t="shared" si="75"/>
        <v>331</v>
      </c>
      <c r="C349" s="65">
        <f t="shared" si="76"/>
        <v>4424.4761644507462</v>
      </c>
      <c r="D349" s="66">
        <f t="shared" si="77"/>
        <v>661.95064787032732</v>
      </c>
      <c r="E349" s="66">
        <f t="shared" si="78"/>
        <v>3762.5255165804188</v>
      </c>
      <c r="F349" s="66">
        <f t="shared" si="79"/>
        <v>118443.74793640309</v>
      </c>
      <c r="G349" s="45"/>
      <c r="H349" s="45"/>
      <c r="I349" s="64">
        <f t="shared" si="80"/>
        <v>331</v>
      </c>
      <c r="J349" s="65">
        <f t="shared" si="86"/>
        <v>3865.4259149932882</v>
      </c>
      <c r="K349" s="66">
        <f t="shared" si="87"/>
        <v>474.48259351205166</v>
      </c>
      <c r="L349" s="66">
        <f t="shared" si="81"/>
        <v>3390.9433214812366</v>
      </c>
      <c r="M349" s="66">
        <f t="shared" si="82"/>
        <v>105062.22090984488</v>
      </c>
      <c r="N349" s="45"/>
      <c r="O349" s="45"/>
      <c r="P349" s="64">
        <f t="shared" si="83"/>
        <v>331</v>
      </c>
      <c r="Q349" s="65">
        <f t="shared" si="84"/>
        <v>895.35799997349602</v>
      </c>
      <c r="R349" s="66">
        <f t="shared" si="89"/>
        <v>201.47057836334176</v>
      </c>
      <c r="S349" s="66">
        <f t="shared" si="88"/>
        <v>693.88742161015421</v>
      </c>
      <c r="T349" s="66">
        <f t="shared" si="85"/>
        <v>22915.945980343957</v>
      </c>
      <c r="U349" s="45"/>
    </row>
    <row r="350" spans="1:21" ht="15">
      <c r="A350" s="45"/>
      <c r="B350" s="64">
        <f t="shared" si="75"/>
        <v>332</v>
      </c>
      <c r="C350" s="65">
        <f t="shared" si="76"/>
        <v>4424.4761644507462</v>
      </c>
      <c r="D350" s="66">
        <f t="shared" si="77"/>
        <v>641.57030132218347</v>
      </c>
      <c r="E350" s="66">
        <f t="shared" si="78"/>
        <v>3782.9058631285625</v>
      </c>
      <c r="F350" s="66">
        <f t="shared" si="79"/>
        <v>114660.84207327453</v>
      </c>
      <c r="G350" s="45"/>
      <c r="H350" s="45"/>
      <c r="I350" s="64">
        <f t="shared" si="80"/>
        <v>332</v>
      </c>
      <c r="J350" s="65">
        <f t="shared" si="86"/>
        <v>3865.4259149932882</v>
      </c>
      <c r="K350" s="66">
        <f t="shared" si="87"/>
        <v>459.64721648057133</v>
      </c>
      <c r="L350" s="66">
        <f t="shared" si="81"/>
        <v>3405.7786985127168</v>
      </c>
      <c r="M350" s="66">
        <f t="shared" si="82"/>
        <v>101656.44221133216</v>
      </c>
      <c r="N350" s="45"/>
      <c r="O350" s="45"/>
      <c r="P350" s="64">
        <f t="shared" si="83"/>
        <v>332</v>
      </c>
      <c r="Q350" s="65">
        <f t="shared" si="84"/>
        <v>895.35799997349602</v>
      </c>
      <c r="R350" s="66">
        <f t="shared" si="89"/>
        <v>195.54940569893512</v>
      </c>
      <c r="S350" s="66">
        <f t="shared" si="88"/>
        <v>699.80859427456085</v>
      </c>
      <c r="T350" s="66">
        <f t="shared" si="85"/>
        <v>22216.137386069397</v>
      </c>
      <c r="U350" s="45"/>
    </row>
    <row r="351" spans="1:21" ht="15">
      <c r="A351" s="45"/>
      <c r="B351" s="64">
        <f t="shared" si="75"/>
        <v>333</v>
      </c>
      <c r="C351" s="65">
        <f t="shared" si="76"/>
        <v>4424.4761644507462</v>
      </c>
      <c r="D351" s="66">
        <f t="shared" si="77"/>
        <v>621.079561230237</v>
      </c>
      <c r="E351" s="66">
        <f t="shared" si="78"/>
        <v>3803.396603220509</v>
      </c>
      <c r="F351" s="66">
        <f t="shared" si="79"/>
        <v>110857.44547005402</v>
      </c>
      <c r="G351" s="45"/>
      <c r="H351" s="45"/>
      <c r="I351" s="64">
        <f t="shared" si="80"/>
        <v>333</v>
      </c>
      <c r="J351" s="65">
        <f t="shared" si="86"/>
        <v>3865.4259149932882</v>
      </c>
      <c r="K351" s="66">
        <f t="shared" si="87"/>
        <v>444.74693467457814</v>
      </c>
      <c r="L351" s="66">
        <f t="shared" si="81"/>
        <v>3420.6789803187103</v>
      </c>
      <c r="M351" s="66">
        <f t="shared" si="82"/>
        <v>98235.76323101345</v>
      </c>
      <c r="N351" s="45"/>
      <c r="O351" s="45"/>
      <c r="P351" s="64">
        <f t="shared" si="83"/>
        <v>333</v>
      </c>
      <c r="Q351" s="65">
        <f t="shared" si="84"/>
        <v>895.35799997349602</v>
      </c>
      <c r="R351" s="66">
        <f t="shared" si="89"/>
        <v>189.57770569445887</v>
      </c>
      <c r="S351" s="66">
        <f t="shared" si="88"/>
        <v>705.78029427903721</v>
      </c>
      <c r="T351" s="66">
        <f t="shared" si="85"/>
        <v>21510.35709179036</v>
      </c>
      <c r="U351" s="45"/>
    </row>
    <row r="352" spans="1:21" ht="15">
      <c r="A352" s="45"/>
      <c r="B352" s="64">
        <f t="shared" si="75"/>
        <v>334</v>
      </c>
      <c r="C352" s="65">
        <f t="shared" si="76"/>
        <v>4424.4761644507462</v>
      </c>
      <c r="D352" s="66">
        <f t="shared" si="77"/>
        <v>600.47782962945928</v>
      </c>
      <c r="E352" s="66">
        <f t="shared" si="78"/>
        <v>3823.9983348212868</v>
      </c>
      <c r="F352" s="66">
        <f t="shared" si="79"/>
        <v>107033.44713523274</v>
      </c>
      <c r="G352" s="45"/>
      <c r="H352" s="45"/>
      <c r="I352" s="64">
        <f t="shared" si="80"/>
        <v>334</v>
      </c>
      <c r="J352" s="65">
        <f t="shared" si="86"/>
        <v>3865.4259149932882</v>
      </c>
      <c r="K352" s="66">
        <f t="shared" si="87"/>
        <v>429.78146413568379</v>
      </c>
      <c r="L352" s="66">
        <f t="shared" si="81"/>
        <v>3435.6444508576042</v>
      </c>
      <c r="M352" s="66">
        <f t="shared" si="82"/>
        <v>94800.118780155841</v>
      </c>
      <c r="N352" s="45"/>
      <c r="O352" s="45"/>
      <c r="P352" s="64">
        <f t="shared" si="83"/>
        <v>334</v>
      </c>
      <c r="Q352" s="65">
        <f t="shared" si="84"/>
        <v>895.35799997349602</v>
      </c>
      <c r="R352" s="66">
        <f t="shared" si="89"/>
        <v>183.55504718327774</v>
      </c>
      <c r="S352" s="66">
        <f t="shared" si="88"/>
        <v>711.80295279021834</v>
      </c>
      <c r="T352" s="66">
        <f t="shared" si="85"/>
        <v>20798.554139000142</v>
      </c>
      <c r="U352" s="45"/>
    </row>
    <row r="353" spans="1:21" ht="15">
      <c r="A353" s="45"/>
      <c r="B353" s="64">
        <f t="shared" si="75"/>
        <v>335</v>
      </c>
      <c r="C353" s="65">
        <f t="shared" si="76"/>
        <v>4424.4761644507462</v>
      </c>
      <c r="D353" s="66">
        <f t="shared" si="77"/>
        <v>579.76450531584396</v>
      </c>
      <c r="E353" s="66">
        <f t="shared" si="78"/>
        <v>3844.7116591349022</v>
      </c>
      <c r="F353" s="66">
        <f t="shared" si="79"/>
        <v>103188.73547609783</v>
      </c>
      <c r="G353" s="45"/>
      <c r="H353" s="45"/>
      <c r="I353" s="64">
        <f t="shared" si="80"/>
        <v>335</v>
      </c>
      <c r="J353" s="65">
        <f t="shared" si="86"/>
        <v>3865.4259149932882</v>
      </c>
      <c r="K353" s="66">
        <f t="shared" si="87"/>
        <v>414.75051966318176</v>
      </c>
      <c r="L353" s="66">
        <f t="shared" si="81"/>
        <v>3450.6753953301063</v>
      </c>
      <c r="M353" s="66">
        <f t="shared" si="82"/>
        <v>91349.443384825732</v>
      </c>
      <c r="N353" s="45"/>
      <c r="O353" s="45"/>
      <c r="P353" s="64">
        <f t="shared" si="83"/>
        <v>335</v>
      </c>
      <c r="Q353" s="65">
        <f t="shared" si="84"/>
        <v>895.35799997349602</v>
      </c>
      <c r="R353" s="66">
        <f t="shared" si="89"/>
        <v>177.48099531946789</v>
      </c>
      <c r="S353" s="66">
        <f t="shared" si="88"/>
        <v>717.87700465402816</v>
      </c>
      <c r="T353" s="66">
        <f t="shared" si="85"/>
        <v>20080.677134346115</v>
      </c>
      <c r="U353" s="45"/>
    </row>
    <row r="354" spans="1:21" ht="15">
      <c r="A354" s="45"/>
      <c r="B354" s="64">
        <f t="shared" si="75"/>
        <v>336</v>
      </c>
      <c r="C354" s="65">
        <f t="shared" si="76"/>
        <v>4424.4761644507462</v>
      </c>
      <c r="D354" s="66">
        <f t="shared" si="77"/>
        <v>558.93898382886334</v>
      </c>
      <c r="E354" s="66">
        <f t="shared" si="78"/>
        <v>3865.5371806218827</v>
      </c>
      <c r="F354" s="66">
        <f t="shared" si="79"/>
        <v>99323.198295475944</v>
      </c>
      <c r="G354" s="45"/>
      <c r="H354" s="45"/>
      <c r="I354" s="64">
        <f t="shared" si="80"/>
        <v>336</v>
      </c>
      <c r="J354" s="65">
        <f t="shared" si="86"/>
        <v>3865.4259149932882</v>
      </c>
      <c r="K354" s="66">
        <f t="shared" si="87"/>
        <v>399.65381480861254</v>
      </c>
      <c r="L354" s="66">
        <f t="shared" si="81"/>
        <v>3465.7721001846758</v>
      </c>
      <c r="M354" s="66">
        <f t="shared" si="82"/>
        <v>87883.671284641052</v>
      </c>
      <c r="N354" s="45"/>
      <c r="O354" s="45"/>
      <c r="P354" s="64">
        <f t="shared" si="83"/>
        <v>336</v>
      </c>
      <c r="Q354" s="65">
        <f t="shared" si="84"/>
        <v>895.35799997349602</v>
      </c>
      <c r="R354" s="66">
        <f t="shared" si="89"/>
        <v>171.3551115464202</v>
      </c>
      <c r="S354" s="66">
        <f t="shared" si="88"/>
        <v>724.00288842707585</v>
      </c>
      <c r="T354" s="66">
        <f t="shared" si="85"/>
        <v>19356.674245919039</v>
      </c>
      <c r="U354" s="45"/>
    </row>
    <row r="355" spans="1:21" ht="15">
      <c r="A355" s="45"/>
      <c r="B355" s="64">
        <f t="shared" si="75"/>
        <v>337</v>
      </c>
      <c r="C355" s="65">
        <f t="shared" si="76"/>
        <v>4424.4761644507462</v>
      </c>
      <c r="D355" s="66">
        <f t="shared" si="77"/>
        <v>538.000657433828</v>
      </c>
      <c r="E355" s="66">
        <f t="shared" si="78"/>
        <v>3886.4755070169181</v>
      </c>
      <c r="F355" s="66">
        <f t="shared" si="79"/>
        <v>95436.722788459025</v>
      </c>
      <c r="G355" s="45"/>
      <c r="H355" s="45"/>
      <c r="I355" s="64">
        <f t="shared" si="80"/>
        <v>337</v>
      </c>
      <c r="J355" s="65">
        <f t="shared" si="86"/>
        <v>3865.4259149932882</v>
      </c>
      <c r="K355" s="66">
        <f t="shared" si="87"/>
        <v>384.49106187030458</v>
      </c>
      <c r="L355" s="66">
        <f t="shared" si="81"/>
        <v>3480.9348531229834</v>
      </c>
      <c r="M355" s="66">
        <f t="shared" si="82"/>
        <v>84402.736431518075</v>
      </c>
      <c r="N355" s="45"/>
      <c r="O355" s="45"/>
      <c r="P355" s="64">
        <f t="shared" si="83"/>
        <v>337</v>
      </c>
      <c r="Q355" s="65">
        <f t="shared" si="84"/>
        <v>895.35799997349602</v>
      </c>
      <c r="R355" s="66">
        <f t="shared" si="89"/>
        <v>165.17695356517581</v>
      </c>
      <c r="S355" s="66">
        <f t="shared" si="88"/>
        <v>730.18104640832019</v>
      </c>
      <c r="T355" s="66">
        <f t="shared" si="85"/>
        <v>18626.493199510718</v>
      </c>
      <c r="U355" s="45"/>
    </row>
    <row r="356" spans="1:21" ht="15">
      <c r="A356" s="45"/>
      <c r="B356" s="64">
        <f t="shared" si="75"/>
        <v>338</v>
      </c>
      <c r="C356" s="65">
        <f t="shared" si="76"/>
        <v>4424.4761644507462</v>
      </c>
      <c r="D356" s="66">
        <f t="shared" si="77"/>
        <v>516.94891510415312</v>
      </c>
      <c r="E356" s="66">
        <f t="shared" si="78"/>
        <v>3907.5272493465932</v>
      </c>
      <c r="F356" s="66">
        <f t="shared" si="79"/>
        <v>91529.195539112436</v>
      </c>
      <c r="G356" s="45"/>
      <c r="H356" s="45"/>
      <c r="I356" s="64">
        <f t="shared" si="80"/>
        <v>338</v>
      </c>
      <c r="J356" s="65">
        <f t="shared" si="86"/>
        <v>3865.4259149932882</v>
      </c>
      <c r="K356" s="66">
        <f t="shared" si="87"/>
        <v>369.26197188789155</v>
      </c>
      <c r="L356" s="66">
        <f t="shared" si="81"/>
        <v>3496.1639431053968</v>
      </c>
      <c r="M356" s="66">
        <f t="shared" si="82"/>
        <v>80906.572488412683</v>
      </c>
      <c r="N356" s="45"/>
      <c r="O356" s="45"/>
      <c r="P356" s="64">
        <f t="shared" si="83"/>
        <v>338</v>
      </c>
      <c r="Q356" s="65">
        <f t="shared" si="84"/>
        <v>895.35799997349602</v>
      </c>
      <c r="R356" s="66">
        <f t="shared" si="89"/>
        <v>158.94607530249147</v>
      </c>
      <c r="S356" s="66">
        <f t="shared" si="88"/>
        <v>736.4119246710045</v>
      </c>
      <c r="T356" s="66">
        <f t="shared" si="85"/>
        <v>17890.081274839715</v>
      </c>
      <c r="U356" s="45"/>
    </row>
    <row r="357" spans="1:21" ht="15">
      <c r="A357" s="45"/>
      <c r="B357" s="64">
        <f t="shared" si="75"/>
        <v>339</v>
      </c>
      <c r="C357" s="65">
        <f t="shared" si="76"/>
        <v>4424.4761644507462</v>
      </c>
      <c r="D357" s="66">
        <f t="shared" si="77"/>
        <v>495.78314250352571</v>
      </c>
      <c r="E357" s="66">
        <f t="shared" si="78"/>
        <v>3928.6930219472206</v>
      </c>
      <c r="F357" s="66">
        <f t="shared" si="79"/>
        <v>87600.502517165209</v>
      </c>
      <c r="G357" s="45"/>
      <c r="H357" s="45"/>
      <c r="I357" s="64">
        <f t="shared" si="80"/>
        <v>339</v>
      </c>
      <c r="J357" s="65">
        <f t="shared" si="86"/>
        <v>3865.4259149932882</v>
      </c>
      <c r="K357" s="66">
        <f t="shared" si="87"/>
        <v>353.96625463680544</v>
      </c>
      <c r="L357" s="66">
        <f t="shared" si="81"/>
        <v>3511.4596603564828</v>
      </c>
      <c r="M357" s="66">
        <f t="shared" si="82"/>
        <v>77395.112828056197</v>
      </c>
      <c r="N357" s="45"/>
      <c r="O357" s="45"/>
      <c r="P357" s="64">
        <f t="shared" si="83"/>
        <v>339</v>
      </c>
      <c r="Q357" s="65">
        <f t="shared" si="84"/>
        <v>895.35799997349602</v>
      </c>
      <c r="R357" s="66">
        <f t="shared" si="89"/>
        <v>152.66202687863225</v>
      </c>
      <c r="S357" s="66">
        <f t="shared" si="88"/>
        <v>742.6959730948638</v>
      </c>
      <c r="T357" s="66">
        <f t="shared" si="85"/>
        <v>17147.385301744849</v>
      </c>
      <c r="U357" s="45"/>
    </row>
    <row r="358" spans="1:21" ht="15">
      <c r="A358" s="45"/>
      <c r="B358" s="64">
        <f t="shared" si="75"/>
        <v>340</v>
      </c>
      <c r="C358" s="65">
        <f t="shared" si="76"/>
        <v>4424.4761644507462</v>
      </c>
      <c r="D358" s="66">
        <f t="shared" si="77"/>
        <v>474.50272196797823</v>
      </c>
      <c r="E358" s="66">
        <f t="shared" si="78"/>
        <v>3949.973442482768</v>
      </c>
      <c r="F358" s="66">
        <f t="shared" si="79"/>
        <v>83650.529074682447</v>
      </c>
      <c r="G358" s="45"/>
      <c r="H358" s="45"/>
      <c r="I358" s="64">
        <f t="shared" si="80"/>
        <v>340</v>
      </c>
      <c r="J358" s="65">
        <f t="shared" si="86"/>
        <v>3865.4259149932882</v>
      </c>
      <c r="K358" s="66">
        <f t="shared" si="87"/>
        <v>338.60361862274584</v>
      </c>
      <c r="L358" s="66">
        <f t="shared" si="81"/>
        <v>3526.8222963705425</v>
      </c>
      <c r="M358" s="66">
        <f t="shared" si="82"/>
        <v>73868.290531685649</v>
      </c>
      <c r="N358" s="45"/>
      <c r="O358" s="45"/>
      <c r="P358" s="64">
        <f t="shared" si="83"/>
        <v>340</v>
      </c>
      <c r="Q358" s="65">
        <f t="shared" si="84"/>
        <v>895.35799997349602</v>
      </c>
      <c r="R358" s="66">
        <f t="shared" si="89"/>
        <v>146.32435457488938</v>
      </c>
      <c r="S358" s="66">
        <f t="shared" si="88"/>
        <v>749.03364539860661</v>
      </c>
      <c r="T358" s="66">
        <f t="shared" si="85"/>
        <v>16398.351656346244</v>
      </c>
      <c r="U358" s="45"/>
    </row>
    <row r="359" spans="1:21" ht="15">
      <c r="A359" s="45"/>
      <c r="B359" s="64">
        <f t="shared" si="75"/>
        <v>341</v>
      </c>
      <c r="C359" s="65">
        <f t="shared" si="76"/>
        <v>4424.4761644507462</v>
      </c>
      <c r="D359" s="66">
        <f t="shared" si="77"/>
        <v>453.10703248786325</v>
      </c>
      <c r="E359" s="66">
        <f t="shared" si="78"/>
        <v>3971.3691319628829</v>
      </c>
      <c r="F359" s="66">
        <f t="shared" si="79"/>
        <v>79679.159942719562</v>
      </c>
      <c r="G359" s="45"/>
      <c r="H359" s="45"/>
      <c r="I359" s="64">
        <f t="shared" si="80"/>
        <v>341</v>
      </c>
      <c r="J359" s="65">
        <f t="shared" si="86"/>
        <v>3865.4259149932882</v>
      </c>
      <c r="K359" s="66">
        <f t="shared" si="87"/>
        <v>323.17377107612469</v>
      </c>
      <c r="L359" s="66">
        <f t="shared" si="81"/>
        <v>3542.2521439171633</v>
      </c>
      <c r="M359" s="66">
        <f t="shared" si="82"/>
        <v>70326.03838776848</v>
      </c>
      <c r="N359" s="45"/>
      <c r="O359" s="45"/>
      <c r="P359" s="64">
        <f t="shared" si="83"/>
        <v>341</v>
      </c>
      <c r="Q359" s="65">
        <f t="shared" si="84"/>
        <v>895.35799997349602</v>
      </c>
      <c r="R359" s="66">
        <f t="shared" si="89"/>
        <v>139.93260080082129</v>
      </c>
      <c r="S359" s="66">
        <f t="shared" si="88"/>
        <v>755.4253991726747</v>
      </c>
      <c r="T359" s="66">
        <f t="shared" si="85"/>
        <v>15642.926257173569</v>
      </c>
      <c r="U359" s="45"/>
    </row>
    <row r="360" spans="1:21" ht="15">
      <c r="A360" s="45"/>
      <c r="B360" s="64">
        <f t="shared" si="75"/>
        <v>342</v>
      </c>
      <c r="C360" s="65">
        <f t="shared" si="76"/>
        <v>4424.4761644507462</v>
      </c>
      <c r="D360" s="66">
        <f t="shared" si="77"/>
        <v>431.59544968973097</v>
      </c>
      <c r="E360" s="66">
        <f t="shared" si="78"/>
        <v>3992.880714761015</v>
      </c>
      <c r="F360" s="66">
        <f t="shared" si="79"/>
        <v>75686.279227958541</v>
      </c>
      <c r="G360" s="45"/>
      <c r="H360" s="45"/>
      <c r="I360" s="64">
        <f t="shared" si="80"/>
        <v>342</v>
      </c>
      <c r="J360" s="65">
        <f t="shared" si="86"/>
        <v>3865.4259149932882</v>
      </c>
      <c r="K360" s="66">
        <f t="shared" si="87"/>
        <v>307.67641794648705</v>
      </c>
      <c r="L360" s="66">
        <f t="shared" si="81"/>
        <v>3557.749497046801</v>
      </c>
      <c r="M360" s="66">
        <f t="shared" si="82"/>
        <v>66768.288890721684</v>
      </c>
      <c r="N360" s="45"/>
      <c r="O360" s="45"/>
      <c r="P360" s="64">
        <f t="shared" si="83"/>
        <v>342</v>
      </c>
      <c r="Q360" s="65">
        <f t="shared" si="84"/>
        <v>895.35799997349602</v>
      </c>
      <c r="R360" s="66">
        <f t="shared" si="89"/>
        <v>133.48630406121447</v>
      </c>
      <c r="S360" s="66">
        <f t="shared" si="88"/>
        <v>761.87169591228155</v>
      </c>
      <c r="T360" s="66">
        <f t="shared" si="85"/>
        <v>14881.054561261288</v>
      </c>
      <c r="U360" s="45"/>
    </row>
    <row r="361" spans="1:21" ht="15">
      <c r="A361" s="45"/>
      <c r="B361" s="64">
        <f t="shared" si="75"/>
        <v>343</v>
      </c>
      <c r="C361" s="65">
        <f t="shared" si="76"/>
        <v>4424.4761644507462</v>
      </c>
      <c r="D361" s="66">
        <f t="shared" si="77"/>
        <v>409.96734581810875</v>
      </c>
      <c r="E361" s="66">
        <f t="shared" si="78"/>
        <v>4014.5088186326375</v>
      </c>
      <c r="F361" s="66">
        <f t="shared" si="79"/>
        <v>71671.770409325909</v>
      </c>
      <c r="G361" s="45"/>
      <c r="H361" s="45"/>
      <c r="I361" s="64">
        <f t="shared" si="80"/>
        <v>343</v>
      </c>
      <c r="J361" s="65">
        <f t="shared" si="86"/>
        <v>3865.4259149932882</v>
      </c>
      <c r="K361" s="66">
        <f t="shared" si="87"/>
        <v>292.11126389690736</v>
      </c>
      <c r="L361" s="66">
        <f t="shared" si="81"/>
        <v>3573.3146510963807</v>
      </c>
      <c r="M361" s="66">
        <f t="shared" si="82"/>
        <v>63194.974239625306</v>
      </c>
      <c r="N361" s="45"/>
      <c r="O361" s="45"/>
      <c r="P361" s="64">
        <f t="shared" si="83"/>
        <v>343</v>
      </c>
      <c r="Q361" s="65">
        <f t="shared" si="84"/>
        <v>895.35799997349602</v>
      </c>
      <c r="R361" s="66">
        <f t="shared" si="89"/>
        <v>126.984998922763</v>
      </c>
      <c r="S361" s="66">
        <f t="shared" si="88"/>
        <v>768.37300105073302</v>
      </c>
      <c r="T361" s="66">
        <f t="shared" si="85"/>
        <v>14112.681560210554</v>
      </c>
      <c r="U361" s="45"/>
    </row>
    <row r="362" spans="1:21" ht="15">
      <c r="A362" s="45"/>
      <c r="B362" s="64">
        <f t="shared" si="75"/>
        <v>344</v>
      </c>
      <c r="C362" s="65">
        <f t="shared" si="76"/>
        <v>4424.4761644507462</v>
      </c>
      <c r="D362" s="66">
        <f t="shared" si="77"/>
        <v>388.22208971718203</v>
      </c>
      <c r="E362" s="66">
        <f t="shared" si="78"/>
        <v>4036.2540747335643</v>
      </c>
      <c r="F362" s="66">
        <f t="shared" si="79"/>
        <v>67635.51633459235</v>
      </c>
      <c r="G362" s="45"/>
      <c r="H362" s="45"/>
      <c r="I362" s="64">
        <f t="shared" si="80"/>
        <v>344</v>
      </c>
      <c r="J362" s="65">
        <f t="shared" si="86"/>
        <v>3865.4259149932882</v>
      </c>
      <c r="K362" s="66">
        <f t="shared" si="87"/>
        <v>276.47801229836068</v>
      </c>
      <c r="L362" s="66">
        <f t="shared" si="81"/>
        <v>3588.9479026949275</v>
      </c>
      <c r="M362" s="66">
        <f t="shared" si="82"/>
        <v>59606.026336930379</v>
      </c>
      <c r="N362" s="45"/>
      <c r="O362" s="45"/>
      <c r="P362" s="64">
        <f t="shared" si="83"/>
        <v>344</v>
      </c>
      <c r="Q362" s="65">
        <f t="shared" si="84"/>
        <v>895.35799997349602</v>
      </c>
      <c r="R362" s="66">
        <f t="shared" si="89"/>
        <v>120.42821598046341</v>
      </c>
      <c r="S362" s="66">
        <f t="shared" si="88"/>
        <v>774.92978399303263</v>
      </c>
      <c r="T362" s="66">
        <f t="shared" si="85"/>
        <v>13337.751776217521</v>
      </c>
      <c r="U362" s="45"/>
    </row>
    <row r="363" spans="1:21" ht="15">
      <c r="A363" s="45"/>
      <c r="B363" s="64">
        <f t="shared" si="75"/>
        <v>345</v>
      </c>
      <c r="C363" s="65">
        <f t="shared" si="76"/>
        <v>4424.4761644507462</v>
      </c>
      <c r="D363" s="66">
        <f t="shared" si="77"/>
        <v>366.35904681237525</v>
      </c>
      <c r="E363" s="66">
        <f t="shared" si="78"/>
        <v>4058.1171176383709</v>
      </c>
      <c r="F363" s="66">
        <f t="shared" si="79"/>
        <v>63577.399216953978</v>
      </c>
      <c r="G363" s="45"/>
      <c r="H363" s="45"/>
      <c r="I363" s="64">
        <f t="shared" si="80"/>
        <v>345</v>
      </c>
      <c r="J363" s="65">
        <f t="shared" si="86"/>
        <v>3865.4259149932882</v>
      </c>
      <c r="K363" s="66">
        <f t="shared" si="87"/>
        <v>260.77636522407039</v>
      </c>
      <c r="L363" s="66">
        <f t="shared" si="81"/>
        <v>3604.6495497692176</v>
      </c>
      <c r="M363" s="66">
        <f t="shared" si="82"/>
        <v>56001.376787161164</v>
      </c>
      <c r="N363" s="45"/>
      <c r="O363" s="45"/>
      <c r="P363" s="64">
        <f t="shared" si="83"/>
        <v>345</v>
      </c>
      <c r="Q363" s="65">
        <f t="shared" si="84"/>
        <v>895.35799997349602</v>
      </c>
      <c r="R363" s="66">
        <f t="shared" si="89"/>
        <v>113.81548182372285</v>
      </c>
      <c r="S363" s="66">
        <f t="shared" si="88"/>
        <v>781.54251814977317</v>
      </c>
      <c r="T363" s="66">
        <f t="shared" si="85"/>
        <v>12556.209258067747</v>
      </c>
      <c r="U363" s="45"/>
    </row>
    <row r="364" spans="1:21" ht="15">
      <c r="A364" s="45"/>
      <c r="B364" s="64">
        <f t="shared" si="75"/>
        <v>346</v>
      </c>
      <c r="C364" s="65">
        <f t="shared" si="76"/>
        <v>4424.4761644507462</v>
      </c>
      <c r="D364" s="66">
        <f t="shared" si="77"/>
        <v>344.37757909183404</v>
      </c>
      <c r="E364" s="66">
        <f t="shared" si="78"/>
        <v>4080.0985853589123</v>
      </c>
      <c r="F364" s="66">
        <f t="shared" si="79"/>
        <v>59497.300631595062</v>
      </c>
      <c r="G364" s="45"/>
      <c r="H364" s="45"/>
      <c r="I364" s="64">
        <f t="shared" si="80"/>
        <v>346</v>
      </c>
      <c r="J364" s="65">
        <f t="shared" si="86"/>
        <v>3865.4259149932882</v>
      </c>
      <c r="K364" s="66">
        <f t="shared" si="87"/>
        <v>245.00602344383006</v>
      </c>
      <c r="L364" s="66">
        <f t="shared" si="81"/>
        <v>3620.419891549458</v>
      </c>
      <c r="M364" s="66">
        <f t="shared" si="82"/>
        <v>52380.956895611707</v>
      </c>
      <c r="N364" s="45"/>
      <c r="O364" s="45"/>
      <c r="P364" s="64">
        <f t="shared" si="83"/>
        <v>346</v>
      </c>
      <c r="Q364" s="65">
        <f t="shared" si="84"/>
        <v>895.35799997349602</v>
      </c>
      <c r="R364" s="66">
        <f t="shared" si="89"/>
        <v>107.14631900217812</v>
      </c>
      <c r="S364" s="66">
        <f t="shared" si="88"/>
        <v>788.21168097131795</v>
      </c>
      <c r="T364" s="66">
        <f t="shared" si="85"/>
        <v>11767.99757709643</v>
      </c>
      <c r="U364" s="45"/>
    </row>
    <row r="365" spans="1:21" ht="15">
      <c r="A365" s="45"/>
      <c r="B365" s="64">
        <f t="shared" si="75"/>
        <v>347</v>
      </c>
      <c r="C365" s="65">
        <f t="shared" si="76"/>
        <v>4424.4761644507462</v>
      </c>
      <c r="D365" s="66">
        <f t="shared" si="77"/>
        <v>322.27704508780658</v>
      </c>
      <c r="E365" s="66">
        <f t="shared" si="78"/>
        <v>4102.1991193629392</v>
      </c>
      <c r="F365" s="66">
        <f t="shared" si="79"/>
        <v>55395.101512232126</v>
      </c>
      <c r="G365" s="45"/>
      <c r="H365" s="45"/>
      <c r="I365" s="64">
        <f t="shared" si="80"/>
        <v>347</v>
      </c>
      <c r="J365" s="65">
        <f t="shared" si="86"/>
        <v>3865.4259149932882</v>
      </c>
      <c r="K365" s="66">
        <f t="shared" si="87"/>
        <v>229.1666864183012</v>
      </c>
      <c r="L365" s="66">
        <f t="shared" si="81"/>
        <v>3636.259228574987</v>
      </c>
      <c r="M365" s="66">
        <f t="shared" si="82"/>
        <v>48744.697667036722</v>
      </c>
      <c r="N365" s="45"/>
      <c r="O365" s="45"/>
      <c r="P365" s="64">
        <f t="shared" si="83"/>
        <v>347</v>
      </c>
      <c r="Q365" s="65">
        <f t="shared" si="84"/>
        <v>895.35799997349602</v>
      </c>
      <c r="R365" s="66">
        <f t="shared" si="89"/>
        <v>100.42024599122287</v>
      </c>
      <c r="S365" s="66">
        <f t="shared" si="88"/>
        <v>794.93775398227319</v>
      </c>
      <c r="T365" s="66">
        <f t="shared" si="85"/>
        <v>10973.059823114158</v>
      </c>
      <c r="U365" s="45"/>
    </row>
    <row r="366" spans="1:21" ht="15">
      <c r="A366" s="45"/>
      <c r="B366" s="64">
        <f t="shared" si="75"/>
        <v>348</v>
      </c>
      <c r="C366" s="65">
        <f t="shared" si="76"/>
        <v>4424.4761644507462</v>
      </c>
      <c r="D366" s="66">
        <f t="shared" si="77"/>
        <v>300.05679985792403</v>
      </c>
      <c r="E366" s="66">
        <f t="shared" si="78"/>
        <v>4124.4193645928226</v>
      </c>
      <c r="F366" s="66">
        <f t="shared" si="79"/>
        <v>51270.682147639302</v>
      </c>
      <c r="G366" s="45"/>
      <c r="H366" s="45"/>
      <c r="I366" s="64">
        <f t="shared" si="80"/>
        <v>348</v>
      </c>
      <c r="J366" s="65">
        <f t="shared" si="86"/>
        <v>3865.4259149932882</v>
      </c>
      <c r="K366" s="66">
        <f t="shared" si="87"/>
        <v>213.25805229328563</v>
      </c>
      <c r="L366" s="66">
        <f t="shared" si="81"/>
        <v>3652.1678627000024</v>
      </c>
      <c r="M366" s="66">
        <f t="shared" si="82"/>
        <v>45092.529804336722</v>
      </c>
      <c r="N366" s="45"/>
      <c r="O366" s="45"/>
      <c r="P366" s="64">
        <f t="shared" si="83"/>
        <v>348</v>
      </c>
      <c r="Q366" s="65">
        <f t="shared" si="84"/>
        <v>895.35799997349602</v>
      </c>
      <c r="R366" s="66">
        <f t="shared" si="89"/>
        <v>93.636777157240815</v>
      </c>
      <c r="S366" s="66">
        <f t="shared" si="88"/>
        <v>801.72122281625525</v>
      </c>
      <c r="T366" s="66">
        <f t="shared" si="85"/>
        <v>10171.338600297902</v>
      </c>
      <c r="U366" s="45"/>
    </row>
    <row r="367" spans="1:21" ht="15">
      <c r="A367" s="45"/>
      <c r="B367" s="64">
        <f t="shared" si="75"/>
        <v>349</v>
      </c>
      <c r="C367" s="65">
        <f t="shared" si="76"/>
        <v>4424.4761644507462</v>
      </c>
      <c r="D367" s="66">
        <f t="shared" si="77"/>
        <v>277.71619496637953</v>
      </c>
      <c r="E367" s="66">
        <f t="shared" si="78"/>
        <v>4146.7599694843666</v>
      </c>
      <c r="F367" s="66">
        <f t="shared" si="79"/>
        <v>47123.922178154935</v>
      </c>
      <c r="G367" s="45"/>
      <c r="H367" s="45"/>
      <c r="I367" s="64">
        <f t="shared" si="80"/>
        <v>349</v>
      </c>
      <c r="J367" s="65">
        <f t="shared" si="86"/>
        <v>3865.4259149932882</v>
      </c>
      <c r="K367" s="66">
        <f t="shared" si="87"/>
        <v>197.27981789397313</v>
      </c>
      <c r="L367" s="66">
        <f t="shared" si="81"/>
        <v>3668.1460970993148</v>
      </c>
      <c r="M367" s="66">
        <f t="shared" si="82"/>
        <v>41424.383707237408</v>
      </c>
      <c r="N367" s="45"/>
      <c r="O367" s="45"/>
      <c r="P367" s="64">
        <f t="shared" si="83"/>
        <v>349</v>
      </c>
      <c r="Q367" s="65">
        <f t="shared" si="84"/>
        <v>895.35799997349602</v>
      </c>
      <c r="R367" s="66">
        <f t="shared" si="89"/>
        <v>86.795422722542099</v>
      </c>
      <c r="S367" s="66">
        <f t="shared" si="88"/>
        <v>808.56257725095395</v>
      </c>
      <c r="T367" s="66">
        <f t="shared" si="85"/>
        <v>9362.7760230469485</v>
      </c>
      <c r="U367" s="45"/>
    </row>
    <row r="368" spans="1:21" ht="15">
      <c r="A368" s="45"/>
      <c r="B368" s="64">
        <f t="shared" si="75"/>
        <v>350</v>
      </c>
      <c r="C368" s="65">
        <f t="shared" si="76"/>
        <v>4424.4761644507462</v>
      </c>
      <c r="D368" s="66">
        <f t="shared" si="77"/>
        <v>255.25457846500592</v>
      </c>
      <c r="E368" s="66">
        <f t="shared" si="78"/>
        <v>4169.2215859857406</v>
      </c>
      <c r="F368" s="66">
        <f t="shared" si="79"/>
        <v>42954.700592169196</v>
      </c>
      <c r="G368" s="45"/>
      <c r="H368" s="45"/>
      <c r="I368" s="64">
        <f t="shared" si="80"/>
        <v>350</v>
      </c>
      <c r="J368" s="65">
        <f t="shared" si="86"/>
        <v>3865.4259149932882</v>
      </c>
      <c r="K368" s="66">
        <f t="shared" si="87"/>
        <v>181.23167871916365</v>
      </c>
      <c r="L368" s="66">
        <f t="shared" si="81"/>
        <v>3684.1942362741247</v>
      </c>
      <c r="M368" s="66">
        <f t="shared" si="82"/>
        <v>37740.189470963283</v>
      </c>
      <c r="N368" s="45"/>
      <c r="O368" s="45"/>
      <c r="P368" s="64">
        <f t="shared" si="83"/>
        <v>350</v>
      </c>
      <c r="Q368" s="65">
        <f t="shared" si="84"/>
        <v>895.35799997349602</v>
      </c>
      <c r="R368" s="66">
        <f t="shared" si="89"/>
        <v>79.895688730000629</v>
      </c>
      <c r="S368" s="66">
        <f t="shared" si="88"/>
        <v>815.46231124349538</v>
      </c>
      <c r="T368" s="66">
        <f t="shared" si="85"/>
        <v>8547.3137118034538</v>
      </c>
      <c r="U368" s="45"/>
    </row>
    <row r="369" spans="1:21" ht="15">
      <c r="A369" s="45"/>
      <c r="B369" s="64">
        <f t="shared" si="75"/>
        <v>351</v>
      </c>
      <c r="C369" s="65">
        <f t="shared" si="76"/>
        <v>4424.4761644507462</v>
      </c>
      <c r="D369" s="66">
        <f t="shared" si="77"/>
        <v>232.67129487424981</v>
      </c>
      <c r="E369" s="66">
        <f t="shared" si="78"/>
        <v>4191.8048695764965</v>
      </c>
      <c r="F369" s="66">
        <f t="shared" si="79"/>
        <v>38762.895722592701</v>
      </c>
      <c r="G369" s="45"/>
      <c r="H369" s="45"/>
      <c r="I369" s="64">
        <f t="shared" si="80"/>
        <v>351</v>
      </c>
      <c r="J369" s="65">
        <f t="shared" si="86"/>
        <v>3865.4259149932882</v>
      </c>
      <c r="K369" s="66">
        <f t="shared" si="87"/>
        <v>165.11332893546435</v>
      </c>
      <c r="L369" s="66">
        <f t="shared" si="81"/>
        <v>3700.3125860578239</v>
      </c>
      <c r="M369" s="66">
        <f t="shared" si="82"/>
        <v>34039.876884905461</v>
      </c>
      <c r="N369" s="45"/>
      <c r="O369" s="45"/>
      <c r="P369" s="64">
        <f t="shared" si="83"/>
        <v>351</v>
      </c>
      <c r="Q369" s="65">
        <f t="shared" si="84"/>
        <v>895.35799997349602</v>
      </c>
      <c r="R369" s="66">
        <f t="shared" si="89"/>
        <v>72.937077007389476</v>
      </c>
      <c r="S369" s="66">
        <f t="shared" si="88"/>
        <v>822.42092296610656</v>
      </c>
      <c r="T369" s="66">
        <f t="shared" si="85"/>
        <v>7724.8927888373473</v>
      </c>
      <c r="U369" s="45"/>
    </row>
    <row r="370" spans="1:21" ht="15">
      <c r="A370" s="45"/>
      <c r="B370" s="64">
        <f t="shared" si="75"/>
        <v>352</v>
      </c>
      <c r="C370" s="65">
        <f t="shared" si="76"/>
        <v>4424.4761644507462</v>
      </c>
      <c r="D370" s="66">
        <f t="shared" si="77"/>
        <v>209.9656851640438</v>
      </c>
      <c r="E370" s="66">
        <f t="shared" si="78"/>
        <v>4214.5104792867023</v>
      </c>
      <c r="F370" s="66">
        <f t="shared" si="79"/>
        <v>34548.385243305995</v>
      </c>
      <c r="G370" s="45"/>
      <c r="H370" s="45"/>
      <c r="I370" s="64">
        <f t="shared" si="80"/>
        <v>352</v>
      </c>
      <c r="J370" s="65">
        <f t="shared" si="86"/>
        <v>3865.4259149932882</v>
      </c>
      <c r="K370" s="66">
        <f t="shared" si="87"/>
        <v>148.92446137146138</v>
      </c>
      <c r="L370" s="66">
        <f t="shared" si="81"/>
        <v>3716.5014536218268</v>
      </c>
      <c r="M370" s="66">
        <f t="shared" si="82"/>
        <v>30323.375431283635</v>
      </c>
      <c r="N370" s="45"/>
      <c r="O370" s="45"/>
      <c r="P370" s="64">
        <f t="shared" si="83"/>
        <v>352</v>
      </c>
      <c r="Q370" s="65">
        <f t="shared" si="84"/>
        <v>895.35799997349602</v>
      </c>
      <c r="R370" s="66">
        <f t="shared" si="89"/>
        <v>65.919085131412032</v>
      </c>
      <c r="S370" s="66">
        <f t="shared" si="88"/>
        <v>829.43891484208393</v>
      </c>
      <c r="T370" s="66">
        <f t="shared" si="85"/>
        <v>6895.4538739952632</v>
      </c>
      <c r="U370" s="45"/>
    </row>
    <row r="371" spans="1:21" ht="15">
      <c r="A371" s="45"/>
      <c r="B371" s="64">
        <f t="shared" si="75"/>
        <v>353</v>
      </c>
      <c r="C371" s="65">
        <f t="shared" si="76"/>
        <v>4424.4761644507462</v>
      </c>
      <c r="D371" s="66">
        <f t="shared" si="77"/>
        <v>187.13708673457415</v>
      </c>
      <c r="E371" s="66">
        <f t="shared" si="78"/>
        <v>4237.3390777161721</v>
      </c>
      <c r="F371" s="66">
        <f t="shared" si="79"/>
        <v>30311.046165589822</v>
      </c>
      <c r="G371" s="45"/>
      <c r="H371" s="45"/>
      <c r="I371" s="64">
        <f t="shared" si="80"/>
        <v>353</v>
      </c>
      <c r="J371" s="65">
        <f t="shared" si="86"/>
        <v>3865.4259149932882</v>
      </c>
      <c r="K371" s="66">
        <f t="shared" si="87"/>
        <v>132.6647675118659</v>
      </c>
      <c r="L371" s="66">
        <f t="shared" si="81"/>
        <v>3732.7611474814221</v>
      </c>
      <c r="M371" s="66">
        <f t="shared" si="82"/>
        <v>26590.614283802213</v>
      </c>
      <c r="N371" s="45"/>
      <c r="O371" s="45"/>
      <c r="P371" s="64">
        <f t="shared" si="83"/>
        <v>353</v>
      </c>
      <c r="Q371" s="65">
        <f t="shared" si="84"/>
        <v>895.35799997349602</v>
      </c>
      <c r="R371" s="66">
        <f t="shared" si="89"/>
        <v>58.841206391426248</v>
      </c>
      <c r="S371" s="66">
        <f t="shared" si="88"/>
        <v>836.51679358206979</v>
      </c>
      <c r="T371" s="66">
        <f t="shared" si="85"/>
        <v>6058.9370804131931</v>
      </c>
      <c r="U371" s="45"/>
    </row>
    <row r="372" spans="1:21" ht="15">
      <c r="A372" s="45"/>
      <c r="B372" s="64">
        <f t="shared" si="75"/>
        <v>354</v>
      </c>
      <c r="C372" s="65">
        <f t="shared" si="76"/>
        <v>4424.4761644507462</v>
      </c>
      <c r="D372" s="66">
        <f t="shared" si="77"/>
        <v>164.18483339694487</v>
      </c>
      <c r="E372" s="66">
        <f t="shared" si="78"/>
        <v>4260.2913310538015</v>
      </c>
      <c r="F372" s="66">
        <f t="shared" si="79"/>
        <v>26050.754834536019</v>
      </c>
      <c r="G372" s="45"/>
      <c r="H372" s="45"/>
      <c r="I372" s="64">
        <f t="shared" si="80"/>
        <v>354</v>
      </c>
      <c r="J372" s="65">
        <f t="shared" si="86"/>
        <v>3865.4259149932882</v>
      </c>
      <c r="K372" s="66">
        <f t="shared" si="87"/>
        <v>116.33393749163467</v>
      </c>
      <c r="L372" s="66">
        <f t="shared" si="81"/>
        <v>3749.0919775016537</v>
      </c>
      <c r="M372" s="66">
        <f t="shared" si="82"/>
        <v>22841.522306300561</v>
      </c>
      <c r="N372" s="45"/>
      <c r="O372" s="45"/>
      <c r="P372" s="64">
        <f t="shared" si="83"/>
        <v>354</v>
      </c>
      <c r="Q372" s="65">
        <f t="shared" si="84"/>
        <v>895.35799997349602</v>
      </c>
      <c r="R372" s="66">
        <f t="shared" si="89"/>
        <v>51.702929752859248</v>
      </c>
      <c r="S372" s="66">
        <f t="shared" si="88"/>
        <v>843.65507022063673</v>
      </c>
      <c r="T372" s="66">
        <f t="shared" si="85"/>
        <v>5215.2820101925563</v>
      </c>
      <c r="U372" s="45"/>
    </row>
    <row r="373" spans="1:21" ht="15">
      <c r="A373" s="45"/>
      <c r="B373" s="64">
        <f t="shared" si="75"/>
        <v>355</v>
      </c>
      <c r="C373" s="65">
        <f t="shared" si="76"/>
        <v>4424.4761644507462</v>
      </c>
      <c r="D373" s="66">
        <f t="shared" si="77"/>
        <v>141.10825535373678</v>
      </c>
      <c r="E373" s="66">
        <f t="shared" si="78"/>
        <v>4283.367909097009</v>
      </c>
      <c r="F373" s="66">
        <f t="shared" si="79"/>
        <v>21767.386925439008</v>
      </c>
      <c r="G373" s="45"/>
      <c r="H373" s="45"/>
      <c r="I373" s="64">
        <f t="shared" si="80"/>
        <v>355</v>
      </c>
      <c r="J373" s="65">
        <f t="shared" si="86"/>
        <v>3865.4259149932882</v>
      </c>
      <c r="K373" s="66">
        <f t="shared" si="87"/>
        <v>99.931660090064952</v>
      </c>
      <c r="L373" s="66">
        <f t="shared" si="81"/>
        <v>3765.494254903223</v>
      </c>
      <c r="M373" s="66">
        <f t="shared" si="82"/>
        <v>19076.028051397338</v>
      </c>
      <c r="N373" s="45"/>
      <c r="O373" s="45"/>
      <c r="P373" s="64">
        <f t="shared" si="83"/>
        <v>355</v>
      </c>
      <c r="Q373" s="65">
        <f t="shared" si="84"/>
        <v>895.35799997349602</v>
      </c>
      <c r="R373" s="66">
        <f t="shared" si="89"/>
        <v>44.503739820309818</v>
      </c>
      <c r="S373" s="66">
        <f t="shared" si="88"/>
        <v>850.85426015318626</v>
      </c>
      <c r="T373" s="66">
        <f t="shared" si="85"/>
        <v>4364.42775003937</v>
      </c>
      <c r="U373" s="45"/>
    </row>
    <row r="374" spans="1:21" ht="15">
      <c r="A374" s="45"/>
      <c r="B374" s="64">
        <f t="shared" si="75"/>
        <v>356</v>
      </c>
      <c r="C374" s="65">
        <f t="shared" si="76"/>
        <v>4424.4761644507462</v>
      </c>
      <c r="D374" s="66">
        <f t="shared" si="77"/>
        <v>117.90667917946129</v>
      </c>
      <c r="E374" s="66">
        <f t="shared" si="78"/>
        <v>4306.569485271285</v>
      </c>
      <c r="F374" s="66">
        <f t="shared" si="79"/>
        <v>17460.817440167724</v>
      </c>
      <c r="G374" s="45"/>
      <c r="H374" s="45"/>
      <c r="I374" s="64">
        <f t="shared" si="80"/>
        <v>356</v>
      </c>
      <c r="J374" s="65">
        <f t="shared" si="86"/>
        <v>3865.4259149932882</v>
      </c>
      <c r="K374" s="66">
        <f t="shared" si="87"/>
        <v>83.457622724863342</v>
      </c>
      <c r="L374" s="66">
        <f t="shared" si="81"/>
        <v>3781.9682922684246</v>
      </c>
      <c r="M374" s="66">
        <f t="shared" si="82"/>
        <v>15294.059759128913</v>
      </c>
      <c r="N374" s="45"/>
      <c r="O374" s="45"/>
      <c r="P374" s="64">
        <f t="shared" si="83"/>
        <v>356</v>
      </c>
      <c r="Q374" s="65">
        <f t="shared" si="84"/>
        <v>895.35799997349602</v>
      </c>
      <c r="R374" s="66">
        <f t="shared" si="89"/>
        <v>37.243116800335962</v>
      </c>
      <c r="S374" s="66">
        <f t="shared" si="88"/>
        <v>858.11488317316002</v>
      </c>
      <c r="T374" s="66">
        <f t="shared" si="85"/>
        <v>3506.3128668662102</v>
      </c>
      <c r="U374" s="45"/>
    </row>
    <row r="375" spans="1:21" ht="15">
      <c r="A375" s="45"/>
      <c r="B375" s="64">
        <f t="shared" si="75"/>
        <v>357</v>
      </c>
      <c r="C375" s="65">
        <f t="shared" si="76"/>
        <v>4424.4761644507462</v>
      </c>
      <c r="D375" s="66">
        <f t="shared" si="77"/>
        <v>94.579427800908505</v>
      </c>
      <c r="E375" s="66">
        <f t="shared" si="78"/>
        <v>4329.8967366498373</v>
      </c>
      <c r="F375" s="66">
        <f t="shared" si="79"/>
        <v>13130.920703517888</v>
      </c>
      <c r="G375" s="45"/>
      <c r="H375" s="45"/>
      <c r="I375" s="64">
        <f t="shared" si="80"/>
        <v>357</v>
      </c>
      <c r="J375" s="65">
        <f t="shared" si="86"/>
        <v>3865.4259149932882</v>
      </c>
      <c r="K375" s="66">
        <f t="shared" si="87"/>
        <v>66.911511446188996</v>
      </c>
      <c r="L375" s="66">
        <f t="shared" si="81"/>
        <v>3798.5144035470994</v>
      </c>
      <c r="M375" s="66">
        <f t="shared" si="82"/>
        <v>11495.545355581813</v>
      </c>
      <c r="N375" s="45"/>
      <c r="O375" s="45"/>
      <c r="P375" s="64">
        <f t="shared" si="83"/>
        <v>357</v>
      </c>
      <c r="Q375" s="65">
        <f t="shared" si="84"/>
        <v>895.35799997349602</v>
      </c>
      <c r="R375" s="66">
        <f t="shared" si="89"/>
        <v>29.920536463924996</v>
      </c>
      <c r="S375" s="66">
        <f t="shared" si="88"/>
        <v>865.43746350957099</v>
      </c>
      <c r="T375" s="66">
        <f t="shared" si="85"/>
        <v>2640.8754033566393</v>
      </c>
      <c r="U375" s="45"/>
    </row>
    <row r="376" spans="1:21" ht="15">
      <c r="A376" s="45"/>
      <c r="B376" s="64">
        <f t="shared" si="75"/>
        <v>358</v>
      </c>
      <c r="C376" s="65">
        <f t="shared" si="76"/>
        <v>4424.4761644507462</v>
      </c>
      <c r="D376" s="66">
        <f t="shared" si="77"/>
        <v>71.125820477388558</v>
      </c>
      <c r="E376" s="66">
        <f t="shared" si="78"/>
        <v>4353.3503439733577</v>
      </c>
      <c r="F376" s="66">
        <f t="shared" si="79"/>
        <v>8777.5703595445302</v>
      </c>
      <c r="G376" s="45"/>
      <c r="H376" s="45"/>
      <c r="I376" s="64">
        <f t="shared" si="80"/>
        <v>358</v>
      </c>
      <c r="J376" s="65">
        <f t="shared" si="86"/>
        <v>3865.4259149932882</v>
      </c>
      <c r="K376" s="66">
        <f t="shared" si="87"/>
        <v>50.293010930670427</v>
      </c>
      <c r="L376" s="66">
        <f t="shared" si="81"/>
        <v>3815.1329040626179</v>
      </c>
      <c r="M376" s="66">
        <f t="shared" si="82"/>
        <v>7680.4124515191952</v>
      </c>
      <c r="N376" s="45"/>
      <c r="O376" s="45"/>
      <c r="P376" s="64">
        <f t="shared" si="83"/>
        <v>358</v>
      </c>
      <c r="Q376" s="65">
        <f t="shared" si="84"/>
        <v>895.35799997349602</v>
      </c>
      <c r="R376" s="66">
        <f t="shared" si="89"/>
        <v>22.535470108643324</v>
      </c>
      <c r="S376" s="66">
        <f t="shared" si="88"/>
        <v>872.82252986485264</v>
      </c>
      <c r="T376" s="66">
        <f t="shared" si="85"/>
        <v>1768.0528734917866</v>
      </c>
      <c r="U376" s="45"/>
    </row>
    <row r="377" spans="1:21" ht="15">
      <c r="A377" s="45"/>
      <c r="B377" s="64">
        <f t="shared" si="75"/>
        <v>359</v>
      </c>
      <c r="C377" s="65">
        <f t="shared" si="76"/>
        <v>4424.4761644507462</v>
      </c>
      <c r="D377" s="66">
        <f t="shared" si="77"/>
        <v>47.54517278086621</v>
      </c>
      <c r="E377" s="66">
        <f t="shared" si="78"/>
        <v>4376.9309916698803</v>
      </c>
      <c r="F377" s="66">
        <f t="shared" si="79"/>
        <v>4400.6393678746499</v>
      </c>
      <c r="G377" s="45"/>
      <c r="H377" s="45"/>
      <c r="I377" s="64">
        <f t="shared" si="80"/>
        <v>359</v>
      </c>
      <c r="J377" s="65">
        <f t="shared" si="86"/>
        <v>3865.4259149932882</v>
      </c>
      <c r="K377" s="66">
        <f t="shared" si="87"/>
        <v>33.601804475396477</v>
      </c>
      <c r="L377" s="66">
        <f t="shared" si="81"/>
        <v>3831.8241105178918</v>
      </c>
      <c r="M377" s="66">
        <f t="shared" si="82"/>
        <v>3848.5883410013034</v>
      </c>
      <c r="N377" s="45"/>
      <c r="O377" s="45"/>
      <c r="P377" s="64">
        <f t="shared" si="83"/>
        <v>359</v>
      </c>
      <c r="Q377" s="65">
        <f t="shared" si="84"/>
        <v>895.35799997349602</v>
      </c>
      <c r="R377" s="66">
        <f t="shared" si="89"/>
        <v>15.087384520463246</v>
      </c>
      <c r="S377" s="66">
        <f t="shared" si="88"/>
        <v>880.27061545303275</v>
      </c>
      <c r="T377" s="66">
        <f t="shared" si="85"/>
        <v>887.78225803875387</v>
      </c>
      <c r="U377" s="45"/>
    </row>
    <row r="378" spans="1:21" ht="15">
      <c r="A378" s="45"/>
      <c r="B378" s="64">
        <f t="shared" si="75"/>
        <v>360</v>
      </c>
      <c r="C378" s="65">
        <f t="shared" si="76"/>
        <v>4424.4761644507462</v>
      </c>
      <c r="D378" s="66">
        <f t="shared" si="77"/>
        <v>23.836796575987687</v>
      </c>
      <c r="E378" s="66">
        <f t="shared" si="78"/>
        <v>4400.6393678747581</v>
      </c>
      <c r="F378" s="66">
        <f t="shared" si="79"/>
        <v>-1.0822986951097846E-10</v>
      </c>
      <c r="G378" s="45"/>
      <c r="H378" s="45"/>
      <c r="I378" s="64">
        <f t="shared" si="80"/>
        <v>360</v>
      </c>
      <c r="J378" s="65">
        <f t="shared" si="86"/>
        <v>3865.4259149932882</v>
      </c>
      <c r="K378" s="66">
        <f t="shared" si="87"/>
        <v>16.837573991880699</v>
      </c>
      <c r="L378" s="66">
        <f t="shared" si="81"/>
        <v>3848.5883410014076</v>
      </c>
      <c r="M378" s="66">
        <f t="shared" si="82"/>
        <v>-1.0413714335300028E-10</v>
      </c>
      <c r="N378" s="45"/>
      <c r="O378" s="45"/>
      <c r="P378" s="64">
        <f t="shared" si="83"/>
        <v>360</v>
      </c>
      <c r="Q378" s="65">
        <f t="shared" si="84"/>
        <v>895.35799997349602</v>
      </c>
      <c r="R378" s="66">
        <f t="shared" si="89"/>
        <v>7.5757419352640332</v>
      </c>
      <c r="S378" s="66">
        <f t="shared" si="88"/>
        <v>887.78225803823204</v>
      </c>
      <c r="T378" s="66">
        <f t="shared" si="85"/>
        <v>5.2182258514221758E-10</v>
      </c>
      <c r="U378" s="45"/>
    </row>
    <row r="379" spans="1:21" ht="15">
      <c r="A379" s="45"/>
      <c r="B379" s="64" t="str">
        <f t="shared" si="75"/>
        <v/>
      </c>
      <c r="C379" s="65" t="str">
        <f t="shared" si="76"/>
        <v/>
      </c>
      <c r="D379" s="66" t="str">
        <f t="shared" si="77"/>
        <v/>
      </c>
      <c r="E379" s="66" t="str">
        <f t="shared" si="78"/>
        <v/>
      </c>
      <c r="F379" s="66" t="str">
        <f t="shared" si="79"/>
        <v/>
      </c>
      <c r="G379" s="45"/>
      <c r="H379" s="45"/>
      <c r="I379" s="64" t="str">
        <f t="shared" si="80"/>
        <v/>
      </c>
      <c r="J379" s="65" t="str">
        <f t="shared" si="86"/>
        <v/>
      </c>
      <c r="K379" s="66" t="str">
        <f t="shared" si="87"/>
        <v/>
      </c>
      <c r="L379" s="66" t="str">
        <f t="shared" si="81"/>
        <v/>
      </c>
      <c r="M379" s="66" t="str">
        <f t="shared" si="82"/>
        <v/>
      </c>
      <c r="N379" s="45"/>
      <c r="O379" s="45"/>
      <c r="P379" s="64" t="str">
        <f t="shared" si="83"/>
        <v/>
      </c>
      <c r="Q379" s="65" t="str">
        <f t="shared" si="84"/>
        <v/>
      </c>
      <c r="R379" s="66" t="str">
        <f t="shared" si="89"/>
        <v/>
      </c>
      <c r="S379" s="66" t="str">
        <f t="shared" si="88"/>
        <v/>
      </c>
      <c r="T379" s="66" t="str">
        <f t="shared" si="85"/>
        <v/>
      </c>
      <c r="U379" s="45"/>
    </row>
    <row r="380" spans="1:21" ht="15">
      <c r="A380" s="45"/>
      <c r="B380" s="64" t="str">
        <f t="shared" si="75"/>
        <v/>
      </c>
      <c r="C380" s="65" t="str">
        <f t="shared" si="76"/>
        <v/>
      </c>
      <c r="D380" s="66" t="str">
        <f t="shared" si="77"/>
        <v/>
      </c>
      <c r="E380" s="66" t="str">
        <f t="shared" si="78"/>
        <v/>
      </c>
      <c r="F380" s="66" t="str">
        <f t="shared" si="79"/>
        <v/>
      </c>
      <c r="G380" s="45"/>
      <c r="H380" s="45"/>
      <c r="I380" s="64" t="str">
        <f t="shared" si="80"/>
        <v/>
      </c>
      <c r="J380" s="65" t="str">
        <f t="shared" si="86"/>
        <v/>
      </c>
      <c r="K380" s="66" t="str">
        <f t="shared" si="87"/>
        <v/>
      </c>
      <c r="L380" s="66" t="str">
        <f t="shared" si="81"/>
        <v/>
      </c>
      <c r="M380" s="66" t="str">
        <f t="shared" si="82"/>
        <v/>
      </c>
      <c r="N380" s="45"/>
      <c r="O380" s="45"/>
      <c r="P380" s="64" t="str">
        <f t="shared" si="83"/>
        <v/>
      </c>
      <c r="Q380" s="65" t="str">
        <f t="shared" si="84"/>
        <v/>
      </c>
      <c r="R380" s="66" t="str">
        <f t="shared" si="89"/>
        <v/>
      </c>
      <c r="S380" s="66" t="str">
        <f t="shared" si="88"/>
        <v/>
      </c>
      <c r="T380" s="66" t="str">
        <f t="shared" si="85"/>
        <v/>
      </c>
      <c r="U380" s="45"/>
    </row>
    <row r="381" spans="1:21" ht="15">
      <c r="A381" s="45"/>
      <c r="B381" s="64" t="str">
        <f t="shared" si="75"/>
        <v/>
      </c>
      <c r="C381" s="65" t="str">
        <f t="shared" si="76"/>
        <v/>
      </c>
      <c r="D381" s="66" t="str">
        <f t="shared" si="77"/>
        <v/>
      </c>
      <c r="E381" s="66" t="str">
        <f t="shared" si="78"/>
        <v/>
      </c>
      <c r="F381" s="66" t="str">
        <f t="shared" si="79"/>
        <v/>
      </c>
      <c r="G381" s="75"/>
      <c r="H381" s="45"/>
      <c r="I381" s="64" t="str">
        <f t="shared" si="80"/>
        <v/>
      </c>
      <c r="J381" s="65" t="str">
        <f t="shared" ref="J381:J444" si="90">IF(I380&lt;$D$6,+J380,"")</f>
        <v/>
      </c>
      <c r="K381" s="66" t="str">
        <f t="shared" si="87"/>
        <v/>
      </c>
      <c r="L381" s="66" t="str">
        <f t="shared" si="81"/>
        <v/>
      </c>
      <c r="M381" s="66" t="str">
        <f t="shared" si="82"/>
        <v/>
      </c>
      <c r="N381" s="75"/>
      <c r="O381" s="45"/>
      <c r="P381" s="64" t="str">
        <f t="shared" si="83"/>
        <v/>
      </c>
      <c r="Q381" s="65" t="str">
        <f t="shared" si="84"/>
        <v/>
      </c>
      <c r="R381" s="66" t="str">
        <f t="shared" si="89"/>
        <v/>
      </c>
      <c r="S381" s="66" t="str">
        <f t="shared" si="88"/>
        <v/>
      </c>
      <c r="T381" s="66" t="str">
        <f t="shared" si="85"/>
        <v/>
      </c>
      <c r="U381" s="75"/>
    </row>
    <row r="382" spans="1:21" ht="15">
      <c r="A382" s="45"/>
      <c r="B382" s="64" t="str">
        <f t="shared" si="75"/>
        <v/>
      </c>
      <c r="C382" s="65" t="str">
        <f t="shared" si="76"/>
        <v/>
      </c>
      <c r="D382" s="66" t="str">
        <f t="shared" si="77"/>
        <v/>
      </c>
      <c r="E382" s="66" t="str">
        <f t="shared" si="78"/>
        <v/>
      </c>
      <c r="F382" s="66" t="str">
        <f t="shared" si="79"/>
        <v/>
      </c>
      <c r="G382" s="76"/>
      <c r="H382" s="45"/>
      <c r="I382" s="64" t="str">
        <f t="shared" si="80"/>
        <v/>
      </c>
      <c r="J382" s="65" t="str">
        <f t="shared" si="90"/>
        <v/>
      </c>
      <c r="K382" s="66" t="str">
        <f t="shared" si="87"/>
        <v/>
      </c>
      <c r="L382" s="66" t="str">
        <f t="shared" si="81"/>
        <v/>
      </c>
      <c r="M382" s="66" t="str">
        <f t="shared" si="82"/>
        <v/>
      </c>
      <c r="N382" s="76"/>
      <c r="O382" s="45"/>
      <c r="P382" s="64" t="str">
        <f t="shared" si="83"/>
        <v/>
      </c>
      <c r="Q382" s="65" t="str">
        <f t="shared" si="84"/>
        <v/>
      </c>
      <c r="R382" s="66" t="str">
        <f t="shared" si="89"/>
        <v/>
      </c>
      <c r="S382" s="66" t="str">
        <f t="shared" si="88"/>
        <v/>
      </c>
      <c r="T382" s="66" t="str">
        <f t="shared" si="85"/>
        <v/>
      </c>
      <c r="U382" s="76"/>
    </row>
    <row r="383" spans="1:21" ht="15">
      <c r="A383" s="45"/>
      <c r="B383" s="64" t="str">
        <f t="shared" si="75"/>
        <v/>
      </c>
      <c r="C383" s="65" t="str">
        <f t="shared" si="76"/>
        <v/>
      </c>
      <c r="D383" s="66" t="str">
        <f t="shared" si="77"/>
        <v/>
      </c>
      <c r="E383" s="66" t="str">
        <f t="shared" si="78"/>
        <v/>
      </c>
      <c r="F383" s="66" t="str">
        <f t="shared" si="79"/>
        <v/>
      </c>
      <c r="G383" s="76"/>
      <c r="H383" s="45"/>
      <c r="I383" s="64" t="str">
        <f t="shared" si="80"/>
        <v/>
      </c>
      <c r="J383" s="65" t="str">
        <f t="shared" si="90"/>
        <v/>
      </c>
      <c r="K383" s="66" t="str">
        <f t="shared" si="87"/>
        <v/>
      </c>
      <c r="L383" s="66" t="str">
        <f t="shared" si="81"/>
        <v/>
      </c>
      <c r="M383" s="66" t="str">
        <f t="shared" si="82"/>
        <v/>
      </c>
      <c r="N383" s="76"/>
      <c r="O383" s="45"/>
      <c r="P383" s="64" t="str">
        <f t="shared" si="83"/>
        <v/>
      </c>
      <c r="Q383" s="65" t="str">
        <f t="shared" si="84"/>
        <v/>
      </c>
      <c r="R383" s="66" t="str">
        <f t="shared" si="89"/>
        <v/>
      </c>
      <c r="S383" s="66" t="str">
        <f t="shared" si="88"/>
        <v/>
      </c>
      <c r="T383" s="66" t="str">
        <f t="shared" si="85"/>
        <v/>
      </c>
      <c r="U383" s="76"/>
    </row>
    <row r="384" spans="1:21" ht="15">
      <c r="A384" s="45"/>
      <c r="B384" s="64" t="str">
        <f t="shared" si="75"/>
        <v/>
      </c>
      <c r="C384" s="65" t="str">
        <f t="shared" si="76"/>
        <v/>
      </c>
      <c r="D384" s="66" t="str">
        <f t="shared" si="77"/>
        <v/>
      </c>
      <c r="E384" s="66" t="str">
        <f t="shared" si="78"/>
        <v/>
      </c>
      <c r="F384" s="66" t="str">
        <f t="shared" si="79"/>
        <v/>
      </c>
      <c r="G384" s="45"/>
      <c r="H384" s="45"/>
      <c r="I384" s="64" t="str">
        <f t="shared" si="80"/>
        <v/>
      </c>
      <c r="J384" s="65" t="str">
        <f t="shared" si="90"/>
        <v/>
      </c>
      <c r="K384" s="66" t="str">
        <f t="shared" si="87"/>
        <v/>
      </c>
      <c r="L384" s="66" t="str">
        <f t="shared" si="81"/>
        <v/>
      </c>
      <c r="M384" s="66" t="str">
        <f t="shared" si="82"/>
        <v/>
      </c>
      <c r="N384" s="45"/>
      <c r="O384" s="45"/>
      <c r="P384" s="64" t="str">
        <f t="shared" si="83"/>
        <v/>
      </c>
      <c r="Q384" s="65" t="str">
        <f t="shared" si="84"/>
        <v/>
      </c>
      <c r="R384" s="66" t="str">
        <f t="shared" si="89"/>
        <v/>
      </c>
      <c r="S384" s="66" t="str">
        <f t="shared" si="88"/>
        <v/>
      </c>
      <c r="T384" s="66" t="str">
        <f t="shared" si="85"/>
        <v/>
      </c>
      <c r="U384" s="45"/>
    </row>
    <row r="385" spans="1:21" ht="15">
      <c r="A385" s="45"/>
      <c r="B385" s="64" t="str">
        <f t="shared" si="75"/>
        <v/>
      </c>
      <c r="C385" s="65" t="str">
        <f t="shared" si="76"/>
        <v/>
      </c>
      <c r="D385" s="66" t="str">
        <f t="shared" si="77"/>
        <v/>
      </c>
      <c r="E385" s="66" t="str">
        <f t="shared" si="78"/>
        <v/>
      </c>
      <c r="F385" s="66" t="str">
        <f t="shared" si="79"/>
        <v/>
      </c>
      <c r="G385" s="45"/>
      <c r="H385" s="45"/>
      <c r="I385" s="64" t="str">
        <f t="shared" si="80"/>
        <v/>
      </c>
      <c r="J385" s="65" t="str">
        <f t="shared" si="90"/>
        <v/>
      </c>
      <c r="K385" s="66" t="str">
        <f t="shared" si="87"/>
        <v/>
      </c>
      <c r="L385" s="66" t="str">
        <f t="shared" si="81"/>
        <v/>
      </c>
      <c r="M385" s="66" t="str">
        <f t="shared" si="82"/>
        <v/>
      </c>
      <c r="N385" s="45"/>
      <c r="O385" s="45"/>
      <c r="P385" s="64" t="str">
        <f t="shared" si="83"/>
        <v/>
      </c>
      <c r="Q385" s="65" t="str">
        <f t="shared" si="84"/>
        <v/>
      </c>
      <c r="R385" s="66" t="str">
        <f t="shared" si="89"/>
        <v/>
      </c>
      <c r="S385" s="66" t="str">
        <f t="shared" si="88"/>
        <v/>
      </c>
      <c r="T385" s="66" t="str">
        <f t="shared" si="85"/>
        <v/>
      </c>
      <c r="U385" s="45"/>
    </row>
    <row r="386" spans="1:21" ht="15">
      <c r="A386" s="45"/>
      <c r="B386" s="64" t="str">
        <f t="shared" si="75"/>
        <v/>
      </c>
      <c r="C386" s="65" t="str">
        <f t="shared" si="76"/>
        <v/>
      </c>
      <c r="D386" s="66" t="str">
        <f t="shared" si="77"/>
        <v/>
      </c>
      <c r="E386" s="66" t="str">
        <f t="shared" si="78"/>
        <v/>
      </c>
      <c r="F386" s="66" t="str">
        <f t="shared" si="79"/>
        <v/>
      </c>
      <c r="G386" s="45"/>
      <c r="H386" s="45"/>
      <c r="I386" s="64" t="str">
        <f t="shared" si="80"/>
        <v/>
      </c>
      <c r="J386" s="65" t="str">
        <f t="shared" si="90"/>
        <v/>
      </c>
      <c r="K386" s="66" t="str">
        <f t="shared" si="87"/>
        <v/>
      </c>
      <c r="L386" s="66" t="str">
        <f t="shared" si="81"/>
        <v/>
      </c>
      <c r="M386" s="66" t="str">
        <f t="shared" si="82"/>
        <v/>
      </c>
      <c r="N386" s="45"/>
      <c r="O386" s="45"/>
      <c r="P386" s="64" t="str">
        <f t="shared" si="83"/>
        <v/>
      </c>
      <c r="Q386" s="65" t="str">
        <f t="shared" si="84"/>
        <v/>
      </c>
      <c r="R386" s="66" t="str">
        <f t="shared" si="89"/>
        <v/>
      </c>
      <c r="S386" s="66" t="str">
        <f t="shared" si="88"/>
        <v/>
      </c>
      <c r="T386" s="66" t="str">
        <f t="shared" si="85"/>
        <v/>
      </c>
      <c r="U386" s="45"/>
    </row>
    <row r="387" spans="1:21" ht="15">
      <c r="A387" s="45"/>
      <c r="B387" s="64" t="str">
        <f t="shared" si="75"/>
        <v/>
      </c>
      <c r="C387" s="65" t="str">
        <f t="shared" si="76"/>
        <v/>
      </c>
      <c r="D387" s="66" t="str">
        <f t="shared" si="77"/>
        <v/>
      </c>
      <c r="E387" s="66" t="str">
        <f t="shared" si="78"/>
        <v/>
      </c>
      <c r="F387" s="66" t="str">
        <f t="shared" si="79"/>
        <v/>
      </c>
      <c r="G387" s="45"/>
      <c r="H387" s="45"/>
      <c r="I387" s="64" t="str">
        <f t="shared" si="80"/>
        <v/>
      </c>
      <c r="J387" s="65" t="str">
        <f t="shared" si="90"/>
        <v/>
      </c>
      <c r="K387" s="66" t="str">
        <f t="shared" si="87"/>
        <v/>
      </c>
      <c r="L387" s="66" t="str">
        <f t="shared" si="81"/>
        <v/>
      </c>
      <c r="M387" s="66" t="str">
        <f t="shared" si="82"/>
        <v/>
      </c>
      <c r="N387" s="45"/>
      <c r="O387" s="45"/>
      <c r="P387" s="64" t="str">
        <f t="shared" si="83"/>
        <v/>
      </c>
      <c r="Q387" s="65" t="str">
        <f t="shared" si="84"/>
        <v/>
      </c>
      <c r="R387" s="66" t="str">
        <f t="shared" si="89"/>
        <v/>
      </c>
      <c r="S387" s="66" t="str">
        <f t="shared" si="88"/>
        <v/>
      </c>
      <c r="T387" s="66" t="str">
        <f t="shared" si="85"/>
        <v/>
      </c>
      <c r="U387" s="45"/>
    </row>
    <row r="388" spans="1:21" ht="15">
      <c r="A388" s="45"/>
      <c r="B388" s="64" t="str">
        <f t="shared" si="75"/>
        <v/>
      </c>
      <c r="C388" s="65" t="str">
        <f t="shared" si="76"/>
        <v/>
      </c>
      <c r="D388" s="66" t="str">
        <f t="shared" si="77"/>
        <v/>
      </c>
      <c r="E388" s="66" t="str">
        <f t="shared" si="78"/>
        <v/>
      </c>
      <c r="F388" s="66" t="str">
        <f t="shared" si="79"/>
        <v/>
      </c>
      <c r="G388" s="45"/>
      <c r="H388" s="45"/>
      <c r="I388" s="64" t="str">
        <f t="shared" si="80"/>
        <v/>
      </c>
      <c r="J388" s="65" t="str">
        <f t="shared" si="90"/>
        <v/>
      </c>
      <c r="K388" s="66" t="str">
        <f t="shared" si="87"/>
        <v/>
      </c>
      <c r="L388" s="66" t="str">
        <f t="shared" si="81"/>
        <v/>
      </c>
      <c r="M388" s="66" t="str">
        <f t="shared" si="82"/>
        <v/>
      </c>
      <c r="N388" s="45"/>
      <c r="O388" s="45"/>
      <c r="P388" s="64" t="str">
        <f t="shared" si="83"/>
        <v/>
      </c>
      <c r="Q388" s="65" t="str">
        <f t="shared" si="84"/>
        <v/>
      </c>
      <c r="R388" s="66" t="str">
        <f t="shared" si="89"/>
        <v/>
      </c>
      <c r="S388" s="66" t="str">
        <f t="shared" si="88"/>
        <v/>
      </c>
      <c r="T388" s="66" t="str">
        <f t="shared" si="85"/>
        <v/>
      </c>
      <c r="U388" s="45"/>
    </row>
    <row r="389" spans="1:21" ht="15">
      <c r="A389" s="45"/>
      <c r="B389" s="64" t="str">
        <f t="shared" si="75"/>
        <v/>
      </c>
      <c r="C389" s="65" t="str">
        <f t="shared" si="76"/>
        <v/>
      </c>
      <c r="D389" s="66" t="str">
        <f t="shared" si="77"/>
        <v/>
      </c>
      <c r="E389" s="66" t="str">
        <f t="shared" si="78"/>
        <v/>
      </c>
      <c r="F389" s="66" t="str">
        <f t="shared" si="79"/>
        <v/>
      </c>
      <c r="G389" s="45"/>
      <c r="H389" s="45"/>
      <c r="I389" s="64" t="str">
        <f t="shared" si="80"/>
        <v/>
      </c>
      <c r="J389" s="65" t="str">
        <f t="shared" si="90"/>
        <v/>
      </c>
      <c r="K389" s="66" t="str">
        <f t="shared" si="87"/>
        <v/>
      </c>
      <c r="L389" s="66" t="str">
        <f t="shared" si="81"/>
        <v/>
      </c>
      <c r="M389" s="66" t="str">
        <f t="shared" si="82"/>
        <v/>
      </c>
      <c r="N389" s="45"/>
      <c r="O389" s="45"/>
      <c r="P389" s="64" t="str">
        <f t="shared" si="83"/>
        <v/>
      </c>
      <c r="Q389" s="65" t="str">
        <f t="shared" si="84"/>
        <v/>
      </c>
      <c r="R389" s="66" t="str">
        <f t="shared" si="89"/>
        <v/>
      </c>
      <c r="S389" s="66" t="str">
        <f t="shared" si="88"/>
        <v/>
      </c>
      <c r="T389" s="66" t="str">
        <f t="shared" si="85"/>
        <v/>
      </c>
      <c r="U389" s="45"/>
    </row>
    <row r="390" spans="1:21" ht="15">
      <c r="A390" s="45"/>
      <c r="B390" s="64" t="str">
        <f t="shared" si="75"/>
        <v/>
      </c>
      <c r="C390" s="65" t="str">
        <f t="shared" si="76"/>
        <v/>
      </c>
      <c r="D390" s="66" t="str">
        <f t="shared" si="77"/>
        <v/>
      </c>
      <c r="E390" s="66" t="str">
        <f t="shared" si="78"/>
        <v/>
      </c>
      <c r="F390" s="66" t="str">
        <f t="shared" si="79"/>
        <v/>
      </c>
      <c r="G390" s="45"/>
      <c r="H390" s="45"/>
      <c r="I390" s="64" t="str">
        <f t="shared" si="80"/>
        <v/>
      </c>
      <c r="J390" s="65" t="str">
        <f t="shared" si="90"/>
        <v/>
      </c>
      <c r="K390" s="66" t="str">
        <f t="shared" si="87"/>
        <v/>
      </c>
      <c r="L390" s="66" t="str">
        <f t="shared" si="81"/>
        <v/>
      </c>
      <c r="M390" s="66" t="str">
        <f t="shared" si="82"/>
        <v/>
      </c>
      <c r="N390" s="45"/>
      <c r="O390" s="45"/>
      <c r="P390" s="64" t="str">
        <f t="shared" si="83"/>
        <v/>
      </c>
      <c r="Q390" s="65" t="str">
        <f t="shared" si="84"/>
        <v/>
      </c>
      <c r="R390" s="66" t="str">
        <f t="shared" si="89"/>
        <v/>
      </c>
      <c r="S390" s="66" t="str">
        <f t="shared" si="88"/>
        <v/>
      </c>
      <c r="T390" s="66" t="str">
        <f t="shared" si="85"/>
        <v/>
      </c>
      <c r="U390" s="45"/>
    </row>
    <row r="391" spans="1:21" ht="15">
      <c r="A391" s="45"/>
      <c r="B391" s="64" t="str">
        <f t="shared" si="75"/>
        <v/>
      </c>
      <c r="C391" s="65" t="str">
        <f t="shared" si="76"/>
        <v/>
      </c>
      <c r="D391" s="66" t="str">
        <f t="shared" si="77"/>
        <v/>
      </c>
      <c r="E391" s="66" t="str">
        <f t="shared" si="78"/>
        <v/>
      </c>
      <c r="F391" s="66" t="str">
        <f t="shared" si="79"/>
        <v/>
      </c>
      <c r="G391" s="45"/>
      <c r="H391" s="45"/>
      <c r="I391" s="64" t="str">
        <f t="shared" si="80"/>
        <v/>
      </c>
      <c r="J391" s="65" t="str">
        <f t="shared" si="90"/>
        <v/>
      </c>
      <c r="K391" s="66" t="str">
        <f t="shared" si="87"/>
        <v/>
      </c>
      <c r="L391" s="66" t="str">
        <f t="shared" si="81"/>
        <v/>
      </c>
      <c r="M391" s="66" t="str">
        <f t="shared" si="82"/>
        <v/>
      </c>
      <c r="N391" s="45"/>
      <c r="O391" s="45"/>
      <c r="P391" s="64" t="str">
        <f t="shared" si="83"/>
        <v/>
      </c>
      <c r="Q391" s="65" t="str">
        <f t="shared" si="84"/>
        <v/>
      </c>
      <c r="R391" s="66" t="str">
        <f t="shared" si="89"/>
        <v/>
      </c>
      <c r="S391" s="66" t="str">
        <f t="shared" si="88"/>
        <v/>
      </c>
      <c r="T391" s="66" t="str">
        <f t="shared" si="85"/>
        <v/>
      </c>
      <c r="U391" s="45"/>
    </row>
    <row r="392" spans="1:21" ht="15">
      <c r="A392" s="45"/>
      <c r="B392" s="64" t="str">
        <f t="shared" si="75"/>
        <v/>
      </c>
      <c r="C392" s="65" t="str">
        <f t="shared" si="76"/>
        <v/>
      </c>
      <c r="D392" s="66" t="str">
        <f t="shared" si="77"/>
        <v/>
      </c>
      <c r="E392" s="66" t="str">
        <f t="shared" si="78"/>
        <v/>
      </c>
      <c r="F392" s="66" t="str">
        <f t="shared" si="79"/>
        <v/>
      </c>
      <c r="G392" s="45"/>
      <c r="H392" s="45"/>
      <c r="I392" s="64" t="str">
        <f t="shared" si="80"/>
        <v/>
      </c>
      <c r="J392" s="65" t="str">
        <f t="shared" si="90"/>
        <v/>
      </c>
      <c r="K392" s="66" t="str">
        <f t="shared" si="87"/>
        <v/>
      </c>
      <c r="L392" s="66" t="str">
        <f t="shared" si="81"/>
        <v/>
      </c>
      <c r="M392" s="66" t="str">
        <f t="shared" si="82"/>
        <v/>
      </c>
      <c r="N392" s="45"/>
      <c r="O392" s="45"/>
      <c r="P392" s="64" t="str">
        <f t="shared" si="83"/>
        <v/>
      </c>
      <c r="Q392" s="65" t="str">
        <f t="shared" si="84"/>
        <v/>
      </c>
      <c r="R392" s="66" t="str">
        <f t="shared" si="89"/>
        <v/>
      </c>
      <c r="S392" s="66" t="str">
        <f t="shared" si="88"/>
        <v/>
      </c>
      <c r="T392" s="66" t="str">
        <f t="shared" si="85"/>
        <v/>
      </c>
      <c r="U392" s="45"/>
    </row>
    <row r="393" spans="1:21" ht="15">
      <c r="A393" s="45"/>
      <c r="B393" s="64" t="str">
        <f t="shared" si="75"/>
        <v/>
      </c>
      <c r="C393" s="65" t="str">
        <f t="shared" si="76"/>
        <v/>
      </c>
      <c r="D393" s="66" t="str">
        <f t="shared" si="77"/>
        <v/>
      </c>
      <c r="E393" s="66" t="str">
        <f t="shared" si="78"/>
        <v/>
      </c>
      <c r="F393" s="66" t="str">
        <f t="shared" si="79"/>
        <v/>
      </c>
      <c r="G393" s="45"/>
      <c r="H393" s="45"/>
      <c r="I393" s="64" t="str">
        <f t="shared" si="80"/>
        <v/>
      </c>
      <c r="J393" s="65" t="str">
        <f t="shared" si="90"/>
        <v/>
      </c>
      <c r="K393" s="66" t="str">
        <f t="shared" si="87"/>
        <v/>
      </c>
      <c r="L393" s="66" t="str">
        <f t="shared" si="81"/>
        <v/>
      </c>
      <c r="M393" s="66" t="str">
        <f t="shared" si="82"/>
        <v/>
      </c>
      <c r="N393" s="45"/>
      <c r="O393" s="45"/>
      <c r="P393" s="64" t="str">
        <f t="shared" si="83"/>
        <v/>
      </c>
      <c r="Q393" s="65" t="str">
        <f t="shared" si="84"/>
        <v/>
      </c>
      <c r="R393" s="66" t="str">
        <f t="shared" si="89"/>
        <v/>
      </c>
      <c r="S393" s="66" t="str">
        <f t="shared" si="88"/>
        <v/>
      </c>
      <c r="T393" s="66" t="str">
        <f t="shared" si="85"/>
        <v/>
      </c>
      <c r="U393" s="45"/>
    </row>
    <row r="394" spans="1:21" ht="15">
      <c r="A394" s="45"/>
      <c r="B394" s="64" t="str">
        <f t="shared" si="75"/>
        <v/>
      </c>
      <c r="C394" s="65" t="str">
        <f t="shared" si="76"/>
        <v/>
      </c>
      <c r="D394" s="66" t="str">
        <f t="shared" si="77"/>
        <v/>
      </c>
      <c r="E394" s="66" t="str">
        <f t="shared" si="78"/>
        <v/>
      </c>
      <c r="F394" s="66" t="str">
        <f t="shared" si="79"/>
        <v/>
      </c>
      <c r="G394" s="45"/>
      <c r="H394" s="45"/>
      <c r="I394" s="64" t="str">
        <f t="shared" si="80"/>
        <v/>
      </c>
      <c r="J394" s="65" t="str">
        <f t="shared" si="90"/>
        <v/>
      </c>
      <c r="K394" s="66" t="str">
        <f t="shared" si="87"/>
        <v/>
      </c>
      <c r="L394" s="66" t="str">
        <f t="shared" si="81"/>
        <v/>
      </c>
      <c r="M394" s="66" t="str">
        <f t="shared" si="82"/>
        <v/>
      </c>
      <c r="N394" s="45"/>
      <c r="O394" s="45"/>
      <c r="P394" s="64" t="str">
        <f t="shared" si="83"/>
        <v/>
      </c>
      <c r="Q394" s="65" t="str">
        <f t="shared" si="84"/>
        <v/>
      </c>
      <c r="R394" s="66" t="str">
        <f t="shared" si="89"/>
        <v/>
      </c>
      <c r="S394" s="66" t="str">
        <f t="shared" si="88"/>
        <v/>
      </c>
      <c r="T394" s="66" t="str">
        <f t="shared" si="85"/>
        <v/>
      </c>
      <c r="U394" s="45"/>
    </row>
    <row r="395" spans="1:21" ht="15">
      <c r="A395" s="45"/>
      <c r="B395" s="64" t="str">
        <f t="shared" si="75"/>
        <v/>
      </c>
      <c r="C395" s="65" t="str">
        <f t="shared" si="76"/>
        <v/>
      </c>
      <c r="D395" s="66" t="str">
        <f t="shared" si="77"/>
        <v/>
      </c>
      <c r="E395" s="66" t="str">
        <f t="shared" si="78"/>
        <v/>
      </c>
      <c r="F395" s="66" t="str">
        <f t="shared" si="79"/>
        <v/>
      </c>
      <c r="G395" s="45"/>
      <c r="H395" s="45"/>
      <c r="I395" s="64" t="str">
        <f t="shared" si="80"/>
        <v/>
      </c>
      <c r="J395" s="65" t="str">
        <f t="shared" si="90"/>
        <v/>
      </c>
      <c r="K395" s="66" t="str">
        <f t="shared" si="87"/>
        <v/>
      </c>
      <c r="L395" s="66" t="str">
        <f t="shared" si="81"/>
        <v/>
      </c>
      <c r="M395" s="66" t="str">
        <f t="shared" si="82"/>
        <v/>
      </c>
      <c r="N395" s="45"/>
      <c r="O395" s="45"/>
      <c r="P395" s="64" t="str">
        <f t="shared" si="83"/>
        <v/>
      </c>
      <c r="Q395" s="65" t="str">
        <f t="shared" si="84"/>
        <v/>
      </c>
      <c r="R395" s="66" t="str">
        <f t="shared" si="89"/>
        <v/>
      </c>
      <c r="S395" s="66" t="str">
        <f t="shared" si="88"/>
        <v/>
      </c>
      <c r="T395" s="66" t="str">
        <f t="shared" si="85"/>
        <v/>
      </c>
      <c r="U395" s="45"/>
    </row>
    <row r="396" spans="1:21" ht="15">
      <c r="A396" s="45"/>
      <c r="B396" s="64" t="str">
        <f t="shared" si="75"/>
        <v/>
      </c>
      <c r="C396" s="65" t="str">
        <f t="shared" si="76"/>
        <v/>
      </c>
      <c r="D396" s="66" t="str">
        <f t="shared" si="77"/>
        <v/>
      </c>
      <c r="E396" s="66" t="str">
        <f t="shared" si="78"/>
        <v/>
      </c>
      <c r="F396" s="66" t="str">
        <f t="shared" si="79"/>
        <v/>
      </c>
      <c r="G396" s="45"/>
      <c r="H396" s="45"/>
      <c r="I396" s="64" t="str">
        <f t="shared" si="80"/>
        <v/>
      </c>
      <c r="J396" s="65" t="str">
        <f t="shared" si="90"/>
        <v/>
      </c>
      <c r="K396" s="66" t="str">
        <f t="shared" si="87"/>
        <v/>
      </c>
      <c r="L396" s="66" t="str">
        <f t="shared" si="81"/>
        <v/>
      </c>
      <c r="M396" s="66" t="str">
        <f t="shared" si="82"/>
        <v/>
      </c>
      <c r="N396" s="45"/>
      <c r="O396" s="45"/>
      <c r="P396" s="64" t="str">
        <f t="shared" si="83"/>
        <v/>
      </c>
      <c r="Q396" s="65" t="str">
        <f t="shared" si="84"/>
        <v/>
      </c>
      <c r="R396" s="66" t="str">
        <f t="shared" si="89"/>
        <v/>
      </c>
      <c r="S396" s="66" t="str">
        <f t="shared" si="88"/>
        <v/>
      </c>
      <c r="T396" s="66" t="str">
        <f t="shared" si="85"/>
        <v/>
      </c>
      <c r="U396" s="45"/>
    </row>
    <row r="397" spans="1:21" ht="15">
      <c r="A397" s="45"/>
      <c r="B397" s="64" t="str">
        <f t="shared" si="75"/>
        <v/>
      </c>
      <c r="C397" s="65" t="str">
        <f t="shared" si="76"/>
        <v/>
      </c>
      <c r="D397" s="66" t="str">
        <f t="shared" si="77"/>
        <v/>
      </c>
      <c r="E397" s="66" t="str">
        <f t="shared" si="78"/>
        <v/>
      </c>
      <c r="F397" s="66" t="str">
        <f t="shared" si="79"/>
        <v/>
      </c>
      <c r="G397" s="45"/>
      <c r="H397" s="45"/>
      <c r="I397" s="64" t="str">
        <f t="shared" si="80"/>
        <v/>
      </c>
      <c r="J397" s="65" t="str">
        <f t="shared" si="90"/>
        <v/>
      </c>
      <c r="K397" s="66" t="str">
        <f t="shared" si="87"/>
        <v/>
      </c>
      <c r="L397" s="66" t="str">
        <f t="shared" si="81"/>
        <v/>
      </c>
      <c r="M397" s="66" t="str">
        <f t="shared" si="82"/>
        <v/>
      </c>
      <c r="N397" s="45"/>
      <c r="O397" s="45"/>
      <c r="P397" s="64" t="str">
        <f t="shared" si="83"/>
        <v/>
      </c>
      <c r="Q397" s="65" t="str">
        <f t="shared" si="84"/>
        <v/>
      </c>
      <c r="R397" s="66" t="str">
        <f t="shared" si="89"/>
        <v/>
      </c>
      <c r="S397" s="66" t="str">
        <f t="shared" si="88"/>
        <v/>
      </c>
      <c r="T397" s="66" t="str">
        <f t="shared" si="85"/>
        <v/>
      </c>
      <c r="U397" s="45"/>
    </row>
    <row r="398" spans="1:21" ht="15">
      <c r="A398" s="45"/>
      <c r="B398" s="64" t="str">
        <f t="shared" si="75"/>
        <v/>
      </c>
      <c r="C398" s="65" t="str">
        <f t="shared" si="76"/>
        <v/>
      </c>
      <c r="D398" s="66" t="str">
        <f t="shared" si="77"/>
        <v/>
      </c>
      <c r="E398" s="66" t="str">
        <f t="shared" si="78"/>
        <v/>
      </c>
      <c r="F398" s="66" t="str">
        <f t="shared" si="79"/>
        <v/>
      </c>
      <c r="G398" s="45"/>
      <c r="H398" s="45"/>
      <c r="I398" s="64" t="str">
        <f t="shared" si="80"/>
        <v/>
      </c>
      <c r="J398" s="65" t="str">
        <f t="shared" si="90"/>
        <v/>
      </c>
      <c r="K398" s="66" t="str">
        <f t="shared" si="87"/>
        <v/>
      </c>
      <c r="L398" s="66" t="str">
        <f t="shared" si="81"/>
        <v/>
      </c>
      <c r="M398" s="66" t="str">
        <f t="shared" si="82"/>
        <v/>
      </c>
      <c r="N398" s="45"/>
      <c r="O398" s="45"/>
      <c r="P398" s="64" t="str">
        <f t="shared" si="83"/>
        <v/>
      </c>
      <c r="Q398" s="65" t="str">
        <f t="shared" si="84"/>
        <v/>
      </c>
      <c r="R398" s="66" t="str">
        <f t="shared" si="89"/>
        <v/>
      </c>
      <c r="S398" s="66" t="str">
        <f t="shared" si="88"/>
        <v/>
      </c>
      <c r="T398" s="66" t="str">
        <f t="shared" si="85"/>
        <v/>
      </c>
      <c r="U398" s="45"/>
    </row>
    <row r="399" spans="1:21" ht="15">
      <c r="A399" s="45"/>
      <c r="B399" s="64" t="str">
        <f t="shared" si="75"/>
        <v/>
      </c>
      <c r="C399" s="65" t="str">
        <f t="shared" si="76"/>
        <v/>
      </c>
      <c r="D399" s="66" t="str">
        <f t="shared" si="77"/>
        <v/>
      </c>
      <c r="E399" s="66" t="str">
        <f t="shared" si="78"/>
        <v/>
      </c>
      <c r="F399" s="66" t="str">
        <f t="shared" si="79"/>
        <v/>
      </c>
      <c r="G399" s="45"/>
      <c r="H399" s="45"/>
      <c r="I399" s="64" t="str">
        <f t="shared" si="80"/>
        <v/>
      </c>
      <c r="J399" s="65" t="str">
        <f t="shared" si="90"/>
        <v/>
      </c>
      <c r="K399" s="66" t="str">
        <f t="shared" si="87"/>
        <v/>
      </c>
      <c r="L399" s="66" t="str">
        <f t="shared" si="81"/>
        <v/>
      </c>
      <c r="M399" s="66" t="str">
        <f t="shared" si="82"/>
        <v/>
      </c>
      <c r="N399" s="45"/>
      <c r="O399" s="45"/>
      <c r="P399" s="64" t="str">
        <f t="shared" si="83"/>
        <v/>
      </c>
      <c r="Q399" s="65" t="str">
        <f t="shared" si="84"/>
        <v/>
      </c>
      <c r="R399" s="66" t="str">
        <f t="shared" si="89"/>
        <v/>
      </c>
      <c r="S399" s="66" t="str">
        <f t="shared" si="88"/>
        <v/>
      </c>
      <c r="T399" s="66" t="str">
        <f t="shared" si="85"/>
        <v/>
      </c>
      <c r="U399" s="45"/>
    </row>
    <row r="400" spans="1:21" ht="15">
      <c r="A400" s="45"/>
      <c r="B400" s="64" t="str">
        <f t="shared" si="75"/>
        <v/>
      </c>
      <c r="C400" s="65" t="str">
        <f t="shared" si="76"/>
        <v/>
      </c>
      <c r="D400" s="66" t="str">
        <f t="shared" si="77"/>
        <v/>
      </c>
      <c r="E400" s="66" t="str">
        <f t="shared" si="78"/>
        <v/>
      </c>
      <c r="F400" s="66" t="str">
        <f t="shared" si="79"/>
        <v/>
      </c>
      <c r="G400" s="45"/>
      <c r="H400" s="45"/>
      <c r="I400" s="64" t="str">
        <f t="shared" si="80"/>
        <v/>
      </c>
      <c r="J400" s="65" t="str">
        <f t="shared" si="90"/>
        <v/>
      </c>
      <c r="K400" s="66" t="str">
        <f t="shared" si="87"/>
        <v/>
      </c>
      <c r="L400" s="66" t="str">
        <f t="shared" si="81"/>
        <v/>
      </c>
      <c r="M400" s="66" t="str">
        <f t="shared" si="82"/>
        <v/>
      </c>
      <c r="N400" s="45"/>
      <c r="O400" s="45"/>
      <c r="P400" s="64" t="str">
        <f t="shared" si="83"/>
        <v/>
      </c>
      <c r="Q400" s="65" t="str">
        <f t="shared" si="84"/>
        <v/>
      </c>
      <c r="R400" s="66" t="str">
        <f t="shared" si="89"/>
        <v/>
      </c>
      <c r="S400" s="66" t="str">
        <f t="shared" si="88"/>
        <v/>
      </c>
      <c r="T400" s="66" t="str">
        <f t="shared" si="85"/>
        <v/>
      </c>
      <c r="U400" s="45"/>
    </row>
    <row r="401" spans="1:21" ht="15">
      <c r="A401" s="45"/>
      <c r="B401" s="64" t="str">
        <f t="shared" si="75"/>
        <v/>
      </c>
      <c r="C401" s="65" t="str">
        <f t="shared" si="76"/>
        <v/>
      </c>
      <c r="D401" s="66" t="str">
        <f t="shared" si="77"/>
        <v/>
      </c>
      <c r="E401" s="66" t="str">
        <f t="shared" si="78"/>
        <v/>
      </c>
      <c r="F401" s="66" t="str">
        <f t="shared" si="79"/>
        <v/>
      </c>
      <c r="G401" s="45"/>
      <c r="H401" s="45"/>
      <c r="I401" s="64" t="str">
        <f t="shared" si="80"/>
        <v/>
      </c>
      <c r="J401" s="65" t="str">
        <f t="shared" si="90"/>
        <v/>
      </c>
      <c r="K401" s="66" t="str">
        <f t="shared" si="87"/>
        <v/>
      </c>
      <c r="L401" s="66" t="str">
        <f t="shared" si="81"/>
        <v/>
      </c>
      <c r="M401" s="66" t="str">
        <f t="shared" si="82"/>
        <v/>
      </c>
      <c r="N401" s="45"/>
      <c r="O401" s="45"/>
      <c r="P401" s="64" t="str">
        <f t="shared" si="83"/>
        <v/>
      </c>
      <c r="Q401" s="65" t="str">
        <f t="shared" si="84"/>
        <v/>
      </c>
      <c r="R401" s="66" t="str">
        <f t="shared" si="89"/>
        <v/>
      </c>
      <c r="S401" s="66" t="str">
        <f t="shared" si="88"/>
        <v/>
      </c>
      <c r="T401" s="66" t="str">
        <f t="shared" si="85"/>
        <v/>
      </c>
      <c r="U401" s="45"/>
    </row>
    <row r="402" spans="1:21" ht="15">
      <c r="A402" s="45"/>
      <c r="B402" s="64" t="str">
        <f t="shared" si="75"/>
        <v/>
      </c>
      <c r="C402" s="65" t="str">
        <f t="shared" si="76"/>
        <v/>
      </c>
      <c r="D402" s="66" t="str">
        <f t="shared" si="77"/>
        <v/>
      </c>
      <c r="E402" s="66" t="str">
        <f t="shared" si="78"/>
        <v/>
      </c>
      <c r="F402" s="66" t="str">
        <f t="shared" si="79"/>
        <v/>
      </c>
      <c r="G402" s="45"/>
      <c r="H402" s="45"/>
      <c r="I402" s="64" t="str">
        <f t="shared" si="80"/>
        <v/>
      </c>
      <c r="J402" s="65" t="str">
        <f t="shared" si="90"/>
        <v/>
      </c>
      <c r="K402" s="66" t="str">
        <f t="shared" si="87"/>
        <v/>
      </c>
      <c r="L402" s="66" t="str">
        <f t="shared" si="81"/>
        <v/>
      </c>
      <c r="M402" s="66" t="str">
        <f t="shared" si="82"/>
        <v/>
      </c>
      <c r="N402" s="45"/>
      <c r="O402" s="45"/>
      <c r="P402" s="64" t="str">
        <f t="shared" si="83"/>
        <v/>
      </c>
      <c r="Q402" s="65" t="str">
        <f t="shared" si="84"/>
        <v/>
      </c>
      <c r="R402" s="66" t="str">
        <f t="shared" si="89"/>
        <v/>
      </c>
      <c r="S402" s="66" t="str">
        <f t="shared" si="88"/>
        <v/>
      </c>
      <c r="T402" s="66" t="str">
        <f t="shared" si="85"/>
        <v/>
      </c>
      <c r="U402" s="45"/>
    </row>
    <row r="403" spans="1:21" ht="15">
      <c r="A403" s="45"/>
      <c r="B403" s="64" t="str">
        <f t="shared" si="75"/>
        <v/>
      </c>
      <c r="C403" s="65" t="str">
        <f t="shared" si="76"/>
        <v/>
      </c>
      <c r="D403" s="66" t="str">
        <f t="shared" si="77"/>
        <v/>
      </c>
      <c r="E403" s="66" t="str">
        <f t="shared" si="78"/>
        <v/>
      </c>
      <c r="F403" s="66" t="str">
        <f t="shared" si="79"/>
        <v/>
      </c>
      <c r="G403" s="45"/>
      <c r="H403" s="45"/>
      <c r="I403" s="64" t="str">
        <f t="shared" si="80"/>
        <v/>
      </c>
      <c r="J403" s="65" t="str">
        <f t="shared" si="90"/>
        <v/>
      </c>
      <c r="K403" s="66" t="str">
        <f t="shared" si="87"/>
        <v/>
      </c>
      <c r="L403" s="66" t="str">
        <f t="shared" si="81"/>
        <v/>
      </c>
      <c r="M403" s="66" t="str">
        <f t="shared" si="82"/>
        <v/>
      </c>
      <c r="N403" s="45"/>
      <c r="O403" s="45"/>
      <c r="P403" s="64" t="str">
        <f t="shared" si="83"/>
        <v/>
      </c>
      <c r="Q403" s="65" t="str">
        <f t="shared" si="84"/>
        <v/>
      </c>
      <c r="R403" s="66" t="str">
        <f t="shared" si="89"/>
        <v/>
      </c>
      <c r="S403" s="66" t="str">
        <f t="shared" si="88"/>
        <v/>
      </c>
      <c r="T403" s="66" t="str">
        <f t="shared" si="85"/>
        <v/>
      </c>
      <c r="U403" s="45"/>
    </row>
    <row r="404" spans="1:21" ht="15">
      <c r="A404" s="45"/>
      <c r="B404" s="64" t="str">
        <f t="shared" ref="B404:B467" si="91">IF(B403&lt;$D$6,B403+1,"")</f>
        <v/>
      </c>
      <c r="C404" s="65" t="str">
        <f t="shared" ref="C404:C467" si="92">IF(B403&lt;$D$6,+C403,"")</f>
        <v/>
      </c>
      <c r="D404" s="66" t="str">
        <f t="shared" ref="D404:D467" si="93">IF(B403&lt;$D$6,+F403*($D$7/12),"")</f>
        <v/>
      </c>
      <c r="E404" s="66" t="str">
        <f t="shared" ref="E404:E467" si="94">IF(B403&lt;$D$6,+C404-D404,"")</f>
        <v/>
      </c>
      <c r="F404" s="66" t="str">
        <f t="shared" ref="F404:F467" si="95">IF(B403&lt;$D$6,+F403-E404,"")</f>
        <v/>
      </c>
      <c r="G404" s="45"/>
      <c r="H404" s="45"/>
      <c r="I404" s="64" t="str">
        <f t="shared" si="80"/>
        <v/>
      </c>
      <c r="J404" s="65" t="str">
        <f t="shared" si="90"/>
        <v/>
      </c>
      <c r="K404" s="66" t="str">
        <f t="shared" si="87"/>
        <v/>
      </c>
      <c r="L404" s="66" t="str">
        <f t="shared" si="81"/>
        <v/>
      </c>
      <c r="M404" s="66" t="str">
        <f t="shared" si="82"/>
        <v/>
      </c>
      <c r="N404" s="45"/>
      <c r="O404" s="45"/>
      <c r="P404" s="64" t="str">
        <f t="shared" si="83"/>
        <v/>
      </c>
      <c r="Q404" s="65" t="str">
        <f t="shared" si="84"/>
        <v/>
      </c>
      <c r="R404" s="66" t="str">
        <f t="shared" si="89"/>
        <v/>
      </c>
      <c r="S404" s="66" t="str">
        <f t="shared" si="88"/>
        <v/>
      </c>
      <c r="T404" s="66" t="str">
        <f t="shared" si="85"/>
        <v/>
      </c>
      <c r="U404" s="45"/>
    </row>
    <row r="405" spans="1:21" ht="15">
      <c r="A405" s="45"/>
      <c r="B405" s="64" t="str">
        <f t="shared" si="91"/>
        <v/>
      </c>
      <c r="C405" s="65" t="str">
        <f t="shared" si="92"/>
        <v/>
      </c>
      <c r="D405" s="66" t="str">
        <f t="shared" si="93"/>
        <v/>
      </c>
      <c r="E405" s="66" t="str">
        <f t="shared" si="94"/>
        <v/>
      </c>
      <c r="F405" s="66" t="str">
        <f t="shared" si="95"/>
        <v/>
      </c>
      <c r="G405" s="45"/>
      <c r="H405" s="45"/>
      <c r="I405" s="64" t="str">
        <f t="shared" ref="I405:I468" si="96">IF(I404&lt;$K$6,I404+1,"")</f>
        <v/>
      </c>
      <c r="J405" s="65" t="str">
        <f t="shared" si="90"/>
        <v/>
      </c>
      <c r="K405" s="66" t="str">
        <f t="shared" si="87"/>
        <v/>
      </c>
      <c r="L405" s="66" t="str">
        <f t="shared" ref="L405:L468" si="97">IF(I404&lt;$K$6,+J405-K405,"")</f>
        <v/>
      </c>
      <c r="M405" s="66" t="str">
        <f t="shared" ref="M405:M468" si="98">IF(I404&lt;$K$6,+M404-L405,"")</f>
        <v/>
      </c>
      <c r="N405" s="45"/>
      <c r="O405" s="45"/>
      <c r="P405" s="64" t="str">
        <f t="shared" ref="P405:P468" si="99">IF(P404&lt;$K$6,P404+1,"")</f>
        <v/>
      </c>
      <c r="Q405" s="65" t="str">
        <f t="shared" ref="Q405:Q468" si="100">IF(P404&lt;$R$6,+Q404,"")</f>
        <v/>
      </c>
      <c r="R405" s="66" t="str">
        <f t="shared" si="89"/>
        <v/>
      </c>
      <c r="S405" s="66" t="str">
        <f t="shared" si="88"/>
        <v/>
      </c>
      <c r="T405" s="66" t="str">
        <f t="shared" ref="T405:T468" si="101">IF(P404&lt;$R$6,+T404-S405,"")</f>
        <v/>
      </c>
      <c r="U405" s="45"/>
    </row>
    <row r="406" spans="1:21" ht="15">
      <c r="A406" s="45"/>
      <c r="B406" s="64" t="str">
        <f t="shared" si="91"/>
        <v/>
      </c>
      <c r="C406" s="65" t="str">
        <f t="shared" si="92"/>
        <v/>
      </c>
      <c r="D406" s="66" t="str">
        <f t="shared" si="93"/>
        <v/>
      </c>
      <c r="E406" s="66" t="str">
        <f t="shared" si="94"/>
        <v/>
      </c>
      <c r="F406" s="66" t="str">
        <f t="shared" si="95"/>
        <v/>
      </c>
      <c r="G406" s="45"/>
      <c r="H406" s="45"/>
      <c r="I406" s="64" t="str">
        <f t="shared" si="96"/>
        <v/>
      </c>
      <c r="J406" s="65" t="str">
        <f t="shared" si="90"/>
        <v/>
      </c>
      <c r="K406" s="66" t="str">
        <f t="shared" ref="K406:K469" si="102">IF(I405&lt;$K$6,+M405*($K$7/12),"")</f>
        <v/>
      </c>
      <c r="L406" s="66" t="str">
        <f t="shared" si="97"/>
        <v/>
      </c>
      <c r="M406" s="66" t="str">
        <f t="shared" si="98"/>
        <v/>
      </c>
      <c r="N406" s="45"/>
      <c r="O406" s="45"/>
      <c r="P406" s="64" t="str">
        <f t="shared" si="99"/>
        <v/>
      </c>
      <c r="Q406" s="65" t="str">
        <f t="shared" si="100"/>
        <v/>
      </c>
      <c r="R406" s="66" t="str">
        <f t="shared" si="89"/>
        <v/>
      </c>
      <c r="S406" s="66" t="str">
        <f t="shared" ref="S406:S469" si="103">IF(P405&lt;$R$6,+Q406-R406,"")</f>
        <v/>
      </c>
      <c r="T406" s="66" t="str">
        <f t="shared" si="101"/>
        <v/>
      </c>
      <c r="U406" s="45"/>
    </row>
    <row r="407" spans="1:21" ht="15">
      <c r="A407" s="45"/>
      <c r="B407" s="64" t="str">
        <f t="shared" si="91"/>
        <v/>
      </c>
      <c r="C407" s="65" t="str">
        <f t="shared" si="92"/>
        <v/>
      </c>
      <c r="D407" s="66" t="str">
        <f t="shared" si="93"/>
        <v/>
      </c>
      <c r="E407" s="66" t="str">
        <f t="shared" si="94"/>
        <v/>
      </c>
      <c r="F407" s="66" t="str">
        <f t="shared" si="95"/>
        <v/>
      </c>
      <c r="G407" s="45"/>
      <c r="H407" s="45"/>
      <c r="I407" s="64" t="str">
        <f t="shared" si="96"/>
        <v/>
      </c>
      <c r="J407" s="65" t="str">
        <f t="shared" si="90"/>
        <v/>
      </c>
      <c r="K407" s="66" t="str">
        <f t="shared" si="102"/>
        <v/>
      </c>
      <c r="L407" s="66" t="str">
        <f t="shared" si="97"/>
        <v/>
      </c>
      <c r="M407" s="66" t="str">
        <f t="shared" si="98"/>
        <v/>
      </c>
      <c r="N407" s="45"/>
      <c r="O407" s="45"/>
      <c r="P407" s="64" t="str">
        <f t="shared" si="99"/>
        <v/>
      </c>
      <c r="Q407" s="65" t="str">
        <f t="shared" si="100"/>
        <v/>
      </c>
      <c r="R407" s="66" t="str">
        <f t="shared" ref="R407:R470" si="104">IF(P406&lt;$R$6,+T406*($R$7/12),"")</f>
        <v/>
      </c>
      <c r="S407" s="66" t="str">
        <f t="shared" si="103"/>
        <v/>
      </c>
      <c r="T407" s="66" t="str">
        <f t="shared" si="101"/>
        <v/>
      </c>
      <c r="U407" s="45"/>
    </row>
    <row r="408" spans="1:21" ht="15">
      <c r="A408" s="45"/>
      <c r="B408" s="64" t="str">
        <f t="shared" si="91"/>
        <v/>
      </c>
      <c r="C408" s="65" t="str">
        <f t="shared" si="92"/>
        <v/>
      </c>
      <c r="D408" s="66" t="str">
        <f t="shared" si="93"/>
        <v/>
      </c>
      <c r="E408" s="66" t="str">
        <f t="shared" si="94"/>
        <v/>
      </c>
      <c r="F408" s="66" t="str">
        <f t="shared" si="95"/>
        <v/>
      </c>
      <c r="G408" s="45"/>
      <c r="H408" s="45"/>
      <c r="I408" s="64" t="str">
        <f t="shared" si="96"/>
        <v/>
      </c>
      <c r="J408" s="65" t="str">
        <f t="shared" si="90"/>
        <v/>
      </c>
      <c r="K408" s="66" t="str">
        <f t="shared" si="102"/>
        <v/>
      </c>
      <c r="L408" s="66" t="str">
        <f t="shared" si="97"/>
        <v/>
      </c>
      <c r="M408" s="66" t="str">
        <f t="shared" si="98"/>
        <v/>
      </c>
      <c r="N408" s="45"/>
      <c r="O408" s="45"/>
      <c r="P408" s="64" t="str">
        <f t="shared" si="99"/>
        <v/>
      </c>
      <c r="Q408" s="65" t="str">
        <f t="shared" si="100"/>
        <v/>
      </c>
      <c r="R408" s="66" t="str">
        <f t="shared" si="104"/>
        <v/>
      </c>
      <c r="S408" s="66" t="str">
        <f t="shared" si="103"/>
        <v/>
      </c>
      <c r="T408" s="66" t="str">
        <f t="shared" si="101"/>
        <v/>
      </c>
      <c r="U408" s="45"/>
    </row>
    <row r="409" spans="1:21" ht="15">
      <c r="A409" s="45"/>
      <c r="B409" s="64" t="str">
        <f t="shared" si="91"/>
        <v/>
      </c>
      <c r="C409" s="65" t="str">
        <f t="shared" si="92"/>
        <v/>
      </c>
      <c r="D409" s="66" t="str">
        <f t="shared" si="93"/>
        <v/>
      </c>
      <c r="E409" s="66" t="str">
        <f t="shared" si="94"/>
        <v/>
      </c>
      <c r="F409" s="66" t="str">
        <f t="shared" si="95"/>
        <v/>
      </c>
      <c r="G409" s="45"/>
      <c r="H409" s="45"/>
      <c r="I409" s="64" t="str">
        <f t="shared" si="96"/>
        <v/>
      </c>
      <c r="J409" s="65" t="str">
        <f t="shared" si="90"/>
        <v/>
      </c>
      <c r="K409" s="66" t="str">
        <f t="shared" si="102"/>
        <v/>
      </c>
      <c r="L409" s="66" t="str">
        <f t="shared" si="97"/>
        <v/>
      </c>
      <c r="M409" s="66" t="str">
        <f t="shared" si="98"/>
        <v/>
      </c>
      <c r="N409" s="45"/>
      <c r="O409" s="45"/>
      <c r="P409" s="64" t="str">
        <f t="shared" si="99"/>
        <v/>
      </c>
      <c r="Q409" s="65" t="str">
        <f t="shared" si="100"/>
        <v/>
      </c>
      <c r="R409" s="66" t="str">
        <f t="shared" si="104"/>
        <v/>
      </c>
      <c r="S409" s="66" t="str">
        <f t="shared" si="103"/>
        <v/>
      </c>
      <c r="T409" s="66" t="str">
        <f t="shared" si="101"/>
        <v/>
      </c>
      <c r="U409" s="45"/>
    </row>
    <row r="410" spans="1:21" ht="15">
      <c r="A410" s="45"/>
      <c r="B410" s="64" t="str">
        <f t="shared" si="91"/>
        <v/>
      </c>
      <c r="C410" s="65" t="str">
        <f t="shared" si="92"/>
        <v/>
      </c>
      <c r="D410" s="66" t="str">
        <f t="shared" si="93"/>
        <v/>
      </c>
      <c r="E410" s="66" t="str">
        <f t="shared" si="94"/>
        <v/>
      </c>
      <c r="F410" s="66" t="str">
        <f t="shared" si="95"/>
        <v/>
      </c>
      <c r="G410" s="45"/>
      <c r="H410" s="45"/>
      <c r="I410" s="64" t="str">
        <f t="shared" si="96"/>
        <v/>
      </c>
      <c r="J410" s="65" t="str">
        <f t="shared" si="90"/>
        <v/>
      </c>
      <c r="K410" s="66" t="str">
        <f t="shared" si="102"/>
        <v/>
      </c>
      <c r="L410" s="66" t="str">
        <f t="shared" si="97"/>
        <v/>
      </c>
      <c r="M410" s="66" t="str">
        <f t="shared" si="98"/>
        <v/>
      </c>
      <c r="N410" s="45"/>
      <c r="O410" s="45"/>
      <c r="P410" s="64" t="str">
        <f t="shared" si="99"/>
        <v/>
      </c>
      <c r="Q410" s="65" t="str">
        <f t="shared" si="100"/>
        <v/>
      </c>
      <c r="R410" s="66" t="str">
        <f t="shared" si="104"/>
        <v/>
      </c>
      <c r="S410" s="66" t="str">
        <f t="shared" si="103"/>
        <v/>
      </c>
      <c r="T410" s="66" t="str">
        <f t="shared" si="101"/>
        <v/>
      </c>
      <c r="U410" s="45"/>
    </row>
    <row r="411" spans="1:21" ht="15">
      <c r="A411" s="45"/>
      <c r="B411" s="64" t="str">
        <f t="shared" si="91"/>
        <v/>
      </c>
      <c r="C411" s="65" t="str">
        <f t="shared" si="92"/>
        <v/>
      </c>
      <c r="D411" s="66" t="str">
        <f t="shared" si="93"/>
        <v/>
      </c>
      <c r="E411" s="66" t="str">
        <f t="shared" si="94"/>
        <v/>
      </c>
      <c r="F411" s="66" t="str">
        <f t="shared" si="95"/>
        <v/>
      </c>
      <c r="G411" s="45"/>
      <c r="H411" s="45"/>
      <c r="I411" s="64" t="str">
        <f t="shared" si="96"/>
        <v/>
      </c>
      <c r="J411" s="65" t="str">
        <f t="shared" si="90"/>
        <v/>
      </c>
      <c r="K411" s="66" t="str">
        <f t="shared" si="102"/>
        <v/>
      </c>
      <c r="L411" s="66" t="str">
        <f t="shared" si="97"/>
        <v/>
      </c>
      <c r="M411" s="66" t="str">
        <f t="shared" si="98"/>
        <v/>
      </c>
      <c r="N411" s="45"/>
      <c r="O411" s="45"/>
      <c r="P411" s="64" t="str">
        <f t="shared" si="99"/>
        <v/>
      </c>
      <c r="Q411" s="65" t="str">
        <f t="shared" si="100"/>
        <v/>
      </c>
      <c r="R411" s="66" t="str">
        <f t="shared" si="104"/>
        <v/>
      </c>
      <c r="S411" s="66" t="str">
        <f t="shared" si="103"/>
        <v/>
      </c>
      <c r="T411" s="66" t="str">
        <f t="shared" si="101"/>
        <v/>
      </c>
      <c r="U411" s="45"/>
    </row>
    <row r="412" spans="1:21" ht="15">
      <c r="A412" s="45"/>
      <c r="B412" s="64" t="str">
        <f t="shared" si="91"/>
        <v/>
      </c>
      <c r="C412" s="65" t="str">
        <f t="shared" si="92"/>
        <v/>
      </c>
      <c r="D412" s="66" t="str">
        <f t="shared" si="93"/>
        <v/>
      </c>
      <c r="E412" s="66" t="str">
        <f t="shared" si="94"/>
        <v/>
      </c>
      <c r="F412" s="66" t="str">
        <f t="shared" si="95"/>
        <v/>
      </c>
      <c r="G412" s="45"/>
      <c r="H412" s="45"/>
      <c r="I412" s="64" t="str">
        <f t="shared" si="96"/>
        <v/>
      </c>
      <c r="J412" s="65" t="str">
        <f t="shared" si="90"/>
        <v/>
      </c>
      <c r="K412" s="66" t="str">
        <f t="shared" si="102"/>
        <v/>
      </c>
      <c r="L412" s="66" t="str">
        <f t="shared" si="97"/>
        <v/>
      </c>
      <c r="M412" s="66" t="str">
        <f t="shared" si="98"/>
        <v/>
      </c>
      <c r="N412" s="45"/>
      <c r="O412" s="45"/>
      <c r="P412" s="64" t="str">
        <f t="shared" si="99"/>
        <v/>
      </c>
      <c r="Q412" s="65" t="str">
        <f t="shared" si="100"/>
        <v/>
      </c>
      <c r="R412" s="66" t="str">
        <f t="shared" si="104"/>
        <v/>
      </c>
      <c r="S412" s="66" t="str">
        <f t="shared" si="103"/>
        <v/>
      </c>
      <c r="T412" s="66" t="str">
        <f t="shared" si="101"/>
        <v/>
      </c>
      <c r="U412" s="45"/>
    </row>
    <row r="413" spans="1:21" ht="15">
      <c r="A413" s="45"/>
      <c r="B413" s="64" t="str">
        <f t="shared" si="91"/>
        <v/>
      </c>
      <c r="C413" s="65" t="str">
        <f t="shared" si="92"/>
        <v/>
      </c>
      <c r="D413" s="66" t="str">
        <f t="shared" si="93"/>
        <v/>
      </c>
      <c r="E413" s="66" t="str">
        <f t="shared" si="94"/>
        <v/>
      </c>
      <c r="F413" s="66" t="str">
        <f t="shared" si="95"/>
        <v/>
      </c>
      <c r="G413" s="45"/>
      <c r="H413" s="45"/>
      <c r="I413" s="64" t="str">
        <f t="shared" si="96"/>
        <v/>
      </c>
      <c r="J413" s="65" t="str">
        <f t="shared" si="90"/>
        <v/>
      </c>
      <c r="K413" s="66" t="str">
        <f t="shared" si="102"/>
        <v/>
      </c>
      <c r="L413" s="66" t="str">
        <f t="shared" si="97"/>
        <v/>
      </c>
      <c r="M413" s="66" t="str">
        <f t="shared" si="98"/>
        <v/>
      </c>
      <c r="N413" s="45"/>
      <c r="O413" s="45"/>
      <c r="P413" s="64" t="str">
        <f t="shared" si="99"/>
        <v/>
      </c>
      <c r="Q413" s="65" t="str">
        <f t="shared" si="100"/>
        <v/>
      </c>
      <c r="R413" s="66" t="str">
        <f t="shared" si="104"/>
        <v/>
      </c>
      <c r="S413" s="66" t="str">
        <f t="shared" si="103"/>
        <v/>
      </c>
      <c r="T413" s="66" t="str">
        <f t="shared" si="101"/>
        <v/>
      </c>
      <c r="U413" s="45"/>
    </row>
    <row r="414" spans="1:21" ht="15">
      <c r="A414" s="45"/>
      <c r="B414" s="64" t="str">
        <f t="shared" si="91"/>
        <v/>
      </c>
      <c r="C414" s="65" t="str">
        <f t="shared" si="92"/>
        <v/>
      </c>
      <c r="D414" s="66" t="str">
        <f t="shared" si="93"/>
        <v/>
      </c>
      <c r="E414" s="66" t="str">
        <f t="shared" si="94"/>
        <v/>
      </c>
      <c r="F414" s="66" t="str">
        <f t="shared" si="95"/>
        <v/>
      </c>
      <c r="G414" s="45"/>
      <c r="H414" s="45"/>
      <c r="I414" s="64" t="str">
        <f t="shared" si="96"/>
        <v/>
      </c>
      <c r="J414" s="65" t="str">
        <f t="shared" si="90"/>
        <v/>
      </c>
      <c r="K414" s="66" t="str">
        <f t="shared" si="102"/>
        <v/>
      </c>
      <c r="L414" s="66" t="str">
        <f t="shared" si="97"/>
        <v/>
      </c>
      <c r="M414" s="66" t="str">
        <f t="shared" si="98"/>
        <v/>
      </c>
      <c r="N414" s="45"/>
      <c r="O414" s="45"/>
      <c r="P414" s="64" t="str">
        <f t="shared" si="99"/>
        <v/>
      </c>
      <c r="Q414" s="65" t="str">
        <f t="shared" si="100"/>
        <v/>
      </c>
      <c r="R414" s="66" t="str">
        <f t="shared" si="104"/>
        <v/>
      </c>
      <c r="S414" s="66" t="str">
        <f t="shared" si="103"/>
        <v/>
      </c>
      <c r="T414" s="66" t="str">
        <f t="shared" si="101"/>
        <v/>
      </c>
      <c r="U414" s="45"/>
    </row>
    <row r="415" spans="1:21" ht="15">
      <c r="A415" s="45"/>
      <c r="B415" s="64" t="str">
        <f t="shared" si="91"/>
        <v/>
      </c>
      <c r="C415" s="65" t="str">
        <f t="shared" si="92"/>
        <v/>
      </c>
      <c r="D415" s="66" t="str">
        <f t="shared" si="93"/>
        <v/>
      </c>
      <c r="E415" s="66" t="str">
        <f t="shared" si="94"/>
        <v/>
      </c>
      <c r="F415" s="66" t="str">
        <f t="shared" si="95"/>
        <v/>
      </c>
      <c r="G415" s="45"/>
      <c r="H415" s="45"/>
      <c r="I415" s="64" t="str">
        <f t="shared" si="96"/>
        <v/>
      </c>
      <c r="J415" s="65" t="str">
        <f t="shared" si="90"/>
        <v/>
      </c>
      <c r="K415" s="66" t="str">
        <f t="shared" si="102"/>
        <v/>
      </c>
      <c r="L415" s="66" t="str">
        <f t="shared" si="97"/>
        <v/>
      </c>
      <c r="M415" s="66" t="str">
        <f t="shared" si="98"/>
        <v/>
      </c>
      <c r="N415" s="45"/>
      <c r="O415" s="45"/>
      <c r="P415" s="64" t="str">
        <f t="shared" si="99"/>
        <v/>
      </c>
      <c r="Q415" s="65" t="str">
        <f t="shared" si="100"/>
        <v/>
      </c>
      <c r="R415" s="66" t="str">
        <f t="shared" si="104"/>
        <v/>
      </c>
      <c r="S415" s="66" t="str">
        <f t="shared" si="103"/>
        <v/>
      </c>
      <c r="T415" s="66" t="str">
        <f t="shared" si="101"/>
        <v/>
      </c>
      <c r="U415" s="45"/>
    </row>
    <row r="416" spans="1:21" ht="15">
      <c r="A416" s="45"/>
      <c r="B416" s="64" t="str">
        <f t="shared" si="91"/>
        <v/>
      </c>
      <c r="C416" s="65" t="str">
        <f t="shared" si="92"/>
        <v/>
      </c>
      <c r="D416" s="66" t="str">
        <f t="shared" si="93"/>
        <v/>
      </c>
      <c r="E416" s="66" t="str">
        <f t="shared" si="94"/>
        <v/>
      </c>
      <c r="F416" s="66" t="str">
        <f t="shared" si="95"/>
        <v/>
      </c>
      <c r="G416" s="45"/>
      <c r="H416" s="45"/>
      <c r="I416" s="64" t="str">
        <f t="shared" si="96"/>
        <v/>
      </c>
      <c r="J416" s="65" t="str">
        <f t="shared" si="90"/>
        <v/>
      </c>
      <c r="K416" s="66" t="str">
        <f t="shared" si="102"/>
        <v/>
      </c>
      <c r="L416" s="66" t="str">
        <f t="shared" si="97"/>
        <v/>
      </c>
      <c r="M416" s="66" t="str">
        <f t="shared" si="98"/>
        <v/>
      </c>
      <c r="N416" s="45"/>
      <c r="O416" s="45"/>
      <c r="P416" s="64" t="str">
        <f t="shared" si="99"/>
        <v/>
      </c>
      <c r="Q416" s="65" t="str">
        <f t="shared" si="100"/>
        <v/>
      </c>
      <c r="R416" s="66" t="str">
        <f t="shared" si="104"/>
        <v/>
      </c>
      <c r="S416" s="66" t="str">
        <f t="shared" si="103"/>
        <v/>
      </c>
      <c r="T416" s="66" t="str">
        <f t="shared" si="101"/>
        <v/>
      </c>
      <c r="U416" s="45"/>
    </row>
    <row r="417" spans="1:21" ht="15">
      <c r="A417" s="45"/>
      <c r="B417" s="64" t="str">
        <f t="shared" si="91"/>
        <v/>
      </c>
      <c r="C417" s="65" t="str">
        <f t="shared" si="92"/>
        <v/>
      </c>
      <c r="D417" s="66" t="str">
        <f t="shared" si="93"/>
        <v/>
      </c>
      <c r="E417" s="66" t="str">
        <f t="shared" si="94"/>
        <v/>
      </c>
      <c r="F417" s="66" t="str">
        <f t="shared" si="95"/>
        <v/>
      </c>
      <c r="G417" s="45"/>
      <c r="H417" s="45"/>
      <c r="I417" s="64" t="str">
        <f t="shared" si="96"/>
        <v/>
      </c>
      <c r="J417" s="65" t="str">
        <f t="shared" si="90"/>
        <v/>
      </c>
      <c r="K417" s="66" t="str">
        <f t="shared" si="102"/>
        <v/>
      </c>
      <c r="L417" s="66" t="str">
        <f t="shared" si="97"/>
        <v/>
      </c>
      <c r="M417" s="66" t="str">
        <f t="shared" si="98"/>
        <v/>
      </c>
      <c r="N417" s="45"/>
      <c r="O417" s="45"/>
      <c r="P417" s="64" t="str">
        <f t="shared" si="99"/>
        <v/>
      </c>
      <c r="Q417" s="65" t="str">
        <f t="shared" si="100"/>
        <v/>
      </c>
      <c r="R417" s="66" t="str">
        <f t="shared" si="104"/>
        <v/>
      </c>
      <c r="S417" s="66" t="str">
        <f t="shared" si="103"/>
        <v/>
      </c>
      <c r="T417" s="66" t="str">
        <f t="shared" si="101"/>
        <v/>
      </c>
      <c r="U417" s="45"/>
    </row>
    <row r="418" spans="1:21" ht="15">
      <c r="A418" s="45"/>
      <c r="B418" s="64" t="str">
        <f t="shared" si="91"/>
        <v/>
      </c>
      <c r="C418" s="65" t="str">
        <f t="shared" si="92"/>
        <v/>
      </c>
      <c r="D418" s="66" t="str">
        <f t="shared" si="93"/>
        <v/>
      </c>
      <c r="E418" s="66" t="str">
        <f t="shared" si="94"/>
        <v/>
      </c>
      <c r="F418" s="66" t="str">
        <f t="shared" si="95"/>
        <v/>
      </c>
      <c r="G418" s="45"/>
      <c r="H418" s="45"/>
      <c r="I418" s="64" t="str">
        <f t="shared" si="96"/>
        <v/>
      </c>
      <c r="J418" s="65" t="str">
        <f t="shared" si="90"/>
        <v/>
      </c>
      <c r="K418" s="66" t="str">
        <f t="shared" si="102"/>
        <v/>
      </c>
      <c r="L418" s="66" t="str">
        <f t="shared" si="97"/>
        <v/>
      </c>
      <c r="M418" s="66" t="str">
        <f t="shared" si="98"/>
        <v/>
      </c>
      <c r="N418" s="45"/>
      <c r="O418" s="45"/>
      <c r="P418" s="64" t="str">
        <f t="shared" si="99"/>
        <v/>
      </c>
      <c r="Q418" s="65" t="str">
        <f t="shared" si="100"/>
        <v/>
      </c>
      <c r="R418" s="66" t="str">
        <f t="shared" si="104"/>
        <v/>
      </c>
      <c r="S418" s="66" t="str">
        <f t="shared" si="103"/>
        <v/>
      </c>
      <c r="T418" s="66" t="str">
        <f t="shared" si="101"/>
        <v/>
      </c>
      <c r="U418" s="45"/>
    </row>
    <row r="419" spans="1:21" ht="15">
      <c r="A419" s="45"/>
      <c r="B419" s="64" t="str">
        <f t="shared" si="91"/>
        <v/>
      </c>
      <c r="C419" s="65" t="str">
        <f t="shared" si="92"/>
        <v/>
      </c>
      <c r="D419" s="66" t="str">
        <f t="shared" si="93"/>
        <v/>
      </c>
      <c r="E419" s="66" t="str">
        <f t="shared" si="94"/>
        <v/>
      </c>
      <c r="F419" s="66" t="str">
        <f t="shared" si="95"/>
        <v/>
      </c>
      <c r="G419" s="45"/>
      <c r="H419" s="45"/>
      <c r="I419" s="64" t="str">
        <f t="shared" si="96"/>
        <v/>
      </c>
      <c r="J419" s="65" t="str">
        <f t="shared" si="90"/>
        <v/>
      </c>
      <c r="K419" s="66" t="str">
        <f t="shared" si="102"/>
        <v/>
      </c>
      <c r="L419" s="66" t="str">
        <f t="shared" si="97"/>
        <v/>
      </c>
      <c r="M419" s="66" t="str">
        <f t="shared" si="98"/>
        <v/>
      </c>
      <c r="N419" s="45"/>
      <c r="O419" s="45"/>
      <c r="P419" s="64" t="str">
        <f t="shared" si="99"/>
        <v/>
      </c>
      <c r="Q419" s="65" t="str">
        <f t="shared" si="100"/>
        <v/>
      </c>
      <c r="R419" s="66" t="str">
        <f t="shared" si="104"/>
        <v/>
      </c>
      <c r="S419" s="66" t="str">
        <f t="shared" si="103"/>
        <v/>
      </c>
      <c r="T419" s="66" t="str">
        <f t="shared" si="101"/>
        <v/>
      </c>
      <c r="U419" s="45"/>
    </row>
    <row r="420" spans="1:21" ht="15">
      <c r="A420" s="45"/>
      <c r="B420" s="64" t="str">
        <f t="shared" si="91"/>
        <v/>
      </c>
      <c r="C420" s="65" t="str">
        <f t="shared" si="92"/>
        <v/>
      </c>
      <c r="D420" s="66" t="str">
        <f t="shared" si="93"/>
        <v/>
      </c>
      <c r="E420" s="66" t="str">
        <f t="shared" si="94"/>
        <v/>
      </c>
      <c r="F420" s="66" t="str">
        <f t="shared" si="95"/>
        <v/>
      </c>
      <c r="G420" s="45"/>
      <c r="H420" s="45"/>
      <c r="I420" s="64" t="str">
        <f t="shared" si="96"/>
        <v/>
      </c>
      <c r="J420" s="65" t="str">
        <f t="shared" si="90"/>
        <v/>
      </c>
      <c r="K420" s="66" t="str">
        <f t="shared" si="102"/>
        <v/>
      </c>
      <c r="L420" s="66" t="str">
        <f t="shared" si="97"/>
        <v/>
      </c>
      <c r="M420" s="66" t="str">
        <f t="shared" si="98"/>
        <v/>
      </c>
      <c r="N420" s="45"/>
      <c r="O420" s="45"/>
      <c r="P420" s="64" t="str">
        <f t="shared" si="99"/>
        <v/>
      </c>
      <c r="Q420" s="65" t="str">
        <f t="shared" si="100"/>
        <v/>
      </c>
      <c r="R420" s="66" t="str">
        <f t="shared" si="104"/>
        <v/>
      </c>
      <c r="S420" s="66" t="str">
        <f t="shared" si="103"/>
        <v/>
      </c>
      <c r="T420" s="66" t="str">
        <f t="shared" si="101"/>
        <v/>
      </c>
      <c r="U420" s="45"/>
    </row>
    <row r="421" spans="1:21" ht="15">
      <c r="A421" s="45"/>
      <c r="B421" s="64" t="str">
        <f t="shared" si="91"/>
        <v/>
      </c>
      <c r="C421" s="65" t="str">
        <f t="shared" si="92"/>
        <v/>
      </c>
      <c r="D421" s="66" t="str">
        <f t="shared" si="93"/>
        <v/>
      </c>
      <c r="E421" s="66" t="str">
        <f t="shared" si="94"/>
        <v/>
      </c>
      <c r="F421" s="66" t="str">
        <f t="shared" si="95"/>
        <v/>
      </c>
      <c r="G421" s="45"/>
      <c r="H421" s="45"/>
      <c r="I421" s="64" t="str">
        <f t="shared" si="96"/>
        <v/>
      </c>
      <c r="J421" s="65" t="str">
        <f t="shared" si="90"/>
        <v/>
      </c>
      <c r="K421" s="66" t="str">
        <f t="shared" si="102"/>
        <v/>
      </c>
      <c r="L421" s="66" t="str">
        <f t="shared" si="97"/>
        <v/>
      </c>
      <c r="M421" s="66" t="str">
        <f t="shared" si="98"/>
        <v/>
      </c>
      <c r="N421" s="45"/>
      <c r="O421" s="45"/>
      <c r="P421" s="64" t="str">
        <f t="shared" si="99"/>
        <v/>
      </c>
      <c r="Q421" s="65" t="str">
        <f t="shared" si="100"/>
        <v/>
      </c>
      <c r="R421" s="66" t="str">
        <f t="shared" si="104"/>
        <v/>
      </c>
      <c r="S421" s="66" t="str">
        <f t="shared" si="103"/>
        <v/>
      </c>
      <c r="T421" s="66" t="str">
        <f t="shared" si="101"/>
        <v/>
      </c>
      <c r="U421" s="45"/>
    </row>
    <row r="422" spans="1:21" ht="15">
      <c r="A422" s="45"/>
      <c r="B422" s="64" t="str">
        <f t="shared" si="91"/>
        <v/>
      </c>
      <c r="C422" s="65" t="str">
        <f t="shared" si="92"/>
        <v/>
      </c>
      <c r="D422" s="66" t="str">
        <f t="shared" si="93"/>
        <v/>
      </c>
      <c r="E422" s="66" t="str">
        <f t="shared" si="94"/>
        <v/>
      </c>
      <c r="F422" s="66" t="str">
        <f t="shared" si="95"/>
        <v/>
      </c>
      <c r="G422" s="45"/>
      <c r="H422" s="45"/>
      <c r="I422" s="64" t="str">
        <f t="shared" si="96"/>
        <v/>
      </c>
      <c r="J422" s="65" t="str">
        <f t="shared" si="90"/>
        <v/>
      </c>
      <c r="K422" s="66" t="str">
        <f t="shared" si="102"/>
        <v/>
      </c>
      <c r="L422" s="66" t="str">
        <f t="shared" si="97"/>
        <v/>
      </c>
      <c r="M422" s="66" t="str">
        <f t="shared" si="98"/>
        <v/>
      </c>
      <c r="N422" s="45"/>
      <c r="O422" s="45"/>
      <c r="P422" s="64" t="str">
        <f t="shared" si="99"/>
        <v/>
      </c>
      <c r="Q422" s="65" t="str">
        <f t="shared" si="100"/>
        <v/>
      </c>
      <c r="R422" s="66" t="str">
        <f t="shared" si="104"/>
        <v/>
      </c>
      <c r="S422" s="66" t="str">
        <f t="shared" si="103"/>
        <v/>
      </c>
      <c r="T422" s="66" t="str">
        <f t="shared" si="101"/>
        <v/>
      </c>
      <c r="U422" s="45"/>
    </row>
    <row r="423" spans="1:21" ht="15">
      <c r="A423" s="45"/>
      <c r="B423" s="64" t="str">
        <f t="shared" si="91"/>
        <v/>
      </c>
      <c r="C423" s="65" t="str">
        <f t="shared" si="92"/>
        <v/>
      </c>
      <c r="D423" s="66" t="str">
        <f t="shared" si="93"/>
        <v/>
      </c>
      <c r="E423" s="66" t="str">
        <f t="shared" si="94"/>
        <v/>
      </c>
      <c r="F423" s="66" t="str">
        <f t="shared" si="95"/>
        <v/>
      </c>
      <c r="G423" s="45"/>
      <c r="H423" s="45"/>
      <c r="I423" s="64" t="str">
        <f t="shared" si="96"/>
        <v/>
      </c>
      <c r="J423" s="65" t="str">
        <f t="shared" si="90"/>
        <v/>
      </c>
      <c r="K423" s="66" t="str">
        <f t="shared" si="102"/>
        <v/>
      </c>
      <c r="L423" s="66" t="str">
        <f t="shared" si="97"/>
        <v/>
      </c>
      <c r="M423" s="66" t="str">
        <f t="shared" si="98"/>
        <v/>
      </c>
      <c r="N423" s="45"/>
      <c r="O423" s="45"/>
      <c r="P423" s="64" t="str">
        <f t="shared" si="99"/>
        <v/>
      </c>
      <c r="Q423" s="65" t="str">
        <f t="shared" si="100"/>
        <v/>
      </c>
      <c r="R423" s="66" t="str">
        <f t="shared" si="104"/>
        <v/>
      </c>
      <c r="S423" s="66" t="str">
        <f t="shared" si="103"/>
        <v/>
      </c>
      <c r="T423" s="66" t="str">
        <f t="shared" si="101"/>
        <v/>
      </c>
      <c r="U423" s="45"/>
    </row>
    <row r="424" spans="1:21" ht="15">
      <c r="A424" s="45"/>
      <c r="B424" s="64" t="str">
        <f t="shared" si="91"/>
        <v/>
      </c>
      <c r="C424" s="65" t="str">
        <f t="shared" si="92"/>
        <v/>
      </c>
      <c r="D424" s="66" t="str">
        <f t="shared" si="93"/>
        <v/>
      </c>
      <c r="E424" s="66" t="str">
        <f t="shared" si="94"/>
        <v/>
      </c>
      <c r="F424" s="66" t="str">
        <f t="shared" si="95"/>
        <v/>
      </c>
      <c r="G424" s="45"/>
      <c r="H424" s="45"/>
      <c r="I424" s="64" t="str">
        <f t="shared" si="96"/>
        <v/>
      </c>
      <c r="J424" s="65" t="str">
        <f t="shared" si="90"/>
        <v/>
      </c>
      <c r="K424" s="66" t="str">
        <f t="shared" si="102"/>
        <v/>
      </c>
      <c r="L424" s="66" t="str">
        <f t="shared" si="97"/>
        <v/>
      </c>
      <c r="M424" s="66" t="str">
        <f t="shared" si="98"/>
        <v/>
      </c>
      <c r="N424" s="45"/>
      <c r="O424" s="45"/>
      <c r="P424" s="64" t="str">
        <f t="shared" si="99"/>
        <v/>
      </c>
      <c r="Q424" s="65" t="str">
        <f t="shared" si="100"/>
        <v/>
      </c>
      <c r="R424" s="66" t="str">
        <f t="shared" si="104"/>
        <v/>
      </c>
      <c r="S424" s="66" t="str">
        <f t="shared" si="103"/>
        <v/>
      </c>
      <c r="T424" s="66" t="str">
        <f t="shared" si="101"/>
        <v/>
      </c>
      <c r="U424" s="45"/>
    </row>
    <row r="425" spans="1:21" ht="15">
      <c r="A425" s="45"/>
      <c r="B425" s="64" t="str">
        <f t="shared" si="91"/>
        <v/>
      </c>
      <c r="C425" s="65" t="str">
        <f t="shared" si="92"/>
        <v/>
      </c>
      <c r="D425" s="66" t="str">
        <f t="shared" si="93"/>
        <v/>
      </c>
      <c r="E425" s="66" t="str">
        <f t="shared" si="94"/>
        <v/>
      </c>
      <c r="F425" s="66" t="str">
        <f t="shared" si="95"/>
        <v/>
      </c>
      <c r="G425" s="45"/>
      <c r="H425" s="45"/>
      <c r="I425" s="64" t="str">
        <f t="shared" si="96"/>
        <v/>
      </c>
      <c r="J425" s="65" t="str">
        <f t="shared" si="90"/>
        <v/>
      </c>
      <c r="K425" s="66" t="str">
        <f t="shared" si="102"/>
        <v/>
      </c>
      <c r="L425" s="66" t="str">
        <f t="shared" si="97"/>
        <v/>
      </c>
      <c r="M425" s="66" t="str">
        <f t="shared" si="98"/>
        <v/>
      </c>
      <c r="N425" s="45"/>
      <c r="O425" s="45"/>
      <c r="P425" s="64" t="str">
        <f t="shared" si="99"/>
        <v/>
      </c>
      <c r="Q425" s="65" t="str">
        <f t="shared" si="100"/>
        <v/>
      </c>
      <c r="R425" s="66" t="str">
        <f t="shared" si="104"/>
        <v/>
      </c>
      <c r="S425" s="66" t="str">
        <f t="shared" si="103"/>
        <v/>
      </c>
      <c r="T425" s="66" t="str">
        <f t="shared" si="101"/>
        <v/>
      </c>
      <c r="U425" s="45"/>
    </row>
    <row r="426" spans="1:21" ht="15">
      <c r="A426" s="45"/>
      <c r="B426" s="64" t="str">
        <f t="shared" si="91"/>
        <v/>
      </c>
      <c r="C426" s="65" t="str">
        <f t="shared" si="92"/>
        <v/>
      </c>
      <c r="D426" s="66" t="str">
        <f t="shared" si="93"/>
        <v/>
      </c>
      <c r="E426" s="66" t="str">
        <f t="shared" si="94"/>
        <v/>
      </c>
      <c r="F426" s="66" t="str">
        <f t="shared" si="95"/>
        <v/>
      </c>
      <c r="G426" s="45"/>
      <c r="H426" s="45"/>
      <c r="I426" s="64" t="str">
        <f t="shared" si="96"/>
        <v/>
      </c>
      <c r="J426" s="65" t="str">
        <f t="shared" si="90"/>
        <v/>
      </c>
      <c r="K426" s="66" t="str">
        <f t="shared" si="102"/>
        <v/>
      </c>
      <c r="L426" s="66" t="str">
        <f t="shared" si="97"/>
        <v/>
      </c>
      <c r="M426" s="66" t="str">
        <f t="shared" si="98"/>
        <v/>
      </c>
      <c r="N426" s="45"/>
      <c r="O426" s="45"/>
      <c r="P426" s="64" t="str">
        <f t="shared" si="99"/>
        <v/>
      </c>
      <c r="Q426" s="65" t="str">
        <f t="shared" si="100"/>
        <v/>
      </c>
      <c r="R426" s="66" t="str">
        <f t="shared" si="104"/>
        <v/>
      </c>
      <c r="S426" s="66" t="str">
        <f t="shared" si="103"/>
        <v/>
      </c>
      <c r="T426" s="66" t="str">
        <f t="shared" si="101"/>
        <v/>
      </c>
      <c r="U426" s="45"/>
    </row>
    <row r="427" spans="1:21" ht="15">
      <c r="A427" s="45"/>
      <c r="B427" s="64" t="str">
        <f t="shared" si="91"/>
        <v/>
      </c>
      <c r="C427" s="65" t="str">
        <f t="shared" si="92"/>
        <v/>
      </c>
      <c r="D427" s="66" t="str">
        <f t="shared" si="93"/>
        <v/>
      </c>
      <c r="E427" s="66" t="str">
        <f t="shared" si="94"/>
        <v/>
      </c>
      <c r="F427" s="66" t="str">
        <f t="shared" si="95"/>
        <v/>
      </c>
      <c r="G427" s="45"/>
      <c r="H427" s="45"/>
      <c r="I427" s="64" t="str">
        <f t="shared" si="96"/>
        <v/>
      </c>
      <c r="J427" s="65" t="str">
        <f t="shared" si="90"/>
        <v/>
      </c>
      <c r="K427" s="66" t="str">
        <f t="shared" si="102"/>
        <v/>
      </c>
      <c r="L427" s="66" t="str">
        <f t="shared" si="97"/>
        <v/>
      </c>
      <c r="M427" s="66" t="str">
        <f t="shared" si="98"/>
        <v/>
      </c>
      <c r="N427" s="45"/>
      <c r="O427" s="45"/>
      <c r="P427" s="64" t="str">
        <f t="shared" si="99"/>
        <v/>
      </c>
      <c r="Q427" s="65" t="str">
        <f t="shared" si="100"/>
        <v/>
      </c>
      <c r="R427" s="66" t="str">
        <f t="shared" si="104"/>
        <v/>
      </c>
      <c r="S427" s="66" t="str">
        <f t="shared" si="103"/>
        <v/>
      </c>
      <c r="T427" s="66" t="str">
        <f t="shared" si="101"/>
        <v/>
      </c>
      <c r="U427" s="45"/>
    </row>
    <row r="428" spans="1:21" ht="15">
      <c r="A428" s="45"/>
      <c r="B428" s="64" t="str">
        <f t="shared" si="91"/>
        <v/>
      </c>
      <c r="C428" s="65" t="str">
        <f t="shared" si="92"/>
        <v/>
      </c>
      <c r="D428" s="66" t="str">
        <f t="shared" si="93"/>
        <v/>
      </c>
      <c r="E428" s="66" t="str">
        <f t="shared" si="94"/>
        <v/>
      </c>
      <c r="F428" s="66" t="str">
        <f t="shared" si="95"/>
        <v/>
      </c>
      <c r="G428" s="45"/>
      <c r="H428" s="45"/>
      <c r="I428" s="64" t="str">
        <f t="shared" si="96"/>
        <v/>
      </c>
      <c r="J428" s="65" t="str">
        <f t="shared" si="90"/>
        <v/>
      </c>
      <c r="K428" s="66" t="str">
        <f t="shared" si="102"/>
        <v/>
      </c>
      <c r="L428" s="66" t="str">
        <f t="shared" si="97"/>
        <v/>
      </c>
      <c r="M428" s="66" t="str">
        <f t="shared" si="98"/>
        <v/>
      </c>
      <c r="N428" s="45"/>
      <c r="O428" s="45"/>
      <c r="P428" s="64" t="str">
        <f t="shared" si="99"/>
        <v/>
      </c>
      <c r="Q428" s="65" t="str">
        <f t="shared" si="100"/>
        <v/>
      </c>
      <c r="R428" s="66" t="str">
        <f t="shared" si="104"/>
        <v/>
      </c>
      <c r="S428" s="66" t="str">
        <f t="shared" si="103"/>
        <v/>
      </c>
      <c r="T428" s="66" t="str">
        <f t="shared" si="101"/>
        <v/>
      </c>
      <c r="U428" s="45"/>
    </row>
    <row r="429" spans="1:21" ht="15">
      <c r="A429" s="45"/>
      <c r="B429" s="64" t="str">
        <f t="shared" si="91"/>
        <v/>
      </c>
      <c r="C429" s="65" t="str">
        <f t="shared" si="92"/>
        <v/>
      </c>
      <c r="D429" s="66" t="str">
        <f t="shared" si="93"/>
        <v/>
      </c>
      <c r="E429" s="66" t="str">
        <f t="shared" si="94"/>
        <v/>
      </c>
      <c r="F429" s="66" t="str">
        <f t="shared" si="95"/>
        <v/>
      </c>
      <c r="G429" s="45"/>
      <c r="H429" s="45"/>
      <c r="I429" s="64" t="str">
        <f t="shared" si="96"/>
        <v/>
      </c>
      <c r="J429" s="65" t="str">
        <f t="shared" si="90"/>
        <v/>
      </c>
      <c r="K429" s="66" t="str">
        <f t="shared" si="102"/>
        <v/>
      </c>
      <c r="L429" s="66" t="str">
        <f t="shared" si="97"/>
        <v/>
      </c>
      <c r="M429" s="66" t="str">
        <f t="shared" si="98"/>
        <v/>
      </c>
      <c r="N429" s="45"/>
      <c r="O429" s="45"/>
      <c r="P429" s="64" t="str">
        <f t="shared" si="99"/>
        <v/>
      </c>
      <c r="Q429" s="65" t="str">
        <f t="shared" si="100"/>
        <v/>
      </c>
      <c r="R429" s="66" t="str">
        <f t="shared" si="104"/>
        <v/>
      </c>
      <c r="S429" s="66" t="str">
        <f t="shared" si="103"/>
        <v/>
      </c>
      <c r="T429" s="66" t="str">
        <f t="shared" si="101"/>
        <v/>
      </c>
      <c r="U429" s="45"/>
    </row>
    <row r="430" spans="1:21" ht="15">
      <c r="A430" s="45"/>
      <c r="B430" s="64" t="str">
        <f t="shared" si="91"/>
        <v/>
      </c>
      <c r="C430" s="65" t="str">
        <f t="shared" si="92"/>
        <v/>
      </c>
      <c r="D430" s="66" t="str">
        <f t="shared" si="93"/>
        <v/>
      </c>
      <c r="E430" s="66" t="str">
        <f t="shared" si="94"/>
        <v/>
      </c>
      <c r="F430" s="66" t="str">
        <f t="shared" si="95"/>
        <v/>
      </c>
      <c r="G430" s="45"/>
      <c r="H430" s="45"/>
      <c r="I430" s="64" t="str">
        <f t="shared" si="96"/>
        <v/>
      </c>
      <c r="J430" s="65" t="str">
        <f t="shared" si="90"/>
        <v/>
      </c>
      <c r="K430" s="66" t="str">
        <f t="shared" si="102"/>
        <v/>
      </c>
      <c r="L430" s="66" t="str">
        <f t="shared" si="97"/>
        <v/>
      </c>
      <c r="M430" s="66" t="str">
        <f t="shared" si="98"/>
        <v/>
      </c>
      <c r="N430" s="45"/>
      <c r="O430" s="45"/>
      <c r="P430" s="64" t="str">
        <f t="shared" si="99"/>
        <v/>
      </c>
      <c r="Q430" s="65" t="str">
        <f t="shared" si="100"/>
        <v/>
      </c>
      <c r="R430" s="66" t="str">
        <f t="shared" si="104"/>
        <v/>
      </c>
      <c r="S430" s="66" t="str">
        <f t="shared" si="103"/>
        <v/>
      </c>
      <c r="T430" s="66" t="str">
        <f t="shared" si="101"/>
        <v/>
      </c>
      <c r="U430" s="45"/>
    </row>
    <row r="431" spans="1:21" ht="15">
      <c r="A431" s="45"/>
      <c r="B431" s="64" t="str">
        <f t="shared" si="91"/>
        <v/>
      </c>
      <c r="C431" s="65" t="str">
        <f t="shared" si="92"/>
        <v/>
      </c>
      <c r="D431" s="66" t="str">
        <f t="shared" si="93"/>
        <v/>
      </c>
      <c r="E431" s="66" t="str">
        <f t="shared" si="94"/>
        <v/>
      </c>
      <c r="F431" s="66" t="str">
        <f t="shared" si="95"/>
        <v/>
      </c>
      <c r="G431" s="45"/>
      <c r="H431" s="45"/>
      <c r="I431" s="64" t="str">
        <f t="shared" si="96"/>
        <v/>
      </c>
      <c r="J431" s="65" t="str">
        <f t="shared" si="90"/>
        <v/>
      </c>
      <c r="K431" s="66" t="str">
        <f t="shared" si="102"/>
        <v/>
      </c>
      <c r="L431" s="66" t="str">
        <f t="shared" si="97"/>
        <v/>
      </c>
      <c r="M431" s="66" t="str">
        <f t="shared" si="98"/>
        <v/>
      </c>
      <c r="N431" s="45"/>
      <c r="O431" s="45"/>
      <c r="P431" s="64" t="str">
        <f t="shared" si="99"/>
        <v/>
      </c>
      <c r="Q431" s="65" t="str">
        <f t="shared" si="100"/>
        <v/>
      </c>
      <c r="R431" s="66" t="str">
        <f t="shared" si="104"/>
        <v/>
      </c>
      <c r="S431" s="66" t="str">
        <f t="shared" si="103"/>
        <v/>
      </c>
      <c r="T431" s="66" t="str">
        <f t="shared" si="101"/>
        <v/>
      </c>
      <c r="U431" s="45"/>
    </row>
    <row r="432" spans="1:21" ht="15">
      <c r="A432" s="45"/>
      <c r="B432" s="64" t="str">
        <f t="shared" si="91"/>
        <v/>
      </c>
      <c r="C432" s="65" t="str">
        <f t="shared" si="92"/>
        <v/>
      </c>
      <c r="D432" s="66" t="str">
        <f t="shared" si="93"/>
        <v/>
      </c>
      <c r="E432" s="66" t="str">
        <f t="shared" si="94"/>
        <v/>
      </c>
      <c r="F432" s="66" t="str">
        <f t="shared" si="95"/>
        <v/>
      </c>
      <c r="G432" s="45"/>
      <c r="H432" s="45"/>
      <c r="I432" s="64" t="str">
        <f t="shared" si="96"/>
        <v/>
      </c>
      <c r="J432" s="65" t="str">
        <f t="shared" si="90"/>
        <v/>
      </c>
      <c r="K432" s="66" t="str">
        <f t="shared" si="102"/>
        <v/>
      </c>
      <c r="L432" s="66" t="str">
        <f t="shared" si="97"/>
        <v/>
      </c>
      <c r="M432" s="66" t="str">
        <f t="shared" si="98"/>
        <v/>
      </c>
      <c r="N432" s="45"/>
      <c r="O432" s="45"/>
      <c r="P432" s="64" t="str">
        <f t="shared" si="99"/>
        <v/>
      </c>
      <c r="Q432" s="65" t="str">
        <f t="shared" si="100"/>
        <v/>
      </c>
      <c r="R432" s="66" t="str">
        <f t="shared" si="104"/>
        <v/>
      </c>
      <c r="S432" s="66" t="str">
        <f t="shared" si="103"/>
        <v/>
      </c>
      <c r="T432" s="66" t="str">
        <f t="shared" si="101"/>
        <v/>
      </c>
      <c r="U432" s="45"/>
    </row>
    <row r="433" spans="1:21" ht="15">
      <c r="A433" s="45"/>
      <c r="B433" s="64" t="str">
        <f t="shared" si="91"/>
        <v/>
      </c>
      <c r="C433" s="65" t="str">
        <f t="shared" si="92"/>
        <v/>
      </c>
      <c r="D433" s="66" t="str">
        <f t="shared" si="93"/>
        <v/>
      </c>
      <c r="E433" s="66" t="str">
        <f t="shared" si="94"/>
        <v/>
      </c>
      <c r="F433" s="66" t="str">
        <f t="shared" si="95"/>
        <v/>
      </c>
      <c r="G433" s="45"/>
      <c r="H433" s="45"/>
      <c r="I433" s="64" t="str">
        <f t="shared" si="96"/>
        <v/>
      </c>
      <c r="J433" s="65" t="str">
        <f t="shared" si="90"/>
        <v/>
      </c>
      <c r="K433" s="66" t="str">
        <f t="shared" si="102"/>
        <v/>
      </c>
      <c r="L433" s="66" t="str">
        <f t="shared" si="97"/>
        <v/>
      </c>
      <c r="M433" s="66" t="str">
        <f t="shared" si="98"/>
        <v/>
      </c>
      <c r="N433" s="45"/>
      <c r="O433" s="45"/>
      <c r="P433" s="64" t="str">
        <f t="shared" si="99"/>
        <v/>
      </c>
      <c r="Q433" s="65" t="str">
        <f t="shared" si="100"/>
        <v/>
      </c>
      <c r="R433" s="66" t="str">
        <f t="shared" si="104"/>
        <v/>
      </c>
      <c r="S433" s="66" t="str">
        <f t="shared" si="103"/>
        <v/>
      </c>
      <c r="T433" s="66" t="str">
        <f t="shared" si="101"/>
        <v/>
      </c>
      <c r="U433" s="45"/>
    </row>
    <row r="434" spans="1:21" ht="15">
      <c r="A434" s="45"/>
      <c r="B434" s="64" t="str">
        <f t="shared" si="91"/>
        <v/>
      </c>
      <c r="C434" s="65" t="str">
        <f t="shared" si="92"/>
        <v/>
      </c>
      <c r="D434" s="66" t="str">
        <f t="shared" si="93"/>
        <v/>
      </c>
      <c r="E434" s="66" t="str">
        <f t="shared" si="94"/>
        <v/>
      </c>
      <c r="F434" s="66" t="str">
        <f t="shared" si="95"/>
        <v/>
      </c>
      <c r="G434" s="45"/>
      <c r="H434" s="45"/>
      <c r="I434" s="64" t="str">
        <f t="shared" si="96"/>
        <v/>
      </c>
      <c r="J434" s="65" t="str">
        <f t="shared" si="90"/>
        <v/>
      </c>
      <c r="K434" s="66" t="str">
        <f t="shared" si="102"/>
        <v/>
      </c>
      <c r="L434" s="66" t="str">
        <f t="shared" si="97"/>
        <v/>
      </c>
      <c r="M434" s="66" t="str">
        <f t="shared" si="98"/>
        <v/>
      </c>
      <c r="N434" s="45"/>
      <c r="O434" s="45"/>
      <c r="P434" s="64" t="str">
        <f t="shared" si="99"/>
        <v/>
      </c>
      <c r="Q434" s="65" t="str">
        <f t="shared" si="100"/>
        <v/>
      </c>
      <c r="R434" s="66" t="str">
        <f t="shared" si="104"/>
        <v/>
      </c>
      <c r="S434" s="66" t="str">
        <f t="shared" si="103"/>
        <v/>
      </c>
      <c r="T434" s="66" t="str">
        <f t="shared" si="101"/>
        <v/>
      </c>
      <c r="U434" s="45"/>
    </row>
    <row r="435" spans="1:21" ht="15">
      <c r="A435" s="45"/>
      <c r="B435" s="64" t="str">
        <f t="shared" si="91"/>
        <v/>
      </c>
      <c r="C435" s="65" t="str">
        <f t="shared" si="92"/>
        <v/>
      </c>
      <c r="D435" s="66" t="str">
        <f t="shared" si="93"/>
        <v/>
      </c>
      <c r="E435" s="66" t="str">
        <f t="shared" si="94"/>
        <v/>
      </c>
      <c r="F435" s="66" t="str">
        <f t="shared" si="95"/>
        <v/>
      </c>
      <c r="G435" s="45"/>
      <c r="H435" s="45"/>
      <c r="I435" s="64" t="str">
        <f t="shared" si="96"/>
        <v/>
      </c>
      <c r="J435" s="65" t="str">
        <f t="shared" si="90"/>
        <v/>
      </c>
      <c r="K435" s="66" t="str">
        <f t="shared" si="102"/>
        <v/>
      </c>
      <c r="L435" s="66" t="str">
        <f t="shared" si="97"/>
        <v/>
      </c>
      <c r="M435" s="66" t="str">
        <f t="shared" si="98"/>
        <v/>
      </c>
      <c r="N435" s="45"/>
      <c r="O435" s="45"/>
      <c r="P435" s="64" t="str">
        <f t="shared" si="99"/>
        <v/>
      </c>
      <c r="Q435" s="65" t="str">
        <f t="shared" si="100"/>
        <v/>
      </c>
      <c r="R435" s="66" t="str">
        <f t="shared" si="104"/>
        <v/>
      </c>
      <c r="S435" s="66" t="str">
        <f t="shared" si="103"/>
        <v/>
      </c>
      <c r="T435" s="66" t="str">
        <f t="shared" si="101"/>
        <v/>
      </c>
      <c r="U435" s="45"/>
    </row>
    <row r="436" spans="1:21" ht="15">
      <c r="A436" s="45"/>
      <c r="B436" s="64" t="str">
        <f t="shared" si="91"/>
        <v/>
      </c>
      <c r="C436" s="65" t="str">
        <f t="shared" si="92"/>
        <v/>
      </c>
      <c r="D436" s="66" t="str">
        <f t="shared" si="93"/>
        <v/>
      </c>
      <c r="E436" s="66" t="str">
        <f t="shared" si="94"/>
        <v/>
      </c>
      <c r="F436" s="66" t="str">
        <f t="shared" si="95"/>
        <v/>
      </c>
      <c r="G436" s="45"/>
      <c r="H436" s="45"/>
      <c r="I436" s="64" t="str">
        <f t="shared" si="96"/>
        <v/>
      </c>
      <c r="J436" s="65" t="str">
        <f t="shared" si="90"/>
        <v/>
      </c>
      <c r="K436" s="66" t="str">
        <f t="shared" si="102"/>
        <v/>
      </c>
      <c r="L436" s="66" t="str">
        <f t="shared" si="97"/>
        <v/>
      </c>
      <c r="M436" s="66" t="str">
        <f t="shared" si="98"/>
        <v/>
      </c>
      <c r="N436" s="45"/>
      <c r="O436" s="45"/>
      <c r="P436" s="64" t="str">
        <f t="shared" si="99"/>
        <v/>
      </c>
      <c r="Q436" s="65" t="str">
        <f t="shared" si="100"/>
        <v/>
      </c>
      <c r="R436" s="66" t="str">
        <f t="shared" si="104"/>
        <v/>
      </c>
      <c r="S436" s="66" t="str">
        <f t="shared" si="103"/>
        <v/>
      </c>
      <c r="T436" s="66" t="str">
        <f t="shared" si="101"/>
        <v/>
      </c>
      <c r="U436" s="45"/>
    </row>
    <row r="437" spans="1:21" ht="15">
      <c r="A437" s="45"/>
      <c r="B437" s="64" t="str">
        <f t="shared" si="91"/>
        <v/>
      </c>
      <c r="C437" s="65" t="str">
        <f t="shared" si="92"/>
        <v/>
      </c>
      <c r="D437" s="66" t="str">
        <f t="shared" si="93"/>
        <v/>
      </c>
      <c r="E437" s="66" t="str">
        <f t="shared" si="94"/>
        <v/>
      </c>
      <c r="F437" s="66" t="str">
        <f t="shared" si="95"/>
        <v/>
      </c>
      <c r="G437" s="45"/>
      <c r="H437" s="45"/>
      <c r="I437" s="64" t="str">
        <f t="shared" si="96"/>
        <v/>
      </c>
      <c r="J437" s="65" t="str">
        <f t="shared" si="90"/>
        <v/>
      </c>
      <c r="K437" s="66" t="str">
        <f t="shared" si="102"/>
        <v/>
      </c>
      <c r="L437" s="66" t="str">
        <f t="shared" si="97"/>
        <v/>
      </c>
      <c r="M437" s="66" t="str">
        <f t="shared" si="98"/>
        <v/>
      </c>
      <c r="N437" s="45"/>
      <c r="O437" s="45"/>
      <c r="P437" s="64" t="str">
        <f t="shared" si="99"/>
        <v/>
      </c>
      <c r="Q437" s="65" t="str">
        <f t="shared" si="100"/>
        <v/>
      </c>
      <c r="R437" s="66" t="str">
        <f t="shared" si="104"/>
        <v/>
      </c>
      <c r="S437" s="66" t="str">
        <f t="shared" si="103"/>
        <v/>
      </c>
      <c r="T437" s="66" t="str">
        <f t="shared" si="101"/>
        <v/>
      </c>
      <c r="U437" s="45"/>
    </row>
    <row r="438" spans="1:21" ht="15">
      <c r="A438" s="45"/>
      <c r="B438" s="64" t="str">
        <f t="shared" si="91"/>
        <v/>
      </c>
      <c r="C438" s="65" t="str">
        <f t="shared" si="92"/>
        <v/>
      </c>
      <c r="D438" s="66" t="str">
        <f t="shared" si="93"/>
        <v/>
      </c>
      <c r="E438" s="66" t="str">
        <f t="shared" si="94"/>
        <v/>
      </c>
      <c r="F438" s="66" t="str">
        <f t="shared" si="95"/>
        <v/>
      </c>
      <c r="G438" s="45"/>
      <c r="H438" s="45"/>
      <c r="I438" s="64" t="str">
        <f t="shared" si="96"/>
        <v/>
      </c>
      <c r="J438" s="65" t="str">
        <f t="shared" si="90"/>
        <v/>
      </c>
      <c r="K438" s="66" t="str">
        <f t="shared" si="102"/>
        <v/>
      </c>
      <c r="L438" s="66" t="str">
        <f t="shared" si="97"/>
        <v/>
      </c>
      <c r="M438" s="66" t="str">
        <f t="shared" si="98"/>
        <v/>
      </c>
      <c r="N438" s="45"/>
      <c r="O438" s="45"/>
      <c r="P438" s="64" t="str">
        <f t="shared" si="99"/>
        <v/>
      </c>
      <c r="Q438" s="65" t="str">
        <f t="shared" si="100"/>
        <v/>
      </c>
      <c r="R438" s="66" t="str">
        <f t="shared" si="104"/>
        <v/>
      </c>
      <c r="S438" s="66" t="str">
        <f t="shared" si="103"/>
        <v/>
      </c>
      <c r="T438" s="66" t="str">
        <f t="shared" si="101"/>
        <v/>
      </c>
      <c r="U438" s="45"/>
    </row>
    <row r="439" spans="1:21" ht="15">
      <c r="A439" s="45"/>
      <c r="B439" s="64" t="str">
        <f t="shared" si="91"/>
        <v/>
      </c>
      <c r="C439" s="65" t="str">
        <f t="shared" si="92"/>
        <v/>
      </c>
      <c r="D439" s="66" t="str">
        <f t="shared" si="93"/>
        <v/>
      </c>
      <c r="E439" s="66" t="str">
        <f t="shared" si="94"/>
        <v/>
      </c>
      <c r="F439" s="66" t="str">
        <f t="shared" si="95"/>
        <v/>
      </c>
      <c r="G439" s="45"/>
      <c r="H439" s="45"/>
      <c r="I439" s="64" t="str">
        <f t="shared" si="96"/>
        <v/>
      </c>
      <c r="J439" s="65" t="str">
        <f t="shared" si="90"/>
        <v/>
      </c>
      <c r="K439" s="66" t="str">
        <f t="shared" si="102"/>
        <v/>
      </c>
      <c r="L439" s="66" t="str">
        <f t="shared" si="97"/>
        <v/>
      </c>
      <c r="M439" s="66" t="str">
        <f t="shared" si="98"/>
        <v/>
      </c>
      <c r="N439" s="45"/>
      <c r="O439" s="45"/>
      <c r="P439" s="64" t="str">
        <f t="shared" si="99"/>
        <v/>
      </c>
      <c r="Q439" s="65" t="str">
        <f t="shared" si="100"/>
        <v/>
      </c>
      <c r="R439" s="66" t="str">
        <f t="shared" si="104"/>
        <v/>
      </c>
      <c r="S439" s="66" t="str">
        <f t="shared" si="103"/>
        <v/>
      </c>
      <c r="T439" s="66" t="str">
        <f t="shared" si="101"/>
        <v/>
      </c>
      <c r="U439" s="45"/>
    </row>
    <row r="440" spans="1:21" ht="15">
      <c r="A440" s="45"/>
      <c r="B440" s="64" t="str">
        <f t="shared" si="91"/>
        <v/>
      </c>
      <c r="C440" s="65" t="str">
        <f t="shared" si="92"/>
        <v/>
      </c>
      <c r="D440" s="66" t="str">
        <f t="shared" si="93"/>
        <v/>
      </c>
      <c r="E440" s="66" t="str">
        <f t="shared" si="94"/>
        <v/>
      </c>
      <c r="F440" s="66" t="str">
        <f t="shared" si="95"/>
        <v/>
      </c>
      <c r="G440" s="45"/>
      <c r="H440" s="45"/>
      <c r="I440" s="64" t="str">
        <f t="shared" si="96"/>
        <v/>
      </c>
      <c r="J440" s="65" t="str">
        <f t="shared" si="90"/>
        <v/>
      </c>
      <c r="K440" s="66" t="str">
        <f t="shared" si="102"/>
        <v/>
      </c>
      <c r="L440" s="66" t="str">
        <f t="shared" si="97"/>
        <v/>
      </c>
      <c r="M440" s="66" t="str">
        <f t="shared" si="98"/>
        <v/>
      </c>
      <c r="N440" s="45"/>
      <c r="O440" s="45"/>
      <c r="P440" s="64" t="str">
        <f t="shared" si="99"/>
        <v/>
      </c>
      <c r="Q440" s="65" t="str">
        <f t="shared" si="100"/>
        <v/>
      </c>
      <c r="R440" s="66" t="str">
        <f t="shared" si="104"/>
        <v/>
      </c>
      <c r="S440" s="66" t="str">
        <f t="shared" si="103"/>
        <v/>
      </c>
      <c r="T440" s="66" t="str">
        <f t="shared" si="101"/>
        <v/>
      </c>
      <c r="U440" s="45"/>
    </row>
    <row r="441" spans="1:21" ht="15">
      <c r="A441" s="45"/>
      <c r="B441" s="64" t="str">
        <f t="shared" si="91"/>
        <v/>
      </c>
      <c r="C441" s="65" t="str">
        <f t="shared" si="92"/>
        <v/>
      </c>
      <c r="D441" s="66" t="str">
        <f t="shared" si="93"/>
        <v/>
      </c>
      <c r="E441" s="66" t="str">
        <f t="shared" si="94"/>
        <v/>
      </c>
      <c r="F441" s="66" t="str">
        <f t="shared" si="95"/>
        <v/>
      </c>
      <c r="G441" s="45"/>
      <c r="H441" s="45"/>
      <c r="I441" s="64" t="str">
        <f t="shared" si="96"/>
        <v/>
      </c>
      <c r="J441" s="65" t="str">
        <f t="shared" si="90"/>
        <v/>
      </c>
      <c r="K441" s="66" t="str">
        <f t="shared" si="102"/>
        <v/>
      </c>
      <c r="L441" s="66" t="str">
        <f t="shared" si="97"/>
        <v/>
      </c>
      <c r="M441" s="66" t="str">
        <f t="shared" si="98"/>
        <v/>
      </c>
      <c r="N441" s="45"/>
      <c r="O441" s="45"/>
      <c r="P441" s="64" t="str">
        <f t="shared" si="99"/>
        <v/>
      </c>
      <c r="Q441" s="65" t="str">
        <f t="shared" si="100"/>
        <v/>
      </c>
      <c r="R441" s="66" t="str">
        <f t="shared" si="104"/>
        <v/>
      </c>
      <c r="S441" s="66" t="str">
        <f t="shared" si="103"/>
        <v/>
      </c>
      <c r="T441" s="66" t="str">
        <f t="shared" si="101"/>
        <v/>
      </c>
      <c r="U441" s="45"/>
    </row>
    <row r="442" spans="1:21" ht="15">
      <c r="A442" s="45"/>
      <c r="B442" s="64" t="str">
        <f t="shared" si="91"/>
        <v/>
      </c>
      <c r="C442" s="65" t="str">
        <f t="shared" si="92"/>
        <v/>
      </c>
      <c r="D442" s="66" t="str">
        <f t="shared" si="93"/>
        <v/>
      </c>
      <c r="E442" s="66" t="str">
        <f t="shared" si="94"/>
        <v/>
      </c>
      <c r="F442" s="66" t="str">
        <f t="shared" si="95"/>
        <v/>
      </c>
      <c r="G442" s="45"/>
      <c r="H442" s="45"/>
      <c r="I442" s="64" t="str">
        <f t="shared" si="96"/>
        <v/>
      </c>
      <c r="J442" s="65" t="str">
        <f t="shared" si="90"/>
        <v/>
      </c>
      <c r="K442" s="66" t="str">
        <f t="shared" si="102"/>
        <v/>
      </c>
      <c r="L442" s="66" t="str">
        <f t="shared" si="97"/>
        <v/>
      </c>
      <c r="M442" s="66" t="str">
        <f t="shared" si="98"/>
        <v/>
      </c>
      <c r="N442" s="45"/>
      <c r="O442" s="45"/>
      <c r="P442" s="64" t="str">
        <f t="shared" si="99"/>
        <v/>
      </c>
      <c r="Q442" s="65" t="str">
        <f t="shared" si="100"/>
        <v/>
      </c>
      <c r="R442" s="66" t="str">
        <f t="shared" si="104"/>
        <v/>
      </c>
      <c r="S442" s="66" t="str">
        <f t="shared" si="103"/>
        <v/>
      </c>
      <c r="T442" s="66" t="str">
        <f t="shared" si="101"/>
        <v/>
      </c>
      <c r="U442" s="45"/>
    </row>
    <row r="443" spans="1:21" ht="15">
      <c r="A443" s="45"/>
      <c r="B443" s="64" t="str">
        <f t="shared" si="91"/>
        <v/>
      </c>
      <c r="C443" s="65" t="str">
        <f t="shared" si="92"/>
        <v/>
      </c>
      <c r="D443" s="66" t="str">
        <f t="shared" si="93"/>
        <v/>
      </c>
      <c r="E443" s="66" t="str">
        <f t="shared" si="94"/>
        <v/>
      </c>
      <c r="F443" s="66" t="str">
        <f t="shared" si="95"/>
        <v/>
      </c>
      <c r="G443" s="45"/>
      <c r="H443" s="45"/>
      <c r="I443" s="64" t="str">
        <f t="shared" si="96"/>
        <v/>
      </c>
      <c r="J443" s="65" t="str">
        <f t="shared" si="90"/>
        <v/>
      </c>
      <c r="K443" s="66" t="str">
        <f t="shared" si="102"/>
        <v/>
      </c>
      <c r="L443" s="66" t="str">
        <f t="shared" si="97"/>
        <v/>
      </c>
      <c r="M443" s="66" t="str">
        <f t="shared" si="98"/>
        <v/>
      </c>
      <c r="N443" s="45"/>
      <c r="O443" s="45"/>
      <c r="P443" s="64" t="str">
        <f t="shared" si="99"/>
        <v/>
      </c>
      <c r="Q443" s="65" t="str">
        <f t="shared" si="100"/>
        <v/>
      </c>
      <c r="R443" s="66" t="str">
        <f t="shared" si="104"/>
        <v/>
      </c>
      <c r="S443" s="66" t="str">
        <f t="shared" si="103"/>
        <v/>
      </c>
      <c r="T443" s="66" t="str">
        <f t="shared" si="101"/>
        <v/>
      </c>
      <c r="U443" s="45"/>
    </row>
    <row r="444" spans="1:21" ht="15">
      <c r="A444" s="45"/>
      <c r="B444" s="64" t="str">
        <f t="shared" si="91"/>
        <v/>
      </c>
      <c r="C444" s="65" t="str">
        <f t="shared" si="92"/>
        <v/>
      </c>
      <c r="D444" s="66" t="str">
        <f t="shared" si="93"/>
        <v/>
      </c>
      <c r="E444" s="66" t="str">
        <f t="shared" si="94"/>
        <v/>
      </c>
      <c r="F444" s="66" t="str">
        <f t="shared" si="95"/>
        <v/>
      </c>
      <c r="G444" s="45"/>
      <c r="H444" s="45"/>
      <c r="I444" s="64" t="str">
        <f t="shared" si="96"/>
        <v/>
      </c>
      <c r="J444" s="65" t="str">
        <f t="shared" si="90"/>
        <v/>
      </c>
      <c r="K444" s="66" t="str">
        <f t="shared" si="102"/>
        <v/>
      </c>
      <c r="L444" s="66" t="str">
        <f t="shared" si="97"/>
        <v/>
      </c>
      <c r="M444" s="66" t="str">
        <f t="shared" si="98"/>
        <v/>
      </c>
      <c r="N444" s="45"/>
      <c r="O444" s="45"/>
      <c r="P444" s="64" t="str">
        <f t="shared" si="99"/>
        <v/>
      </c>
      <c r="Q444" s="65" t="str">
        <f t="shared" si="100"/>
        <v/>
      </c>
      <c r="R444" s="66" t="str">
        <f t="shared" si="104"/>
        <v/>
      </c>
      <c r="S444" s="66" t="str">
        <f t="shared" si="103"/>
        <v/>
      </c>
      <c r="T444" s="66" t="str">
        <f t="shared" si="101"/>
        <v/>
      </c>
      <c r="U444" s="45"/>
    </row>
    <row r="445" spans="1:21" ht="15">
      <c r="A445" s="45"/>
      <c r="B445" s="64" t="str">
        <f t="shared" si="91"/>
        <v/>
      </c>
      <c r="C445" s="65" t="str">
        <f t="shared" si="92"/>
        <v/>
      </c>
      <c r="D445" s="66" t="str">
        <f t="shared" si="93"/>
        <v/>
      </c>
      <c r="E445" s="66" t="str">
        <f t="shared" si="94"/>
        <v/>
      </c>
      <c r="F445" s="66" t="str">
        <f t="shared" si="95"/>
        <v/>
      </c>
      <c r="G445" s="45"/>
      <c r="H445" s="45"/>
      <c r="I445" s="64" t="str">
        <f t="shared" si="96"/>
        <v/>
      </c>
      <c r="J445" s="65" t="str">
        <f t="shared" ref="J445:J502" si="105">IF(I444&lt;$D$6,+J444,"")</f>
        <v/>
      </c>
      <c r="K445" s="66" t="str">
        <f t="shared" si="102"/>
        <v/>
      </c>
      <c r="L445" s="66" t="str">
        <f t="shared" si="97"/>
        <v/>
      </c>
      <c r="M445" s="66" t="str">
        <f t="shared" si="98"/>
        <v/>
      </c>
      <c r="N445" s="45"/>
      <c r="O445" s="45"/>
      <c r="P445" s="64" t="str">
        <f t="shared" si="99"/>
        <v/>
      </c>
      <c r="Q445" s="65" t="str">
        <f t="shared" si="100"/>
        <v/>
      </c>
      <c r="R445" s="66" t="str">
        <f t="shared" si="104"/>
        <v/>
      </c>
      <c r="S445" s="66" t="str">
        <f t="shared" si="103"/>
        <v/>
      </c>
      <c r="T445" s="66" t="str">
        <f t="shared" si="101"/>
        <v/>
      </c>
      <c r="U445" s="45"/>
    </row>
    <row r="446" spans="1:21" ht="15">
      <c r="A446" s="45"/>
      <c r="B446" s="64" t="str">
        <f t="shared" si="91"/>
        <v/>
      </c>
      <c r="C446" s="65" t="str">
        <f t="shared" si="92"/>
        <v/>
      </c>
      <c r="D446" s="66" t="str">
        <f t="shared" si="93"/>
        <v/>
      </c>
      <c r="E446" s="66" t="str">
        <f t="shared" si="94"/>
        <v/>
      </c>
      <c r="F446" s="66" t="str">
        <f t="shared" si="95"/>
        <v/>
      </c>
      <c r="G446" s="45"/>
      <c r="H446" s="45"/>
      <c r="I446" s="64" t="str">
        <f t="shared" si="96"/>
        <v/>
      </c>
      <c r="J446" s="65" t="str">
        <f t="shared" si="105"/>
        <v/>
      </c>
      <c r="K446" s="66" t="str">
        <f t="shared" si="102"/>
        <v/>
      </c>
      <c r="L446" s="66" t="str">
        <f t="shared" si="97"/>
        <v/>
      </c>
      <c r="M446" s="66" t="str">
        <f t="shared" si="98"/>
        <v/>
      </c>
      <c r="N446" s="45"/>
      <c r="O446" s="45"/>
      <c r="P446" s="64" t="str">
        <f t="shared" si="99"/>
        <v/>
      </c>
      <c r="Q446" s="65" t="str">
        <f t="shared" si="100"/>
        <v/>
      </c>
      <c r="R446" s="66" t="str">
        <f t="shared" si="104"/>
        <v/>
      </c>
      <c r="S446" s="66" t="str">
        <f t="shared" si="103"/>
        <v/>
      </c>
      <c r="T446" s="66" t="str">
        <f t="shared" si="101"/>
        <v/>
      </c>
      <c r="U446" s="45"/>
    </row>
    <row r="447" spans="1:21" ht="15">
      <c r="A447" s="45"/>
      <c r="B447" s="64" t="str">
        <f t="shared" si="91"/>
        <v/>
      </c>
      <c r="C447" s="65" t="str">
        <f t="shared" si="92"/>
        <v/>
      </c>
      <c r="D447" s="66" t="str">
        <f t="shared" si="93"/>
        <v/>
      </c>
      <c r="E447" s="66" t="str">
        <f t="shared" si="94"/>
        <v/>
      </c>
      <c r="F447" s="66" t="str">
        <f t="shared" si="95"/>
        <v/>
      </c>
      <c r="G447" s="45"/>
      <c r="H447" s="45"/>
      <c r="I447" s="64" t="str">
        <f t="shared" si="96"/>
        <v/>
      </c>
      <c r="J447" s="65" t="str">
        <f t="shared" si="105"/>
        <v/>
      </c>
      <c r="K447" s="66" t="str">
        <f t="shared" si="102"/>
        <v/>
      </c>
      <c r="L447" s="66" t="str">
        <f t="shared" si="97"/>
        <v/>
      </c>
      <c r="M447" s="66" t="str">
        <f t="shared" si="98"/>
        <v/>
      </c>
      <c r="N447" s="45"/>
      <c r="O447" s="45"/>
      <c r="P447" s="64" t="str">
        <f t="shared" si="99"/>
        <v/>
      </c>
      <c r="Q447" s="65" t="str">
        <f t="shared" si="100"/>
        <v/>
      </c>
      <c r="R447" s="66" t="str">
        <f t="shared" si="104"/>
        <v/>
      </c>
      <c r="S447" s="66" t="str">
        <f t="shared" si="103"/>
        <v/>
      </c>
      <c r="T447" s="66" t="str">
        <f t="shared" si="101"/>
        <v/>
      </c>
      <c r="U447" s="45"/>
    </row>
    <row r="448" spans="1:21" ht="15">
      <c r="A448" s="45"/>
      <c r="B448" s="64" t="str">
        <f t="shared" si="91"/>
        <v/>
      </c>
      <c r="C448" s="65" t="str">
        <f t="shared" si="92"/>
        <v/>
      </c>
      <c r="D448" s="66" t="str">
        <f t="shared" si="93"/>
        <v/>
      </c>
      <c r="E448" s="66" t="str">
        <f t="shared" si="94"/>
        <v/>
      </c>
      <c r="F448" s="66" t="str">
        <f t="shared" si="95"/>
        <v/>
      </c>
      <c r="G448" s="45"/>
      <c r="H448" s="45"/>
      <c r="I448" s="64" t="str">
        <f t="shared" si="96"/>
        <v/>
      </c>
      <c r="J448" s="65" t="str">
        <f t="shared" si="105"/>
        <v/>
      </c>
      <c r="K448" s="66" t="str">
        <f t="shared" si="102"/>
        <v/>
      </c>
      <c r="L448" s="66" t="str">
        <f t="shared" si="97"/>
        <v/>
      </c>
      <c r="M448" s="66" t="str">
        <f t="shared" si="98"/>
        <v/>
      </c>
      <c r="N448" s="45"/>
      <c r="O448" s="45"/>
      <c r="P448" s="64" t="str">
        <f t="shared" si="99"/>
        <v/>
      </c>
      <c r="Q448" s="65" t="str">
        <f t="shared" si="100"/>
        <v/>
      </c>
      <c r="R448" s="66" t="str">
        <f t="shared" si="104"/>
        <v/>
      </c>
      <c r="S448" s="66" t="str">
        <f t="shared" si="103"/>
        <v/>
      </c>
      <c r="T448" s="66" t="str">
        <f t="shared" si="101"/>
        <v/>
      </c>
      <c r="U448" s="45"/>
    </row>
    <row r="449" spans="1:21" ht="15">
      <c r="A449" s="45"/>
      <c r="B449" s="64" t="str">
        <f t="shared" si="91"/>
        <v/>
      </c>
      <c r="C449" s="65" t="str">
        <f t="shared" si="92"/>
        <v/>
      </c>
      <c r="D449" s="66" t="str">
        <f t="shared" si="93"/>
        <v/>
      </c>
      <c r="E449" s="66" t="str">
        <f t="shared" si="94"/>
        <v/>
      </c>
      <c r="F449" s="66" t="str">
        <f t="shared" si="95"/>
        <v/>
      </c>
      <c r="G449" s="45"/>
      <c r="H449" s="45"/>
      <c r="I449" s="64" t="str">
        <f t="shared" si="96"/>
        <v/>
      </c>
      <c r="J449" s="65" t="str">
        <f t="shared" si="105"/>
        <v/>
      </c>
      <c r="K449" s="66" t="str">
        <f t="shared" si="102"/>
        <v/>
      </c>
      <c r="L449" s="66" t="str">
        <f t="shared" si="97"/>
        <v/>
      </c>
      <c r="M449" s="66" t="str">
        <f t="shared" si="98"/>
        <v/>
      </c>
      <c r="N449" s="45"/>
      <c r="O449" s="45"/>
      <c r="P449" s="64" t="str">
        <f t="shared" si="99"/>
        <v/>
      </c>
      <c r="Q449" s="65" t="str">
        <f t="shared" si="100"/>
        <v/>
      </c>
      <c r="R449" s="66" t="str">
        <f t="shared" si="104"/>
        <v/>
      </c>
      <c r="S449" s="66" t="str">
        <f t="shared" si="103"/>
        <v/>
      </c>
      <c r="T449" s="66" t="str">
        <f t="shared" si="101"/>
        <v/>
      </c>
      <c r="U449" s="45"/>
    </row>
    <row r="450" spans="1:21" ht="15">
      <c r="A450" s="45"/>
      <c r="B450" s="64" t="str">
        <f t="shared" si="91"/>
        <v/>
      </c>
      <c r="C450" s="65" t="str">
        <f t="shared" si="92"/>
        <v/>
      </c>
      <c r="D450" s="66" t="str">
        <f t="shared" si="93"/>
        <v/>
      </c>
      <c r="E450" s="66" t="str">
        <f t="shared" si="94"/>
        <v/>
      </c>
      <c r="F450" s="66" t="str">
        <f t="shared" si="95"/>
        <v/>
      </c>
      <c r="G450" s="45"/>
      <c r="H450" s="45"/>
      <c r="I450" s="64" t="str">
        <f t="shared" si="96"/>
        <v/>
      </c>
      <c r="J450" s="65" t="str">
        <f t="shared" si="105"/>
        <v/>
      </c>
      <c r="K450" s="66" t="str">
        <f t="shared" si="102"/>
        <v/>
      </c>
      <c r="L450" s="66" t="str">
        <f t="shared" si="97"/>
        <v/>
      </c>
      <c r="M450" s="66" t="str">
        <f t="shared" si="98"/>
        <v/>
      </c>
      <c r="N450" s="45"/>
      <c r="O450" s="45"/>
      <c r="P450" s="64" t="str">
        <f t="shared" si="99"/>
        <v/>
      </c>
      <c r="Q450" s="65" t="str">
        <f t="shared" si="100"/>
        <v/>
      </c>
      <c r="R450" s="66" t="str">
        <f t="shared" si="104"/>
        <v/>
      </c>
      <c r="S450" s="66" t="str">
        <f t="shared" si="103"/>
        <v/>
      </c>
      <c r="T450" s="66" t="str">
        <f t="shared" si="101"/>
        <v/>
      </c>
      <c r="U450" s="45"/>
    </row>
    <row r="451" spans="1:21" ht="15">
      <c r="A451" s="45"/>
      <c r="B451" s="64" t="str">
        <f t="shared" si="91"/>
        <v/>
      </c>
      <c r="C451" s="65" t="str">
        <f t="shared" si="92"/>
        <v/>
      </c>
      <c r="D451" s="66" t="str">
        <f t="shared" si="93"/>
        <v/>
      </c>
      <c r="E451" s="66" t="str">
        <f t="shared" si="94"/>
        <v/>
      </c>
      <c r="F451" s="66" t="str">
        <f t="shared" si="95"/>
        <v/>
      </c>
      <c r="G451" s="45"/>
      <c r="H451" s="45"/>
      <c r="I451" s="64" t="str">
        <f t="shared" si="96"/>
        <v/>
      </c>
      <c r="J451" s="65" t="str">
        <f t="shared" si="105"/>
        <v/>
      </c>
      <c r="K451" s="66" t="str">
        <f t="shared" si="102"/>
        <v/>
      </c>
      <c r="L451" s="66" t="str">
        <f t="shared" si="97"/>
        <v/>
      </c>
      <c r="M451" s="66" t="str">
        <f t="shared" si="98"/>
        <v/>
      </c>
      <c r="N451" s="45"/>
      <c r="O451" s="45"/>
      <c r="P451" s="64" t="str">
        <f t="shared" si="99"/>
        <v/>
      </c>
      <c r="Q451" s="65" t="str">
        <f t="shared" si="100"/>
        <v/>
      </c>
      <c r="R451" s="66" t="str">
        <f t="shared" si="104"/>
        <v/>
      </c>
      <c r="S451" s="66" t="str">
        <f t="shared" si="103"/>
        <v/>
      </c>
      <c r="T451" s="66" t="str">
        <f t="shared" si="101"/>
        <v/>
      </c>
      <c r="U451" s="45"/>
    </row>
    <row r="452" spans="1:21" ht="15">
      <c r="A452" s="45"/>
      <c r="B452" s="64" t="str">
        <f t="shared" si="91"/>
        <v/>
      </c>
      <c r="C452" s="65" t="str">
        <f t="shared" si="92"/>
        <v/>
      </c>
      <c r="D452" s="66" t="str">
        <f t="shared" si="93"/>
        <v/>
      </c>
      <c r="E452" s="66" t="str">
        <f t="shared" si="94"/>
        <v/>
      </c>
      <c r="F452" s="66" t="str">
        <f t="shared" si="95"/>
        <v/>
      </c>
      <c r="G452" s="45"/>
      <c r="H452" s="45"/>
      <c r="I452" s="64" t="str">
        <f t="shared" si="96"/>
        <v/>
      </c>
      <c r="J452" s="65" t="str">
        <f t="shared" si="105"/>
        <v/>
      </c>
      <c r="K452" s="66" t="str">
        <f t="shared" si="102"/>
        <v/>
      </c>
      <c r="L452" s="66" t="str">
        <f t="shared" si="97"/>
        <v/>
      </c>
      <c r="M452" s="66" t="str">
        <f t="shared" si="98"/>
        <v/>
      </c>
      <c r="N452" s="45"/>
      <c r="O452" s="45"/>
      <c r="P452" s="64" t="str">
        <f t="shared" si="99"/>
        <v/>
      </c>
      <c r="Q452" s="65" t="str">
        <f t="shared" si="100"/>
        <v/>
      </c>
      <c r="R452" s="66" t="str">
        <f t="shared" si="104"/>
        <v/>
      </c>
      <c r="S452" s="66" t="str">
        <f t="shared" si="103"/>
        <v/>
      </c>
      <c r="T452" s="66" t="str">
        <f t="shared" si="101"/>
        <v/>
      </c>
      <c r="U452" s="45"/>
    </row>
    <row r="453" spans="1:21" ht="15">
      <c r="A453" s="45"/>
      <c r="B453" s="64" t="str">
        <f t="shared" si="91"/>
        <v/>
      </c>
      <c r="C453" s="65" t="str">
        <f t="shared" si="92"/>
        <v/>
      </c>
      <c r="D453" s="66" t="str">
        <f t="shared" si="93"/>
        <v/>
      </c>
      <c r="E453" s="66" t="str">
        <f t="shared" si="94"/>
        <v/>
      </c>
      <c r="F453" s="66" t="str">
        <f t="shared" si="95"/>
        <v/>
      </c>
      <c r="G453" s="45"/>
      <c r="H453" s="45"/>
      <c r="I453" s="64" t="str">
        <f t="shared" si="96"/>
        <v/>
      </c>
      <c r="J453" s="65" t="str">
        <f t="shared" si="105"/>
        <v/>
      </c>
      <c r="K453" s="66" t="str">
        <f t="shared" si="102"/>
        <v/>
      </c>
      <c r="L453" s="66" t="str">
        <f t="shared" si="97"/>
        <v/>
      </c>
      <c r="M453" s="66" t="str">
        <f t="shared" si="98"/>
        <v/>
      </c>
      <c r="N453" s="45"/>
      <c r="O453" s="45"/>
      <c r="P453" s="64" t="str">
        <f t="shared" si="99"/>
        <v/>
      </c>
      <c r="Q453" s="65" t="str">
        <f t="shared" si="100"/>
        <v/>
      </c>
      <c r="R453" s="66" t="str">
        <f t="shared" si="104"/>
        <v/>
      </c>
      <c r="S453" s="66" t="str">
        <f t="shared" si="103"/>
        <v/>
      </c>
      <c r="T453" s="66" t="str">
        <f t="shared" si="101"/>
        <v/>
      </c>
      <c r="U453" s="45"/>
    </row>
    <row r="454" spans="1:21" ht="15">
      <c r="A454" s="45"/>
      <c r="B454" s="64" t="str">
        <f t="shared" si="91"/>
        <v/>
      </c>
      <c r="C454" s="65" t="str">
        <f t="shared" si="92"/>
        <v/>
      </c>
      <c r="D454" s="66" t="str">
        <f t="shared" si="93"/>
        <v/>
      </c>
      <c r="E454" s="66" t="str">
        <f t="shared" si="94"/>
        <v/>
      </c>
      <c r="F454" s="66" t="str">
        <f t="shared" si="95"/>
        <v/>
      </c>
      <c r="G454" s="45"/>
      <c r="H454" s="45"/>
      <c r="I454" s="64" t="str">
        <f t="shared" si="96"/>
        <v/>
      </c>
      <c r="J454" s="65" t="str">
        <f t="shared" si="105"/>
        <v/>
      </c>
      <c r="K454" s="66" t="str">
        <f t="shared" si="102"/>
        <v/>
      </c>
      <c r="L454" s="66" t="str">
        <f t="shared" si="97"/>
        <v/>
      </c>
      <c r="M454" s="66" t="str">
        <f t="shared" si="98"/>
        <v/>
      </c>
      <c r="N454" s="45"/>
      <c r="O454" s="45"/>
      <c r="P454" s="64" t="str">
        <f t="shared" si="99"/>
        <v/>
      </c>
      <c r="Q454" s="65" t="str">
        <f t="shared" si="100"/>
        <v/>
      </c>
      <c r="R454" s="66" t="str">
        <f t="shared" si="104"/>
        <v/>
      </c>
      <c r="S454" s="66" t="str">
        <f t="shared" si="103"/>
        <v/>
      </c>
      <c r="T454" s="66" t="str">
        <f t="shared" si="101"/>
        <v/>
      </c>
      <c r="U454" s="45"/>
    </row>
    <row r="455" spans="1:21" ht="15">
      <c r="A455" s="45"/>
      <c r="B455" s="64" t="str">
        <f t="shared" si="91"/>
        <v/>
      </c>
      <c r="C455" s="65" t="str">
        <f t="shared" si="92"/>
        <v/>
      </c>
      <c r="D455" s="66" t="str">
        <f t="shared" si="93"/>
        <v/>
      </c>
      <c r="E455" s="66" t="str">
        <f t="shared" si="94"/>
        <v/>
      </c>
      <c r="F455" s="66" t="str">
        <f t="shared" si="95"/>
        <v/>
      </c>
      <c r="G455" s="45"/>
      <c r="H455" s="45"/>
      <c r="I455" s="64" t="str">
        <f t="shared" si="96"/>
        <v/>
      </c>
      <c r="J455" s="65" t="str">
        <f t="shared" si="105"/>
        <v/>
      </c>
      <c r="K455" s="66" t="str">
        <f t="shared" si="102"/>
        <v/>
      </c>
      <c r="L455" s="66" t="str">
        <f t="shared" si="97"/>
        <v/>
      </c>
      <c r="M455" s="66" t="str">
        <f t="shared" si="98"/>
        <v/>
      </c>
      <c r="N455" s="45"/>
      <c r="O455" s="45"/>
      <c r="P455" s="64" t="str">
        <f t="shared" si="99"/>
        <v/>
      </c>
      <c r="Q455" s="65" t="str">
        <f t="shared" si="100"/>
        <v/>
      </c>
      <c r="R455" s="66" t="str">
        <f t="shared" si="104"/>
        <v/>
      </c>
      <c r="S455" s="66" t="str">
        <f t="shared" si="103"/>
        <v/>
      </c>
      <c r="T455" s="66" t="str">
        <f t="shared" si="101"/>
        <v/>
      </c>
      <c r="U455" s="45"/>
    </row>
    <row r="456" spans="1:21" ht="15">
      <c r="A456" s="45"/>
      <c r="B456" s="64" t="str">
        <f t="shared" si="91"/>
        <v/>
      </c>
      <c r="C456" s="65" t="str">
        <f t="shared" si="92"/>
        <v/>
      </c>
      <c r="D456" s="66" t="str">
        <f t="shared" si="93"/>
        <v/>
      </c>
      <c r="E456" s="66" t="str">
        <f t="shared" si="94"/>
        <v/>
      </c>
      <c r="F456" s="66" t="str">
        <f t="shared" si="95"/>
        <v/>
      </c>
      <c r="G456" s="45"/>
      <c r="H456" s="45"/>
      <c r="I456" s="64" t="str">
        <f t="shared" si="96"/>
        <v/>
      </c>
      <c r="J456" s="65" t="str">
        <f t="shared" si="105"/>
        <v/>
      </c>
      <c r="K456" s="66" t="str">
        <f t="shared" si="102"/>
        <v/>
      </c>
      <c r="L456" s="66" t="str">
        <f t="shared" si="97"/>
        <v/>
      </c>
      <c r="M456" s="66" t="str">
        <f t="shared" si="98"/>
        <v/>
      </c>
      <c r="N456" s="45"/>
      <c r="O456" s="45"/>
      <c r="P456" s="64" t="str">
        <f t="shared" si="99"/>
        <v/>
      </c>
      <c r="Q456" s="65" t="str">
        <f t="shared" si="100"/>
        <v/>
      </c>
      <c r="R456" s="66" t="str">
        <f t="shared" si="104"/>
        <v/>
      </c>
      <c r="S456" s="66" t="str">
        <f t="shared" si="103"/>
        <v/>
      </c>
      <c r="T456" s="66" t="str">
        <f t="shared" si="101"/>
        <v/>
      </c>
      <c r="U456" s="45"/>
    </row>
    <row r="457" spans="1:21" ht="15">
      <c r="A457" s="45"/>
      <c r="B457" s="64" t="str">
        <f t="shared" si="91"/>
        <v/>
      </c>
      <c r="C457" s="65" t="str">
        <f t="shared" si="92"/>
        <v/>
      </c>
      <c r="D457" s="66" t="str">
        <f t="shared" si="93"/>
        <v/>
      </c>
      <c r="E457" s="66" t="str">
        <f t="shared" si="94"/>
        <v/>
      </c>
      <c r="F457" s="66" t="str">
        <f t="shared" si="95"/>
        <v/>
      </c>
      <c r="G457" s="45"/>
      <c r="H457" s="45"/>
      <c r="I457" s="64" t="str">
        <f t="shared" si="96"/>
        <v/>
      </c>
      <c r="J457" s="65" t="str">
        <f t="shared" si="105"/>
        <v/>
      </c>
      <c r="K457" s="66" t="str">
        <f t="shared" si="102"/>
        <v/>
      </c>
      <c r="L457" s="66" t="str">
        <f t="shared" si="97"/>
        <v/>
      </c>
      <c r="M457" s="66" t="str">
        <f t="shared" si="98"/>
        <v/>
      </c>
      <c r="N457" s="45"/>
      <c r="O457" s="45"/>
      <c r="P457" s="64" t="str">
        <f t="shared" si="99"/>
        <v/>
      </c>
      <c r="Q457" s="65" t="str">
        <f t="shared" si="100"/>
        <v/>
      </c>
      <c r="R457" s="66" t="str">
        <f t="shared" si="104"/>
        <v/>
      </c>
      <c r="S457" s="66" t="str">
        <f t="shared" si="103"/>
        <v/>
      </c>
      <c r="T457" s="66" t="str">
        <f t="shared" si="101"/>
        <v/>
      </c>
      <c r="U457" s="45"/>
    </row>
    <row r="458" spans="1:21" ht="15">
      <c r="A458" s="45"/>
      <c r="B458" s="64" t="str">
        <f t="shared" si="91"/>
        <v/>
      </c>
      <c r="C458" s="65" t="str">
        <f t="shared" si="92"/>
        <v/>
      </c>
      <c r="D458" s="66" t="str">
        <f t="shared" si="93"/>
        <v/>
      </c>
      <c r="E458" s="66" t="str">
        <f t="shared" si="94"/>
        <v/>
      </c>
      <c r="F458" s="66" t="str">
        <f t="shared" si="95"/>
        <v/>
      </c>
      <c r="G458" s="45"/>
      <c r="H458" s="45"/>
      <c r="I458" s="64" t="str">
        <f t="shared" si="96"/>
        <v/>
      </c>
      <c r="J458" s="65" t="str">
        <f t="shared" si="105"/>
        <v/>
      </c>
      <c r="K458" s="66" t="str">
        <f t="shared" si="102"/>
        <v/>
      </c>
      <c r="L458" s="66" t="str">
        <f t="shared" si="97"/>
        <v/>
      </c>
      <c r="M458" s="66" t="str">
        <f t="shared" si="98"/>
        <v/>
      </c>
      <c r="N458" s="45"/>
      <c r="O458" s="45"/>
      <c r="P458" s="64" t="str">
        <f t="shared" si="99"/>
        <v/>
      </c>
      <c r="Q458" s="65" t="str">
        <f t="shared" si="100"/>
        <v/>
      </c>
      <c r="R458" s="66" t="str">
        <f t="shared" si="104"/>
        <v/>
      </c>
      <c r="S458" s="66" t="str">
        <f t="shared" si="103"/>
        <v/>
      </c>
      <c r="T458" s="66" t="str">
        <f t="shared" si="101"/>
        <v/>
      </c>
      <c r="U458" s="45"/>
    </row>
    <row r="459" spans="1:21" ht="15">
      <c r="A459" s="45"/>
      <c r="B459" s="64" t="str">
        <f t="shared" si="91"/>
        <v/>
      </c>
      <c r="C459" s="65" t="str">
        <f t="shared" si="92"/>
        <v/>
      </c>
      <c r="D459" s="66" t="str">
        <f t="shared" si="93"/>
        <v/>
      </c>
      <c r="E459" s="66" t="str">
        <f t="shared" si="94"/>
        <v/>
      </c>
      <c r="F459" s="66" t="str">
        <f t="shared" si="95"/>
        <v/>
      </c>
      <c r="G459" s="45"/>
      <c r="H459" s="45"/>
      <c r="I459" s="64" t="str">
        <f t="shared" si="96"/>
        <v/>
      </c>
      <c r="J459" s="65" t="str">
        <f t="shared" si="105"/>
        <v/>
      </c>
      <c r="K459" s="66" t="str">
        <f t="shared" si="102"/>
        <v/>
      </c>
      <c r="L459" s="66" t="str">
        <f t="shared" si="97"/>
        <v/>
      </c>
      <c r="M459" s="66" t="str">
        <f t="shared" si="98"/>
        <v/>
      </c>
      <c r="N459" s="45"/>
      <c r="O459" s="45"/>
      <c r="P459" s="64" t="str">
        <f t="shared" si="99"/>
        <v/>
      </c>
      <c r="Q459" s="65" t="str">
        <f t="shared" si="100"/>
        <v/>
      </c>
      <c r="R459" s="66" t="str">
        <f t="shared" si="104"/>
        <v/>
      </c>
      <c r="S459" s="66" t="str">
        <f t="shared" si="103"/>
        <v/>
      </c>
      <c r="T459" s="66" t="str">
        <f t="shared" si="101"/>
        <v/>
      </c>
      <c r="U459" s="45"/>
    </row>
    <row r="460" spans="1:21" ht="15">
      <c r="A460" s="45"/>
      <c r="B460" s="64" t="str">
        <f t="shared" si="91"/>
        <v/>
      </c>
      <c r="C460" s="65" t="str">
        <f t="shared" si="92"/>
        <v/>
      </c>
      <c r="D460" s="66" t="str">
        <f t="shared" si="93"/>
        <v/>
      </c>
      <c r="E460" s="66" t="str">
        <f t="shared" si="94"/>
        <v/>
      </c>
      <c r="F460" s="66" t="str">
        <f t="shared" si="95"/>
        <v/>
      </c>
      <c r="G460" s="45"/>
      <c r="H460" s="45"/>
      <c r="I460" s="64" t="str">
        <f t="shared" si="96"/>
        <v/>
      </c>
      <c r="J460" s="65" t="str">
        <f t="shared" si="105"/>
        <v/>
      </c>
      <c r="K460" s="66" t="str">
        <f t="shared" si="102"/>
        <v/>
      </c>
      <c r="L460" s="66" t="str">
        <f t="shared" si="97"/>
        <v/>
      </c>
      <c r="M460" s="66" t="str">
        <f t="shared" si="98"/>
        <v/>
      </c>
      <c r="N460" s="45"/>
      <c r="O460" s="45"/>
      <c r="P460" s="64" t="str">
        <f t="shared" si="99"/>
        <v/>
      </c>
      <c r="Q460" s="65" t="str">
        <f t="shared" si="100"/>
        <v/>
      </c>
      <c r="R460" s="66" t="str">
        <f t="shared" si="104"/>
        <v/>
      </c>
      <c r="S460" s="66" t="str">
        <f t="shared" si="103"/>
        <v/>
      </c>
      <c r="T460" s="66" t="str">
        <f t="shared" si="101"/>
        <v/>
      </c>
      <c r="U460" s="45"/>
    </row>
    <row r="461" spans="1:21" ht="15">
      <c r="A461" s="45"/>
      <c r="B461" s="64" t="str">
        <f t="shared" si="91"/>
        <v/>
      </c>
      <c r="C461" s="65" t="str">
        <f t="shared" si="92"/>
        <v/>
      </c>
      <c r="D461" s="66" t="str">
        <f t="shared" si="93"/>
        <v/>
      </c>
      <c r="E461" s="66" t="str">
        <f t="shared" si="94"/>
        <v/>
      </c>
      <c r="F461" s="66" t="str">
        <f t="shared" si="95"/>
        <v/>
      </c>
      <c r="G461" s="45"/>
      <c r="H461" s="45"/>
      <c r="I461" s="64" t="str">
        <f t="shared" si="96"/>
        <v/>
      </c>
      <c r="J461" s="65" t="str">
        <f t="shared" si="105"/>
        <v/>
      </c>
      <c r="K461" s="66" t="str">
        <f t="shared" si="102"/>
        <v/>
      </c>
      <c r="L461" s="66" t="str">
        <f t="shared" si="97"/>
        <v/>
      </c>
      <c r="M461" s="66" t="str">
        <f t="shared" si="98"/>
        <v/>
      </c>
      <c r="N461" s="45"/>
      <c r="O461" s="45"/>
      <c r="P461" s="64" t="str">
        <f t="shared" si="99"/>
        <v/>
      </c>
      <c r="Q461" s="65" t="str">
        <f t="shared" si="100"/>
        <v/>
      </c>
      <c r="R461" s="66" t="str">
        <f t="shared" si="104"/>
        <v/>
      </c>
      <c r="S461" s="66" t="str">
        <f t="shared" si="103"/>
        <v/>
      </c>
      <c r="T461" s="66" t="str">
        <f t="shared" si="101"/>
        <v/>
      </c>
      <c r="U461" s="45"/>
    </row>
    <row r="462" spans="1:21" ht="15">
      <c r="A462" s="45"/>
      <c r="B462" s="64" t="str">
        <f t="shared" si="91"/>
        <v/>
      </c>
      <c r="C462" s="65" t="str">
        <f t="shared" si="92"/>
        <v/>
      </c>
      <c r="D462" s="66" t="str">
        <f t="shared" si="93"/>
        <v/>
      </c>
      <c r="E462" s="66" t="str">
        <f t="shared" si="94"/>
        <v/>
      </c>
      <c r="F462" s="66" t="str">
        <f t="shared" si="95"/>
        <v/>
      </c>
      <c r="G462" s="45"/>
      <c r="H462" s="45"/>
      <c r="I462" s="64" t="str">
        <f t="shared" si="96"/>
        <v/>
      </c>
      <c r="J462" s="65" t="str">
        <f t="shared" si="105"/>
        <v/>
      </c>
      <c r="K462" s="66" t="str">
        <f t="shared" si="102"/>
        <v/>
      </c>
      <c r="L462" s="66" t="str">
        <f t="shared" si="97"/>
        <v/>
      </c>
      <c r="M462" s="66" t="str">
        <f t="shared" si="98"/>
        <v/>
      </c>
      <c r="N462" s="45"/>
      <c r="O462" s="45"/>
      <c r="P462" s="64" t="str">
        <f t="shared" si="99"/>
        <v/>
      </c>
      <c r="Q462" s="65" t="str">
        <f t="shared" si="100"/>
        <v/>
      </c>
      <c r="R462" s="66" t="str">
        <f t="shared" si="104"/>
        <v/>
      </c>
      <c r="S462" s="66" t="str">
        <f t="shared" si="103"/>
        <v/>
      </c>
      <c r="T462" s="66" t="str">
        <f t="shared" si="101"/>
        <v/>
      </c>
      <c r="U462" s="45"/>
    </row>
    <row r="463" spans="1:21" ht="15">
      <c r="A463" s="45"/>
      <c r="B463" s="64" t="str">
        <f t="shared" si="91"/>
        <v/>
      </c>
      <c r="C463" s="65" t="str">
        <f t="shared" si="92"/>
        <v/>
      </c>
      <c r="D463" s="66" t="str">
        <f t="shared" si="93"/>
        <v/>
      </c>
      <c r="E463" s="66" t="str">
        <f t="shared" si="94"/>
        <v/>
      </c>
      <c r="F463" s="66" t="str">
        <f t="shared" si="95"/>
        <v/>
      </c>
      <c r="G463" s="45"/>
      <c r="H463" s="45"/>
      <c r="I463" s="64" t="str">
        <f t="shared" si="96"/>
        <v/>
      </c>
      <c r="J463" s="65" t="str">
        <f t="shared" si="105"/>
        <v/>
      </c>
      <c r="K463" s="66" t="str">
        <f t="shared" si="102"/>
        <v/>
      </c>
      <c r="L463" s="66" t="str">
        <f t="shared" si="97"/>
        <v/>
      </c>
      <c r="M463" s="66" t="str">
        <f t="shared" si="98"/>
        <v/>
      </c>
      <c r="N463" s="45"/>
      <c r="O463" s="45"/>
      <c r="P463" s="64" t="str">
        <f t="shared" si="99"/>
        <v/>
      </c>
      <c r="Q463" s="65" t="str">
        <f t="shared" si="100"/>
        <v/>
      </c>
      <c r="R463" s="66" t="str">
        <f t="shared" si="104"/>
        <v/>
      </c>
      <c r="S463" s="66" t="str">
        <f t="shared" si="103"/>
        <v/>
      </c>
      <c r="T463" s="66" t="str">
        <f t="shared" si="101"/>
        <v/>
      </c>
      <c r="U463" s="45"/>
    </row>
    <row r="464" spans="1:21" ht="15">
      <c r="A464" s="45"/>
      <c r="B464" s="64" t="str">
        <f t="shared" si="91"/>
        <v/>
      </c>
      <c r="C464" s="65" t="str">
        <f t="shared" si="92"/>
        <v/>
      </c>
      <c r="D464" s="66" t="str">
        <f t="shared" si="93"/>
        <v/>
      </c>
      <c r="E464" s="66" t="str">
        <f t="shared" si="94"/>
        <v/>
      </c>
      <c r="F464" s="66" t="str">
        <f t="shared" si="95"/>
        <v/>
      </c>
      <c r="G464" s="45"/>
      <c r="H464" s="45"/>
      <c r="I464" s="64" t="str">
        <f t="shared" si="96"/>
        <v/>
      </c>
      <c r="J464" s="65" t="str">
        <f t="shared" si="105"/>
        <v/>
      </c>
      <c r="K464" s="66" t="str">
        <f t="shared" si="102"/>
        <v/>
      </c>
      <c r="L464" s="66" t="str">
        <f t="shared" si="97"/>
        <v/>
      </c>
      <c r="M464" s="66" t="str">
        <f t="shared" si="98"/>
        <v/>
      </c>
      <c r="N464" s="45"/>
      <c r="O464" s="45"/>
      <c r="P464" s="64" t="str">
        <f t="shared" si="99"/>
        <v/>
      </c>
      <c r="Q464" s="65" t="str">
        <f t="shared" si="100"/>
        <v/>
      </c>
      <c r="R464" s="66" t="str">
        <f t="shared" si="104"/>
        <v/>
      </c>
      <c r="S464" s="66" t="str">
        <f t="shared" si="103"/>
        <v/>
      </c>
      <c r="T464" s="66" t="str">
        <f t="shared" si="101"/>
        <v/>
      </c>
      <c r="U464" s="45"/>
    </row>
    <row r="465" spans="1:21" ht="15">
      <c r="A465" s="45"/>
      <c r="B465" s="64" t="str">
        <f t="shared" si="91"/>
        <v/>
      </c>
      <c r="C465" s="65" t="str">
        <f t="shared" si="92"/>
        <v/>
      </c>
      <c r="D465" s="66" t="str">
        <f t="shared" si="93"/>
        <v/>
      </c>
      <c r="E465" s="66" t="str">
        <f t="shared" si="94"/>
        <v/>
      </c>
      <c r="F465" s="66" t="str">
        <f t="shared" si="95"/>
        <v/>
      </c>
      <c r="G465" s="45"/>
      <c r="H465" s="45"/>
      <c r="I465" s="64" t="str">
        <f t="shared" si="96"/>
        <v/>
      </c>
      <c r="J465" s="65" t="str">
        <f t="shared" si="105"/>
        <v/>
      </c>
      <c r="K465" s="66" t="str">
        <f t="shared" si="102"/>
        <v/>
      </c>
      <c r="L465" s="66" t="str">
        <f t="shared" si="97"/>
        <v/>
      </c>
      <c r="M465" s="66" t="str">
        <f t="shared" si="98"/>
        <v/>
      </c>
      <c r="N465" s="45"/>
      <c r="O465" s="45"/>
      <c r="P465" s="64" t="str">
        <f t="shared" si="99"/>
        <v/>
      </c>
      <c r="Q465" s="65" t="str">
        <f t="shared" si="100"/>
        <v/>
      </c>
      <c r="R465" s="66" t="str">
        <f t="shared" si="104"/>
        <v/>
      </c>
      <c r="S465" s="66" t="str">
        <f t="shared" si="103"/>
        <v/>
      </c>
      <c r="T465" s="66" t="str">
        <f t="shared" si="101"/>
        <v/>
      </c>
      <c r="U465" s="45"/>
    </row>
    <row r="466" spans="1:21" ht="15">
      <c r="A466" s="45"/>
      <c r="B466" s="64" t="str">
        <f t="shared" si="91"/>
        <v/>
      </c>
      <c r="C466" s="65" t="str">
        <f t="shared" si="92"/>
        <v/>
      </c>
      <c r="D466" s="66" t="str">
        <f t="shared" si="93"/>
        <v/>
      </c>
      <c r="E466" s="66" t="str">
        <f t="shared" si="94"/>
        <v/>
      </c>
      <c r="F466" s="66" t="str">
        <f t="shared" si="95"/>
        <v/>
      </c>
      <c r="G466" s="45"/>
      <c r="H466" s="45"/>
      <c r="I466" s="64" t="str">
        <f t="shared" si="96"/>
        <v/>
      </c>
      <c r="J466" s="65" t="str">
        <f t="shared" si="105"/>
        <v/>
      </c>
      <c r="K466" s="66" t="str">
        <f t="shared" si="102"/>
        <v/>
      </c>
      <c r="L466" s="66" t="str">
        <f t="shared" si="97"/>
        <v/>
      </c>
      <c r="M466" s="66" t="str">
        <f t="shared" si="98"/>
        <v/>
      </c>
      <c r="N466" s="45"/>
      <c r="O466" s="45"/>
      <c r="P466" s="64" t="str">
        <f t="shared" si="99"/>
        <v/>
      </c>
      <c r="Q466" s="65" t="str">
        <f t="shared" si="100"/>
        <v/>
      </c>
      <c r="R466" s="66" t="str">
        <f t="shared" si="104"/>
        <v/>
      </c>
      <c r="S466" s="66" t="str">
        <f t="shared" si="103"/>
        <v/>
      </c>
      <c r="T466" s="66" t="str">
        <f t="shared" si="101"/>
        <v/>
      </c>
      <c r="U466" s="45"/>
    </row>
    <row r="467" spans="1:21" ht="15">
      <c r="A467" s="45"/>
      <c r="B467" s="64" t="str">
        <f t="shared" si="91"/>
        <v/>
      </c>
      <c r="C467" s="65" t="str">
        <f t="shared" si="92"/>
        <v/>
      </c>
      <c r="D467" s="66" t="str">
        <f t="shared" si="93"/>
        <v/>
      </c>
      <c r="E467" s="66" t="str">
        <f t="shared" si="94"/>
        <v/>
      </c>
      <c r="F467" s="66" t="str">
        <f t="shared" si="95"/>
        <v/>
      </c>
      <c r="G467" s="45"/>
      <c r="H467" s="45"/>
      <c r="I467" s="64" t="str">
        <f t="shared" si="96"/>
        <v/>
      </c>
      <c r="J467" s="65" t="str">
        <f t="shared" si="105"/>
        <v/>
      </c>
      <c r="K467" s="66" t="str">
        <f t="shared" si="102"/>
        <v/>
      </c>
      <c r="L467" s="66" t="str">
        <f t="shared" si="97"/>
        <v/>
      </c>
      <c r="M467" s="66" t="str">
        <f t="shared" si="98"/>
        <v/>
      </c>
      <c r="N467" s="45"/>
      <c r="O467" s="45"/>
      <c r="P467" s="64" t="str">
        <f t="shared" si="99"/>
        <v/>
      </c>
      <c r="Q467" s="65" t="str">
        <f t="shared" si="100"/>
        <v/>
      </c>
      <c r="R467" s="66" t="str">
        <f t="shared" si="104"/>
        <v/>
      </c>
      <c r="S467" s="66" t="str">
        <f t="shared" si="103"/>
        <v/>
      </c>
      <c r="T467" s="66" t="str">
        <f t="shared" si="101"/>
        <v/>
      </c>
      <c r="U467" s="45"/>
    </row>
    <row r="468" spans="1:21" ht="15">
      <c r="A468" s="45"/>
      <c r="B468" s="64" t="str">
        <f t="shared" ref="B468:B502" si="106">IF(B467&lt;$D$6,B467+1,"")</f>
        <v/>
      </c>
      <c r="C468" s="65" t="str">
        <f t="shared" ref="C468:C502" si="107">IF(B467&lt;$D$6,+C467,"")</f>
        <v/>
      </c>
      <c r="D468" s="66" t="str">
        <f t="shared" ref="D468:D502" si="108">IF(B467&lt;$D$6,+F467*($D$7/12),"")</f>
        <v/>
      </c>
      <c r="E468" s="66" t="str">
        <f t="shared" ref="E468:E502" si="109">IF(B467&lt;$D$6,+C468-D468,"")</f>
        <v/>
      </c>
      <c r="F468" s="66" t="str">
        <f t="shared" ref="F468:F502" si="110">IF(B467&lt;$D$6,+F467-E468,"")</f>
        <v/>
      </c>
      <c r="G468" s="45"/>
      <c r="H468" s="45"/>
      <c r="I468" s="64" t="str">
        <f t="shared" si="96"/>
        <v/>
      </c>
      <c r="J468" s="65" t="str">
        <f t="shared" si="105"/>
        <v/>
      </c>
      <c r="K468" s="66" t="str">
        <f t="shared" si="102"/>
        <v/>
      </c>
      <c r="L468" s="66" t="str">
        <f t="shared" si="97"/>
        <v/>
      </c>
      <c r="M468" s="66" t="str">
        <f t="shared" si="98"/>
        <v/>
      </c>
      <c r="N468" s="45"/>
      <c r="O468" s="45"/>
      <c r="P468" s="64" t="str">
        <f t="shared" si="99"/>
        <v/>
      </c>
      <c r="Q468" s="65" t="str">
        <f t="shared" si="100"/>
        <v/>
      </c>
      <c r="R468" s="66" t="str">
        <f t="shared" si="104"/>
        <v/>
      </c>
      <c r="S468" s="66" t="str">
        <f t="shared" si="103"/>
        <v/>
      </c>
      <c r="T468" s="66" t="str">
        <f t="shared" si="101"/>
        <v/>
      </c>
      <c r="U468" s="45"/>
    </row>
    <row r="469" spans="1:21" ht="15">
      <c r="A469" s="45"/>
      <c r="B469" s="64" t="str">
        <f t="shared" si="106"/>
        <v/>
      </c>
      <c r="C469" s="65" t="str">
        <f t="shared" si="107"/>
        <v/>
      </c>
      <c r="D469" s="66" t="str">
        <f t="shared" si="108"/>
        <v/>
      </c>
      <c r="E469" s="66" t="str">
        <f t="shared" si="109"/>
        <v/>
      </c>
      <c r="F469" s="66" t="str">
        <f t="shared" si="110"/>
        <v/>
      </c>
      <c r="G469" s="45"/>
      <c r="H469" s="45"/>
      <c r="I469" s="64" t="str">
        <f t="shared" ref="I469:I502" si="111">IF(I468&lt;$K$6,I468+1,"")</f>
        <v/>
      </c>
      <c r="J469" s="65" t="str">
        <f t="shared" si="105"/>
        <v/>
      </c>
      <c r="K469" s="66" t="str">
        <f t="shared" si="102"/>
        <v/>
      </c>
      <c r="L469" s="66" t="str">
        <f t="shared" ref="L469:L502" si="112">IF(I468&lt;$K$6,+J469-K469,"")</f>
        <v/>
      </c>
      <c r="M469" s="66" t="str">
        <f t="shared" ref="M469:M502" si="113">IF(I468&lt;$K$6,+M468-L469,"")</f>
        <v/>
      </c>
      <c r="N469" s="45"/>
      <c r="O469" s="45"/>
      <c r="P469" s="64" t="str">
        <f t="shared" ref="P469:P502" si="114">IF(P468&lt;$K$6,P468+1,"")</f>
        <v/>
      </c>
      <c r="Q469" s="65" t="str">
        <f t="shared" ref="Q469:Q502" si="115">IF(P468&lt;$R$6,+Q468,"")</f>
        <v/>
      </c>
      <c r="R469" s="66" t="str">
        <f t="shared" si="104"/>
        <v/>
      </c>
      <c r="S469" s="66" t="str">
        <f t="shared" si="103"/>
        <v/>
      </c>
      <c r="T469" s="66" t="str">
        <f t="shared" ref="T469:T502" si="116">IF(P468&lt;$R$6,+T468-S469,"")</f>
        <v/>
      </c>
      <c r="U469" s="45"/>
    </row>
    <row r="470" spans="1:21" ht="15">
      <c r="A470" s="45"/>
      <c r="B470" s="64" t="str">
        <f t="shared" si="106"/>
        <v/>
      </c>
      <c r="C470" s="65" t="str">
        <f t="shared" si="107"/>
        <v/>
      </c>
      <c r="D470" s="66" t="str">
        <f t="shared" si="108"/>
        <v/>
      </c>
      <c r="E470" s="66" t="str">
        <f t="shared" si="109"/>
        <v/>
      </c>
      <c r="F470" s="66" t="str">
        <f t="shared" si="110"/>
        <v/>
      </c>
      <c r="G470" s="45"/>
      <c r="H470" s="45"/>
      <c r="I470" s="64" t="str">
        <f t="shared" si="111"/>
        <v/>
      </c>
      <c r="J470" s="65" t="str">
        <f t="shared" si="105"/>
        <v/>
      </c>
      <c r="K470" s="66" t="str">
        <f t="shared" ref="K470:K502" si="117">IF(I469&lt;$K$6,+M469*($K$7/12),"")</f>
        <v/>
      </c>
      <c r="L470" s="66" t="str">
        <f t="shared" si="112"/>
        <v/>
      </c>
      <c r="M470" s="66" t="str">
        <f t="shared" si="113"/>
        <v/>
      </c>
      <c r="N470" s="45"/>
      <c r="O470" s="45"/>
      <c r="P470" s="64" t="str">
        <f t="shared" si="114"/>
        <v/>
      </c>
      <c r="Q470" s="65" t="str">
        <f t="shared" si="115"/>
        <v/>
      </c>
      <c r="R470" s="66" t="str">
        <f t="shared" si="104"/>
        <v/>
      </c>
      <c r="S470" s="66" t="str">
        <f t="shared" ref="S470:S502" si="118">IF(P469&lt;$R$6,+Q470-R470,"")</f>
        <v/>
      </c>
      <c r="T470" s="66" t="str">
        <f t="shared" si="116"/>
        <v/>
      </c>
      <c r="U470" s="45"/>
    </row>
    <row r="471" spans="1:21" ht="15">
      <c r="A471" s="45"/>
      <c r="B471" s="64" t="str">
        <f t="shared" si="106"/>
        <v/>
      </c>
      <c r="C471" s="65" t="str">
        <f t="shared" si="107"/>
        <v/>
      </c>
      <c r="D471" s="66" t="str">
        <f t="shared" si="108"/>
        <v/>
      </c>
      <c r="E471" s="66" t="str">
        <f t="shared" si="109"/>
        <v/>
      </c>
      <c r="F471" s="66" t="str">
        <f t="shared" si="110"/>
        <v/>
      </c>
      <c r="G471" s="45"/>
      <c r="H471" s="45"/>
      <c r="I471" s="64" t="str">
        <f t="shared" si="111"/>
        <v/>
      </c>
      <c r="J471" s="65" t="str">
        <f t="shared" si="105"/>
        <v/>
      </c>
      <c r="K471" s="66" t="str">
        <f t="shared" si="117"/>
        <v/>
      </c>
      <c r="L471" s="66" t="str">
        <f t="shared" si="112"/>
        <v/>
      </c>
      <c r="M471" s="66" t="str">
        <f t="shared" si="113"/>
        <v/>
      </c>
      <c r="N471" s="45"/>
      <c r="O471" s="45"/>
      <c r="P471" s="64" t="str">
        <f t="shared" si="114"/>
        <v/>
      </c>
      <c r="Q471" s="65" t="str">
        <f t="shared" si="115"/>
        <v/>
      </c>
      <c r="R471" s="66" t="str">
        <f t="shared" ref="R471:R502" si="119">IF(P470&lt;$R$6,+T470*($R$7/12),"")</f>
        <v/>
      </c>
      <c r="S471" s="66" t="str">
        <f t="shared" si="118"/>
        <v/>
      </c>
      <c r="T471" s="66" t="str">
        <f t="shared" si="116"/>
        <v/>
      </c>
      <c r="U471" s="45"/>
    </row>
    <row r="472" spans="1:21" ht="15">
      <c r="A472" s="45"/>
      <c r="B472" s="64" t="str">
        <f t="shared" si="106"/>
        <v/>
      </c>
      <c r="C472" s="65" t="str">
        <f t="shared" si="107"/>
        <v/>
      </c>
      <c r="D472" s="66" t="str">
        <f t="shared" si="108"/>
        <v/>
      </c>
      <c r="E472" s="66" t="str">
        <f t="shared" si="109"/>
        <v/>
      </c>
      <c r="F472" s="66" t="str">
        <f t="shared" si="110"/>
        <v/>
      </c>
      <c r="G472" s="45"/>
      <c r="H472" s="45"/>
      <c r="I472" s="64" t="str">
        <f t="shared" si="111"/>
        <v/>
      </c>
      <c r="J472" s="65" t="str">
        <f t="shared" si="105"/>
        <v/>
      </c>
      <c r="K472" s="66" t="str">
        <f t="shared" si="117"/>
        <v/>
      </c>
      <c r="L472" s="66" t="str">
        <f t="shared" si="112"/>
        <v/>
      </c>
      <c r="M472" s="66" t="str">
        <f t="shared" si="113"/>
        <v/>
      </c>
      <c r="N472" s="45"/>
      <c r="O472" s="45"/>
      <c r="P472" s="64" t="str">
        <f t="shared" si="114"/>
        <v/>
      </c>
      <c r="Q472" s="65" t="str">
        <f t="shared" si="115"/>
        <v/>
      </c>
      <c r="R472" s="66" t="str">
        <f t="shared" si="119"/>
        <v/>
      </c>
      <c r="S472" s="66" t="str">
        <f t="shared" si="118"/>
        <v/>
      </c>
      <c r="T472" s="66" t="str">
        <f t="shared" si="116"/>
        <v/>
      </c>
      <c r="U472" s="45"/>
    </row>
    <row r="473" spans="1:21" ht="15">
      <c r="A473" s="45"/>
      <c r="B473" s="64" t="str">
        <f t="shared" si="106"/>
        <v/>
      </c>
      <c r="C473" s="65" t="str">
        <f t="shared" si="107"/>
        <v/>
      </c>
      <c r="D473" s="66" t="str">
        <f t="shared" si="108"/>
        <v/>
      </c>
      <c r="E473" s="66" t="str">
        <f t="shared" si="109"/>
        <v/>
      </c>
      <c r="F473" s="66" t="str">
        <f t="shared" si="110"/>
        <v/>
      </c>
      <c r="G473" s="45"/>
      <c r="H473" s="45"/>
      <c r="I473" s="64" t="str">
        <f t="shared" si="111"/>
        <v/>
      </c>
      <c r="J473" s="65" t="str">
        <f t="shared" si="105"/>
        <v/>
      </c>
      <c r="K473" s="66" t="str">
        <f t="shared" si="117"/>
        <v/>
      </c>
      <c r="L473" s="66" t="str">
        <f t="shared" si="112"/>
        <v/>
      </c>
      <c r="M473" s="66" t="str">
        <f t="shared" si="113"/>
        <v/>
      </c>
      <c r="N473" s="45"/>
      <c r="O473" s="45"/>
      <c r="P473" s="64" t="str">
        <f t="shared" si="114"/>
        <v/>
      </c>
      <c r="Q473" s="65" t="str">
        <f t="shared" si="115"/>
        <v/>
      </c>
      <c r="R473" s="66" t="str">
        <f t="shared" si="119"/>
        <v/>
      </c>
      <c r="S473" s="66" t="str">
        <f t="shared" si="118"/>
        <v/>
      </c>
      <c r="T473" s="66" t="str">
        <f t="shared" si="116"/>
        <v/>
      </c>
      <c r="U473" s="45"/>
    </row>
    <row r="474" spans="1:21" ht="15">
      <c r="A474" s="45"/>
      <c r="B474" s="64" t="str">
        <f t="shared" si="106"/>
        <v/>
      </c>
      <c r="C474" s="65" t="str">
        <f t="shared" si="107"/>
        <v/>
      </c>
      <c r="D474" s="66" t="str">
        <f t="shared" si="108"/>
        <v/>
      </c>
      <c r="E474" s="66" t="str">
        <f t="shared" si="109"/>
        <v/>
      </c>
      <c r="F474" s="66" t="str">
        <f t="shared" si="110"/>
        <v/>
      </c>
      <c r="G474" s="45"/>
      <c r="H474" s="45"/>
      <c r="I474" s="64" t="str">
        <f t="shared" si="111"/>
        <v/>
      </c>
      <c r="J474" s="65" t="str">
        <f t="shared" si="105"/>
        <v/>
      </c>
      <c r="K474" s="66" t="str">
        <f t="shared" si="117"/>
        <v/>
      </c>
      <c r="L474" s="66" t="str">
        <f t="shared" si="112"/>
        <v/>
      </c>
      <c r="M474" s="66" t="str">
        <f t="shared" si="113"/>
        <v/>
      </c>
      <c r="N474" s="45"/>
      <c r="O474" s="45"/>
      <c r="P474" s="64" t="str">
        <f t="shared" si="114"/>
        <v/>
      </c>
      <c r="Q474" s="65" t="str">
        <f t="shared" si="115"/>
        <v/>
      </c>
      <c r="R474" s="66" t="str">
        <f t="shared" si="119"/>
        <v/>
      </c>
      <c r="S474" s="66" t="str">
        <f t="shared" si="118"/>
        <v/>
      </c>
      <c r="T474" s="66" t="str">
        <f t="shared" si="116"/>
        <v/>
      </c>
      <c r="U474" s="45"/>
    </row>
    <row r="475" spans="1:21" ht="15">
      <c r="A475" s="45"/>
      <c r="B475" s="64" t="str">
        <f t="shared" si="106"/>
        <v/>
      </c>
      <c r="C475" s="65" t="str">
        <f t="shared" si="107"/>
        <v/>
      </c>
      <c r="D475" s="66" t="str">
        <f t="shared" si="108"/>
        <v/>
      </c>
      <c r="E475" s="66" t="str">
        <f t="shared" si="109"/>
        <v/>
      </c>
      <c r="F475" s="66" t="str">
        <f t="shared" si="110"/>
        <v/>
      </c>
      <c r="G475" s="45"/>
      <c r="H475" s="45"/>
      <c r="I475" s="64" t="str">
        <f t="shared" si="111"/>
        <v/>
      </c>
      <c r="J475" s="65" t="str">
        <f t="shared" si="105"/>
        <v/>
      </c>
      <c r="K475" s="66" t="str">
        <f t="shared" si="117"/>
        <v/>
      </c>
      <c r="L475" s="66" t="str">
        <f t="shared" si="112"/>
        <v/>
      </c>
      <c r="M475" s="66" t="str">
        <f t="shared" si="113"/>
        <v/>
      </c>
      <c r="N475" s="45"/>
      <c r="O475" s="45"/>
      <c r="P475" s="64" t="str">
        <f t="shared" si="114"/>
        <v/>
      </c>
      <c r="Q475" s="65" t="str">
        <f t="shared" si="115"/>
        <v/>
      </c>
      <c r="R475" s="66" t="str">
        <f t="shared" si="119"/>
        <v/>
      </c>
      <c r="S475" s="66" t="str">
        <f t="shared" si="118"/>
        <v/>
      </c>
      <c r="T475" s="66" t="str">
        <f t="shared" si="116"/>
        <v/>
      </c>
      <c r="U475" s="45"/>
    </row>
    <row r="476" spans="1:21" ht="15">
      <c r="A476" s="45"/>
      <c r="B476" s="64" t="str">
        <f t="shared" si="106"/>
        <v/>
      </c>
      <c r="C476" s="65" t="str">
        <f t="shared" si="107"/>
        <v/>
      </c>
      <c r="D476" s="66" t="str">
        <f t="shared" si="108"/>
        <v/>
      </c>
      <c r="E476" s="66" t="str">
        <f t="shared" si="109"/>
        <v/>
      </c>
      <c r="F476" s="66" t="str">
        <f t="shared" si="110"/>
        <v/>
      </c>
      <c r="G476" s="45"/>
      <c r="H476" s="45"/>
      <c r="I476" s="64" t="str">
        <f t="shared" si="111"/>
        <v/>
      </c>
      <c r="J476" s="65" t="str">
        <f t="shared" si="105"/>
        <v/>
      </c>
      <c r="K476" s="66" t="str">
        <f t="shared" si="117"/>
        <v/>
      </c>
      <c r="L476" s="66" t="str">
        <f t="shared" si="112"/>
        <v/>
      </c>
      <c r="M476" s="66" t="str">
        <f t="shared" si="113"/>
        <v/>
      </c>
      <c r="N476" s="45"/>
      <c r="O476" s="45"/>
      <c r="P476" s="64" t="str">
        <f t="shared" si="114"/>
        <v/>
      </c>
      <c r="Q476" s="65" t="str">
        <f t="shared" si="115"/>
        <v/>
      </c>
      <c r="R476" s="66" t="str">
        <f t="shared" si="119"/>
        <v/>
      </c>
      <c r="S476" s="66" t="str">
        <f t="shared" si="118"/>
        <v/>
      </c>
      <c r="T476" s="66" t="str">
        <f t="shared" si="116"/>
        <v/>
      </c>
      <c r="U476" s="45"/>
    </row>
    <row r="477" spans="1:21" ht="15">
      <c r="A477" s="45"/>
      <c r="B477" s="64" t="str">
        <f t="shared" si="106"/>
        <v/>
      </c>
      <c r="C477" s="65" t="str">
        <f t="shared" si="107"/>
        <v/>
      </c>
      <c r="D477" s="66" t="str">
        <f t="shared" si="108"/>
        <v/>
      </c>
      <c r="E477" s="66" t="str">
        <f t="shared" si="109"/>
        <v/>
      </c>
      <c r="F477" s="66" t="str">
        <f t="shared" si="110"/>
        <v/>
      </c>
      <c r="G477" s="45"/>
      <c r="H477" s="45"/>
      <c r="I477" s="64" t="str">
        <f t="shared" si="111"/>
        <v/>
      </c>
      <c r="J477" s="65" t="str">
        <f t="shared" si="105"/>
        <v/>
      </c>
      <c r="K477" s="66" t="str">
        <f t="shared" si="117"/>
        <v/>
      </c>
      <c r="L477" s="66" t="str">
        <f t="shared" si="112"/>
        <v/>
      </c>
      <c r="M477" s="66" t="str">
        <f t="shared" si="113"/>
        <v/>
      </c>
      <c r="N477" s="45"/>
      <c r="O477" s="45"/>
      <c r="P477" s="64" t="str">
        <f t="shared" si="114"/>
        <v/>
      </c>
      <c r="Q477" s="65" t="str">
        <f t="shared" si="115"/>
        <v/>
      </c>
      <c r="R477" s="66" t="str">
        <f t="shared" si="119"/>
        <v/>
      </c>
      <c r="S477" s="66" t="str">
        <f t="shared" si="118"/>
        <v/>
      </c>
      <c r="T477" s="66" t="str">
        <f t="shared" si="116"/>
        <v/>
      </c>
      <c r="U477" s="45"/>
    </row>
    <row r="478" spans="1:21" ht="15">
      <c r="A478" s="45"/>
      <c r="B478" s="64" t="str">
        <f t="shared" si="106"/>
        <v/>
      </c>
      <c r="C478" s="65" t="str">
        <f t="shared" si="107"/>
        <v/>
      </c>
      <c r="D478" s="66" t="str">
        <f t="shared" si="108"/>
        <v/>
      </c>
      <c r="E478" s="66" t="str">
        <f t="shared" si="109"/>
        <v/>
      </c>
      <c r="F478" s="66" t="str">
        <f t="shared" si="110"/>
        <v/>
      </c>
      <c r="G478" s="45"/>
      <c r="H478" s="45"/>
      <c r="I478" s="64" t="str">
        <f t="shared" si="111"/>
        <v/>
      </c>
      <c r="J478" s="65" t="str">
        <f t="shared" si="105"/>
        <v/>
      </c>
      <c r="K478" s="66" t="str">
        <f t="shared" si="117"/>
        <v/>
      </c>
      <c r="L478" s="66" t="str">
        <f t="shared" si="112"/>
        <v/>
      </c>
      <c r="M478" s="66" t="str">
        <f t="shared" si="113"/>
        <v/>
      </c>
      <c r="N478" s="45"/>
      <c r="O478" s="45"/>
      <c r="P478" s="64" t="str">
        <f t="shared" si="114"/>
        <v/>
      </c>
      <c r="Q478" s="65" t="str">
        <f t="shared" si="115"/>
        <v/>
      </c>
      <c r="R478" s="66" t="str">
        <f t="shared" si="119"/>
        <v/>
      </c>
      <c r="S478" s="66" t="str">
        <f t="shared" si="118"/>
        <v/>
      </c>
      <c r="T478" s="66" t="str">
        <f t="shared" si="116"/>
        <v/>
      </c>
      <c r="U478" s="45"/>
    </row>
    <row r="479" spans="1:21" ht="15">
      <c r="A479" s="45"/>
      <c r="B479" s="64" t="str">
        <f t="shared" si="106"/>
        <v/>
      </c>
      <c r="C479" s="65" t="str">
        <f t="shared" si="107"/>
        <v/>
      </c>
      <c r="D479" s="66" t="str">
        <f t="shared" si="108"/>
        <v/>
      </c>
      <c r="E479" s="66" t="str">
        <f t="shared" si="109"/>
        <v/>
      </c>
      <c r="F479" s="66" t="str">
        <f t="shared" si="110"/>
        <v/>
      </c>
      <c r="G479" s="45"/>
      <c r="H479" s="45"/>
      <c r="I479" s="64" t="str">
        <f t="shared" si="111"/>
        <v/>
      </c>
      <c r="J479" s="65" t="str">
        <f t="shared" si="105"/>
        <v/>
      </c>
      <c r="K479" s="66" t="str">
        <f t="shared" si="117"/>
        <v/>
      </c>
      <c r="L479" s="66" t="str">
        <f t="shared" si="112"/>
        <v/>
      </c>
      <c r="M479" s="66" t="str">
        <f t="shared" si="113"/>
        <v/>
      </c>
      <c r="N479" s="45"/>
      <c r="O479" s="45"/>
      <c r="P479" s="64" t="str">
        <f t="shared" si="114"/>
        <v/>
      </c>
      <c r="Q479" s="65" t="str">
        <f t="shared" si="115"/>
        <v/>
      </c>
      <c r="R479" s="66" t="str">
        <f t="shared" si="119"/>
        <v/>
      </c>
      <c r="S479" s="66" t="str">
        <f t="shared" si="118"/>
        <v/>
      </c>
      <c r="T479" s="66" t="str">
        <f t="shared" si="116"/>
        <v/>
      </c>
      <c r="U479" s="45"/>
    </row>
    <row r="480" spans="1:21" ht="15">
      <c r="A480" s="45"/>
      <c r="B480" s="64" t="str">
        <f t="shared" si="106"/>
        <v/>
      </c>
      <c r="C480" s="65" t="str">
        <f t="shared" si="107"/>
        <v/>
      </c>
      <c r="D480" s="66" t="str">
        <f t="shared" si="108"/>
        <v/>
      </c>
      <c r="E480" s="66" t="str">
        <f t="shared" si="109"/>
        <v/>
      </c>
      <c r="F480" s="66" t="str">
        <f t="shared" si="110"/>
        <v/>
      </c>
      <c r="G480" s="45"/>
      <c r="H480" s="45"/>
      <c r="I480" s="64" t="str">
        <f t="shared" si="111"/>
        <v/>
      </c>
      <c r="J480" s="65" t="str">
        <f t="shared" si="105"/>
        <v/>
      </c>
      <c r="K480" s="66" t="str">
        <f t="shared" si="117"/>
        <v/>
      </c>
      <c r="L480" s="66" t="str">
        <f t="shared" si="112"/>
        <v/>
      </c>
      <c r="M480" s="66" t="str">
        <f t="shared" si="113"/>
        <v/>
      </c>
      <c r="N480" s="45"/>
      <c r="O480" s="45"/>
      <c r="P480" s="64" t="str">
        <f t="shared" si="114"/>
        <v/>
      </c>
      <c r="Q480" s="65" t="str">
        <f t="shared" si="115"/>
        <v/>
      </c>
      <c r="R480" s="66" t="str">
        <f t="shared" si="119"/>
        <v/>
      </c>
      <c r="S480" s="66" t="str">
        <f t="shared" si="118"/>
        <v/>
      </c>
      <c r="T480" s="66" t="str">
        <f t="shared" si="116"/>
        <v/>
      </c>
      <c r="U480" s="45"/>
    </row>
    <row r="481" spans="1:21" ht="15">
      <c r="A481" s="45"/>
      <c r="B481" s="64" t="str">
        <f t="shared" si="106"/>
        <v/>
      </c>
      <c r="C481" s="65" t="str">
        <f t="shared" si="107"/>
        <v/>
      </c>
      <c r="D481" s="66" t="str">
        <f t="shared" si="108"/>
        <v/>
      </c>
      <c r="E481" s="66" t="str">
        <f t="shared" si="109"/>
        <v/>
      </c>
      <c r="F481" s="66" t="str">
        <f t="shared" si="110"/>
        <v/>
      </c>
      <c r="G481" s="45"/>
      <c r="H481" s="45"/>
      <c r="I481" s="64" t="str">
        <f t="shared" si="111"/>
        <v/>
      </c>
      <c r="J481" s="65" t="str">
        <f t="shared" si="105"/>
        <v/>
      </c>
      <c r="K481" s="66" t="str">
        <f t="shared" si="117"/>
        <v/>
      </c>
      <c r="L481" s="66" t="str">
        <f t="shared" si="112"/>
        <v/>
      </c>
      <c r="M481" s="66" t="str">
        <f t="shared" si="113"/>
        <v/>
      </c>
      <c r="N481" s="45"/>
      <c r="O481" s="45"/>
      <c r="P481" s="64" t="str">
        <f t="shared" si="114"/>
        <v/>
      </c>
      <c r="Q481" s="65" t="str">
        <f t="shared" si="115"/>
        <v/>
      </c>
      <c r="R481" s="66" t="str">
        <f t="shared" si="119"/>
        <v/>
      </c>
      <c r="S481" s="66" t="str">
        <f t="shared" si="118"/>
        <v/>
      </c>
      <c r="T481" s="66" t="str">
        <f t="shared" si="116"/>
        <v/>
      </c>
      <c r="U481" s="45"/>
    </row>
    <row r="482" spans="1:21" ht="15">
      <c r="A482" s="45"/>
      <c r="B482" s="64" t="str">
        <f t="shared" si="106"/>
        <v/>
      </c>
      <c r="C482" s="65" t="str">
        <f t="shared" si="107"/>
        <v/>
      </c>
      <c r="D482" s="66" t="str">
        <f t="shared" si="108"/>
        <v/>
      </c>
      <c r="E482" s="66" t="str">
        <f t="shared" si="109"/>
        <v/>
      </c>
      <c r="F482" s="66" t="str">
        <f t="shared" si="110"/>
        <v/>
      </c>
      <c r="G482" s="45"/>
      <c r="H482" s="45"/>
      <c r="I482" s="64" t="str">
        <f t="shared" si="111"/>
        <v/>
      </c>
      <c r="J482" s="65" t="str">
        <f t="shared" si="105"/>
        <v/>
      </c>
      <c r="K482" s="66" t="str">
        <f t="shared" si="117"/>
        <v/>
      </c>
      <c r="L482" s="66" t="str">
        <f t="shared" si="112"/>
        <v/>
      </c>
      <c r="M482" s="66" t="str">
        <f t="shared" si="113"/>
        <v/>
      </c>
      <c r="N482" s="45"/>
      <c r="O482" s="45"/>
      <c r="P482" s="64" t="str">
        <f t="shared" si="114"/>
        <v/>
      </c>
      <c r="Q482" s="65" t="str">
        <f t="shared" si="115"/>
        <v/>
      </c>
      <c r="R482" s="66" t="str">
        <f t="shared" si="119"/>
        <v/>
      </c>
      <c r="S482" s="66" t="str">
        <f t="shared" si="118"/>
        <v/>
      </c>
      <c r="T482" s="66" t="str">
        <f t="shared" si="116"/>
        <v/>
      </c>
      <c r="U482" s="45"/>
    </row>
    <row r="483" spans="1:21" ht="15">
      <c r="A483" s="45"/>
      <c r="B483" s="64" t="str">
        <f t="shared" si="106"/>
        <v/>
      </c>
      <c r="C483" s="65" t="str">
        <f t="shared" si="107"/>
        <v/>
      </c>
      <c r="D483" s="66" t="str">
        <f t="shared" si="108"/>
        <v/>
      </c>
      <c r="E483" s="66" t="str">
        <f t="shared" si="109"/>
        <v/>
      </c>
      <c r="F483" s="66" t="str">
        <f t="shared" si="110"/>
        <v/>
      </c>
      <c r="G483" s="45"/>
      <c r="H483" s="45"/>
      <c r="I483" s="64" t="str">
        <f t="shared" si="111"/>
        <v/>
      </c>
      <c r="J483" s="65" t="str">
        <f t="shared" si="105"/>
        <v/>
      </c>
      <c r="K483" s="66" t="str">
        <f t="shared" si="117"/>
        <v/>
      </c>
      <c r="L483" s="66" t="str">
        <f t="shared" si="112"/>
        <v/>
      </c>
      <c r="M483" s="66" t="str">
        <f t="shared" si="113"/>
        <v/>
      </c>
      <c r="N483" s="45"/>
      <c r="O483" s="45"/>
      <c r="P483" s="64" t="str">
        <f t="shared" si="114"/>
        <v/>
      </c>
      <c r="Q483" s="65" t="str">
        <f t="shared" si="115"/>
        <v/>
      </c>
      <c r="R483" s="66" t="str">
        <f t="shared" si="119"/>
        <v/>
      </c>
      <c r="S483" s="66" t="str">
        <f t="shared" si="118"/>
        <v/>
      </c>
      <c r="T483" s="66" t="str">
        <f t="shared" si="116"/>
        <v/>
      </c>
      <c r="U483" s="45"/>
    </row>
    <row r="484" spans="1:21" ht="15">
      <c r="A484" s="45"/>
      <c r="B484" s="64" t="str">
        <f t="shared" si="106"/>
        <v/>
      </c>
      <c r="C484" s="65" t="str">
        <f t="shared" si="107"/>
        <v/>
      </c>
      <c r="D484" s="66" t="str">
        <f t="shared" si="108"/>
        <v/>
      </c>
      <c r="E484" s="66" t="str">
        <f t="shared" si="109"/>
        <v/>
      </c>
      <c r="F484" s="66" t="str">
        <f t="shared" si="110"/>
        <v/>
      </c>
      <c r="G484" s="45"/>
      <c r="H484" s="45"/>
      <c r="I484" s="64" t="str">
        <f t="shared" si="111"/>
        <v/>
      </c>
      <c r="J484" s="65" t="str">
        <f t="shared" si="105"/>
        <v/>
      </c>
      <c r="K484" s="66" t="str">
        <f t="shared" si="117"/>
        <v/>
      </c>
      <c r="L484" s="66" t="str">
        <f t="shared" si="112"/>
        <v/>
      </c>
      <c r="M484" s="66" t="str">
        <f t="shared" si="113"/>
        <v/>
      </c>
      <c r="N484" s="45"/>
      <c r="O484" s="45"/>
      <c r="P484" s="64" t="str">
        <f t="shared" si="114"/>
        <v/>
      </c>
      <c r="Q484" s="65" t="str">
        <f t="shared" si="115"/>
        <v/>
      </c>
      <c r="R484" s="66" t="str">
        <f t="shared" si="119"/>
        <v/>
      </c>
      <c r="S484" s="66" t="str">
        <f t="shared" si="118"/>
        <v/>
      </c>
      <c r="T484" s="66" t="str">
        <f t="shared" si="116"/>
        <v/>
      </c>
      <c r="U484" s="45"/>
    </row>
    <row r="485" spans="1:21" ht="15">
      <c r="A485" s="45"/>
      <c r="B485" s="64" t="str">
        <f t="shared" si="106"/>
        <v/>
      </c>
      <c r="C485" s="65" t="str">
        <f t="shared" si="107"/>
        <v/>
      </c>
      <c r="D485" s="66" t="str">
        <f t="shared" si="108"/>
        <v/>
      </c>
      <c r="E485" s="66" t="str">
        <f t="shared" si="109"/>
        <v/>
      </c>
      <c r="F485" s="66" t="str">
        <f t="shared" si="110"/>
        <v/>
      </c>
      <c r="G485" s="45"/>
      <c r="H485" s="45"/>
      <c r="I485" s="64" t="str">
        <f t="shared" si="111"/>
        <v/>
      </c>
      <c r="J485" s="65" t="str">
        <f t="shared" si="105"/>
        <v/>
      </c>
      <c r="K485" s="66" t="str">
        <f t="shared" si="117"/>
        <v/>
      </c>
      <c r="L485" s="66" t="str">
        <f t="shared" si="112"/>
        <v/>
      </c>
      <c r="M485" s="66" t="str">
        <f t="shared" si="113"/>
        <v/>
      </c>
      <c r="N485" s="45"/>
      <c r="O485" s="45"/>
      <c r="P485" s="64" t="str">
        <f t="shared" si="114"/>
        <v/>
      </c>
      <c r="Q485" s="65" t="str">
        <f t="shared" si="115"/>
        <v/>
      </c>
      <c r="R485" s="66" t="str">
        <f t="shared" si="119"/>
        <v/>
      </c>
      <c r="S485" s="66" t="str">
        <f t="shared" si="118"/>
        <v/>
      </c>
      <c r="T485" s="66" t="str">
        <f t="shared" si="116"/>
        <v/>
      </c>
      <c r="U485" s="45"/>
    </row>
    <row r="486" spans="1:21" ht="15">
      <c r="A486" s="45"/>
      <c r="B486" s="64" t="str">
        <f t="shared" si="106"/>
        <v/>
      </c>
      <c r="C486" s="65" t="str">
        <f t="shared" si="107"/>
        <v/>
      </c>
      <c r="D486" s="66" t="str">
        <f t="shared" si="108"/>
        <v/>
      </c>
      <c r="E486" s="66" t="str">
        <f t="shared" si="109"/>
        <v/>
      </c>
      <c r="F486" s="66" t="str">
        <f t="shared" si="110"/>
        <v/>
      </c>
      <c r="G486" s="45"/>
      <c r="H486" s="45"/>
      <c r="I486" s="64" t="str">
        <f t="shared" si="111"/>
        <v/>
      </c>
      <c r="J486" s="65" t="str">
        <f t="shared" si="105"/>
        <v/>
      </c>
      <c r="K486" s="66" t="str">
        <f t="shared" si="117"/>
        <v/>
      </c>
      <c r="L486" s="66" t="str">
        <f t="shared" si="112"/>
        <v/>
      </c>
      <c r="M486" s="66" t="str">
        <f t="shared" si="113"/>
        <v/>
      </c>
      <c r="N486" s="45"/>
      <c r="O486" s="45"/>
      <c r="P486" s="64" t="str">
        <f t="shared" si="114"/>
        <v/>
      </c>
      <c r="Q486" s="65" t="str">
        <f t="shared" si="115"/>
        <v/>
      </c>
      <c r="R486" s="66" t="str">
        <f t="shared" si="119"/>
        <v/>
      </c>
      <c r="S486" s="66" t="str">
        <f t="shared" si="118"/>
        <v/>
      </c>
      <c r="T486" s="66" t="str">
        <f t="shared" si="116"/>
        <v/>
      </c>
      <c r="U486" s="45"/>
    </row>
    <row r="487" spans="1:21" ht="15">
      <c r="A487" s="45"/>
      <c r="B487" s="64" t="str">
        <f t="shared" si="106"/>
        <v/>
      </c>
      <c r="C487" s="65" t="str">
        <f t="shared" si="107"/>
        <v/>
      </c>
      <c r="D487" s="66" t="str">
        <f t="shared" si="108"/>
        <v/>
      </c>
      <c r="E487" s="66" t="str">
        <f t="shared" si="109"/>
        <v/>
      </c>
      <c r="F487" s="66" t="str">
        <f t="shared" si="110"/>
        <v/>
      </c>
      <c r="G487" s="45"/>
      <c r="H487" s="45"/>
      <c r="I487" s="64" t="str">
        <f t="shared" si="111"/>
        <v/>
      </c>
      <c r="J487" s="65" t="str">
        <f t="shared" si="105"/>
        <v/>
      </c>
      <c r="K487" s="66" t="str">
        <f t="shared" si="117"/>
        <v/>
      </c>
      <c r="L487" s="66" t="str">
        <f t="shared" si="112"/>
        <v/>
      </c>
      <c r="M487" s="66" t="str">
        <f t="shared" si="113"/>
        <v/>
      </c>
      <c r="N487" s="45"/>
      <c r="O487" s="45"/>
      <c r="P487" s="64" t="str">
        <f t="shared" si="114"/>
        <v/>
      </c>
      <c r="Q487" s="65" t="str">
        <f t="shared" si="115"/>
        <v/>
      </c>
      <c r="R487" s="66" t="str">
        <f t="shared" si="119"/>
        <v/>
      </c>
      <c r="S487" s="66" t="str">
        <f t="shared" si="118"/>
        <v/>
      </c>
      <c r="T487" s="66" t="str">
        <f t="shared" si="116"/>
        <v/>
      </c>
      <c r="U487" s="45"/>
    </row>
    <row r="488" spans="1:21" ht="15">
      <c r="A488" s="45"/>
      <c r="B488" s="64" t="str">
        <f t="shared" si="106"/>
        <v/>
      </c>
      <c r="C488" s="65" t="str">
        <f t="shared" si="107"/>
        <v/>
      </c>
      <c r="D488" s="66" t="str">
        <f t="shared" si="108"/>
        <v/>
      </c>
      <c r="E488" s="66" t="str">
        <f t="shared" si="109"/>
        <v/>
      </c>
      <c r="F488" s="66" t="str">
        <f t="shared" si="110"/>
        <v/>
      </c>
      <c r="G488" s="45"/>
      <c r="H488" s="45"/>
      <c r="I488" s="64" t="str">
        <f t="shared" si="111"/>
        <v/>
      </c>
      <c r="J488" s="65" t="str">
        <f t="shared" si="105"/>
        <v/>
      </c>
      <c r="K488" s="66" t="str">
        <f t="shared" si="117"/>
        <v/>
      </c>
      <c r="L488" s="66" t="str">
        <f t="shared" si="112"/>
        <v/>
      </c>
      <c r="M488" s="66" t="str">
        <f t="shared" si="113"/>
        <v/>
      </c>
      <c r="N488" s="45"/>
      <c r="O488" s="45"/>
      <c r="P488" s="64" t="str">
        <f t="shared" si="114"/>
        <v/>
      </c>
      <c r="Q488" s="65" t="str">
        <f t="shared" si="115"/>
        <v/>
      </c>
      <c r="R488" s="66" t="str">
        <f t="shared" si="119"/>
        <v/>
      </c>
      <c r="S488" s="66" t="str">
        <f t="shared" si="118"/>
        <v/>
      </c>
      <c r="T488" s="66" t="str">
        <f t="shared" si="116"/>
        <v/>
      </c>
      <c r="U488" s="45"/>
    </row>
    <row r="489" spans="1:21" ht="15">
      <c r="A489" s="45"/>
      <c r="B489" s="64" t="str">
        <f t="shared" si="106"/>
        <v/>
      </c>
      <c r="C489" s="65" t="str">
        <f t="shared" si="107"/>
        <v/>
      </c>
      <c r="D489" s="66" t="str">
        <f t="shared" si="108"/>
        <v/>
      </c>
      <c r="E489" s="66" t="str">
        <f t="shared" si="109"/>
        <v/>
      </c>
      <c r="F489" s="66" t="str">
        <f t="shared" si="110"/>
        <v/>
      </c>
      <c r="G489" s="45"/>
      <c r="H489" s="45"/>
      <c r="I489" s="64" t="str">
        <f t="shared" si="111"/>
        <v/>
      </c>
      <c r="J489" s="65" t="str">
        <f t="shared" si="105"/>
        <v/>
      </c>
      <c r="K489" s="66" t="str">
        <f t="shared" si="117"/>
        <v/>
      </c>
      <c r="L489" s="66" t="str">
        <f t="shared" si="112"/>
        <v/>
      </c>
      <c r="M489" s="66" t="str">
        <f t="shared" si="113"/>
        <v/>
      </c>
      <c r="N489" s="45"/>
      <c r="O489" s="45"/>
      <c r="P489" s="64" t="str">
        <f t="shared" si="114"/>
        <v/>
      </c>
      <c r="Q489" s="65" t="str">
        <f t="shared" si="115"/>
        <v/>
      </c>
      <c r="R489" s="66" t="str">
        <f t="shared" si="119"/>
        <v/>
      </c>
      <c r="S489" s="66" t="str">
        <f t="shared" si="118"/>
        <v/>
      </c>
      <c r="T489" s="66" t="str">
        <f t="shared" si="116"/>
        <v/>
      </c>
      <c r="U489" s="45"/>
    </row>
    <row r="490" spans="1:21" ht="15">
      <c r="A490" s="45"/>
      <c r="B490" s="64" t="str">
        <f t="shared" si="106"/>
        <v/>
      </c>
      <c r="C490" s="65" t="str">
        <f t="shared" si="107"/>
        <v/>
      </c>
      <c r="D490" s="66" t="str">
        <f t="shared" si="108"/>
        <v/>
      </c>
      <c r="E490" s="66" t="str">
        <f t="shared" si="109"/>
        <v/>
      </c>
      <c r="F490" s="66" t="str">
        <f t="shared" si="110"/>
        <v/>
      </c>
      <c r="G490" s="45"/>
      <c r="H490" s="45"/>
      <c r="I490" s="64" t="str">
        <f t="shared" si="111"/>
        <v/>
      </c>
      <c r="J490" s="65" t="str">
        <f t="shared" si="105"/>
        <v/>
      </c>
      <c r="K490" s="66" t="str">
        <f t="shared" si="117"/>
        <v/>
      </c>
      <c r="L490" s="66" t="str">
        <f t="shared" si="112"/>
        <v/>
      </c>
      <c r="M490" s="66" t="str">
        <f t="shared" si="113"/>
        <v/>
      </c>
      <c r="N490" s="45"/>
      <c r="O490" s="45"/>
      <c r="P490" s="64" t="str">
        <f t="shared" si="114"/>
        <v/>
      </c>
      <c r="Q490" s="65" t="str">
        <f t="shared" si="115"/>
        <v/>
      </c>
      <c r="R490" s="66" t="str">
        <f t="shared" si="119"/>
        <v/>
      </c>
      <c r="S490" s="66" t="str">
        <f t="shared" si="118"/>
        <v/>
      </c>
      <c r="T490" s="66" t="str">
        <f t="shared" si="116"/>
        <v/>
      </c>
      <c r="U490" s="45"/>
    </row>
    <row r="491" spans="1:21" ht="15">
      <c r="A491" s="45"/>
      <c r="B491" s="64" t="str">
        <f t="shared" si="106"/>
        <v/>
      </c>
      <c r="C491" s="65" t="str">
        <f t="shared" si="107"/>
        <v/>
      </c>
      <c r="D491" s="66" t="str">
        <f t="shared" si="108"/>
        <v/>
      </c>
      <c r="E491" s="66" t="str">
        <f t="shared" si="109"/>
        <v/>
      </c>
      <c r="F491" s="66" t="str">
        <f t="shared" si="110"/>
        <v/>
      </c>
      <c r="G491" s="45"/>
      <c r="H491" s="45"/>
      <c r="I491" s="64" t="str">
        <f t="shared" si="111"/>
        <v/>
      </c>
      <c r="J491" s="65" t="str">
        <f t="shared" si="105"/>
        <v/>
      </c>
      <c r="K491" s="66" t="str">
        <f t="shared" si="117"/>
        <v/>
      </c>
      <c r="L491" s="66" t="str">
        <f t="shared" si="112"/>
        <v/>
      </c>
      <c r="M491" s="66" t="str">
        <f t="shared" si="113"/>
        <v/>
      </c>
      <c r="N491" s="45"/>
      <c r="O491" s="45"/>
      <c r="P491" s="64" t="str">
        <f t="shared" si="114"/>
        <v/>
      </c>
      <c r="Q491" s="65" t="str">
        <f t="shared" si="115"/>
        <v/>
      </c>
      <c r="R491" s="66" t="str">
        <f t="shared" si="119"/>
        <v/>
      </c>
      <c r="S491" s="66" t="str">
        <f t="shared" si="118"/>
        <v/>
      </c>
      <c r="T491" s="66" t="str">
        <f t="shared" si="116"/>
        <v/>
      </c>
      <c r="U491" s="45"/>
    </row>
    <row r="492" spans="1:21" ht="15">
      <c r="A492" s="45"/>
      <c r="B492" s="64" t="str">
        <f t="shared" si="106"/>
        <v/>
      </c>
      <c r="C492" s="65" t="str">
        <f t="shared" si="107"/>
        <v/>
      </c>
      <c r="D492" s="66" t="str">
        <f t="shared" si="108"/>
        <v/>
      </c>
      <c r="E492" s="66" t="str">
        <f t="shared" si="109"/>
        <v/>
      </c>
      <c r="F492" s="66" t="str">
        <f t="shared" si="110"/>
        <v/>
      </c>
      <c r="G492" s="45"/>
      <c r="H492" s="45"/>
      <c r="I492" s="64" t="str">
        <f t="shared" si="111"/>
        <v/>
      </c>
      <c r="J492" s="65" t="str">
        <f t="shared" si="105"/>
        <v/>
      </c>
      <c r="K492" s="66" t="str">
        <f t="shared" si="117"/>
        <v/>
      </c>
      <c r="L492" s="66" t="str">
        <f t="shared" si="112"/>
        <v/>
      </c>
      <c r="M492" s="66" t="str">
        <f t="shared" si="113"/>
        <v/>
      </c>
      <c r="N492" s="45"/>
      <c r="O492" s="45"/>
      <c r="P492" s="64" t="str">
        <f t="shared" si="114"/>
        <v/>
      </c>
      <c r="Q492" s="65" t="str">
        <f t="shared" si="115"/>
        <v/>
      </c>
      <c r="R492" s="66" t="str">
        <f t="shared" si="119"/>
        <v/>
      </c>
      <c r="S492" s="66" t="str">
        <f t="shared" si="118"/>
        <v/>
      </c>
      <c r="T492" s="66" t="str">
        <f t="shared" si="116"/>
        <v/>
      </c>
      <c r="U492" s="45"/>
    </row>
    <row r="493" spans="1:21" ht="15">
      <c r="A493" s="45"/>
      <c r="B493" s="64" t="str">
        <f t="shared" si="106"/>
        <v/>
      </c>
      <c r="C493" s="65" t="str">
        <f t="shared" si="107"/>
        <v/>
      </c>
      <c r="D493" s="66" t="str">
        <f t="shared" si="108"/>
        <v/>
      </c>
      <c r="E493" s="66" t="str">
        <f t="shared" si="109"/>
        <v/>
      </c>
      <c r="F493" s="66" t="str">
        <f t="shared" si="110"/>
        <v/>
      </c>
      <c r="G493" s="45"/>
      <c r="H493" s="45"/>
      <c r="I493" s="64" t="str">
        <f t="shared" si="111"/>
        <v/>
      </c>
      <c r="J493" s="65" t="str">
        <f t="shared" si="105"/>
        <v/>
      </c>
      <c r="K493" s="66" t="str">
        <f t="shared" si="117"/>
        <v/>
      </c>
      <c r="L493" s="66" t="str">
        <f t="shared" si="112"/>
        <v/>
      </c>
      <c r="M493" s="66" t="str">
        <f t="shared" si="113"/>
        <v/>
      </c>
      <c r="N493" s="45"/>
      <c r="O493" s="45"/>
      <c r="P493" s="64" t="str">
        <f t="shared" si="114"/>
        <v/>
      </c>
      <c r="Q493" s="65" t="str">
        <f t="shared" si="115"/>
        <v/>
      </c>
      <c r="R493" s="66" t="str">
        <f t="shared" si="119"/>
        <v/>
      </c>
      <c r="S493" s="66" t="str">
        <f t="shared" si="118"/>
        <v/>
      </c>
      <c r="T493" s="66" t="str">
        <f t="shared" si="116"/>
        <v/>
      </c>
      <c r="U493" s="45"/>
    </row>
    <row r="494" spans="1:21" ht="15">
      <c r="A494" s="45"/>
      <c r="B494" s="64" t="str">
        <f t="shared" si="106"/>
        <v/>
      </c>
      <c r="C494" s="65" t="str">
        <f t="shared" si="107"/>
        <v/>
      </c>
      <c r="D494" s="66" t="str">
        <f t="shared" si="108"/>
        <v/>
      </c>
      <c r="E494" s="66" t="str">
        <f t="shared" si="109"/>
        <v/>
      </c>
      <c r="F494" s="66" t="str">
        <f t="shared" si="110"/>
        <v/>
      </c>
      <c r="G494" s="45"/>
      <c r="H494" s="45"/>
      <c r="I494" s="64" t="str">
        <f t="shared" si="111"/>
        <v/>
      </c>
      <c r="J494" s="65" t="str">
        <f t="shared" si="105"/>
        <v/>
      </c>
      <c r="K494" s="66" t="str">
        <f t="shared" si="117"/>
        <v/>
      </c>
      <c r="L494" s="66" t="str">
        <f t="shared" si="112"/>
        <v/>
      </c>
      <c r="M494" s="66" t="str">
        <f t="shared" si="113"/>
        <v/>
      </c>
      <c r="N494" s="45"/>
      <c r="O494" s="45"/>
      <c r="P494" s="64" t="str">
        <f t="shared" si="114"/>
        <v/>
      </c>
      <c r="Q494" s="65" t="str">
        <f t="shared" si="115"/>
        <v/>
      </c>
      <c r="R494" s="66" t="str">
        <f t="shared" si="119"/>
        <v/>
      </c>
      <c r="S494" s="66" t="str">
        <f t="shared" si="118"/>
        <v/>
      </c>
      <c r="T494" s="66" t="str">
        <f t="shared" si="116"/>
        <v/>
      </c>
      <c r="U494" s="45"/>
    </row>
    <row r="495" spans="1:21" ht="15">
      <c r="A495" s="45"/>
      <c r="B495" s="64" t="str">
        <f t="shared" si="106"/>
        <v/>
      </c>
      <c r="C495" s="65" t="str">
        <f t="shared" si="107"/>
        <v/>
      </c>
      <c r="D495" s="66" t="str">
        <f t="shared" si="108"/>
        <v/>
      </c>
      <c r="E495" s="66" t="str">
        <f t="shared" si="109"/>
        <v/>
      </c>
      <c r="F495" s="66" t="str">
        <f t="shared" si="110"/>
        <v/>
      </c>
      <c r="G495" s="45"/>
      <c r="H495" s="45"/>
      <c r="I495" s="64" t="str">
        <f t="shared" si="111"/>
        <v/>
      </c>
      <c r="J495" s="65" t="str">
        <f t="shared" si="105"/>
        <v/>
      </c>
      <c r="K495" s="66" t="str">
        <f t="shared" si="117"/>
        <v/>
      </c>
      <c r="L495" s="66" t="str">
        <f t="shared" si="112"/>
        <v/>
      </c>
      <c r="M495" s="66" t="str">
        <f t="shared" si="113"/>
        <v/>
      </c>
      <c r="N495" s="45"/>
      <c r="O495" s="45"/>
      <c r="P495" s="64" t="str">
        <f t="shared" si="114"/>
        <v/>
      </c>
      <c r="Q495" s="65" t="str">
        <f t="shared" si="115"/>
        <v/>
      </c>
      <c r="R495" s="66" t="str">
        <f t="shared" si="119"/>
        <v/>
      </c>
      <c r="S495" s="66" t="str">
        <f t="shared" si="118"/>
        <v/>
      </c>
      <c r="T495" s="66" t="str">
        <f t="shared" si="116"/>
        <v/>
      </c>
      <c r="U495" s="45"/>
    </row>
    <row r="496" spans="1:21" ht="15">
      <c r="A496" s="45"/>
      <c r="B496" s="64" t="str">
        <f t="shared" si="106"/>
        <v/>
      </c>
      <c r="C496" s="65" t="str">
        <f t="shared" si="107"/>
        <v/>
      </c>
      <c r="D496" s="66" t="str">
        <f t="shared" si="108"/>
        <v/>
      </c>
      <c r="E496" s="66" t="str">
        <f t="shared" si="109"/>
        <v/>
      </c>
      <c r="F496" s="66" t="str">
        <f t="shared" si="110"/>
        <v/>
      </c>
      <c r="G496" s="45"/>
      <c r="H496" s="45"/>
      <c r="I496" s="64" t="str">
        <f t="shared" si="111"/>
        <v/>
      </c>
      <c r="J496" s="65" t="str">
        <f t="shared" si="105"/>
        <v/>
      </c>
      <c r="K496" s="66" t="str">
        <f t="shared" si="117"/>
        <v/>
      </c>
      <c r="L496" s="66" t="str">
        <f t="shared" si="112"/>
        <v/>
      </c>
      <c r="M496" s="66" t="str">
        <f t="shared" si="113"/>
        <v/>
      </c>
      <c r="N496" s="45"/>
      <c r="O496" s="45"/>
      <c r="P496" s="64" t="str">
        <f t="shared" si="114"/>
        <v/>
      </c>
      <c r="Q496" s="65" t="str">
        <f t="shared" si="115"/>
        <v/>
      </c>
      <c r="R496" s="66" t="str">
        <f t="shared" si="119"/>
        <v/>
      </c>
      <c r="S496" s="66" t="str">
        <f t="shared" si="118"/>
        <v/>
      </c>
      <c r="T496" s="66" t="str">
        <f t="shared" si="116"/>
        <v/>
      </c>
      <c r="U496" s="45"/>
    </row>
    <row r="497" spans="1:21" ht="15">
      <c r="A497" s="45"/>
      <c r="B497" s="64" t="str">
        <f t="shared" si="106"/>
        <v/>
      </c>
      <c r="C497" s="65" t="str">
        <f t="shared" si="107"/>
        <v/>
      </c>
      <c r="D497" s="66" t="str">
        <f t="shared" si="108"/>
        <v/>
      </c>
      <c r="E497" s="66" t="str">
        <f t="shared" si="109"/>
        <v/>
      </c>
      <c r="F497" s="66" t="str">
        <f t="shared" si="110"/>
        <v/>
      </c>
      <c r="G497" s="45"/>
      <c r="H497" s="45"/>
      <c r="I497" s="64" t="str">
        <f t="shared" si="111"/>
        <v/>
      </c>
      <c r="J497" s="65" t="str">
        <f t="shared" si="105"/>
        <v/>
      </c>
      <c r="K497" s="66" t="str">
        <f t="shared" si="117"/>
        <v/>
      </c>
      <c r="L497" s="66" t="str">
        <f t="shared" si="112"/>
        <v/>
      </c>
      <c r="M497" s="66" t="str">
        <f t="shared" si="113"/>
        <v/>
      </c>
      <c r="N497" s="45"/>
      <c r="O497" s="45"/>
      <c r="P497" s="64" t="str">
        <f t="shared" si="114"/>
        <v/>
      </c>
      <c r="Q497" s="65" t="str">
        <f t="shared" si="115"/>
        <v/>
      </c>
      <c r="R497" s="66" t="str">
        <f t="shared" si="119"/>
        <v/>
      </c>
      <c r="S497" s="66" t="str">
        <f t="shared" si="118"/>
        <v/>
      </c>
      <c r="T497" s="66" t="str">
        <f t="shared" si="116"/>
        <v/>
      </c>
      <c r="U497" s="45"/>
    </row>
    <row r="498" spans="1:21" ht="15">
      <c r="A498" s="45"/>
      <c r="B498" s="64" t="str">
        <f t="shared" si="106"/>
        <v/>
      </c>
      <c r="C498" s="65" t="str">
        <f t="shared" si="107"/>
        <v/>
      </c>
      <c r="D498" s="66" t="str">
        <f t="shared" si="108"/>
        <v/>
      </c>
      <c r="E498" s="66" t="str">
        <f t="shared" si="109"/>
        <v/>
      </c>
      <c r="F498" s="66" t="str">
        <f t="shared" si="110"/>
        <v/>
      </c>
      <c r="G498" s="45"/>
      <c r="H498" s="45"/>
      <c r="I498" s="64" t="str">
        <f t="shared" si="111"/>
        <v/>
      </c>
      <c r="J498" s="65" t="str">
        <f t="shared" si="105"/>
        <v/>
      </c>
      <c r="K498" s="66" t="str">
        <f t="shared" si="117"/>
        <v/>
      </c>
      <c r="L498" s="66" t="str">
        <f t="shared" si="112"/>
        <v/>
      </c>
      <c r="M498" s="66" t="str">
        <f t="shared" si="113"/>
        <v/>
      </c>
      <c r="N498" s="45"/>
      <c r="O498" s="45"/>
      <c r="P498" s="64" t="str">
        <f t="shared" si="114"/>
        <v/>
      </c>
      <c r="Q498" s="65" t="str">
        <f t="shared" si="115"/>
        <v/>
      </c>
      <c r="R498" s="66" t="str">
        <f t="shared" si="119"/>
        <v/>
      </c>
      <c r="S498" s="66" t="str">
        <f t="shared" si="118"/>
        <v/>
      </c>
      <c r="T498" s="66" t="str">
        <f t="shared" si="116"/>
        <v/>
      </c>
      <c r="U498" s="45"/>
    </row>
    <row r="499" spans="1:21" ht="15">
      <c r="A499" s="45"/>
      <c r="B499" s="64" t="str">
        <f t="shared" si="106"/>
        <v/>
      </c>
      <c r="C499" s="65" t="str">
        <f t="shared" si="107"/>
        <v/>
      </c>
      <c r="D499" s="66" t="str">
        <f t="shared" si="108"/>
        <v/>
      </c>
      <c r="E499" s="66" t="str">
        <f t="shared" si="109"/>
        <v/>
      </c>
      <c r="F499" s="66" t="str">
        <f t="shared" si="110"/>
        <v/>
      </c>
      <c r="G499" s="45"/>
      <c r="H499" s="45"/>
      <c r="I499" s="64" t="str">
        <f t="shared" si="111"/>
        <v/>
      </c>
      <c r="J499" s="65" t="str">
        <f t="shared" si="105"/>
        <v/>
      </c>
      <c r="K499" s="66" t="str">
        <f t="shared" si="117"/>
        <v/>
      </c>
      <c r="L499" s="66" t="str">
        <f t="shared" si="112"/>
        <v/>
      </c>
      <c r="M499" s="66" t="str">
        <f t="shared" si="113"/>
        <v/>
      </c>
      <c r="N499" s="45"/>
      <c r="O499" s="45"/>
      <c r="P499" s="64" t="str">
        <f t="shared" si="114"/>
        <v/>
      </c>
      <c r="Q499" s="65" t="str">
        <f t="shared" si="115"/>
        <v/>
      </c>
      <c r="R499" s="66" t="str">
        <f t="shared" si="119"/>
        <v/>
      </c>
      <c r="S499" s="66" t="str">
        <f t="shared" si="118"/>
        <v/>
      </c>
      <c r="T499" s="66" t="str">
        <f t="shared" si="116"/>
        <v/>
      </c>
      <c r="U499" s="45"/>
    </row>
    <row r="500" spans="1:21" ht="15">
      <c r="A500" s="45"/>
      <c r="B500" s="64" t="str">
        <f t="shared" si="106"/>
        <v/>
      </c>
      <c r="C500" s="65" t="str">
        <f t="shared" si="107"/>
        <v/>
      </c>
      <c r="D500" s="66" t="str">
        <f t="shared" si="108"/>
        <v/>
      </c>
      <c r="E500" s="66" t="str">
        <f t="shared" si="109"/>
        <v/>
      </c>
      <c r="F500" s="66" t="str">
        <f t="shared" si="110"/>
        <v/>
      </c>
      <c r="G500" s="45"/>
      <c r="H500" s="45"/>
      <c r="I500" s="64" t="str">
        <f t="shared" si="111"/>
        <v/>
      </c>
      <c r="J500" s="65" t="str">
        <f t="shared" si="105"/>
        <v/>
      </c>
      <c r="K500" s="66" t="str">
        <f t="shared" si="117"/>
        <v/>
      </c>
      <c r="L500" s="66" t="str">
        <f t="shared" si="112"/>
        <v/>
      </c>
      <c r="M500" s="66" t="str">
        <f t="shared" si="113"/>
        <v/>
      </c>
      <c r="N500" s="45"/>
      <c r="O500" s="45"/>
      <c r="P500" s="64" t="str">
        <f t="shared" si="114"/>
        <v/>
      </c>
      <c r="Q500" s="65" t="str">
        <f t="shared" si="115"/>
        <v/>
      </c>
      <c r="R500" s="66" t="str">
        <f t="shared" si="119"/>
        <v/>
      </c>
      <c r="S500" s="66" t="str">
        <f t="shared" si="118"/>
        <v/>
      </c>
      <c r="T500" s="66" t="str">
        <f t="shared" si="116"/>
        <v/>
      </c>
      <c r="U500" s="45"/>
    </row>
    <row r="501" spans="1:21" ht="15">
      <c r="A501" s="45"/>
      <c r="B501" s="64" t="str">
        <f t="shared" si="106"/>
        <v/>
      </c>
      <c r="C501" s="65" t="str">
        <f t="shared" si="107"/>
        <v/>
      </c>
      <c r="D501" s="66" t="str">
        <f t="shared" si="108"/>
        <v/>
      </c>
      <c r="E501" s="66" t="str">
        <f t="shared" si="109"/>
        <v/>
      </c>
      <c r="F501" s="66" t="str">
        <f t="shared" si="110"/>
        <v/>
      </c>
      <c r="G501" s="45"/>
      <c r="H501" s="45"/>
      <c r="I501" s="64" t="str">
        <f t="shared" si="111"/>
        <v/>
      </c>
      <c r="J501" s="65" t="str">
        <f t="shared" si="105"/>
        <v/>
      </c>
      <c r="K501" s="66" t="str">
        <f t="shared" si="117"/>
        <v/>
      </c>
      <c r="L501" s="66" t="str">
        <f t="shared" si="112"/>
        <v/>
      </c>
      <c r="M501" s="66" t="str">
        <f t="shared" si="113"/>
        <v/>
      </c>
      <c r="N501" s="45"/>
      <c r="O501" s="45"/>
      <c r="P501" s="64" t="str">
        <f t="shared" si="114"/>
        <v/>
      </c>
      <c r="Q501" s="65" t="str">
        <f t="shared" si="115"/>
        <v/>
      </c>
      <c r="R501" s="66" t="str">
        <f t="shared" si="119"/>
        <v/>
      </c>
      <c r="S501" s="66" t="str">
        <f t="shared" si="118"/>
        <v/>
      </c>
      <c r="T501" s="66" t="str">
        <f t="shared" si="116"/>
        <v/>
      </c>
      <c r="U501" s="45"/>
    </row>
    <row r="502" spans="1:21" ht="15">
      <c r="A502" s="45"/>
      <c r="B502" s="64" t="str">
        <f t="shared" si="106"/>
        <v/>
      </c>
      <c r="C502" s="65" t="str">
        <f t="shared" si="107"/>
        <v/>
      </c>
      <c r="D502" s="66" t="str">
        <f t="shared" si="108"/>
        <v/>
      </c>
      <c r="E502" s="66" t="str">
        <f t="shared" si="109"/>
        <v/>
      </c>
      <c r="F502" s="66" t="str">
        <f t="shared" si="110"/>
        <v/>
      </c>
      <c r="G502" s="45"/>
      <c r="H502" s="45"/>
      <c r="I502" s="64" t="str">
        <f t="shared" si="111"/>
        <v/>
      </c>
      <c r="J502" s="65" t="str">
        <f t="shared" si="105"/>
        <v/>
      </c>
      <c r="K502" s="66" t="str">
        <f t="shared" si="117"/>
        <v/>
      </c>
      <c r="L502" s="66" t="str">
        <f t="shared" si="112"/>
        <v/>
      </c>
      <c r="M502" s="66" t="str">
        <f t="shared" si="113"/>
        <v/>
      </c>
      <c r="N502" s="45"/>
      <c r="O502" s="45"/>
      <c r="P502" s="64" t="str">
        <f t="shared" si="114"/>
        <v/>
      </c>
      <c r="Q502" s="65" t="str">
        <f t="shared" si="115"/>
        <v/>
      </c>
      <c r="R502" s="66" t="str">
        <f t="shared" si="119"/>
        <v/>
      </c>
      <c r="S502" s="66" t="str">
        <f t="shared" si="118"/>
        <v/>
      </c>
      <c r="T502" s="66" t="str">
        <f t="shared" si="116"/>
        <v/>
      </c>
      <c r="U502" s="45"/>
    </row>
    <row r="503" spans="1:21">
      <c r="A503" s="44" t="s">
        <v>515</v>
      </c>
      <c r="H503" s="44" t="s">
        <v>515</v>
      </c>
      <c r="O503" s="44" t="s">
        <v>515</v>
      </c>
    </row>
    <row r="504" spans="1:21">
      <c r="B504" s="44" t="str">
        <f>IF(A503&lt;($D$6-2),A503+1,"")</f>
        <v/>
      </c>
      <c r="I504" s="44" t="str">
        <f>IF(H503&lt;($D$6-2),H503+1,"")</f>
        <v/>
      </c>
    </row>
    <row r="505" spans="1:21">
      <c r="B505" s="44" t="str">
        <f>IF(B504&lt;($D$6-2),B504+1,"")</f>
        <v/>
      </c>
      <c r="I505" s="44" t="str">
        <f>IF(I504&lt;($D$6-2),I504+1,"")</f>
        <v/>
      </c>
    </row>
    <row r="506" spans="1:21">
      <c r="B506" s="44" t="str">
        <f>IF(B505&lt;($D$6-2),B505+1,"")</f>
        <v/>
      </c>
      <c r="I506" s="44" t="str">
        <f>IF(I505&lt;($D$6-2),I505+1,"")</f>
        <v/>
      </c>
    </row>
  </sheetData>
  <sheetProtection algorithmName="SHA-512" hashValue="3OwjyMtNcH+9NsLL6m20xmMVulyTs8AlZGZWTc9JkFoqvpBzcsxSEGqmi78YCpMCn/KM8qXZveODleoZ/SXjhQ==" saltValue="bpHTlQxGMmk0MpEB5C5x5Q==" spinCount="100000" sheet="1" objects="1" scenarios="1"/>
  <protectedRanges>
    <protectedRange sqref="D5:D7 K5:K7 R5:R7 B2:F2 I2:M2 P2:T2" name="Am Calc Enter"/>
  </protectedRanges>
  <mergeCells count="3">
    <mergeCell ref="B2:F2"/>
    <mergeCell ref="I2:M2"/>
    <mergeCell ref="P2:T2"/>
  </mergeCells>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5DB59-976E-418B-B037-510DA1C75218}">
  <sheetPr codeName="Sheet31">
    <tabColor rgb="FF00B0F0"/>
  </sheetPr>
  <dimension ref="B1:H18"/>
  <sheetViews>
    <sheetView showGridLines="0" workbookViewId="0">
      <selection activeCell="G36" sqref="G35:G36"/>
    </sheetView>
  </sheetViews>
  <sheetFormatPr defaultRowHeight="15"/>
  <cols>
    <col min="1" max="1" width="3.28515625" customWidth="1"/>
    <col min="2" max="2" width="27.42578125" bestFit="1" customWidth="1"/>
    <col min="3" max="3" width="26.140625" customWidth="1"/>
    <col min="4" max="4" width="23.7109375" customWidth="1"/>
    <col min="5" max="5" width="13.140625" customWidth="1"/>
    <col min="6" max="6" width="23.42578125" customWidth="1"/>
    <col min="7" max="7" width="18" customWidth="1"/>
    <col min="8" max="8" width="21.7109375" customWidth="1"/>
    <col min="9" max="9" width="28.28515625" customWidth="1"/>
    <col min="11" max="11" width="14.85546875" bestFit="1" customWidth="1"/>
  </cols>
  <sheetData>
    <row r="1" spans="2:8" ht="45.75">
      <c r="B1" s="125"/>
      <c r="C1" s="126" t="s">
        <v>516</v>
      </c>
      <c r="D1" s="127"/>
      <c r="E1" s="127"/>
      <c r="F1" s="127"/>
      <c r="G1" s="127"/>
    </row>
    <row r="3" spans="2:8" ht="18.75">
      <c r="B3" s="128" t="s">
        <v>517</v>
      </c>
      <c r="C3" s="128" t="s">
        <v>518</v>
      </c>
      <c r="D3" s="128" t="s">
        <v>519</v>
      </c>
      <c r="E3" s="129"/>
      <c r="F3" s="128" t="s">
        <v>520</v>
      </c>
      <c r="G3" s="128" t="s">
        <v>521</v>
      </c>
    </row>
    <row r="4" spans="2:8" s="134" customFormat="1" ht="18.75">
      <c r="B4" s="130">
        <v>150000</v>
      </c>
      <c r="C4" s="130">
        <v>101500</v>
      </c>
      <c r="D4" s="131">
        <v>0.11275</v>
      </c>
      <c r="E4"/>
      <c r="F4" s="132">
        <f>IFERROR(StartRate+0.02,"")</f>
        <v>0.13275000000000001</v>
      </c>
      <c r="G4" s="133">
        <f>30*12</f>
        <v>360</v>
      </c>
      <c r="H4"/>
    </row>
    <row r="7" spans="2:8" ht="18.75">
      <c r="B7" s="128" t="s">
        <v>522</v>
      </c>
      <c r="C7" s="135">
        <f>IFERROR(InitialDraw_Balance*(StartRate/12),"")</f>
        <v>953.67708333333337</v>
      </c>
    </row>
    <row r="8" spans="2:8">
      <c r="C8" s="136"/>
    </row>
    <row r="9" spans="2:8" ht="18.75">
      <c r="B9" s="128" t="s">
        <v>523</v>
      </c>
      <c r="C9" s="137">
        <f>IFERROR(-PMT(QualifyingRate/12,Months,LineAmount),"")</f>
        <v>1691.6017949525435</v>
      </c>
    </row>
    <row r="18" ht="15.75" customHeight="1"/>
  </sheetData>
  <sheetProtection algorithmName="SHA-512" hashValue="KRY8xx//UjYgKNKYG9F2UsQRVyBvfZ6boY+2TFSyxwG9TqmZ20AYUiD9rjVDXRRkUM2Ny7jViZgpUQaEnPMTvA==" saltValue="rIX3goEMsH+EW/Itpa750w==" spinCount="100000" sheet="1" objects="1" scenarios="1"/>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A1304-8FA0-402C-B41B-73B432AA5454}">
  <sheetPr codeName="Sheet29">
    <tabColor rgb="FF00B0F0"/>
  </sheetPr>
  <dimension ref="B1:K15"/>
  <sheetViews>
    <sheetView showGridLines="0" workbookViewId="0">
      <selection activeCell="F28" sqref="F27:F28"/>
    </sheetView>
  </sheetViews>
  <sheetFormatPr defaultColWidth="9.140625" defaultRowHeight="12.75"/>
  <cols>
    <col min="1" max="1" width="9.140625" style="105"/>
    <col min="2" max="2" width="1" style="105" customWidth="1"/>
    <col min="3" max="3" width="22.140625" style="105" bestFit="1" customWidth="1"/>
    <col min="4" max="4" width="18.7109375" style="105" customWidth="1"/>
    <col min="5" max="5" width="1" style="105" customWidth="1"/>
    <col min="6" max="6" width="18.7109375" style="105" customWidth="1"/>
    <col min="7" max="7" width="1" style="105" customWidth="1"/>
    <col min="8" max="8" width="18.7109375" style="105" customWidth="1"/>
    <col min="9" max="9" width="1" style="105" customWidth="1"/>
    <col min="10" max="10" width="18.7109375" style="105" customWidth="1"/>
    <col min="11" max="11" width="1" style="105" customWidth="1"/>
    <col min="12" max="16384" width="9.140625" style="105"/>
  </cols>
  <sheetData>
    <row r="1" spans="2:11" ht="15" customHeight="1">
      <c r="C1" s="1082" t="s">
        <v>524</v>
      </c>
      <c r="D1" s="1082"/>
      <c r="E1" s="1082"/>
      <c r="F1" s="1082"/>
      <c r="G1" s="1082"/>
      <c r="H1" s="1082"/>
      <c r="I1" s="1082"/>
      <c r="J1" s="1082"/>
    </row>
    <row r="2" spans="2:11" ht="15" customHeight="1" thickBot="1">
      <c r="C2" s="1083"/>
      <c r="D2" s="1083"/>
      <c r="E2" s="1083"/>
      <c r="F2" s="1083"/>
      <c r="G2" s="1083"/>
      <c r="H2" s="1083"/>
      <c r="I2" s="1083"/>
      <c r="J2" s="1083"/>
    </row>
    <row r="3" spans="2:11" ht="15" customHeight="1" thickTop="1">
      <c r="B3" s="106"/>
      <c r="C3" s="107"/>
      <c r="D3" s="107"/>
      <c r="E3" s="107"/>
      <c r="F3" s="107"/>
      <c r="G3" s="107"/>
      <c r="H3" s="107"/>
      <c r="I3" s="107"/>
      <c r="J3" s="107"/>
      <c r="K3" s="108"/>
    </row>
    <row r="4" spans="2:11">
      <c r="B4" s="109"/>
      <c r="D4" s="110" t="s">
        <v>525</v>
      </c>
      <c r="E4" s="110"/>
      <c r="F4" s="110" t="s">
        <v>526</v>
      </c>
      <c r="G4" s="110"/>
      <c r="H4" s="110" t="s">
        <v>527</v>
      </c>
      <c r="I4" s="110"/>
      <c r="J4" s="110" t="s">
        <v>528</v>
      </c>
      <c r="K4" s="111"/>
    </row>
    <row r="5" spans="2:11">
      <c r="B5" s="109"/>
      <c r="C5" s="105" t="s">
        <v>514</v>
      </c>
      <c r="D5" s="112">
        <v>14494</v>
      </c>
      <c r="E5" s="113"/>
      <c r="F5" s="112">
        <v>13807</v>
      </c>
      <c r="G5" s="113"/>
      <c r="H5" s="112">
        <v>13535</v>
      </c>
      <c r="I5" s="113"/>
      <c r="J5" s="112">
        <v>13139</v>
      </c>
      <c r="K5" s="111"/>
    </row>
    <row r="6" spans="2:11" ht="2.25" customHeight="1">
      <c r="B6" s="109"/>
      <c r="D6" s="114">
        <v>2.125</v>
      </c>
      <c r="E6" s="114"/>
      <c r="F6" s="114"/>
      <c r="G6" s="114"/>
      <c r="H6" s="114"/>
      <c r="I6" s="114"/>
      <c r="J6" s="114"/>
      <c r="K6" s="111"/>
    </row>
    <row r="7" spans="2:11">
      <c r="B7" s="109"/>
      <c r="C7" s="105" t="s">
        <v>197</v>
      </c>
      <c r="D7" s="115">
        <v>0.22</v>
      </c>
      <c r="E7" s="116"/>
      <c r="F7" s="115">
        <v>0.22</v>
      </c>
      <c r="G7" s="116"/>
      <c r="H7" s="115">
        <v>0.22</v>
      </c>
      <c r="I7" s="116"/>
      <c r="J7" s="115">
        <v>0.28000000000000003</v>
      </c>
      <c r="K7" s="111"/>
    </row>
    <row r="8" spans="2:11" ht="2.25" customHeight="1">
      <c r="B8" s="109"/>
      <c r="D8" s="117"/>
      <c r="E8" s="117"/>
      <c r="F8" s="117"/>
      <c r="G8" s="117"/>
      <c r="H8" s="117"/>
      <c r="I8" s="117"/>
      <c r="J8" s="117"/>
      <c r="K8" s="111"/>
    </row>
    <row r="9" spans="2:11">
      <c r="B9" s="109"/>
      <c r="C9" s="105" t="s">
        <v>529</v>
      </c>
      <c r="D9" s="105">
        <v>4.25</v>
      </c>
      <c r="F9" s="105">
        <v>4.25</v>
      </c>
      <c r="H9" s="105">
        <v>4.25</v>
      </c>
      <c r="J9" s="105">
        <v>4.25</v>
      </c>
      <c r="K9" s="111"/>
    </row>
    <row r="10" spans="2:11">
      <c r="B10" s="109"/>
      <c r="K10" s="111"/>
    </row>
    <row r="11" spans="2:11">
      <c r="B11" s="109"/>
      <c r="C11" s="118" t="s">
        <v>530</v>
      </c>
      <c r="D11" s="119">
        <f>SUM(D5+F5+H5+J5)</f>
        <v>54975</v>
      </c>
      <c r="E11" s="114"/>
      <c r="K11" s="111"/>
    </row>
    <row r="12" spans="2:11" ht="5.25" customHeight="1">
      <c r="B12" s="109"/>
      <c r="D12" s="120"/>
      <c r="E12" s="114"/>
      <c r="K12" s="111"/>
    </row>
    <row r="13" spans="2:11">
      <c r="B13" s="109"/>
      <c r="C13" s="118" t="s">
        <v>531</v>
      </c>
      <c r="D13" s="121">
        <f>((D5*D7)+(F5*F7)+(H5*H7)+(J5*J7))/D11</f>
        <v>0.23433997271487036</v>
      </c>
      <c r="E13" s="117"/>
      <c r="K13" s="111"/>
    </row>
    <row r="14" spans="2:11" ht="9" customHeight="1" thickBot="1">
      <c r="B14" s="122"/>
      <c r="C14" s="123"/>
      <c r="D14" s="123"/>
      <c r="E14" s="123"/>
      <c r="F14" s="123"/>
      <c r="G14" s="123"/>
      <c r="H14" s="123"/>
      <c r="I14" s="123"/>
      <c r="J14" s="123"/>
      <c r="K14" s="124"/>
    </row>
    <row r="15" spans="2:11" ht="13.5" thickTop="1"/>
  </sheetData>
  <sheetProtection algorithmName="SHA-512" hashValue="S3I7QSR/DQ47UUrzVx5HEjPrHf9jYsSxfNFt/eNrkcbKBJWv+lICJ7c87InphTLM2OeKxTfXbayJMcGZZzgWnQ==" saltValue="qO7rCYK2caHLp/pk6CjRSg==" spinCount="100000" sheet="1" objects="1" scenarios="1" selectLockedCells="1"/>
  <mergeCells count="1">
    <mergeCell ref="C1:J2"/>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5F47A-073A-49A2-A150-0F96388251D4}">
  <dimension ref="A1"/>
  <sheetViews>
    <sheetView workbookViewId="0"/>
  </sheetViews>
  <sheetFormatPr defaultRowHeight="15"/>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8D2A5-8616-48BD-9E3A-55B8F02934BD}">
  <dimension ref="A1"/>
  <sheetViews>
    <sheetView workbookViewId="0"/>
  </sheetViews>
  <sheetFormatPr defaultRowHeight="1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14638-8FA0-42A6-88A3-07158FDBBD97}">
  <sheetPr codeName="Sheet1">
    <tabColor rgb="FF7030A0"/>
    <pageSetUpPr fitToPage="1"/>
  </sheetPr>
  <dimension ref="A1:IF3181"/>
  <sheetViews>
    <sheetView zoomScale="85" zoomScaleNormal="85" workbookViewId="0">
      <selection activeCell="B7" sqref="B7:G8"/>
    </sheetView>
  </sheetViews>
  <sheetFormatPr defaultColWidth="9.140625" defaultRowHeight="15"/>
  <cols>
    <col min="1" max="1" width="14.42578125" style="304" customWidth="1"/>
    <col min="2" max="2" width="37.140625" style="304" customWidth="1"/>
    <col min="3" max="3" width="17.7109375" style="304" customWidth="1"/>
    <col min="4" max="4" width="12.5703125" style="304" bestFit="1" customWidth="1"/>
    <col min="5" max="5" width="37" style="304" customWidth="1"/>
    <col min="6" max="6" width="17.7109375" style="304" customWidth="1"/>
    <col min="7" max="7" width="15" style="304" customWidth="1"/>
    <col min="8" max="8" width="1.7109375" style="185" customWidth="1"/>
    <col min="9" max="9" width="7.85546875" style="185" bestFit="1" customWidth="1"/>
    <col min="10" max="10" width="8.7109375" style="185" bestFit="1" customWidth="1"/>
    <col min="11" max="11" width="6.85546875" style="185" bestFit="1" customWidth="1"/>
    <col min="12" max="12" width="12.5703125" style="185" customWidth="1"/>
    <col min="13" max="13" width="33.85546875" style="185" customWidth="1"/>
    <col min="14" max="14" width="9.140625" style="185"/>
    <col min="15" max="15" width="13" style="185" customWidth="1"/>
    <col min="16" max="16" width="42.28515625" style="277" customWidth="1"/>
    <col min="17" max="17" width="15.28515625" style="277" customWidth="1"/>
    <col min="18" max="18" width="16.140625" style="277" customWidth="1"/>
    <col min="19" max="19" width="13.85546875" style="277" customWidth="1"/>
    <col min="20" max="20" width="28.5703125" style="279" customWidth="1"/>
    <col min="21" max="24" width="13.85546875" style="277" customWidth="1"/>
    <col min="25" max="27" width="9.140625" style="277"/>
    <col min="28" max="28" width="22.7109375" style="277" customWidth="1"/>
    <col min="29" max="33" width="14.5703125" style="277" customWidth="1"/>
    <col min="34" max="34" width="32.5703125" style="277" bestFit="1" customWidth="1"/>
    <col min="35" max="240" width="9.140625" style="185"/>
    <col min="241" max="16384" width="9.140625" style="304"/>
  </cols>
  <sheetData>
    <row r="1" spans="1:13" ht="9.9499999999999993" customHeight="1" thickBot="1">
      <c r="A1" s="182"/>
      <c r="B1" s="183"/>
      <c r="C1" s="183"/>
      <c r="D1" s="183"/>
      <c r="E1" s="183"/>
      <c r="F1" s="183"/>
      <c r="G1" s="184"/>
    </row>
    <row r="2" spans="1:13" ht="15.75" customHeight="1">
      <c r="A2" s="186"/>
      <c r="B2" s="1124" t="s">
        <v>532</v>
      </c>
      <c r="C2" s="1125"/>
      <c r="D2" s="1125"/>
      <c r="E2" s="1125"/>
      <c r="F2" s="1126"/>
      <c r="G2" s="187"/>
    </row>
    <row r="3" spans="1:13" ht="36" customHeight="1" thickBot="1">
      <c r="A3" s="186"/>
      <c r="B3" s="1127"/>
      <c r="C3" s="1128"/>
      <c r="D3" s="1128"/>
      <c r="E3" s="1128"/>
      <c r="F3" s="1129"/>
      <c r="G3" s="188" t="str">
        <f>'[3]Reference Sheet'!B2</f>
        <v>Rev. 4.12.2016</v>
      </c>
      <c r="I3" s="189"/>
      <c r="J3" s="189"/>
      <c r="K3" s="189"/>
      <c r="L3" s="189"/>
      <c r="M3" s="189"/>
    </row>
    <row r="4" spans="1:13" ht="9" customHeight="1">
      <c r="A4" s="186"/>
      <c r="B4" s="1130"/>
      <c r="C4" s="1130"/>
      <c r="D4" s="1130"/>
      <c r="E4" s="1130"/>
      <c r="F4" s="1130"/>
      <c r="G4" s="187"/>
      <c r="I4" s="189"/>
      <c r="J4" s="189"/>
      <c r="K4" s="189"/>
      <c r="L4" s="189"/>
      <c r="M4" s="189"/>
    </row>
    <row r="5" spans="1:13" ht="18" customHeight="1" thickBot="1">
      <c r="A5" s="190" t="s">
        <v>533</v>
      </c>
      <c r="B5" s="1131" t="s">
        <v>534</v>
      </c>
      <c r="C5" s="1132"/>
      <c r="D5" s="1132"/>
      <c r="E5" s="191" t="s">
        <v>67</v>
      </c>
      <c r="F5" s="1133">
        <v>43777</v>
      </c>
      <c r="G5" s="1134"/>
      <c r="I5" s="189"/>
      <c r="J5" s="189"/>
      <c r="K5" s="189"/>
      <c r="L5" s="189"/>
      <c r="M5" s="189"/>
    </row>
    <row r="6" spans="1:13" ht="18" customHeight="1" thickBot="1">
      <c r="A6" s="192" t="s">
        <v>535</v>
      </c>
      <c r="B6" s="1135"/>
      <c r="C6" s="1136"/>
      <c r="D6" s="1136"/>
      <c r="E6" s="193"/>
      <c r="F6" s="194"/>
      <c r="G6" s="195"/>
      <c r="I6" s="189"/>
      <c r="J6" s="189"/>
      <c r="K6" s="189"/>
      <c r="L6" s="189"/>
      <c r="M6" s="189"/>
    </row>
    <row r="7" spans="1:13" ht="18" customHeight="1" thickBot="1">
      <c r="A7" s="190" t="s">
        <v>536</v>
      </c>
      <c r="B7" s="1137" t="s">
        <v>537</v>
      </c>
      <c r="C7" s="1138"/>
      <c r="D7" s="1138"/>
      <c r="E7" s="191" t="s">
        <v>538</v>
      </c>
      <c r="F7" s="1139" t="s">
        <v>539</v>
      </c>
      <c r="G7" s="1140"/>
      <c r="I7" s="189"/>
      <c r="J7" s="189"/>
      <c r="K7" s="189"/>
      <c r="L7" s="189"/>
      <c r="M7" s="189"/>
    </row>
    <row r="8" spans="1:13" ht="9.9499999999999993" customHeight="1" thickBot="1">
      <c r="A8" s="196"/>
      <c r="B8" s="197"/>
      <c r="C8" s="197"/>
      <c r="D8" s="198"/>
      <c r="E8" s="199"/>
      <c r="F8" s="199"/>
      <c r="G8" s="200"/>
      <c r="I8" s="189"/>
      <c r="J8" s="189"/>
      <c r="K8" s="189"/>
      <c r="L8" s="189"/>
      <c r="M8" s="189"/>
    </row>
    <row r="9" spans="1:13" ht="9.9499999999999993" customHeight="1" thickBot="1">
      <c r="A9" s="201"/>
      <c r="B9" s="202"/>
      <c r="C9" s="202"/>
      <c r="D9" s="203"/>
      <c r="E9" s="204"/>
      <c r="F9" s="204"/>
      <c r="G9" s="205"/>
      <c r="I9" s="1100" t="s">
        <v>540</v>
      </c>
      <c r="J9" s="1101"/>
      <c r="K9" s="1101"/>
      <c r="L9" s="1101"/>
      <c r="M9" s="1102"/>
    </row>
    <row r="10" spans="1:13">
      <c r="A10" s="206"/>
      <c r="B10" s="1109" t="s">
        <v>541</v>
      </c>
      <c r="C10" s="1110"/>
      <c r="D10" s="1110"/>
      <c r="E10" s="1110"/>
      <c r="F10" s="1111"/>
      <c r="G10" s="207"/>
      <c r="I10" s="1103"/>
      <c r="J10" s="1104"/>
      <c r="K10" s="1104"/>
      <c r="L10" s="1104"/>
      <c r="M10" s="1105"/>
    </row>
    <row r="11" spans="1:13" ht="18.75" customHeight="1">
      <c r="A11" s="208"/>
      <c r="B11" s="1112"/>
      <c r="C11" s="1113"/>
      <c r="D11" s="1113"/>
      <c r="E11" s="1113"/>
      <c r="F11" s="1114"/>
      <c r="G11" s="209"/>
      <c r="I11" s="1103"/>
      <c r="J11" s="1104"/>
      <c r="K11" s="1104"/>
      <c r="L11" s="1104"/>
      <c r="M11" s="1105"/>
    </row>
    <row r="12" spans="1:13" ht="4.5" customHeight="1">
      <c r="A12" s="208"/>
      <c r="B12" s="210"/>
      <c r="C12" s="211"/>
      <c r="D12" s="212"/>
      <c r="E12" s="212"/>
      <c r="F12" s="213"/>
      <c r="G12" s="209"/>
      <c r="I12" s="1103"/>
      <c r="J12" s="1104"/>
      <c r="K12" s="1104"/>
      <c r="L12" s="1104"/>
      <c r="M12" s="1105"/>
    </row>
    <row r="13" spans="1:13">
      <c r="A13" s="214"/>
      <c r="B13" s="215" t="s">
        <v>542</v>
      </c>
      <c r="C13" s="212"/>
      <c r="D13" s="212"/>
      <c r="E13" s="216"/>
      <c r="F13" s="217" t="str">
        <f>(IF(OR(W97=6),"Weekly"," "))</f>
        <v xml:space="preserve"> </v>
      </c>
      <c r="G13" s="209"/>
      <c r="I13" s="1103"/>
      <c r="J13" s="1104"/>
      <c r="K13" s="1104"/>
      <c r="L13" s="1104"/>
      <c r="M13" s="1105"/>
    </row>
    <row r="14" spans="1:13">
      <c r="A14" s="208"/>
      <c r="B14" s="218" t="s">
        <v>543</v>
      </c>
      <c r="C14" s="219">
        <v>43765</v>
      </c>
      <c r="D14" s="212"/>
      <c r="E14" s="220" t="s">
        <v>544</v>
      </c>
      <c r="F14" s="221" t="str">
        <f>(IF(OR(W97=13),"Bi-Weekly"," "))</f>
        <v>Bi-Weekly</v>
      </c>
      <c r="G14" s="209"/>
      <c r="I14" s="1103"/>
      <c r="J14" s="1104"/>
      <c r="K14" s="1104"/>
      <c r="L14" s="1104"/>
      <c r="M14" s="1105"/>
    </row>
    <row r="15" spans="1:13">
      <c r="A15" s="208"/>
      <c r="B15" s="222" t="s">
        <v>545</v>
      </c>
      <c r="C15" s="219">
        <v>43778</v>
      </c>
      <c r="D15" s="212"/>
      <c r="E15" s="216"/>
      <c r="F15" s="221" t="str">
        <f>(IF(OR(W97=14,W97=15,W97=12),"Semi-Monthly"," "))</f>
        <v xml:space="preserve"> </v>
      </c>
      <c r="G15" s="209"/>
      <c r="I15" s="1103"/>
      <c r="J15" s="1104"/>
      <c r="K15" s="1104"/>
      <c r="L15" s="1104"/>
      <c r="M15" s="1105"/>
    </row>
    <row r="16" spans="1:13">
      <c r="A16" s="208"/>
      <c r="B16" s="223"/>
      <c r="C16" s="211"/>
      <c r="D16" s="212"/>
      <c r="E16" s="216"/>
      <c r="F16" s="224" t="str">
        <f>(IF(OR(W97=30,W97=29,W97=27,W97=28),"Monthly"," "))</f>
        <v xml:space="preserve"> </v>
      </c>
      <c r="G16" s="209"/>
      <c r="I16" s="1103"/>
      <c r="J16" s="1104"/>
      <c r="K16" s="1104"/>
      <c r="L16" s="1104"/>
      <c r="M16" s="1105"/>
    </row>
    <row r="17" spans="1:13" ht="9.9499999999999993" customHeight="1">
      <c r="A17" s="208"/>
      <c r="B17" s="223"/>
      <c r="C17" s="211"/>
      <c r="D17" s="212"/>
      <c r="E17" s="216"/>
      <c r="F17" s="225"/>
      <c r="G17" s="209"/>
      <c r="I17" s="1103"/>
      <c r="J17" s="1104"/>
      <c r="K17" s="1104"/>
      <c r="L17" s="1104"/>
      <c r="M17" s="1105"/>
    </row>
    <row r="18" spans="1:13" ht="66.75" customHeight="1">
      <c r="A18" s="208"/>
      <c r="B18" s="1115" t="s">
        <v>546</v>
      </c>
      <c r="C18" s="1116"/>
      <c r="D18" s="1116"/>
      <c r="E18" s="1116"/>
      <c r="F18" s="1117"/>
      <c r="G18" s="209"/>
      <c r="I18" s="1103"/>
      <c r="J18" s="1104"/>
      <c r="K18" s="1104"/>
      <c r="L18" s="1104"/>
      <c r="M18" s="1105"/>
    </row>
    <row r="19" spans="1:13" ht="9.9499999999999993" customHeight="1">
      <c r="A19" s="208"/>
      <c r="B19" s="226"/>
      <c r="C19" s="227"/>
      <c r="D19" s="227"/>
      <c r="E19" s="227"/>
      <c r="F19" s="228"/>
      <c r="G19" s="209"/>
      <c r="I19" s="1103"/>
      <c r="J19" s="1104"/>
      <c r="K19" s="1104"/>
      <c r="L19" s="1104"/>
      <c r="M19" s="1105"/>
    </row>
    <row r="20" spans="1:13" ht="42.75" customHeight="1">
      <c r="A20" s="208"/>
      <c r="B20" s="229" t="s">
        <v>547</v>
      </c>
      <c r="C20" s="230">
        <f>IF((YEAR(C12)=YEAR(C15)),((MONTH(C15)-1)+(DAY(C15)/(DAY(DATE(YEAR(C15),MONTH(C15)+1,1)-1))))-AB111,(MONTH(C15)-1)+(DAY(C15)/(DAY(DATE(YEAR(C15),MONTH(C15)+1,1)-1))))</f>
        <v>10.3</v>
      </c>
      <c r="D20" s="1118" t="str">
        <f>IF(C21="Select total # of months to average","This number is automatically calculated from pay period dates entered above, and will be added to either 12 or 24 months (depending on the income trend) in the calculations for commission, tip, and over-time income"," ")</f>
        <v>This number is automatically calculated from pay period dates entered above, and will be added to either 12 or 24 months (depending on the income trend) in the calculations for commission, tip, and over-time income</v>
      </c>
      <c r="E20" s="1119"/>
      <c r="F20" s="1120"/>
      <c r="G20" s="209"/>
      <c r="I20" s="1103"/>
      <c r="J20" s="1104"/>
      <c r="K20" s="1104"/>
      <c r="L20" s="1104"/>
      <c r="M20" s="1105"/>
    </row>
    <row r="21" spans="1:13" ht="7.5" customHeight="1">
      <c r="A21" s="208"/>
      <c r="B21" s="231" t="s">
        <v>548</v>
      </c>
      <c r="C21" s="232" t="s">
        <v>549</v>
      </c>
      <c r="D21" s="233" t="str">
        <f>IF(C21="Select total # of months to average"," ","Enter TOTAL number of months to average variable income. YOU MUST EXPLAIN YOUR CALCULATION IN THE NOTES SECTION BELOW")</f>
        <v xml:space="preserve"> </v>
      </c>
      <c r="E21" s="234"/>
      <c r="F21" s="225"/>
      <c r="G21" s="209"/>
      <c r="I21" s="1103"/>
      <c r="J21" s="1104"/>
      <c r="K21" s="1104"/>
      <c r="L21" s="1104"/>
      <c r="M21" s="1105"/>
    </row>
    <row r="22" spans="1:13" ht="9.9499999999999993" customHeight="1" thickBot="1">
      <c r="A22" s="208"/>
      <c r="B22" s="235"/>
      <c r="C22" s="236"/>
      <c r="D22" s="236"/>
      <c r="E22" s="237"/>
      <c r="F22" s="238"/>
      <c r="G22" s="209"/>
      <c r="I22" s="1103"/>
      <c r="J22" s="1104"/>
      <c r="K22" s="1104"/>
      <c r="L22" s="1104"/>
      <c r="M22" s="1105"/>
    </row>
    <row r="23" spans="1:13" ht="9.9499999999999993" customHeight="1" thickBot="1">
      <c r="A23" s="208"/>
      <c r="B23" s="239"/>
      <c r="C23" s="239"/>
      <c r="D23" s="239"/>
      <c r="E23" s="239"/>
      <c r="F23" s="239"/>
      <c r="G23" s="209"/>
      <c r="I23" s="1103"/>
      <c r="J23" s="1104"/>
      <c r="K23" s="1104"/>
      <c r="L23" s="1104"/>
      <c r="M23" s="1105"/>
    </row>
    <row r="24" spans="1:13" ht="15.75" customHeight="1">
      <c r="A24" s="208"/>
      <c r="B24" s="1121" t="s">
        <v>550</v>
      </c>
      <c r="C24" s="1122"/>
      <c r="D24" s="239"/>
      <c r="E24" s="1085" t="s">
        <v>551</v>
      </c>
      <c r="F24" s="1086"/>
      <c r="G24" s="209"/>
      <c r="I24" s="1103"/>
      <c r="J24" s="1104"/>
      <c r="K24" s="1104"/>
      <c r="L24" s="1104"/>
      <c r="M24" s="1105"/>
    </row>
    <row r="25" spans="1:13" ht="15.75" customHeight="1">
      <c r="A25" s="208"/>
      <c r="B25" s="242" t="s">
        <v>552</v>
      </c>
      <c r="C25" s="243"/>
      <c r="D25" s="1123"/>
      <c r="E25" s="242" t="s">
        <v>553</v>
      </c>
      <c r="F25" s="244">
        <v>0</v>
      </c>
      <c r="G25" s="209"/>
      <c r="I25" s="1103"/>
      <c r="J25" s="1104"/>
      <c r="K25" s="1104"/>
      <c r="L25" s="1104"/>
      <c r="M25" s="1105"/>
    </row>
    <row r="26" spans="1:13" ht="15.75" customHeight="1">
      <c r="A26" s="208"/>
      <c r="B26" s="245" t="s">
        <v>553</v>
      </c>
      <c r="C26" s="246"/>
      <c r="D26" s="1123"/>
      <c r="E26" s="242" t="s">
        <v>554</v>
      </c>
      <c r="F26" s="244">
        <v>0</v>
      </c>
      <c r="G26" s="209"/>
      <c r="I26" s="1103"/>
      <c r="J26" s="1104"/>
      <c r="K26" s="1104"/>
      <c r="L26" s="1104"/>
      <c r="M26" s="1105"/>
    </row>
    <row r="27" spans="1:13" ht="15.75" customHeight="1">
      <c r="A27" s="247"/>
      <c r="B27" s="248" t="s">
        <v>555</v>
      </c>
      <c r="C27" s="249">
        <f>AG134</f>
        <v>0</v>
      </c>
      <c r="D27" s="1123"/>
      <c r="E27" s="242" t="s">
        <v>556</v>
      </c>
      <c r="F27" s="246">
        <v>0</v>
      </c>
      <c r="G27" s="250" t="s">
        <v>557</v>
      </c>
      <c r="I27" s="1103"/>
      <c r="J27" s="1104"/>
      <c r="K27" s="1104"/>
      <c r="L27" s="1104"/>
      <c r="M27" s="1105"/>
    </row>
    <row r="28" spans="1:13" ht="21.75" customHeight="1" thickBot="1">
      <c r="A28" s="247"/>
      <c r="B28" s="248" t="s">
        <v>558</v>
      </c>
      <c r="C28" s="249">
        <f>C26/C20</f>
        <v>0</v>
      </c>
      <c r="D28" s="1123"/>
      <c r="E28" s="251" t="s">
        <v>559</v>
      </c>
      <c r="F28" s="252">
        <f>Q72</f>
        <v>0</v>
      </c>
      <c r="G28" s="253" t="str">
        <f>IF(F26&lt;F27,"12mos+YTD","24mos+YTD")</f>
        <v>24mos+YTD</v>
      </c>
      <c r="I28" s="1103"/>
      <c r="J28" s="1104"/>
      <c r="K28" s="1104"/>
      <c r="L28" s="1104"/>
      <c r="M28" s="1105"/>
    </row>
    <row r="29" spans="1:13" ht="37.5" thickBot="1">
      <c r="A29" s="247"/>
      <c r="B29" s="251" t="s">
        <v>560</v>
      </c>
      <c r="C29" s="254">
        <f>IF(C27&gt;C28,C28,C27)</f>
        <v>0</v>
      </c>
      <c r="D29" s="239"/>
      <c r="E29" s="239"/>
      <c r="F29" s="239"/>
      <c r="G29" s="255"/>
      <c r="I29" s="1103"/>
      <c r="J29" s="1104"/>
      <c r="K29" s="1104"/>
      <c r="L29" s="1104"/>
      <c r="M29" s="1105"/>
    </row>
    <row r="30" spans="1:13" ht="15.75" customHeight="1" thickBot="1">
      <c r="A30" s="247"/>
      <c r="B30" s="239"/>
      <c r="C30" s="239"/>
      <c r="D30" s="239"/>
      <c r="E30" s="240" t="s">
        <v>561</v>
      </c>
      <c r="F30" s="241"/>
      <c r="G30" s="209"/>
      <c r="I30" s="1103"/>
      <c r="J30" s="1104"/>
      <c r="K30" s="1104"/>
      <c r="L30" s="1104"/>
      <c r="M30" s="1105"/>
    </row>
    <row r="31" spans="1:13" ht="15.75" customHeight="1">
      <c r="A31" s="256"/>
      <c r="B31" s="1121" t="s">
        <v>562</v>
      </c>
      <c r="C31" s="1122"/>
      <c r="D31" s="239"/>
      <c r="E31" s="242" t="s">
        <v>553</v>
      </c>
      <c r="F31" s="244">
        <v>0</v>
      </c>
      <c r="G31" s="209"/>
      <c r="I31" s="1103"/>
      <c r="J31" s="1104"/>
      <c r="K31" s="1104"/>
      <c r="L31" s="1104"/>
      <c r="M31" s="1105"/>
    </row>
    <row r="32" spans="1:13" ht="15.75" customHeight="1">
      <c r="A32" s="256"/>
      <c r="B32" s="242" t="s">
        <v>563</v>
      </c>
      <c r="C32" s="243">
        <v>27</v>
      </c>
      <c r="D32" s="239"/>
      <c r="E32" s="242" t="s">
        <v>564</v>
      </c>
      <c r="F32" s="244">
        <v>0</v>
      </c>
      <c r="G32" s="209"/>
      <c r="I32" s="1103"/>
      <c r="J32" s="1104"/>
      <c r="K32" s="1104"/>
      <c r="L32" s="1104"/>
      <c r="M32" s="1105"/>
    </row>
    <row r="33" spans="1:13" ht="15.75" customHeight="1">
      <c r="A33" s="208"/>
      <c r="B33" s="257" t="s">
        <v>565</v>
      </c>
      <c r="C33" s="258">
        <v>40</v>
      </c>
      <c r="D33" s="239"/>
      <c r="E33" s="257" t="s">
        <v>566</v>
      </c>
      <c r="F33" s="244">
        <v>0</v>
      </c>
      <c r="G33" s="250" t="s">
        <v>557</v>
      </c>
      <c r="I33" s="1103"/>
      <c r="J33" s="1104"/>
      <c r="K33" s="1104"/>
      <c r="L33" s="1104"/>
      <c r="M33" s="1105"/>
    </row>
    <row r="34" spans="1:13" ht="19.5" thickBot="1">
      <c r="A34" s="208"/>
      <c r="B34" s="251" t="s">
        <v>567</v>
      </c>
      <c r="C34" s="259">
        <f>((C32*C33)*52)/12</f>
        <v>4680</v>
      </c>
      <c r="D34" s="239"/>
      <c r="E34" s="260" t="s">
        <v>568</v>
      </c>
      <c r="F34" s="252">
        <f>Q82</f>
        <v>0</v>
      </c>
      <c r="G34" s="253" t="str">
        <f>IF(F32&lt;F33,"12mos+YTD","24mos+YTD")</f>
        <v>24mos+YTD</v>
      </c>
      <c r="I34" s="1103"/>
      <c r="J34" s="1104"/>
      <c r="K34" s="1104"/>
      <c r="L34" s="1104"/>
      <c r="M34" s="1105"/>
    </row>
    <row r="35" spans="1:13" ht="15.75" thickBot="1">
      <c r="A35" s="208"/>
      <c r="B35" s="239"/>
      <c r="C35" s="239"/>
      <c r="D35" s="239"/>
      <c r="E35" s="239"/>
      <c r="F35" s="239"/>
      <c r="G35" s="209"/>
      <c r="I35" s="1103"/>
      <c r="J35" s="1104"/>
      <c r="K35" s="1104"/>
      <c r="L35" s="1104"/>
      <c r="M35" s="1105"/>
    </row>
    <row r="36" spans="1:13" ht="15.75" customHeight="1">
      <c r="A36" s="208"/>
      <c r="B36" s="1121" t="s">
        <v>569</v>
      </c>
      <c r="C36" s="1122"/>
      <c r="D36" s="261"/>
      <c r="E36" s="1085" t="s">
        <v>570</v>
      </c>
      <c r="F36" s="1086"/>
      <c r="G36" s="209"/>
      <c r="I36" s="1103"/>
      <c r="J36" s="1104"/>
      <c r="K36" s="1104"/>
      <c r="L36" s="1104"/>
      <c r="M36" s="1105"/>
    </row>
    <row r="37" spans="1:13" ht="15.75" customHeight="1">
      <c r="A37" s="208"/>
      <c r="B37" s="242" t="s">
        <v>553</v>
      </c>
      <c r="C37" s="244"/>
      <c r="D37" s="261"/>
      <c r="E37" s="242" t="s">
        <v>571</v>
      </c>
      <c r="F37" s="243">
        <v>20676</v>
      </c>
      <c r="G37" s="209"/>
      <c r="I37" s="1103"/>
      <c r="J37" s="1104"/>
      <c r="K37" s="1104"/>
      <c r="L37" s="1104"/>
      <c r="M37" s="1105"/>
    </row>
    <row r="38" spans="1:13" ht="15.75" customHeight="1">
      <c r="A38" s="208"/>
      <c r="B38" s="242" t="s">
        <v>572</v>
      </c>
      <c r="C38" s="244"/>
      <c r="D38" s="262"/>
      <c r="E38" s="242" t="s">
        <v>573</v>
      </c>
      <c r="F38" s="246">
        <v>1877</v>
      </c>
      <c r="G38" s="209"/>
      <c r="I38" s="1103"/>
      <c r="J38" s="1104"/>
      <c r="K38" s="1104"/>
      <c r="L38" s="1104"/>
      <c r="M38" s="1105"/>
    </row>
    <row r="39" spans="1:13" ht="15.75" customHeight="1" thickBot="1">
      <c r="A39" s="263" t="s">
        <v>557</v>
      </c>
      <c r="B39" s="245" t="s">
        <v>574</v>
      </c>
      <c r="C39" s="244">
        <v>0</v>
      </c>
      <c r="D39" s="264"/>
      <c r="E39" s="265" t="s">
        <v>575</v>
      </c>
      <c r="F39" s="259">
        <f>(((F37-F38)*1.25)+F38)/12</f>
        <v>2114.6458333333335</v>
      </c>
      <c r="G39" s="209"/>
      <c r="I39" s="1103"/>
      <c r="J39" s="1104"/>
      <c r="K39" s="1104"/>
      <c r="L39" s="1104"/>
      <c r="M39" s="1105"/>
    </row>
    <row r="40" spans="1:13" ht="21" customHeight="1" thickBot="1">
      <c r="A40" s="266" t="str">
        <f>IF(C38&lt;C39,"12mos+YTD","24mos+YTD")</f>
        <v>24mos+YTD</v>
      </c>
      <c r="B40" s="251" t="s">
        <v>576</v>
      </c>
      <c r="C40" s="252">
        <f>Q77</f>
        <v>0</v>
      </c>
      <c r="D40" s="267"/>
      <c r="E40" s="239"/>
      <c r="F40" s="239"/>
      <c r="G40" s="209"/>
      <c r="I40" s="1103"/>
      <c r="J40" s="1104"/>
      <c r="K40" s="1104"/>
      <c r="L40" s="1104"/>
      <c r="M40" s="1105"/>
    </row>
    <row r="41" spans="1:13" ht="15.75" thickBot="1">
      <c r="A41" s="247"/>
      <c r="B41" s="239"/>
      <c r="C41" s="239"/>
      <c r="D41" s="239"/>
      <c r="E41" s="239"/>
      <c r="F41" s="239"/>
      <c r="G41" s="209"/>
      <c r="I41" s="1103"/>
      <c r="J41" s="1104"/>
      <c r="K41" s="1104"/>
      <c r="L41" s="1104"/>
      <c r="M41" s="1105"/>
    </row>
    <row r="42" spans="1:13" ht="15.75" customHeight="1">
      <c r="A42" s="208"/>
      <c r="B42" s="1085" t="s">
        <v>577</v>
      </c>
      <c r="C42" s="1086"/>
      <c r="D42" s="239"/>
      <c r="E42" s="1087" t="s">
        <v>578</v>
      </c>
      <c r="F42" s="1088"/>
      <c r="G42" s="209"/>
      <c r="I42" s="1103"/>
      <c r="J42" s="1104"/>
      <c r="K42" s="1104"/>
      <c r="L42" s="1104"/>
      <c r="M42" s="1105"/>
    </row>
    <row r="43" spans="1:13" ht="27.75" customHeight="1">
      <c r="A43" s="208"/>
      <c r="B43" s="242" t="s">
        <v>553</v>
      </c>
      <c r="C43" s="243">
        <v>0</v>
      </c>
      <c r="D43" s="239"/>
      <c r="E43" s="268" t="s">
        <v>579</v>
      </c>
      <c r="F43" s="258">
        <v>0</v>
      </c>
      <c r="G43" s="209"/>
      <c r="I43" s="1103"/>
      <c r="J43" s="1104"/>
      <c r="K43" s="1104"/>
      <c r="L43" s="1104"/>
      <c r="M43" s="1105"/>
    </row>
    <row r="44" spans="1:13" ht="24.75" customHeight="1" thickBot="1">
      <c r="A44" s="208"/>
      <c r="B44" s="242" t="s">
        <v>580</v>
      </c>
      <c r="C44" s="243">
        <v>0</v>
      </c>
      <c r="D44" s="239"/>
      <c r="E44" s="269" t="s">
        <v>581</v>
      </c>
      <c r="F44" s="252">
        <f>(F43*0.24)/12</f>
        <v>0</v>
      </c>
      <c r="G44" s="209"/>
      <c r="I44" s="1103"/>
      <c r="J44" s="1104"/>
      <c r="K44" s="1104"/>
      <c r="L44" s="1104"/>
      <c r="M44" s="1105"/>
    </row>
    <row r="45" spans="1:13" ht="21" customHeight="1">
      <c r="A45" s="208"/>
      <c r="B45" s="245" t="s">
        <v>582</v>
      </c>
      <c r="C45" s="246">
        <v>0</v>
      </c>
      <c r="D45" s="239"/>
      <c r="E45" s="239"/>
      <c r="F45" s="239"/>
      <c r="G45" s="209"/>
      <c r="I45" s="1103"/>
      <c r="J45" s="1104"/>
      <c r="K45" s="1104"/>
      <c r="L45" s="1104"/>
      <c r="M45" s="1105"/>
    </row>
    <row r="46" spans="1:13" ht="21" customHeight="1" thickBot="1">
      <c r="A46" s="208"/>
      <c r="B46" s="260" t="s">
        <v>575</v>
      </c>
      <c r="C46" s="259">
        <f>IF(C44&gt;C45,(C44+C45)/24,C44/12)</f>
        <v>0</v>
      </c>
      <c r="D46" s="261"/>
      <c r="E46" s="270"/>
      <c r="F46" s="271"/>
      <c r="G46" s="209"/>
      <c r="I46" s="1103"/>
      <c r="J46" s="1104"/>
      <c r="K46" s="1104"/>
      <c r="L46" s="1104"/>
      <c r="M46" s="1105"/>
    </row>
    <row r="47" spans="1:13" ht="15.75" customHeight="1" thickBot="1">
      <c r="A47" s="272"/>
      <c r="B47" s="273"/>
      <c r="C47" s="273"/>
      <c r="D47" s="273"/>
      <c r="E47" s="274"/>
      <c r="F47" s="275"/>
      <c r="G47" s="276"/>
      <c r="I47" s="1106"/>
      <c r="J47" s="1107"/>
      <c r="K47" s="1107"/>
      <c r="L47" s="1107"/>
      <c r="M47" s="1108"/>
    </row>
    <row r="48" spans="1:13" ht="15.75" customHeight="1" thickBot="1">
      <c r="A48" s="277"/>
      <c r="B48" s="277"/>
      <c r="C48" s="277"/>
      <c r="D48" s="278"/>
      <c r="E48" s="277"/>
      <c r="F48" s="277"/>
      <c r="G48" s="277"/>
    </row>
    <row r="49" spans="1:240" s="280" customFormat="1" ht="15.75" customHeight="1">
      <c r="A49" s="277"/>
      <c r="B49" s="1089" t="s">
        <v>583</v>
      </c>
      <c r="C49" s="1090"/>
      <c r="D49" s="1090"/>
      <c r="E49" s="1090"/>
      <c r="F49" s="1091"/>
      <c r="G49" s="277"/>
      <c r="H49" s="277"/>
      <c r="I49" s="277"/>
      <c r="J49" s="277"/>
      <c r="K49" s="277"/>
      <c r="L49" s="277"/>
      <c r="M49" s="277"/>
      <c r="N49" s="277"/>
      <c r="O49" s="277"/>
      <c r="P49" s="277"/>
      <c r="Q49" s="277"/>
      <c r="R49" s="277"/>
      <c r="S49" s="277"/>
      <c r="T49" s="279"/>
      <c r="U49" s="277"/>
      <c r="V49" s="277"/>
      <c r="W49" s="277"/>
      <c r="X49" s="277"/>
      <c r="Y49" s="277"/>
      <c r="Z49" s="277"/>
      <c r="AA49" s="277"/>
      <c r="AB49" s="277"/>
      <c r="AC49" s="277"/>
      <c r="AD49" s="277"/>
      <c r="AE49" s="277"/>
      <c r="AF49" s="277"/>
      <c r="AG49" s="277"/>
      <c r="AH49" s="277"/>
      <c r="AI49" s="277"/>
      <c r="AJ49" s="277"/>
      <c r="AK49" s="277"/>
      <c r="AL49" s="277"/>
      <c r="AM49" s="277"/>
      <c r="AN49" s="277"/>
      <c r="AO49" s="277"/>
      <c r="AP49" s="277"/>
      <c r="AQ49" s="277"/>
      <c r="AR49" s="277"/>
      <c r="AS49" s="277"/>
      <c r="AT49" s="277"/>
      <c r="AU49" s="277"/>
      <c r="AV49" s="277"/>
      <c r="AW49" s="277"/>
      <c r="AX49" s="277"/>
      <c r="AY49" s="277"/>
      <c r="AZ49" s="277"/>
      <c r="BA49" s="277"/>
      <c r="BB49" s="277"/>
      <c r="BC49" s="277"/>
      <c r="BD49" s="277"/>
      <c r="BE49" s="277"/>
      <c r="BF49" s="277"/>
      <c r="BG49" s="277"/>
      <c r="BH49" s="277"/>
      <c r="BI49" s="277"/>
      <c r="BJ49" s="277"/>
      <c r="BK49" s="277"/>
      <c r="BL49" s="277"/>
      <c r="BM49" s="277"/>
      <c r="BN49" s="277"/>
      <c r="BO49" s="277"/>
      <c r="BP49" s="277"/>
      <c r="BQ49" s="277"/>
      <c r="BR49" s="277"/>
      <c r="BS49" s="277"/>
      <c r="BT49" s="277"/>
      <c r="BU49" s="277"/>
      <c r="BV49" s="277"/>
      <c r="BW49" s="277"/>
      <c r="BX49" s="277"/>
      <c r="BY49" s="277"/>
      <c r="BZ49" s="277"/>
      <c r="CA49" s="277"/>
      <c r="CB49" s="277"/>
      <c r="CC49" s="277"/>
      <c r="CD49" s="277"/>
      <c r="CE49" s="277"/>
      <c r="CF49" s="277"/>
      <c r="CG49" s="277"/>
      <c r="CH49" s="277"/>
      <c r="CI49" s="277"/>
      <c r="CJ49" s="277"/>
      <c r="CK49" s="277"/>
      <c r="CL49" s="277"/>
      <c r="CM49" s="277"/>
      <c r="CN49" s="277"/>
      <c r="CO49" s="277"/>
      <c r="CP49" s="277"/>
      <c r="CQ49" s="277"/>
      <c r="CR49" s="277"/>
      <c r="CS49" s="277"/>
      <c r="CT49" s="277"/>
      <c r="CU49" s="277"/>
      <c r="CV49" s="277"/>
      <c r="CW49" s="277"/>
      <c r="CX49" s="277"/>
      <c r="CY49" s="277"/>
      <c r="CZ49" s="277"/>
      <c r="DA49" s="277"/>
      <c r="DB49" s="277"/>
      <c r="DC49" s="277"/>
      <c r="DD49" s="277"/>
      <c r="DE49" s="277"/>
      <c r="DF49" s="277"/>
      <c r="DG49" s="277"/>
      <c r="DH49" s="277"/>
      <c r="DI49" s="277"/>
      <c r="DJ49" s="277"/>
      <c r="DK49" s="277"/>
      <c r="DL49" s="277"/>
      <c r="DM49" s="277"/>
      <c r="DN49" s="277"/>
      <c r="DO49" s="277"/>
      <c r="DP49" s="277"/>
      <c r="DQ49" s="277"/>
      <c r="DR49" s="277"/>
      <c r="DS49" s="277"/>
      <c r="DT49" s="277"/>
      <c r="DU49" s="277"/>
      <c r="DV49" s="277"/>
      <c r="DW49" s="277"/>
      <c r="DX49" s="277"/>
      <c r="DY49" s="277"/>
      <c r="DZ49" s="277"/>
      <c r="EA49" s="277"/>
      <c r="EB49" s="277"/>
      <c r="EC49" s="277"/>
      <c r="ED49" s="277"/>
      <c r="EE49" s="277"/>
      <c r="EF49" s="277"/>
      <c r="EG49" s="277"/>
      <c r="EH49" s="277"/>
      <c r="EI49" s="277"/>
      <c r="EJ49" s="277"/>
      <c r="EK49" s="277"/>
      <c r="EL49" s="277"/>
      <c r="EM49" s="277"/>
      <c r="EN49" s="277"/>
      <c r="EO49" s="277"/>
      <c r="EP49" s="277"/>
      <c r="EQ49" s="277"/>
      <c r="ER49" s="277"/>
      <c r="ES49" s="277"/>
      <c r="ET49" s="277"/>
      <c r="EU49" s="277"/>
      <c r="EV49" s="277"/>
      <c r="EW49" s="277"/>
      <c r="EX49" s="277"/>
      <c r="EY49" s="277"/>
      <c r="EZ49" s="277"/>
      <c r="FA49" s="277"/>
      <c r="FB49" s="277"/>
      <c r="FC49" s="277"/>
      <c r="FD49" s="277"/>
      <c r="FE49" s="277"/>
      <c r="FF49" s="277"/>
      <c r="FG49" s="277"/>
      <c r="FH49" s="277"/>
      <c r="FI49" s="277"/>
      <c r="FJ49" s="277"/>
      <c r="FK49" s="277"/>
      <c r="FL49" s="277"/>
      <c r="FM49" s="277"/>
      <c r="FN49" s="277"/>
      <c r="FO49" s="277"/>
      <c r="FP49" s="277"/>
      <c r="FQ49" s="277"/>
      <c r="FR49" s="277"/>
      <c r="FS49" s="277"/>
      <c r="FT49" s="277"/>
      <c r="FU49" s="277"/>
      <c r="FV49" s="277"/>
      <c r="FW49" s="277"/>
      <c r="FX49" s="277"/>
      <c r="FY49" s="277"/>
      <c r="FZ49" s="277"/>
      <c r="GA49" s="277"/>
      <c r="GB49" s="277"/>
      <c r="GC49" s="277"/>
      <c r="GD49" s="277"/>
      <c r="GE49" s="277"/>
      <c r="GF49" s="277"/>
      <c r="GG49" s="277"/>
      <c r="GH49" s="277"/>
      <c r="GI49" s="277"/>
      <c r="GJ49" s="277"/>
      <c r="GK49" s="277"/>
      <c r="GL49" s="277"/>
      <c r="GM49" s="277"/>
      <c r="GN49" s="277"/>
      <c r="GO49" s="277"/>
      <c r="GP49" s="277"/>
      <c r="GQ49" s="277"/>
      <c r="GR49" s="277"/>
      <c r="GS49" s="277"/>
      <c r="GT49" s="277"/>
      <c r="GU49" s="277"/>
      <c r="GV49" s="277"/>
      <c r="GW49" s="277"/>
      <c r="GX49" s="277"/>
      <c r="GY49" s="277"/>
      <c r="GZ49" s="277"/>
      <c r="HA49" s="277"/>
      <c r="HB49" s="277"/>
      <c r="HC49" s="277"/>
      <c r="HD49" s="277"/>
      <c r="HE49" s="277"/>
      <c r="HF49" s="277"/>
      <c r="HG49" s="277"/>
      <c r="HH49" s="277"/>
      <c r="HI49" s="277"/>
      <c r="HJ49" s="277"/>
      <c r="HK49" s="277"/>
      <c r="HL49" s="277"/>
      <c r="HM49" s="277"/>
      <c r="HN49" s="277"/>
      <c r="HO49" s="277"/>
      <c r="HP49" s="277"/>
      <c r="HQ49" s="277"/>
      <c r="HR49" s="277"/>
      <c r="HS49" s="277"/>
      <c r="HT49" s="277"/>
      <c r="HU49" s="277"/>
      <c r="HV49" s="277"/>
      <c r="HW49" s="277"/>
      <c r="HX49" s="277"/>
      <c r="HY49" s="277"/>
      <c r="HZ49" s="277"/>
      <c r="IA49" s="277"/>
      <c r="IB49" s="277"/>
      <c r="IC49" s="277"/>
      <c r="ID49" s="277"/>
      <c r="IE49" s="277"/>
      <c r="IF49" s="277"/>
    </row>
    <row r="50" spans="1:240" s="280" customFormat="1" ht="15.75" customHeight="1">
      <c r="A50" s="277"/>
      <c r="B50" s="1092"/>
      <c r="C50" s="1093"/>
      <c r="D50" s="1093"/>
      <c r="E50" s="1093"/>
      <c r="F50" s="1094"/>
      <c r="G50" s="277"/>
      <c r="H50" s="277"/>
      <c r="I50" s="277"/>
      <c r="J50" s="277"/>
      <c r="K50" s="277"/>
      <c r="L50" s="277"/>
      <c r="M50" s="277"/>
      <c r="N50" s="277"/>
      <c r="O50" s="277"/>
      <c r="P50" s="277"/>
      <c r="Q50" s="277"/>
      <c r="R50" s="277"/>
      <c r="S50" s="277"/>
      <c r="T50" s="279"/>
      <c r="U50" s="277"/>
      <c r="V50" s="277"/>
      <c r="W50" s="277"/>
      <c r="X50" s="277"/>
      <c r="Y50" s="277"/>
      <c r="Z50" s="277"/>
      <c r="AA50" s="277"/>
      <c r="AB50" s="277"/>
      <c r="AC50" s="277"/>
      <c r="AD50" s="277"/>
      <c r="AE50" s="277"/>
      <c r="AF50" s="277"/>
      <c r="AG50" s="277"/>
      <c r="AH50" s="277"/>
      <c r="AI50" s="277"/>
      <c r="AJ50" s="277"/>
      <c r="AK50" s="277"/>
      <c r="AL50" s="277"/>
      <c r="AM50" s="277"/>
      <c r="AN50" s="277"/>
      <c r="AO50" s="277"/>
      <c r="AP50" s="277"/>
      <c r="AQ50" s="277"/>
      <c r="AR50" s="277"/>
      <c r="AS50" s="277"/>
      <c r="AT50" s="277"/>
      <c r="AU50" s="277"/>
      <c r="AV50" s="277"/>
      <c r="AW50" s="277"/>
      <c r="AX50" s="277"/>
      <c r="AY50" s="277"/>
      <c r="AZ50" s="277"/>
      <c r="BA50" s="277"/>
      <c r="BB50" s="277"/>
      <c r="BC50" s="277"/>
      <c r="BD50" s="277"/>
      <c r="BE50" s="277"/>
      <c r="BF50" s="277"/>
      <c r="BG50" s="277"/>
      <c r="BH50" s="277"/>
      <c r="BI50" s="277"/>
      <c r="BJ50" s="277"/>
      <c r="BK50" s="277"/>
      <c r="BL50" s="277"/>
      <c r="BM50" s="277"/>
      <c r="BN50" s="277"/>
      <c r="BO50" s="277"/>
      <c r="BP50" s="277"/>
      <c r="BQ50" s="277"/>
      <c r="BR50" s="277"/>
      <c r="BS50" s="277"/>
      <c r="BT50" s="277"/>
      <c r="BU50" s="277"/>
      <c r="BV50" s="277"/>
      <c r="BW50" s="277"/>
      <c r="BX50" s="277"/>
      <c r="BY50" s="277"/>
      <c r="BZ50" s="277"/>
      <c r="CA50" s="277"/>
      <c r="CB50" s="277"/>
      <c r="CC50" s="277"/>
      <c r="CD50" s="277"/>
      <c r="CE50" s="277"/>
      <c r="CF50" s="277"/>
      <c r="CG50" s="277"/>
      <c r="CH50" s="277"/>
      <c r="CI50" s="277"/>
      <c r="CJ50" s="277"/>
      <c r="CK50" s="277"/>
      <c r="CL50" s="277"/>
      <c r="CM50" s="277"/>
      <c r="CN50" s="277"/>
      <c r="CO50" s="277"/>
      <c r="CP50" s="277"/>
      <c r="CQ50" s="277"/>
      <c r="CR50" s="277"/>
      <c r="CS50" s="277"/>
      <c r="CT50" s="277"/>
      <c r="CU50" s="277"/>
      <c r="CV50" s="277"/>
      <c r="CW50" s="277"/>
      <c r="CX50" s="277"/>
      <c r="CY50" s="277"/>
      <c r="CZ50" s="277"/>
      <c r="DA50" s="277"/>
      <c r="DB50" s="277"/>
      <c r="DC50" s="277"/>
      <c r="DD50" s="277"/>
      <c r="DE50" s="277"/>
      <c r="DF50" s="277"/>
      <c r="DG50" s="277"/>
      <c r="DH50" s="277"/>
      <c r="DI50" s="277"/>
      <c r="DJ50" s="277"/>
      <c r="DK50" s="277"/>
      <c r="DL50" s="277"/>
      <c r="DM50" s="277"/>
      <c r="DN50" s="277"/>
      <c r="DO50" s="277"/>
      <c r="DP50" s="277"/>
      <c r="DQ50" s="277"/>
      <c r="DR50" s="277"/>
      <c r="DS50" s="277"/>
      <c r="DT50" s="277"/>
      <c r="DU50" s="277"/>
      <c r="DV50" s="277"/>
      <c r="DW50" s="277"/>
      <c r="DX50" s="277"/>
      <c r="DY50" s="277"/>
      <c r="DZ50" s="277"/>
      <c r="EA50" s="277"/>
      <c r="EB50" s="277"/>
      <c r="EC50" s="277"/>
      <c r="ED50" s="277"/>
      <c r="EE50" s="277"/>
      <c r="EF50" s="277"/>
      <c r="EG50" s="277"/>
      <c r="EH50" s="277"/>
      <c r="EI50" s="277"/>
      <c r="EJ50" s="277"/>
      <c r="EK50" s="277"/>
      <c r="EL50" s="277"/>
      <c r="EM50" s="277"/>
      <c r="EN50" s="277"/>
      <c r="EO50" s="277"/>
      <c r="EP50" s="277"/>
      <c r="EQ50" s="277"/>
      <c r="ER50" s="277"/>
      <c r="ES50" s="277"/>
      <c r="ET50" s="277"/>
      <c r="EU50" s="277"/>
      <c r="EV50" s="277"/>
      <c r="EW50" s="277"/>
      <c r="EX50" s="277"/>
      <c r="EY50" s="277"/>
      <c r="EZ50" s="277"/>
      <c r="FA50" s="277"/>
      <c r="FB50" s="277"/>
      <c r="FC50" s="277"/>
      <c r="FD50" s="277"/>
      <c r="FE50" s="277"/>
      <c r="FF50" s="277"/>
      <c r="FG50" s="277"/>
      <c r="FH50" s="277"/>
      <c r="FI50" s="277"/>
      <c r="FJ50" s="277"/>
      <c r="FK50" s="277"/>
      <c r="FL50" s="277"/>
      <c r="FM50" s="277"/>
      <c r="FN50" s="277"/>
      <c r="FO50" s="277"/>
      <c r="FP50" s="277"/>
      <c r="FQ50" s="277"/>
      <c r="FR50" s="277"/>
      <c r="FS50" s="277"/>
      <c r="FT50" s="277"/>
      <c r="FU50" s="277"/>
      <c r="FV50" s="277"/>
      <c r="FW50" s="277"/>
      <c r="FX50" s="277"/>
      <c r="FY50" s="277"/>
      <c r="FZ50" s="277"/>
      <c r="GA50" s="277"/>
      <c r="GB50" s="277"/>
      <c r="GC50" s="277"/>
      <c r="GD50" s="277"/>
      <c r="GE50" s="277"/>
      <c r="GF50" s="277"/>
      <c r="GG50" s="277"/>
      <c r="GH50" s="277"/>
      <c r="GI50" s="277"/>
      <c r="GJ50" s="277"/>
      <c r="GK50" s="277"/>
      <c r="GL50" s="277"/>
      <c r="GM50" s="277"/>
      <c r="GN50" s="277"/>
      <c r="GO50" s="277"/>
      <c r="GP50" s="277"/>
      <c r="GQ50" s="277"/>
      <c r="GR50" s="277"/>
      <c r="GS50" s="277"/>
      <c r="GT50" s="277"/>
      <c r="GU50" s="277"/>
      <c r="GV50" s="277"/>
      <c r="GW50" s="277"/>
      <c r="GX50" s="277"/>
      <c r="GY50" s="277"/>
      <c r="GZ50" s="277"/>
      <c r="HA50" s="277"/>
      <c r="HB50" s="277"/>
      <c r="HC50" s="277"/>
      <c r="HD50" s="277"/>
      <c r="HE50" s="277"/>
      <c r="HF50" s="277"/>
      <c r="HG50" s="277"/>
      <c r="HH50" s="277"/>
      <c r="HI50" s="277"/>
      <c r="HJ50" s="277"/>
      <c r="HK50" s="277"/>
      <c r="HL50" s="277"/>
      <c r="HM50" s="277"/>
      <c r="HN50" s="277"/>
      <c r="HO50" s="277"/>
      <c r="HP50" s="277"/>
      <c r="HQ50" s="277"/>
      <c r="HR50" s="277"/>
      <c r="HS50" s="277"/>
      <c r="HT50" s="277"/>
      <c r="HU50" s="277"/>
      <c r="HV50" s="277"/>
      <c r="HW50" s="277"/>
      <c r="HX50" s="277"/>
      <c r="HY50" s="277"/>
      <c r="HZ50" s="277"/>
      <c r="IA50" s="277"/>
      <c r="IB50" s="277"/>
      <c r="IC50" s="277"/>
      <c r="ID50" s="277"/>
      <c r="IE50" s="277"/>
      <c r="IF50" s="277"/>
    </row>
    <row r="51" spans="1:240" s="280" customFormat="1">
      <c r="A51" s="277"/>
      <c r="B51" s="1092"/>
      <c r="C51" s="1093"/>
      <c r="D51" s="1093"/>
      <c r="E51" s="1093"/>
      <c r="F51" s="1094"/>
      <c r="G51" s="277"/>
      <c r="H51" s="277"/>
      <c r="I51" s="277"/>
      <c r="J51" s="277"/>
      <c r="K51" s="277"/>
      <c r="L51" s="277"/>
      <c r="M51" s="277"/>
      <c r="N51" s="277"/>
      <c r="O51" s="277"/>
      <c r="P51" s="277"/>
      <c r="Q51" s="277"/>
      <c r="R51" s="277"/>
      <c r="S51" s="277"/>
      <c r="T51" s="279"/>
      <c r="U51" s="277"/>
      <c r="V51" s="277"/>
      <c r="W51" s="277"/>
      <c r="X51" s="277"/>
      <c r="Y51" s="277"/>
      <c r="Z51" s="277"/>
      <c r="AA51" s="277"/>
      <c r="AB51" s="277"/>
      <c r="AC51" s="277"/>
      <c r="AD51" s="277"/>
      <c r="AE51" s="277"/>
      <c r="AF51" s="277"/>
      <c r="AG51" s="277"/>
      <c r="AH51" s="277"/>
      <c r="AI51" s="277"/>
      <c r="AJ51" s="277"/>
      <c r="AK51" s="277"/>
      <c r="AL51" s="277"/>
      <c r="AM51" s="277"/>
      <c r="AN51" s="277"/>
      <c r="AO51" s="277"/>
      <c r="AP51" s="277"/>
      <c r="AQ51" s="277"/>
      <c r="AR51" s="277"/>
      <c r="AS51" s="277"/>
      <c r="AT51" s="277"/>
      <c r="AU51" s="277"/>
      <c r="AV51" s="277"/>
      <c r="AW51" s="277"/>
      <c r="AX51" s="277"/>
      <c r="AY51" s="277"/>
      <c r="AZ51" s="277"/>
      <c r="BA51" s="277"/>
      <c r="BB51" s="277"/>
      <c r="BC51" s="277"/>
      <c r="BD51" s="277"/>
      <c r="BE51" s="277"/>
      <c r="BF51" s="277"/>
      <c r="BG51" s="277"/>
      <c r="BH51" s="277"/>
      <c r="BI51" s="277"/>
      <c r="BJ51" s="277"/>
      <c r="BK51" s="277"/>
      <c r="BL51" s="277"/>
      <c r="BM51" s="277"/>
      <c r="BN51" s="277"/>
      <c r="BO51" s="277"/>
      <c r="BP51" s="277"/>
      <c r="BQ51" s="277"/>
      <c r="BR51" s="277"/>
      <c r="BS51" s="277"/>
      <c r="BT51" s="277"/>
      <c r="BU51" s="277"/>
      <c r="BV51" s="277"/>
      <c r="BW51" s="277"/>
      <c r="BX51" s="277"/>
      <c r="BY51" s="277"/>
      <c r="BZ51" s="277"/>
      <c r="CA51" s="277"/>
      <c r="CB51" s="277"/>
      <c r="CC51" s="277"/>
      <c r="CD51" s="277"/>
      <c r="CE51" s="277"/>
      <c r="CF51" s="277"/>
      <c r="CG51" s="277"/>
      <c r="CH51" s="277"/>
      <c r="CI51" s="277"/>
      <c r="CJ51" s="277"/>
      <c r="CK51" s="277"/>
      <c r="CL51" s="277"/>
      <c r="CM51" s="277"/>
      <c r="CN51" s="277"/>
      <c r="CO51" s="277"/>
      <c r="CP51" s="277"/>
      <c r="CQ51" s="277"/>
      <c r="CR51" s="277"/>
      <c r="CS51" s="277"/>
      <c r="CT51" s="277"/>
      <c r="CU51" s="277"/>
      <c r="CV51" s="277"/>
      <c r="CW51" s="277"/>
      <c r="CX51" s="277"/>
      <c r="CY51" s="277"/>
      <c r="CZ51" s="277"/>
      <c r="DA51" s="277"/>
      <c r="DB51" s="277"/>
      <c r="DC51" s="277"/>
      <c r="DD51" s="277"/>
      <c r="DE51" s="277"/>
      <c r="DF51" s="277"/>
      <c r="DG51" s="277"/>
      <c r="DH51" s="277"/>
      <c r="DI51" s="277"/>
      <c r="DJ51" s="277"/>
      <c r="DK51" s="277"/>
      <c r="DL51" s="277"/>
      <c r="DM51" s="277"/>
      <c r="DN51" s="277"/>
      <c r="DO51" s="277"/>
      <c r="DP51" s="277"/>
      <c r="DQ51" s="277"/>
      <c r="DR51" s="277"/>
      <c r="DS51" s="277"/>
      <c r="DT51" s="277"/>
      <c r="DU51" s="277"/>
      <c r="DV51" s="277"/>
      <c r="DW51" s="277"/>
      <c r="DX51" s="277"/>
      <c r="DY51" s="277"/>
      <c r="DZ51" s="277"/>
      <c r="EA51" s="277"/>
      <c r="EB51" s="277"/>
      <c r="EC51" s="277"/>
      <c r="ED51" s="277"/>
      <c r="EE51" s="277"/>
      <c r="EF51" s="277"/>
      <c r="EG51" s="277"/>
      <c r="EH51" s="277"/>
      <c r="EI51" s="277"/>
      <c r="EJ51" s="277"/>
      <c r="EK51" s="277"/>
      <c r="EL51" s="277"/>
      <c r="EM51" s="277"/>
      <c r="EN51" s="277"/>
      <c r="EO51" s="277"/>
      <c r="EP51" s="277"/>
      <c r="EQ51" s="277"/>
      <c r="ER51" s="277"/>
      <c r="ES51" s="277"/>
      <c r="ET51" s="277"/>
      <c r="EU51" s="277"/>
      <c r="EV51" s="277"/>
      <c r="EW51" s="277"/>
      <c r="EX51" s="277"/>
      <c r="EY51" s="277"/>
      <c r="EZ51" s="277"/>
      <c r="FA51" s="277"/>
      <c r="FB51" s="277"/>
      <c r="FC51" s="277"/>
      <c r="FD51" s="277"/>
      <c r="FE51" s="277"/>
      <c r="FF51" s="277"/>
      <c r="FG51" s="277"/>
      <c r="FH51" s="277"/>
      <c r="FI51" s="277"/>
      <c r="FJ51" s="277"/>
      <c r="FK51" s="277"/>
      <c r="FL51" s="277"/>
      <c r="FM51" s="277"/>
      <c r="FN51" s="277"/>
      <c r="FO51" s="277"/>
      <c r="FP51" s="277"/>
      <c r="FQ51" s="277"/>
      <c r="FR51" s="277"/>
      <c r="FS51" s="277"/>
      <c r="FT51" s="277"/>
      <c r="FU51" s="277"/>
      <c r="FV51" s="277"/>
      <c r="FW51" s="277"/>
      <c r="FX51" s="277"/>
      <c r="FY51" s="277"/>
      <c r="FZ51" s="277"/>
      <c r="GA51" s="277"/>
      <c r="GB51" s="277"/>
      <c r="GC51" s="277"/>
      <c r="GD51" s="277"/>
      <c r="GE51" s="277"/>
      <c r="GF51" s="277"/>
      <c r="GG51" s="277"/>
      <c r="GH51" s="277"/>
      <c r="GI51" s="277"/>
      <c r="GJ51" s="277"/>
      <c r="GK51" s="277"/>
      <c r="GL51" s="277"/>
      <c r="GM51" s="277"/>
      <c r="GN51" s="277"/>
      <c r="GO51" s="277"/>
      <c r="GP51" s="277"/>
      <c r="GQ51" s="277"/>
      <c r="GR51" s="277"/>
      <c r="GS51" s="277"/>
      <c r="GT51" s="277"/>
      <c r="GU51" s="277"/>
      <c r="GV51" s="277"/>
      <c r="GW51" s="277"/>
      <c r="GX51" s="277"/>
      <c r="GY51" s="277"/>
      <c r="GZ51" s="277"/>
      <c r="HA51" s="277"/>
      <c r="HB51" s="277"/>
      <c r="HC51" s="277"/>
      <c r="HD51" s="277"/>
      <c r="HE51" s="277"/>
      <c r="HF51" s="277"/>
      <c r="HG51" s="277"/>
      <c r="HH51" s="277"/>
      <c r="HI51" s="277"/>
      <c r="HJ51" s="277"/>
      <c r="HK51" s="277"/>
      <c r="HL51" s="277"/>
      <c r="HM51" s="277"/>
      <c r="HN51" s="277"/>
      <c r="HO51" s="277"/>
      <c r="HP51" s="277"/>
      <c r="HQ51" s="277"/>
      <c r="HR51" s="277"/>
      <c r="HS51" s="277"/>
      <c r="HT51" s="277"/>
      <c r="HU51" s="277"/>
      <c r="HV51" s="277"/>
      <c r="HW51" s="277"/>
      <c r="HX51" s="277"/>
      <c r="HY51" s="277"/>
      <c r="HZ51" s="277"/>
      <c r="IA51" s="277"/>
      <c r="IB51" s="277"/>
      <c r="IC51" s="277"/>
      <c r="ID51" s="277"/>
      <c r="IE51" s="277"/>
      <c r="IF51" s="277"/>
    </row>
    <row r="52" spans="1:240" s="280" customFormat="1" ht="9.9499999999999993" customHeight="1">
      <c r="A52" s="277"/>
      <c r="B52" s="1092"/>
      <c r="C52" s="1093"/>
      <c r="D52" s="1093"/>
      <c r="E52" s="1093"/>
      <c r="F52" s="1094"/>
      <c r="G52" s="277"/>
      <c r="H52" s="277"/>
      <c r="I52" s="277"/>
      <c r="J52" s="277"/>
      <c r="K52" s="277"/>
      <c r="L52" s="277"/>
      <c r="M52" s="277"/>
      <c r="N52" s="277"/>
      <c r="O52" s="277"/>
      <c r="P52" s="277"/>
      <c r="Q52" s="277"/>
      <c r="R52" s="277"/>
      <c r="S52" s="277"/>
      <c r="T52" s="279"/>
      <c r="U52" s="277"/>
      <c r="V52" s="277"/>
      <c r="W52" s="277"/>
      <c r="X52" s="277"/>
      <c r="Y52" s="277"/>
      <c r="Z52" s="277"/>
      <c r="AA52" s="277"/>
      <c r="AB52" s="277"/>
      <c r="AC52" s="277"/>
      <c r="AD52" s="277"/>
      <c r="AE52" s="277"/>
      <c r="AF52" s="277"/>
      <c r="AG52" s="277"/>
      <c r="AH52" s="277"/>
      <c r="AI52" s="277"/>
      <c r="AJ52" s="277"/>
      <c r="AK52" s="277"/>
      <c r="AL52" s="277"/>
      <c r="AM52" s="277"/>
      <c r="AN52" s="277"/>
      <c r="AO52" s="277"/>
      <c r="AP52" s="277"/>
      <c r="AQ52" s="277"/>
      <c r="AR52" s="277"/>
      <c r="AS52" s="277"/>
      <c r="AT52" s="277"/>
      <c r="AU52" s="277"/>
      <c r="AV52" s="277"/>
      <c r="AW52" s="277"/>
      <c r="AX52" s="277"/>
      <c r="AY52" s="277"/>
      <c r="AZ52" s="277"/>
      <c r="BA52" s="277"/>
      <c r="BB52" s="277"/>
      <c r="BC52" s="277"/>
      <c r="BD52" s="277"/>
      <c r="BE52" s="277"/>
      <c r="BF52" s="277"/>
      <c r="BG52" s="277"/>
      <c r="BH52" s="277"/>
      <c r="BI52" s="277"/>
      <c r="BJ52" s="277"/>
      <c r="BK52" s="277"/>
      <c r="BL52" s="277"/>
      <c r="BM52" s="277"/>
      <c r="BN52" s="277"/>
      <c r="BO52" s="277"/>
      <c r="BP52" s="277"/>
      <c r="BQ52" s="277"/>
      <c r="BR52" s="277"/>
      <c r="BS52" s="277"/>
      <c r="BT52" s="277"/>
      <c r="BU52" s="277"/>
      <c r="BV52" s="277"/>
      <c r="BW52" s="277"/>
      <c r="BX52" s="277"/>
      <c r="BY52" s="277"/>
      <c r="BZ52" s="277"/>
      <c r="CA52" s="277"/>
      <c r="CB52" s="277"/>
      <c r="CC52" s="277"/>
      <c r="CD52" s="277"/>
      <c r="CE52" s="277"/>
      <c r="CF52" s="277"/>
      <c r="CG52" s="277"/>
      <c r="CH52" s="277"/>
      <c r="CI52" s="277"/>
      <c r="CJ52" s="277"/>
      <c r="CK52" s="277"/>
      <c r="CL52" s="277"/>
      <c r="CM52" s="277"/>
      <c r="CN52" s="277"/>
      <c r="CO52" s="277"/>
      <c r="CP52" s="277"/>
      <c r="CQ52" s="277"/>
      <c r="CR52" s="277"/>
      <c r="CS52" s="277"/>
      <c r="CT52" s="277"/>
      <c r="CU52" s="277"/>
      <c r="CV52" s="277"/>
      <c r="CW52" s="277"/>
      <c r="CX52" s="277"/>
      <c r="CY52" s="277"/>
      <c r="CZ52" s="277"/>
      <c r="DA52" s="277"/>
      <c r="DB52" s="277"/>
      <c r="DC52" s="277"/>
      <c r="DD52" s="277"/>
      <c r="DE52" s="277"/>
      <c r="DF52" s="277"/>
      <c r="DG52" s="277"/>
      <c r="DH52" s="277"/>
      <c r="DI52" s="277"/>
      <c r="DJ52" s="277"/>
      <c r="DK52" s="277"/>
      <c r="DL52" s="277"/>
      <c r="DM52" s="277"/>
      <c r="DN52" s="277"/>
      <c r="DO52" s="277"/>
      <c r="DP52" s="277"/>
      <c r="DQ52" s="277"/>
      <c r="DR52" s="277"/>
      <c r="DS52" s="277"/>
      <c r="DT52" s="277"/>
      <c r="DU52" s="277"/>
      <c r="DV52" s="277"/>
      <c r="DW52" s="277"/>
      <c r="DX52" s="277"/>
      <c r="DY52" s="277"/>
      <c r="DZ52" s="277"/>
      <c r="EA52" s="277"/>
      <c r="EB52" s="277"/>
      <c r="EC52" s="277"/>
      <c r="ED52" s="277"/>
      <c r="EE52" s="277"/>
      <c r="EF52" s="277"/>
      <c r="EG52" s="277"/>
      <c r="EH52" s="277"/>
      <c r="EI52" s="277"/>
      <c r="EJ52" s="277"/>
      <c r="EK52" s="277"/>
      <c r="EL52" s="277"/>
      <c r="EM52" s="277"/>
      <c r="EN52" s="277"/>
      <c r="EO52" s="277"/>
      <c r="EP52" s="277"/>
      <c r="EQ52" s="277"/>
      <c r="ER52" s="277"/>
      <c r="ES52" s="277"/>
      <c r="ET52" s="277"/>
      <c r="EU52" s="277"/>
      <c r="EV52" s="277"/>
      <c r="EW52" s="277"/>
      <c r="EX52" s="277"/>
      <c r="EY52" s="277"/>
      <c r="EZ52" s="277"/>
      <c r="FA52" s="277"/>
      <c r="FB52" s="277"/>
      <c r="FC52" s="277"/>
      <c r="FD52" s="277"/>
      <c r="FE52" s="277"/>
      <c r="FF52" s="277"/>
      <c r="FG52" s="277"/>
      <c r="FH52" s="277"/>
      <c r="FI52" s="277"/>
      <c r="FJ52" s="277"/>
      <c r="FK52" s="277"/>
      <c r="FL52" s="277"/>
      <c r="FM52" s="277"/>
      <c r="FN52" s="277"/>
      <c r="FO52" s="277"/>
      <c r="FP52" s="277"/>
      <c r="FQ52" s="277"/>
      <c r="FR52" s="277"/>
      <c r="FS52" s="277"/>
      <c r="FT52" s="277"/>
      <c r="FU52" s="277"/>
      <c r="FV52" s="277"/>
      <c r="FW52" s="277"/>
      <c r="FX52" s="277"/>
      <c r="FY52" s="277"/>
      <c r="FZ52" s="277"/>
      <c r="GA52" s="277"/>
      <c r="GB52" s="277"/>
      <c r="GC52" s="277"/>
      <c r="GD52" s="277"/>
      <c r="GE52" s="277"/>
      <c r="GF52" s="277"/>
      <c r="GG52" s="277"/>
      <c r="GH52" s="277"/>
      <c r="GI52" s="277"/>
      <c r="GJ52" s="277"/>
      <c r="GK52" s="277"/>
      <c r="GL52" s="277"/>
      <c r="GM52" s="277"/>
      <c r="GN52" s="277"/>
      <c r="GO52" s="277"/>
      <c r="GP52" s="277"/>
      <c r="GQ52" s="277"/>
      <c r="GR52" s="277"/>
      <c r="GS52" s="277"/>
      <c r="GT52" s="277"/>
      <c r="GU52" s="277"/>
      <c r="GV52" s="277"/>
      <c r="GW52" s="277"/>
      <c r="GX52" s="277"/>
      <c r="GY52" s="277"/>
      <c r="GZ52" s="277"/>
      <c r="HA52" s="277"/>
      <c r="HB52" s="277"/>
      <c r="HC52" s="277"/>
      <c r="HD52" s="277"/>
      <c r="HE52" s="277"/>
      <c r="HF52" s="277"/>
      <c r="HG52" s="277"/>
      <c r="HH52" s="277"/>
      <c r="HI52" s="277"/>
      <c r="HJ52" s="277"/>
      <c r="HK52" s="277"/>
      <c r="HL52" s="277"/>
      <c r="HM52" s="277"/>
      <c r="HN52" s="277"/>
      <c r="HO52" s="277"/>
      <c r="HP52" s="277"/>
      <c r="HQ52" s="277"/>
      <c r="HR52" s="277"/>
      <c r="HS52" s="277"/>
      <c r="HT52" s="277"/>
      <c r="HU52" s="277"/>
      <c r="HV52" s="277"/>
      <c r="HW52" s="277"/>
      <c r="HX52" s="277"/>
      <c r="HY52" s="277"/>
      <c r="HZ52" s="277"/>
      <c r="IA52" s="277"/>
      <c r="IB52" s="277"/>
      <c r="IC52" s="277"/>
      <c r="ID52" s="277"/>
      <c r="IE52" s="277"/>
      <c r="IF52" s="277"/>
    </row>
    <row r="53" spans="1:240" s="280" customFormat="1" ht="6.75" customHeight="1">
      <c r="A53" s="277"/>
      <c r="B53" s="1092"/>
      <c r="C53" s="1093"/>
      <c r="D53" s="1093"/>
      <c r="E53" s="1093"/>
      <c r="F53" s="1094"/>
      <c r="G53" s="277"/>
      <c r="H53" s="277"/>
      <c r="I53" s="277"/>
      <c r="J53" s="277"/>
      <c r="K53" s="277"/>
      <c r="L53" s="277"/>
      <c r="M53" s="277"/>
      <c r="N53" s="277"/>
      <c r="O53" s="277"/>
      <c r="P53" s="277"/>
      <c r="Q53" s="277"/>
      <c r="R53" s="277"/>
      <c r="S53" s="277"/>
      <c r="T53" s="279"/>
      <c r="U53" s="277"/>
      <c r="V53" s="277"/>
      <c r="W53" s="277"/>
      <c r="X53" s="277"/>
      <c r="Y53" s="277"/>
      <c r="Z53" s="277"/>
      <c r="AA53" s="277"/>
      <c r="AB53" s="277"/>
      <c r="AC53" s="277"/>
      <c r="AD53" s="277"/>
      <c r="AE53" s="277"/>
      <c r="AF53" s="277"/>
      <c r="AG53" s="277"/>
      <c r="AH53" s="277"/>
      <c r="AI53" s="277"/>
      <c r="AJ53" s="277"/>
      <c r="AK53" s="277"/>
      <c r="AL53" s="277"/>
      <c r="AM53" s="277"/>
      <c r="AN53" s="277"/>
      <c r="AO53" s="277"/>
      <c r="AP53" s="277"/>
      <c r="AQ53" s="277"/>
      <c r="AR53" s="277"/>
      <c r="AS53" s="277"/>
      <c r="AT53" s="277"/>
      <c r="AU53" s="277"/>
      <c r="AV53" s="277"/>
      <c r="AW53" s="277"/>
      <c r="AX53" s="277"/>
      <c r="AY53" s="277"/>
      <c r="AZ53" s="277"/>
      <c r="BA53" s="277"/>
      <c r="BB53" s="277"/>
      <c r="BC53" s="277"/>
      <c r="BD53" s="277"/>
      <c r="BE53" s="277"/>
      <c r="BF53" s="277"/>
      <c r="BG53" s="277"/>
      <c r="BH53" s="277"/>
      <c r="BI53" s="277"/>
      <c r="BJ53" s="277"/>
      <c r="BK53" s="277"/>
      <c r="BL53" s="277"/>
      <c r="BM53" s="277"/>
      <c r="BN53" s="277"/>
      <c r="BO53" s="277"/>
      <c r="BP53" s="277"/>
      <c r="BQ53" s="277"/>
      <c r="BR53" s="277"/>
      <c r="BS53" s="277"/>
      <c r="BT53" s="277"/>
      <c r="BU53" s="277"/>
      <c r="BV53" s="277"/>
      <c r="BW53" s="277"/>
      <c r="BX53" s="277"/>
      <c r="BY53" s="277"/>
      <c r="BZ53" s="277"/>
      <c r="CA53" s="277"/>
      <c r="CB53" s="277"/>
      <c r="CC53" s="277"/>
      <c r="CD53" s="277"/>
      <c r="CE53" s="277"/>
      <c r="CF53" s="277"/>
      <c r="CG53" s="277"/>
      <c r="CH53" s="277"/>
      <c r="CI53" s="277"/>
      <c r="CJ53" s="277"/>
      <c r="CK53" s="277"/>
      <c r="CL53" s="277"/>
      <c r="CM53" s="277"/>
      <c r="CN53" s="277"/>
      <c r="CO53" s="277"/>
      <c r="CP53" s="277"/>
      <c r="CQ53" s="277"/>
      <c r="CR53" s="277"/>
      <c r="CS53" s="277"/>
      <c r="CT53" s="277"/>
      <c r="CU53" s="277"/>
      <c r="CV53" s="277"/>
      <c r="CW53" s="277"/>
      <c r="CX53" s="277"/>
      <c r="CY53" s="277"/>
      <c r="CZ53" s="277"/>
      <c r="DA53" s="277"/>
      <c r="DB53" s="277"/>
      <c r="DC53" s="277"/>
      <c r="DD53" s="277"/>
      <c r="DE53" s="277"/>
      <c r="DF53" s="277"/>
      <c r="DG53" s="277"/>
      <c r="DH53" s="277"/>
      <c r="DI53" s="277"/>
      <c r="DJ53" s="277"/>
      <c r="DK53" s="277"/>
      <c r="DL53" s="277"/>
      <c r="DM53" s="277"/>
      <c r="DN53" s="277"/>
      <c r="DO53" s="277"/>
      <c r="DP53" s="277"/>
      <c r="DQ53" s="277"/>
      <c r="DR53" s="277"/>
      <c r="DS53" s="277"/>
      <c r="DT53" s="277"/>
      <c r="DU53" s="277"/>
      <c r="DV53" s="277"/>
      <c r="DW53" s="277"/>
      <c r="DX53" s="277"/>
      <c r="DY53" s="277"/>
      <c r="DZ53" s="277"/>
      <c r="EA53" s="277"/>
      <c r="EB53" s="277"/>
      <c r="EC53" s="277"/>
      <c r="ED53" s="277"/>
      <c r="EE53" s="277"/>
      <c r="EF53" s="277"/>
      <c r="EG53" s="277"/>
      <c r="EH53" s="277"/>
      <c r="EI53" s="277"/>
      <c r="EJ53" s="277"/>
      <c r="EK53" s="277"/>
      <c r="EL53" s="277"/>
      <c r="EM53" s="277"/>
      <c r="EN53" s="277"/>
      <c r="EO53" s="277"/>
      <c r="EP53" s="277"/>
      <c r="EQ53" s="277"/>
      <c r="ER53" s="277"/>
      <c r="ES53" s="277"/>
      <c r="ET53" s="277"/>
      <c r="EU53" s="277"/>
      <c r="EV53" s="277"/>
      <c r="EW53" s="277"/>
      <c r="EX53" s="277"/>
      <c r="EY53" s="277"/>
      <c r="EZ53" s="277"/>
      <c r="FA53" s="277"/>
      <c r="FB53" s="277"/>
      <c r="FC53" s="277"/>
      <c r="FD53" s="277"/>
      <c r="FE53" s="277"/>
      <c r="FF53" s="277"/>
      <c r="FG53" s="277"/>
      <c r="FH53" s="277"/>
      <c r="FI53" s="277"/>
      <c r="FJ53" s="277"/>
      <c r="FK53" s="277"/>
      <c r="FL53" s="277"/>
      <c r="FM53" s="277"/>
      <c r="FN53" s="277"/>
      <c r="FO53" s="277"/>
      <c r="FP53" s="277"/>
      <c r="FQ53" s="277"/>
      <c r="FR53" s="277"/>
      <c r="FS53" s="277"/>
      <c r="FT53" s="277"/>
      <c r="FU53" s="277"/>
      <c r="FV53" s="277"/>
      <c r="FW53" s="277"/>
      <c r="FX53" s="277"/>
      <c r="FY53" s="277"/>
      <c r="FZ53" s="277"/>
      <c r="GA53" s="277"/>
      <c r="GB53" s="277"/>
      <c r="GC53" s="277"/>
      <c r="GD53" s="277"/>
      <c r="GE53" s="277"/>
      <c r="GF53" s="277"/>
      <c r="GG53" s="277"/>
      <c r="GH53" s="277"/>
      <c r="GI53" s="277"/>
      <c r="GJ53" s="277"/>
      <c r="GK53" s="277"/>
      <c r="GL53" s="277"/>
      <c r="GM53" s="277"/>
      <c r="GN53" s="277"/>
      <c r="GO53" s="277"/>
      <c r="GP53" s="277"/>
      <c r="GQ53" s="277"/>
      <c r="GR53" s="277"/>
      <c r="GS53" s="277"/>
      <c r="GT53" s="277"/>
      <c r="GU53" s="277"/>
      <c r="GV53" s="277"/>
      <c r="GW53" s="277"/>
      <c r="GX53" s="277"/>
      <c r="GY53" s="277"/>
      <c r="GZ53" s="277"/>
      <c r="HA53" s="277"/>
      <c r="HB53" s="277"/>
      <c r="HC53" s="277"/>
      <c r="HD53" s="277"/>
      <c r="HE53" s="277"/>
      <c r="HF53" s="277"/>
      <c r="HG53" s="277"/>
      <c r="HH53" s="277"/>
      <c r="HI53" s="277"/>
      <c r="HJ53" s="277"/>
      <c r="HK53" s="277"/>
      <c r="HL53" s="277"/>
      <c r="HM53" s="277"/>
      <c r="HN53" s="277"/>
      <c r="HO53" s="277"/>
      <c r="HP53" s="277"/>
      <c r="HQ53" s="277"/>
      <c r="HR53" s="277"/>
      <c r="HS53" s="277"/>
      <c r="HT53" s="277"/>
      <c r="HU53" s="277"/>
      <c r="HV53" s="277"/>
      <c r="HW53" s="277"/>
      <c r="HX53" s="277"/>
      <c r="HY53" s="277"/>
      <c r="HZ53" s="277"/>
      <c r="IA53" s="277"/>
      <c r="IB53" s="277"/>
      <c r="IC53" s="277"/>
      <c r="ID53" s="277"/>
      <c r="IE53" s="277"/>
      <c r="IF53" s="277"/>
    </row>
    <row r="54" spans="1:240" s="280" customFormat="1">
      <c r="A54" s="277"/>
      <c r="B54" s="1092"/>
      <c r="C54" s="1093"/>
      <c r="D54" s="1093"/>
      <c r="E54" s="1093"/>
      <c r="F54" s="1094"/>
      <c r="G54" s="277"/>
      <c r="H54" s="277"/>
      <c r="I54" s="277"/>
      <c r="J54" s="277"/>
      <c r="K54" s="185"/>
      <c r="L54" s="185"/>
      <c r="M54" s="185"/>
      <c r="N54" s="185"/>
      <c r="O54" s="185"/>
      <c r="P54" s="277"/>
      <c r="Q54" s="277"/>
      <c r="R54" s="277"/>
      <c r="S54" s="277"/>
      <c r="T54" s="279"/>
      <c r="U54" s="277"/>
      <c r="V54" s="277"/>
      <c r="W54" s="277"/>
      <c r="X54" s="277"/>
      <c r="Y54" s="277"/>
      <c r="Z54" s="277"/>
      <c r="AA54" s="277"/>
      <c r="AB54" s="277"/>
      <c r="AC54" s="277"/>
      <c r="AD54" s="277"/>
      <c r="AE54" s="277"/>
      <c r="AF54" s="277"/>
      <c r="AG54" s="277"/>
      <c r="AH54" s="277"/>
      <c r="AI54" s="277"/>
      <c r="AJ54" s="277"/>
      <c r="AK54" s="277"/>
      <c r="AL54" s="277"/>
      <c r="AM54" s="277"/>
      <c r="AN54" s="277"/>
      <c r="AO54" s="277"/>
      <c r="AP54" s="277"/>
      <c r="AQ54" s="277"/>
      <c r="AR54" s="277"/>
      <c r="AS54" s="277"/>
      <c r="AT54" s="277"/>
      <c r="AU54" s="277"/>
      <c r="AV54" s="277"/>
      <c r="AW54" s="277"/>
      <c r="AX54" s="277"/>
      <c r="AY54" s="277"/>
      <c r="AZ54" s="277"/>
      <c r="BA54" s="277"/>
      <c r="BB54" s="277"/>
      <c r="BC54" s="277"/>
      <c r="BD54" s="277"/>
      <c r="BE54" s="277"/>
      <c r="BF54" s="277"/>
      <c r="BG54" s="277"/>
      <c r="BH54" s="277"/>
      <c r="BI54" s="277"/>
      <c r="BJ54" s="277"/>
      <c r="BK54" s="277"/>
      <c r="BL54" s="277"/>
      <c r="BM54" s="277"/>
      <c r="BN54" s="277"/>
      <c r="BO54" s="277"/>
      <c r="BP54" s="277"/>
      <c r="BQ54" s="277"/>
      <c r="BR54" s="277"/>
      <c r="BS54" s="277"/>
      <c r="BT54" s="277"/>
      <c r="BU54" s="277"/>
      <c r="BV54" s="277"/>
      <c r="BW54" s="277"/>
      <c r="BX54" s="277"/>
      <c r="BY54" s="277"/>
      <c r="BZ54" s="277"/>
      <c r="CA54" s="277"/>
      <c r="CB54" s="277"/>
      <c r="CC54" s="277"/>
      <c r="CD54" s="277"/>
      <c r="CE54" s="277"/>
      <c r="CF54" s="277"/>
      <c r="CG54" s="277"/>
      <c r="CH54" s="277"/>
      <c r="CI54" s="277"/>
      <c r="CJ54" s="277"/>
      <c r="CK54" s="277"/>
      <c r="CL54" s="277"/>
      <c r="CM54" s="277"/>
      <c r="CN54" s="277"/>
      <c r="CO54" s="277"/>
      <c r="CP54" s="277"/>
      <c r="CQ54" s="277"/>
      <c r="CR54" s="277"/>
      <c r="CS54" s="277"/>
      <c r="CT54" s="277"/>
      <c r="CU54" s="277"/>
      <c r="CV54" s="277"/>
      <c r="CW54" s="277"/>
      <c r="CX54" s="277"/>
      <c r="CY54" s="277"/>
      <c r="CZ54" s="277"/>
      <c r="DA54" s="277"/>
      <c r="DB54" s="277"/>
      <c r="DC54" s="277"/>
      <c r="DD54" s="277"/>
      <c r="DE54" s="277"/>
      <c r="DF54" s="277"/>
      <c r="DG54" s="277"/>
      <c r="DH54" s="277"/>
      <c r="DI54" s="277"/>
      <c r="DJ54" s="277"/>
      <c r="DK54" s="277"/>
      <c r="DL54" s="277"/>
      <c r="DM54" s="277"/>
      <c r="DN54" s="277"/>
      <c r="DO54" s="277"/>
      <c r="DP54" s="277"/>
      <c r="DQ54" s="277"/>
      <c r="DR54" s="277"/>
      <c r="DS54" s="277"/>
      <c r="DT54" s="277"/>
      <c r="DU54" s="277"/>
      <c r="DV54" s="277"/>
      <c r="DW54" s="277"/>
      <c r="DX54" s="277"/>
      <c r="DY54" s="277"/>
      <c r="DZ54" s="277"/>
      <c r="EA54" s="277"/>
      <c r="EB54" s="277"/>
      <c r="EC54" s="277"/>
      <c r="ED54" s="277"/>
      <c r="EE54" s="277"/>
      <c r="EF54" s="277"/>
      <c r="EG54" s="277"/>
      <c r="EH54" s="277"/>
      <c r="EI54" s="277"/>
      <c r="EJ54" s="277"/>
      <c r="EK54" s="277"/>
      <c r="EL54" s="277"/>
      <c r="EM54" s="277"/>
      <c r="EN54" s="277"/>
      <c r="EO54" s="277"/>
      <c r="EP54" s="277"/>
      <c r="EQ54" s="277"/>
      <c r="ER54" s="277"/>
      <c r="ES54" s="277"/>
      <c r="ET54" s="277"/>
      <c r="EU54" s="277"/>
      <c r="EV54" s="277"/>
      <c r="EW54" s="277"/>
      <c r="EX54" s="277"/>
      <c r="EY54" s="277"/>
      <c r="EZ54" s="277"/>
      <c r="FA54" s="277"/>
      <c r="FB54" s="277"/>
      <c r="FC54" s="277"/>
      <c r="FD54" s="277"/>
      <c r="FE54" s="277"/>
      <c r="FF54" s="277"/>
      <c r="FG54" s="277"/>
      <c r="FH54" s="277"/>
      <c r="FI54" s="277"/>
      <c r="FJ54" s="277"/>
      <c r="FK54" s="277"/>
      <c r="FL54" s="277"/>
      <c r="FM54" s="277"/>
      <c r="FN54" s="277"/>
      <c r="FO54" s="277"/>
      <c r="FP54" s="277"/>
      <c r="FQ54" s="277"/>
      <c r="FR54" s="277"/>
      <c r="FS54" s="277"/>
      <c r="FT54" s="277"/>
      <c r="FU54" s="277"/>
      <c r="FV54" s="277"/>
      <c r="FW54" s="277"/>
      <c r="FX54" s="277"/>
      <c r="FY54" s="277"/>
      <c r="FZ54" s="277"/>
      <c r="GA54" s="277"/>
      <c r="GB54" s="277"/>
      <c r="GC54" s="277"/>
      <c r="GD54" s="277"/>
      <c r="GE54" s="277"/>
      <c r="GF54" s="277"/>
      <c r="GG54" s="277"/>
      <c r="GH54" s="277"/>
      <c r="GI54" s="277"/>
      <c r="GJ54" s="277"/>
      <c r="GK54" s="277"/>
      <c r="GL54" s="277"/>
      <c r="GM54" s="277"/>
      <c r="GN54" s="277"/>
      <c r="GO54" s="277"/>
      <c r="GP54" s="277"/>
      <c r="GQ54" s="277"/>
      <c r="GR54" s="277"/>
      <c r="GS54" s="277"/>
      <c r="GT54" s="277"/>
      <c r="GU54" s="277"/>
      <c r="GV54" s="277"/>
      <c r="GW54" s="277"/>
      <c r="GX54" s="277"/>
      <c r="GY54" s="277"/>
      <c r="GZ54" s="277"/>
      <c r="HA54" s="277"/>
      <c r="HB54" s="277"/>
      <c r="HC54" s="277"/>
      <c r="HD54" s="277"/>
      <c r="HE54" s="277"/>
      <c r="HF54" s="277"/>
      <c r="HG54" s="277"/>
      <c r="HH54" s="277"/>
      <c r="HI54" s="277"/>
      <c r="HJ54" s="277"/>
      <c r="HK54" s="277"/>
      <c r="HL54" s="277"/>
      <c r="HM54" s="277"/>
      <c r="HN54" s="277"/>
      <c r="HO54" s="277"/>
      <c r="HP54" s="277"/>
      <c r="HQ54" s="277"/>
      <c r="HR54" s="277"/>
      <c r="HS54" s="277"/>
      <c r="HT54" s="277"/>
      <c r="HU54" s="277"/>
      <c r="HV54" s="277"/>
      <c r="HW54" s="277"/>
      <c r="HX54" s="277"/>
      <c r="HY54" s="277"/>
      <c r="HZ54" s="277"/>
      <c r="IA54" s="277"/>
      <c r="IB54" s="277"/>
      <c r="IC54" s="277"/>
      <c r="ID54" s="277"/>
      <c r="IE54" s="277"/>
      <c r="IF54" s="277"/>
    </row>
    <row r="55" spans="1:240" s="280" customFormat="1">
      <c r="A55" s="277"/>
      <c r="B55" s="1092"/>
      <c r="C55" s="1093"/>
      <c r="D55" s="1093"/>
      <c r="E55" s="1093"/>
      <c r="F55" s="1094"/>
      <c r="G55" s="277"/>
      <c r="H55" s="277"/>
      <c r="I55" s="277"/>
      <c r="J55" s="277"/>
      <c r="K55" s="185"/>
      <c r="L55" s="185"/>
      <c r="M55" s="185"/>
      <c r="N55" s="185"/>
      <c r="O55" s="185"/>
      <c r="P55" s="277"/>
      <c r="Q55" s="277"/>
      <c r="R55" s="277"/>
      <c r="S55" s="277"/>
      <c r="T55" s="279"/>
      <c r="U55" s="277"/>
      <c r="V55" s="277"/>
      <c r="W55" s="277"/>
      <c r="X55" s="277"/>
      <c r="Y55" s="277"/>
      <c r="Z55" s="277"/>
      <c r="AA55" s="277"/>
      <c r="AB55" s="277"/>
      <c r="AC55" s="277"/>
      <c r="AD55" s="277"/>
      <c r="AE55" s="277"/>
      <c r="AF55" s="277"/>
      <c r="AG55" s="277"/>
      <c r="AH55" s="277"/>
      <c r="AI55" s="277"/>
      <c r="AJ55" s="277"/>
      <c r="AK55" s="277"/>
      <c r="AL55" s="277"/>
      <c r="AM55" s="277"/>
      <c r="AN55" s="277"/>
      <c r="AO55" s="277"/>
      <c r="AP55" s="277"/>
      <c r="AQ55" s="277"/>
      <c r="AR55" s="277"/>
      <c r="AS55" s="277"/>
      <c r="AT55" s="277"/>
      <c r="AU55" s="277"/>
      <c r="AV55" s="277"/>
      <c r="AW55" s="277"/>
      <c r="AX55" s="277"/>
      <c r="AY55" s="277"/>
      <c r="AZ55" s="277"/>
      <c r="BA55" s="277"/>
      <c r="BB55" s="277"/>
      <c r="BC55" s="277"/>
      <c r="BD55" s="277"/>
      <c r="BE55" s="277"/>
      <c r="BF55" s="277"/>
      <c r="BG55" s="277"/>
      <c r="BH55" s="277"/>
      <c r="BI55" s="277"/>
      <c r="BJ55" s="277"/>
      <c r="BK55" s="277"/>
      <c r="BL55" s="277"/>
      <c r="BM55" s="277"/>
      <c r="BN55" s="277"/>
      <c r="BO55" s="277"/>
      <c r="BP55" s="277"/>
      <c r="BQ55" s="277"/>
      <c r="BR55" s="277"/>
      <c r="BS55" s="277"/>
      <c r="BT55" s="277"/>
      <c r="BU55" s="277"/>
      <c r="BV55" s="277"/>
      <c r="BW55" s="277"/>
      <c r="BX55" s="277"/>
      <c r="BY55" s="277"/>
      <c r="BZ55" s="277"/>
      <c r="CA55" s="277"/>
      <c r="CB55" s="277"/>
      <c r="CC55" s="277"/>
      <c r="CD55" s="277"/>
      <c r="CE55" s="277"/>
      <c r="CF55" s="277"/>
      <c r="CG55" s="277"/>
      <c r="CH55" s="277"/>
      <c r="CI55" s="277"/>
      <c r="CJ55" s="277"/>
      <c r="CK55" s="277"/>
      <c r="CL55" s="277"/>
      <c r="CM55" s="277"/>
      <c r="CN55" s="277"/>
      <c r="CO55" s="277"/>
      <c r="CP55" s="277"/>
      <c r="CQ55" s="277"/>
      <c r="CR55" s="277"/>
      <c r="CS55" s="277"/>
      <c r="CT55" s="277"/>
      <c r="CU55" s="277"/>
      <c r="CV55" s="277"/>
      <c r="CW55" s="277"/>
      <c r="CX55" s="277"/>
      <c r="CY55" s="277"/>
      <c r="CZ55" s="277"/>
      <c r="DA55" s="277"/>
      <c r="DB55" s="277"/>
      <c r="DC55" s="277"/>
      <c r="DD55" s="277"/>
      <c r="DE55" s="277"/>
      <c r="DF55" s="277"/>
      <c r="DG55" s="277"/>
      <c r="DH55" s="277"/>
      <c r="DI55" s="277"/>
      <c r="DJ55" s="277"/>
      <c r="DK55" s="277"/>
      <c r="DL55" s="277"/>
      <c r="DM55" s="277"/>
      <c r="DN55" s="277"/>
      <c r="DO55" s="277"/>
      <c r="DP55" s="277"/>
      <c r="DQ55" s="277"/>
      <c r="DR55" s="277"/>
      <c r="DS55" s="277"/>
      <c r="DT55" s="277"/>
      <c r="DU55" s="277"/>
      <c r="DV55" s="277"/>
      <c r="DW55" s="277"/>
      <c r="DX55" s="277"/>
      <c r="DY55" s="277"/>
      <c r="DZ55" s="277"/>
      <c r="EA55" s="277"/>
      <c r="EB55" s="277"/>
      <c r="EC55" s="277"/>
      <c r="ED55" s="277"/>
      <c r="EE55" s="277"/>
      <c r="EF55" s="277"/>
      <c r="EG55" s="277"/>
      <c r="EH55" s="277"/>
      <c r="EI55" s="277"/>
      <c r="EJ55" s="277"/>
      <c r="EK55" s="277"/>
      <c r="EL55" s="277"/>
      <c r="EM55" s="277"/>
      <c r="EN55" s="277"/>
      <c r="EO55" s="277"/>
      <c r="EP55" s="277"/>
      <c r="EQ55" s="277"/>
      <c r="ER55" s="277"/>
      <c r="ES55" s="277"/>
      <c r="ET55" s="277"/>
      <c r="EU55" s="277"/>
      <c r="EV55" s="277"/>
      <c r="EW55" s="277"/>
      <c r="EX55" s="277"/>
      <c r="EY55" s="277"/>
      <c r="EZ55" s="277"/>
      <c r="FA55" s="277"/>
      <c r="FB55" s="277"/>
      <c r="FC55" s="277"/>
      <c r="FD55" s="277"/>
      <c r="FE55" s="277"/>
      <c r="FF55" s="277"/>
      <c r="FG55" s="277"/>
      <c r="FH55" s="277"/>
      <c r="FI55" s="277"/>
      <c r="FJ55" s="277"/>
      <c r="FK55" s="277"/>
      <c r="FL55" s="277"/>
      <c r="FM55" s="277"/>
      <c r="FN55" s="277"/>
      <c r="FO55" s="277"/>
      <c r="FP55" s="277"/>
      <c r="FQ55" s="277"/>
      <c r="FR55" s="277"/>
      <c r="FS55" s="277"/>
      <c r="FT55" s="277"/>
      <c r="FU55" s="277"/>
      <c r="FV55" s="277"/>
      <c r="FW55" s="277"/>
      <c r="FX55" s="277"/>
      <c r="FY55" s="277"/>
      <c r="FZ55" s="277"/>
      <c r="GA55" s="277"/>
      <c r="GB55" s="277"/>
      <c r="GC55" s="277"/>
      <c r="GD55" s="277"/>
      <c r="GE55" s="277"/>
      <c r="GF55" s="277"/>
      <c r="GG55" s="277"/>
      <c r="GH55" s="277"/>
      <c r="GI55" s="277"/>
      <c r="GJ55" s="277"/>
      <c r="GK55" s="277"/>
      <c r="GL55" s="277"/>
      <c r="GM55" s="277"/>
      <c r="GN55" s="277"/>
      <c r="GO55" s="277"/>
      <c r="GP55" s="277"/>
      <c r="GQ55" s="277"/>
      <c r="GR55" s="277"/>
      <c r="GS55" s="277"/>
      <c r="GT55" s="277"/>
      <c r="GU55" s="277"/>
      <c r="GV55" s="277"/>
      <c r="GW55" s="277"/>
      <c r="GX55" s="277"/>
      <c r="GY55" s="277"/>
      <c r="GZ55" s="277"/>
      <c r="HA55" s="277"/>
      <c r="HB55" s="277"/>
      <c r="HC55" s="277"/>
      <c r="HD55" s="277"/>
      <c r="HE55" s="277"/>
      <c r="HF55" s="277"/>
      <c r="HG55" s="277"/>
      <c r="HH55" s="277"/>
      <c r="HI55" s="277"/>
      <c r="HJ55" s="277"/>
      <c r="HK55" s="277"/>
      <c r="HL55" s="277"/>
      <c r="HM55" s="277"/>
      <c r="HN55" s="277"/>
      <c r="HO55" s="277"/>
      <c r="HP55" s="277"/>
      <c r="HQ55" s="277"/>
      <c r="HR55" s="277"/>
      <c r="HS55" s="277"/>
      <c r="HT55" s="277"/>
      <c r="HU55" s="277"/>
      <c r="HV55" s="277"/>
      <c r="HW55" s="277"/>
      <c r="HX55" s="277"/>
      <c r="HY55" s="277"/>
      <c r="HZ55" s="277"/>
      <c r="IA55" s="277"/>
      <c r="IB55" s="277"/>
      <c r="IC55" s="277"/>
      <c r="ID55" s="277"/>
      <c r="IE55" s="277"/>
      <c r="IF55" s="277"/>
    </row>
    <row r="56" spans="1:240" s="280" customFormat="1">
      <c r="A56" s="277"/>
      <c r="B56" s="1092"/>
      <c r="C56" s="1093"/>
      <c r="D56" s="1093"/>
      <c r="E56" s="1093"/>
      <c r="F56" s="1094"/>
      <c r="G56" s="277"/>
      <c r="H56" s="277"/>
      <c r="I56" s="277"/>
      <c r="J56" s="277"/>
      <c r="K56" s="185"/>
      <c r="L56" s="185"/>
      <c r="M56" s="185"/>
      <c r="N56" s="185"/>
      <c r="O56" s="185"/>
      <c r="P56" s="277"/>
      <c r="Q56" s="277"/>
      <c r="R56" s="277"/>
      <c r="S56" s="277"/>
      <c r="T56" s="279"/>
      <c r="U56" s="277"/>
      <c r="V56" s="277"/>
      <c r="W56" s="277"/>
      <c r="X56" s="277"/>
      <c r="Y56" s="277"/>
      <c r="Z56" s="277"/>
      <c r="AA56" s="277"/>
      <c r="AB56" s="277"/>
      <c r="AC56" s="277"/>
      <c r="AD56" s="277"/>
      <c r="AE56" s="277"/>
      <c r="AF56" s="277"/>
      <c r="AG56" s="277"/>
      <c r="AH56" s="277"/>
      <c r="AI56" s="277"/>
      <c r="AJ56" s="277"/>
      <c r="AK56" s="277"/>
      <c r="AL56" s="277"/>
      <c r="AM56" s="277"/>
      <c r="AN56" s="277"/>
      <c r="AO56" s="277"/>
      <c r="AP56" s="277"/>
      <c r="AQ56" s="277"/>
      <c r="AR56" s="277"/>
      <c r="AS56" s="277"/>
      <c r="AT56" s="277"/>
      <c r="AU56" s="277"/>
      <c r="AV56" s="277"/>
      <c r="AW56" s="277"/>
      <c r="AX56" s="277"/>
      <c r="AY56" s="277"/>
      <c r="AZ56" s="277"/>
      <c r="BA56" s="277"/>
      <c r="BB56" s="277"/>
      <c r="BC56" s="277"/>
      <c r="BD56" s="277"/>
      <c r="BE56" s="277"/>
      <c r="BF56" s="277"/>
      <c r="BG56" s="277"/>
      <c r="BH56" s="277"/>
      <c r="BI56" s="277"/>
      <c r="BJ56" s="277"/>
      <c r="BK56" s="277"/>
      <c r="BL56" s="277"/>
      <c r="BM56" s="277"/>
      <c r="BN56" s="277"/>
      <c r="BO56" s="277"/>
      <c r="BP56" s="277"/>
      <c r="BQ56" s="277"/>
      <c r="BR56" s="277"/>
      <c r="BS56" s="277"/>
      <c r="BT56" s="277"/>
      <c r="BU56" s="277"/>
      <c r="BV56" s="277"/>
      <c r="BW56" s="277"/>
      <c r="BX56" s="277"/>
      <c r="BY56" s="277"/>
      <c r="BZ56" s="277"/>
      <c r="CA56" s="277"/>
      <c r="CB56" s="277"/>
      <c r="CC56" s="277"/>
      <c r="CD56" s="277"/>
      <c r="CE56" s="277"/>
      <c r="CF56" s="277"/>
      <c r="CG56" s="277"/>
      <c r="CH56" s="277"/>
      <c r="CI56" s="277"/>
      <c r="CJ56" s="277"/>
      <c r="CK56" s="277"/>
      <c r="CL56" s="277"/>
      <c r="CM56" s="277"/>
      <c r="CN56" s="277"/>
      <c r="CO56" s="277"/>
      <c r="CP56" s="277"/>
      <c r="CQ56" s="277"/>
      <c r="CR56" s="277"/>
      <c r="CS56" s="277"/>
      <c r="CT56" s="277"/>
      <c r="CU56" s="277"/>
      <c r="CV56" s="277"/>
      <c r="CW56" s="277"/>
      <c r="CX56" s="277"/>
      <c r="CY56" s="277"/>
      <c r="CZ56" s="277"/>
      <c r="DA56" s="277"/>
      <c r="DB56" s="277"/>
      <c r="DC56" s="277"/>
      <c r="DD56" s="277"/>
      <c r="DE56" s="277"/>
      <c r="DF56" s="277"/>
      <c r="DG56" s="277"/>
      <c r="DH56" s="277"/>
      <c r="DI56" s="277"/>
      <c r="DJ56" s="277"/>
      <c r="DK56" s="277"/>
      <c r="DL56" s="277"/>
      <c r="DM56" s="277"/>
      <c r="DN56" s="277"/>
      <c r="DO56" s="277"/>
      <c r="DP56" s="277"/>
      <c r="DQ56" s="277"/>
      <c r="DR56" s="277"/>
      <c r="DS56" s="277"/>
      <c r="DT56" s="277"/>
      <c r="DU56" s="277"/>
      <c r="DV56" s="277"/>
      <c r="DW56" s="277"/>
      <c r="DX56" s="277"/>
      <c r="DY56" s="277"/>
      <c r="DZ56" s="277"/>
      <c r="EA56" s="277"/>
      <c r="EB56" s="277"/>
      <c r="EC56" s="277"/>
      <c r="ED56" s="277"/>
      <c r="EE56" s="277"/>
      <c r="EF56" s="277"/>
      <c r="EG56" s="277"/>
      <c r="EH56" s="277"/>
      <c r="EI56" s="277"/>
      <c r="EJ56" s="277"/>
      <c r="EK56" s="277"/>
      <c r="EL56" s="277"/>
      <c r="EM56" s="277"/>
      <c r="EN56" s="277"/>
      <c r="EO56" s="277"/>
      <c r="EP56" s="277"/>
      <c r="EQ56" s="277"/>
      <c r="ER56" s="277"/>
      <c r="ES56" s="277"/>
      <c r="ET56" s="277"/>
      <c r="EU56" s="277"/>
      <c r="EV56" s="277"/>
      <c r="EW56" s="277"/>
      <c r="EX56" s="277"/>
      <c r="EY56" s="277"/>
      <c r="EZ56" s="277"/>
      <c r="FA56" s="277"/>
      <c r="FB56" s="277"/>
      <c r="FC56" s="277"/>
      <c r="FD56" s="277"/>
      <c r="FE56" s="277"/>
      <c r="FF56" s="277"/>
      <c r="FG56" s="277"/>
      <c r="FH56" s="277"/>
      <c r="FI56" s="277"/>
      <c r="FJ56" s="277"/>
      <c r="FK56" s="277"/>
      <c r="FL56" s="277"/>
      <c r="FM56" s="277"/>
      <c r="FN56" s="277"/>
      <c r="FO56" s="277"/>
      <c r="FP56" s="277"/>
      <c r="FQ56" s="277"/>
      <c r="FR56" s="277"/>
      <c r="FS56" s="277"/>
      <c r="FT56" s="277"/>
      <c r="FU56" s="277"/>
      <c r="FV56" s="277"/>
      <c r="FW56" s="277"/>
      <c r="FX56" s="277"/>
      <c r="FY56" s="277"/>
      <c r="FZ56" s="277"/>
      <c r="GA56" s="277"/>
      <c r="GB56" s="277"/>
      <c r="GC56" s="277"/>
      <c r="GD56" s="277"/>
      <c r="GE56" s="277"/>
      <c r="GF56" s="277"/>
      <c r="GG56" s="277"/>
      <c r="GH56" s="277"/>
      <c r="GI56" s="277"/>
      <c r="GJ56" s="277"/>
      <c r="GK56" s="277"/>
      <c r="GL56" s="277"/>
      <c r="GM56" s="277"/>
      <c r="GN56" s="277"/>
      <c r="GO56" s="277"/>
      <c r="GP56" s="277"/>
      <c r="GQ56" s="277"/>
      <c r="GR56" s="277"/>
      <c r="GS56" s="277"/>
      <c r="GT56" s="277"/>
      <c r="GU56" s="277"/>
      <c r="GV56" s="277"/>
      <c r="GW56" s="277"/>
      <c r="GX56" s="277"/>
      <c r="GY56" s="277"/>
      <c r="GZ56" s="277"/>
      <c r="HA56" s="277"/>
      <c r="HB56" s="277"/>
      <c r="HC56" s="277"/>
      <c r="HD56" s="277"/>
      <c r="HE56" s="277"/>
      <c r="HF56" s="277"/>
      <c r="HG56" s="277"/>
      <c r="HH56" s="277"/>
      <c r="HI56" s="277"/>
      <c r="HJ56" s="277"/>
      <c r="HK56" s="277"/>
      <c r="HL56" s="277"/>
      <c r="HM56" s="277"/>
      <c r="HN56" s="277"/>
      <c r="HO56" s="277"/>
      <c r="HP56" s="277"/>
      <c r="HQ56" s="277"/>
      <c r="HR56" s="277"/>
      <c r="HS56" s="277"/>
      <c r="HT56" s="277"/>
      <c r="HU56" s="277"/>
      <c r="HV56" s="277"/>
      <c r="HW56" s="277"/>
      <c r="HX56" s="277"/>
      <c r="HY56" s="277"/>
      <c r="HZ56" s="277"/>
      <c r="IA56" s="277"/>
      <c r="IB56" s="277"/>
      <c r="IC56" s="277"/>
      <c r="ID56" s="277"/>
      <c r="IE56" s="277"/>
      <c r="IF56" s="277"/>
    </row>
    <row r="57" spans="1:240" s="280" customFormat="1">
      <c r="A57" s="281"/>
      <c r="B57" s="1092"/>
      <c r="C57" s="1093"/>
      <c r="D57" s="1093"/>
      <c r="E57" s="1093"/>
      <c r="F57" s="1094"/>
      <c r="G57" s="277"/>
      <c r="H57" s="277"/>
      <c r="I57" s="277"/>
      <c r="J57" s="277"/>
      <c r="K57" s="185"/>
      <c r="L57" s="185"/>
      <c r="M57" s="185"/>
      <c r="N57" s="185"/>
      <c r="O57" s="185"/>
      <c r="P57" s="277"/>
      <c r="Q57" s="277"/>
      <c r="R57" s="277"/>
      <c r="S57" s="277"/>
      <c r="T57" s="279"/>
      <c r="U57" s="277"/>
      <c r="V57" s="277"/>
      <c r="W57" s="277"/>
      <c r="X57" s="277"/>
      <c r="Y57" s="277"/>
      <c r="Z57" s="277"/>
      <c r="AA57" s="277"/>
      <c r="AB57" s="277"/>
      <c r="AC57" s="277"/>
      <c r="AD57" s="277"/>
      <c r="AE57" s="277"/>
      <c r="AF57" s="277"/>
      <c r="AG57" s="277"/>
      <c r="AH57" s="277"/>
      <c r="AI57" s="277"/>
      <c r="AJ57" s="277"/>
      <c r="AK57" s="277"/>
      <c r="AL57" s="277"/>
      <c r="AM57" s="277"/>
      <c r="AN57" s="277"/>
      <c r="AO57" s="277"/>
      <c r="AP57" s="277"/>
      <c r="AQ57" s="277"/>
      <c r="AR57" s="277"/>
      <c r="AS57" s="277"/>
      <c r="AT57" s="277"/>
      <c r="AU57" s="277"/>
      <c r="AV57" s="277"/>
      <c r="AW57" s="277"/>
      <c r="AX57" s="277"/>
      <c r="AY57" s="277"/>
      <c r="AZ57" s="277"/>
      <c r="BA57" s="277"/>
      <c r="BB57" s="277"/>
      <c r="BC57" s="277"/>
      <c r="BD57" s="277"/>
      <c r="BE57" s="277"/>
      <c r="BF57" s="277"/>
      <c r="BG57" s="277"/>
      <c r="BH57" s="277"/>
      <c r="BI57" s="277"/>
      <c r="BJ57" s="277"/>
      <c r="BK57" s="277"/>
      <c r="BL57" s="277"/>
      <c r="BM57" s="277"/>
      <c r="BN57" s="277"/>
      <c r="BO57" s="277"/>
      <c r="BP57" s="277"/>
      <c r="BQ57" s="277"/>
      <c r="BR57" s="277"/>
      <c r="BS57" s="277"/>
      <c r="BT57" s="277"/>
      <c r="BU57" s="277"/>
      <c r="BV57" s="277"/>
      <c r="BW57" s="277"/>
      <c r="BX57" s="277"/>
      <c r="BY57" s="277"/>
      <c r="BZ57" s="277"/>
      <c r="CA57" s="277"/>
      <c r="CB57" s="277"/>
      <c r="CC57" s="277"/>
      <c r="CD57" s="277"/>
      <c r="CE57" s="277"/>
      <c r="CF57" s="277"/>
      <c r="CG57" s="277"/>
      <c r="CH57" s="277"/>
      <c r="CI57" s="277"/>
      <c r="CJ57" s="277"/>
      <c r="CK57" s="277"/>
      <c r="CL57" s="277"/>
      <c r="CM57" s="277"/>
      <c r="CN57" s="277"/>
      <c r="CO57" s="277"/>
      <c r="CP57" s="277"/>
      <c r="CQ57" s="277"/>
      <c r="CR57" s="277"/>
      <c r="CS57" s="277"/>
      <c r="CT57" s="277"/>
      <c r="CU57" s="277"/>
      <c r="CV57" s="277"/>
      <c r="CW57" s="277"/>
      <c r="CX57" s="277"/>
      <c r="CY57" s="277"/>
      <c r="CZ57" s="277"/>
      <c r="DA57" s="277"/>
      <c r="DB57" s="277"/>
      <c r="DC57" s="277"/>
      <c r="DD57" s="277"/>
      <c r="DE57" s="277"/>
      <c r="DF57" s="277"/>
      <c r="DG57" s="277"/>
      <c r="DH57" s="277"/>
      <c r="DI57" s="277"/>
      <c r="DJ57" s="277"/>
      <c r="DK57" s="277"/>
      <c r="DL57" s="277"/>
      <c r="DM57" s="277"/>
      <c r="DN57" s="277"/>
      <c r="DO57" s="277"/>
      <c r="DP57" s="277"/>
      <c r="DQ57" s="277"/>
      <c r="DR57" s="277"/>
      <c r="DS57" s="277"/>
      <c r="DT57" s="277"/>
      <c r="DU57" s="277"/>
      <c r="DV57" s="277"/>
      <c r="DW57" s="277"/>
      <c r="DX57" s="277"/>
      <c r="DY57" s="277"/>
      <c r="DZ57" s="277"/>
      <c r="EA57" s="277"/>
      <c r="EB57" s="277"/>
      <c r="EC57" s="277"/>
      <c r="ED57" s="277"/>
      <c r="EE57" s="277"/>
      <c r="EF57" s="277"/>
      <c r="EG57" s="277"/>
      <c r="EH57" s="277"/>
      <c r="EI57" s="277"/>
      <c r="EJ57" s="277"/>
      <c r="EK57" s="277"/>
      <c r="EL57" s="277"/>
      <c r="EM57" s="277"/>
      <c r="EN57" s="277"/>
      <c r="EO57" s="277"/>
      <c r="EP57" s="277"/>
      <c r="EQ57" s="277"/>
      <c r="ER57" s="277"/>
      <c r="ES57" s="277"/>
      <c r="ET57" s="277"/>
      <c r="EU57" s="277"/>
      <c r="EV57" s="277"/>
      <c r="EW57" s="277"/>
      <c r="EX57" s="277"/>
      <c r="EY57" s="277"/>
      <c r="EZ57" s="277"/>
      <c r="FA57" s="277"/>
      <c r="FB57" s="277"/>
      <c r="FC57" s="277"/>
      <c r="FD57" s="277"/>
      <c r="FE57" s="277"/>
      <c r="FF57" s="277"/>
      <c r="FG57" s="277"/>
      <c r="FH57" s="277"/>
      <c r="FI57" s="277"/>
      <c r="FJ57" s="277"/>
      <c r="FK57" s="277"/>
      <c r="FL57" s="277"/>
      <c r="FM57" s="277"/>
      <c r="FN57" s="277"/>
      <c r="FO57" s="277"/>
      <c r="FP57" s="277"/>
      <c r="FQ57" s="277"/>
      <c r="FR57" s="277"/>
      <c r="FS57" s="277"/>
      <c r="FT57" s="277"/>
      <c r="FU57" s="277"/>
      <c r="FV57" s="277"/>
      <c r="FW57" s="277"/>
      <c r="FX57" s="277"/>
      <c r="FY57" s="277"/>
      <c r="FZ57" s="277"/>
      <c r="GA57" s="277"/>
      <c r="GB57" s="277"/>
      <c r="GC57" s="277"/>
      <c r="GD57" s="277"/>
      <c r="GE57" s="277"/>
      <c r="GF57" s="277"/>
      <c r="GG57" s="277"/>
      <c r="GH57" s="277"/>
      <c r="GI57" s="277"/>
      <c r="GJ57" s="277"/>
      <c r="GK57" s="277"/>
      <c r="GL57" s="277"/>
      <c r="GM57" s="277"/>
      <c r="GN57" s="277"/>
      <c r="GO57" s="277"/>
      <c r="GP57" s="277"/>
      <c r="GQ57" s="277"/>
      <c r="GR57" s="277"/>
      <c r="GS57" s="277"/>
      <c r="GT57" s="277"/>
      <c r="GU57" s="277"/>
      <c r="GV57" s="277"/>
      <c r="GW57" s="277"/>
      <c r="GX57" s="277"/>
      <c r="GY57" s="277"/>
      <c r="GZ57" s="277"/>
      <c r="HA57" s="277"/>
      <c r="HB57" s="277"/>
      <c r="HC57" s="277"/>
      <c r="HD57" s="277"/>
      <c r="HE57" s="277"/>
      <c r="HF57" s="277"/>
      <c r="HG57" s="277"/>
      <c r="HH57" s="277"/>
      <c r="HI57" s="277"/>
      <c r="HJ57" s="277"/>
      <c r="HK57" s="277"/>
      <c r="HL57" s="277"/>
      <c r="HM57" s="277"/>
      <c r="HN57" s="277"/>
      <c r="HO57" s="277"/>
      <c r="HP57" s="277"/>
      <c r="HQ57" s="277"/>
      <c r="HR57" s="277"/>
      <c r="HS57" s="277"/>
      <c r="HT57" s="277"/>
      <c r="HU57" s="277"/>
      <c r="HV57" s="277"/>
      <c r="HW57" s="277"/>
      <c r="HX57" s="277"/>
      <c r="HY57" s="277"/>
      <c r="HZ57" s="277"/>
      <c r="IA57" s="277"/>
      <c r="IB57" s="277"/>
      <c r="IC57" s="277"/>
      <c r="ID57" s="277"/>
      <c r="IE57" s="277"/>
      <c r="IF57" s="277"/>
    </row>
    <row r="58" spans="1:240" s="280" customFormat="1" ht="15.75" thickBot="1">
      <c r="A58" s="281"/>
      <c r="B58" s="1095"/>
      <c r="C58" s="1096"/>
      <c r="D58" s="1096"/>
      <c r="E58" s="1096"/>
      <c r="F58" s="1097"/>
      <c r="G58" s="277"/>
      <c r="H58" s="277"/>
      <c r="I58" s="277"/>
      <c r="J58" s="277"/>
      <c r="K58" s="185"/>
      <c r="L58" s="185"/>
      <c r="M58" s="185"/>
      <c r="N58" s="185"/>
      <c r="O58" s="185"/>
      <c r="P58" s="277"/>
      <c r="Q58" s="277"/>
      <c r="R58" s="277"/>
      <c r="S58" s="277"/>
      <c r="T58" s="279"/>
      <c r="U58" s="277"/>
      <c r="V58" s="277"/>
      <c r="W58" s="277"/>
      <c r="X58" s="277"/>
      <c r="Y58" s="277"/>
      <c r="Z58" s="277"/>
      <c r="AA58" s="277"/>
      <c r="AB58" s="277"/>
      <c r="AC58" s="277"/>
      <c r="AD58" s="277"/>
      <c r="AE58" s="277"/>
      <c r="AF58" s="277"/>
      <c r="AG58" s="277"/>
      <c r="AH58" s="277"/>
      <c r="AI58" s="277"/>
      <c r="AJ58" s="277"/>
      <c r="AK58" s="277"/>
      <c r="AL58" s="277"/>
      <c r="AM58" s="277"/>
      <c r="AN58" s="277"/>
      <c r="AO58" s="277"/>
      <c r="AP58" s="277"/>
      <c r="AQ58" s="277"/>
      <c r="AR58" s="277"/>
      <c r="AS58" s="277"/>
      <c r="AT58" s="277"/>
      <c r="AU58" s="277"/>
      <c r="AV58" s="277"/>
      <c r="AW58" s="277"/>
      <c r="AX58" s="277"/>
      <c r="AY58" s="277"/>
      <c r="AZ58" s="277"/>
      <c r="BA58" s="277"/>
      <c r="BB58" s="277"/>
      <c r="BC58" s="277"/>
      <c r="BD58" s="277"/>
      <c r="BE58" s="277"/>
      <c r="BF58" s="277"/>
      <c r="BG58" s="277"/>
      <c r="BH58" s="277"/>
      <c r="BI58" s="277"/>
      <c r="BJ58" s="277"/>
      <c r="BK58" s="277"/>
      <c r="BL58" s="277"/>
      <c r="BM58" s="277"/>
      <c r="BN58" s="277"/>
      <c r="BO58" s="277"/>
      <c r="BP58" s="277"/>
      <c r="BQ58" s="277"/>
      <c r="BR58" s="277"/>
      <c r="BS58" s="277"/>
      <c r="BT58" s="277"/>
      <c r="BU58" s="277"/>
      <c r="BV58" s="277"/>
      <c r="BW58" s="277"/>
      <c r="BX58" s="277"/>
      <c r="BY58" s="277"/>
      <c r="BZ58" s="277"/>
      <c r="CA58" s="277"/>
      <c r="CB58" s="277"/>
      <c r="CC58" s="277"/>
      <c r="CD58" s="277"/>
      <c r="CE58" s="277"/>
      <c r="CF58" s="277"/>
      <c r="CG58" s="277"/>
      <c r="CH58" s="277"/>
      <c r="CI58" s="277"/>
      <c r="CJ58" s="277"/>
      <c r="CK58" s="277"/>
      <c r="CL58" s="277"/>
      <c r="CM58" s="277"/>
      <c r="CN58" s="277"/>
      <c r="CO58" s="277"/>
      <c r="CP58" s="277"/>
      <c r="CQ58" s="277"/>
      <c r="CR58" s="277"/>
      <c r="CS58" s="277"/>
      <c r="CT58" s="277"/>
      <c r="CU58" s="277"/>
      <c r="CV58" s="277"/>
      <c r="CW58" s="277"/>
      <c r="CX58" s="277"/>
      <c r="CY58" s="277"/>
      <c r="CZ58" s="277"/>
      <c r="DA58" s="277"/>
      <c r="DB58" s="277"/>
      <c r="DC58" s="277"/>
      <c r="DD58" s="277"/>
      <c r="DE58" s="277"/>
      <c r="DF58" s="277"/>
      <c r="DG58" s="277"/>
      <c r="DH58" s="277"/>
      <c r="DI58" s="277"/>
      <c r="DJ58" s="277"/>
      <c r="DK58" s="277"/>
      <c r="DL58" s="277"/>
      <c r="DM58" s="277"/>
      <c r="DN58" s="277"/>
      <c r="DO58" s="277"/>
      <c r="DP58" s="277"/>
      <c r="DQ58" s="277"/>
      <c r="DR58" s="277"/>
      <c r="DS58" s="277"/>
      <c r="DT58" s="277"/>
      <c r="DU58" s="277"/>
      <c r="DV58" s="277"/>
      <c r="DW58" s="277"/>
      <c r="DX58" s="277"/>
      <c r="DY58" s="277"/>
      <c r="DZ58" s="277"/>
      <c r="EA58" s="277"/>
      <c r="EB58" s="277"/>
      <c r="EC58" s="277"/>
      <c r="ED58" s="277"/>
      <c r="EE58" s="277"/>
      <c r="EF58" s="277"/>
      <c r="EG58" s="277"/>
      <c r="EH58" s="277"/>
      <c r="EI58" s="277"/>
      <c r="EJ58" s="277"/>
      <c r="EK58" s="277"/>
      <c r="EL58" s="277"/>
      <c r="EM58" s="277"/>
      <c r="EN58" s="277"/>
      <c r="EO58" s="277"/>
      <c r="EP58" s="277"/>
      <c r="EQ58" s="277"/>
      <c r="ER58" s="277"/>
      <c r="ES58" s="277"/>
      <c r="ET58" s="277"/>
      <c r="EU58" s="277"/>
      <c r="EV58" s="277"/>
      <c r="EW58" s="277"/>
      <c r="EX58" s="277"/>
      <c r="EY58" s="277"/>
      <c r="EZ58" s="277"/>
      <c r="FA58" s="277"/>
      <c r="FB58" s="277"/>
      <c r="FC58" s="277"/>
      <c r="FD58" s="277"/>
      <c r="FE58" s="277"/>
      <c r="FF58" s="277"/>
      <c r="FG58" s="277"/>
      <c r="FH58" s="277"/>
      <c r="FI58" s="277"/>
      <c r="FJ58" s="277"/>
      <c r="FK58" s="277"/>
      <c r="FL58" s="277"/>
      <c r="FM58" s="277"/>
      <c r="FN58" s="277"/>
      <c r="FO58" s="277"/>
      <c r="FP58" s="277"/>
      <c r="FQ58" s="277"/>
      <c r="FR58" s="277"/>
      <c r="FS58" s="277"/>
      <c r="FT58" s="277"/>
      <c r="FU58" s="277"/>
      <c r="FV58" s="277"/>
      <c r="FW58" s="277"/>
      <c r="FX58" s="277"/>
      <c r="FY58" s="277"/>
      <c r="FZ58" s="277"/>
      <c r="GA58" s="277"/>
      <c r="GB58" s="277"/>
      <c r="GC58" s="277"/>
      <c r="GD58" s="277"/>
      <c r="GE58" s="277"/>
      <c r="GF58" s="277"/>
      <c r="GG58" s="277"/>
      <c r="GH58" s="277"/>
      <c r="GI58" s="277"/>
      <c r="GJ58" s="277"/>
      <c r="GK58" s="277"/>
      <c r="GL58" s="277"/>
      <c r="GM58" s="277"/>
      <c r="GN58" s="277"/>
      <c r="GO58" s="277"/>
      <c r="GP58" s="277"/>
      <c r="GQ58" s="277"/>
      <c r="GR58" s="277"/>
      <c r="GS58" s="277"/>
      <c r="GT58" s="277"/>
      <c r="GU58" s="277"/>
      <c r="GV58" s="277"/>
      <c r="GW58" s="277"/>
      <c r="GX58" s="277"/>
      <c r="GY58" s="277"/>
      <c r="GZ58" s="277"/>
      <c r="HA58" s="277"/>
      <c r="HB58" s="277"/>
      <c r="HC58" s="277"/>
      <c r="HD58" s="277"/>
      <c r="HE58" s="277"/>
      <c r="HF58" s="277"/>
      <c r="HG58" s="277"/>
      <c r="HH58" s="277"/>
      <c r="HI58" s="277"/>
      <c r="HJ58" s="277"/>
      <c r="HK58" s="277"/>
      <c r="HL58" s="277"/>
      <c r="HM58" s="277"/>
      <c r="HN58" s="277"/>
      <c r="HO58" s="277"/>
      <c r="HP58" s="277"/>
      <c r="HQ58" s="277"/>
      <c r="HR58" s="277"/>
      <c r="HS58" s="277"/>
      <c r="HT58" s="277"/>
      <c r="HU58" s="277"/>
      <c r="HV58" s="277"/>
      <c r="HW58" s="277"/>
      <c r="HX58" s="277"/>
      <c r="HY58" s="277"/>
      <c r="HZ58" s="277"/>
      <c r="IA58" s="277"/>
      <c r="IB58" s="277"/>
      <c r="IC58" s="277"/>
      <c r="ID58" s="277"/>
      <c r="IE58" s="277"/>
      <c r="IF58" s="277"/>
    </row>
    <row r="59" spans="1:240" s="277" customFormat="1">
      <c r="K59" s="185"/>
      <c r="L59" s="185"/>
      <c r="M59" s="185"/>
      <c r="N59" s="185"/>
      <c r="O59" s="185"/>
      <c r="T59" s="279"/>
    </row>
    <row r="60" spans="1:240" s="277" customFormat="1">
      <c r="K60" s="185"/>
      <c r="L60" s="185"/>
      <c r="M60" s="185"/>
      <c r="N60" s="185"/>
      <c r="O60" s="185"/>
      <c r="T60" s="279"/>
    </row>
    <row r="61" spans="1:240" s="277" customFormat="1">
      <c r="K61" s="185"/>
      <c r="L61" s="185"/>
      <c r="M61" s="185"/>
      <c r="N61" s="185"/>
      <c r="O61" s="185"/>
      <c r="T61" s="279"/>
    </row>
    <row r="62" spans="1:240" s="277" customFormat="1">
      <c r="K62" s="185"/>
      <c r="L62" s="185"/>
      <c r="M62" s="185"/>
      <c r="N62" s="185"/>
      <c r="O62" s="185"/>
      <c r="T62" s="279"/>
    </row>
    <row r="63" spans="1:240" s="277" customFormat="1" ht="9" customHeight="1">
      <c r="K63" s="185"/>
      <c r="L63" s="185"/>
      <c r="M63" s="185"/>
      <c r="N63" s="185"/>
      <c r="O63" s="185"/>
      <c r="T63" s="279"/>
      <c r="AE63" s="281"/>
      <c r="AF63" s="281"/>
      <c r="AG63" s="281"/>
      <c r="AH63" s="281"/>
    </row>
    <row r="64" spans="1:240" s="277" customFormat="1" ht="9" customHeight="1">
      <c r="K64" s="185"/>
      <c r="L64" s="185"/>
      <c r="M64" s="185"/>
      <c r="N64" s="185"/>
      <c r="O64" s="185"/>
      <c r="T64" s="279"/>
    </row>
    <row r="65" spans="1:38" s="277" customFormat="1">
      <c r="K65" s="185"/>
      <c r="L65" s="185"/>
      <c r="M65" s="185"/>
      <c r="N65" s="185"/>
      <c r="O65" s="185"/>
      <c r="T65" s="279"/>
      <c r="AI65" s="185"/>
      <c r="AJ65" s="185"/>
      <c r="AK65" s="185"/>
      <c r="AL65" s="185"/>
    </row>
    <row r="66" spans="1:38" s="277" customFormat="1">
      <c r="K66" s="185"/>
      <c r="L66" s="185"/>
      <c r="M66" s="185"/>
      <c r="N66" s="185"/>
      <c r="O66" s="185"/>
      <c r="T66" s="282"/>
      <c r="AG66" s="279"/>
      <c r="AI66" s="185"/>
      <c r="AJ66" s="185"/>
      <c r="AK66" s="185"/>
      <c r="AL66" s="185"/>
    </row>
    <row r="67" spans="1:38" s="277" customFormat="1">
      <c r="A67" s="281"/>
      <c r="D67" s="281"/>
      <c r="K67" s="185"/>
      <c r="L67" s="185"/>
      <c r="M67" s="185"/>
      <c r="N67" s="185"/>
      <c r="O67" s="185"/>
      <c r="T67" s="1098"/>
      <c r="U67" s="1098"/>
      <c r="V67" s="1098"/>
      <c r="W67" s="1098"/>
      <c r="X67" s="1098"/>
      <c r="Y67" s="1098"/>
      <c r="AE67" s="279"/>
      <c r="AG67" s="279"/>
      <c r="AI67" s="185"/>
      <c r="AJ67" s="185"/>
      <c r="AK67" s="185"/>
      <c r="AL67" s="185"/>
    </row>
    <row r="68" spans="1:38" s="277" customFormat="1">
      <c r="K68" s="185"/>
      <c r="L68" s="185"/>
      <c r="M68" s="185"/>
      <c r="N68" s="185"/>
      <c r="O68" s="185"/>
      <c r="T68" s="283"/>
      <c r="U68" s="283"/>
      <c r="V68" s="279"/>
      <c r="W68" s="283"/>
      <c r="X68" s="279"/>
      <c r="Y68" s="283"/>
      <c r="AA68" s="284"/>
      <c r="AB68" s="285"/>
      <c r="AC68" s="285"/>
      <c r="AD68" s="281"/>
      <c r="AE68" s="285"/>
      <c r="AH68" s="281"/>
      <c r="AI68" s="185"/>
      <c r="AJ68" s="185"/>
      <c r="AK68" s="185"/>
      <c r="AL68" s="185"/>
    </row>
    <row r="69" spans="1:38" s="277" customFormat="1">
      <c r="J69" s="185"/>
      <c r="K69" s="185"/>
      <c r="L69" s="185"/>
      <c r="M69" s="185"/>
      <c r="N69" s="185"/>
      <c r="O69" s="185"/>
      <c r="S69" s="286"/>
      <c r="T69" s="287"/>
      <c r="U69" s="286"/>
      <c r="V69" s="286"/>
      <c r="W69" s="286"/>
      <c r="X69" s="286"/>
      <c r="Y69" s="286"/>
      <c r="Z69" s="286"/>
      <c r="AB69" s="283"/>
      <c r="AC69" s="279"/>
      <c r="AE69" s="279"/>
      <c r="AI69" s="185"/>
      <c r="AJ69" s="185"/>
      <c r="AK69" s="185"/>
      <c r="AL69" s="185"/>
    </row>
    <row r="70" spans="1:38" s="277" customFormat="1">
      <c r="D70" s="288"/>
      <c r="J70" s="185"/>
      <c r="K70" s="185"/>
      <c r="L70" s="185"/>
      <c r="M70" s="185"/>
      <c r="N70" s="185"/>
      <c r="O70" s="185"/>
      <c r="S70" s="286"/>
      <c r="T70" s="287"/>
      <c r="U70" s="286"/>
      <c r="V70" s="286"/>
      <c r="W70" s="286"/>
      <c r="X70" s="286"/>
      <c r="Y70" s="286"/>
      <c r="Z70" s="286"/>
      <c r="AB70" s="283"/>
      <c r="AC70" s="279"/>
      <c r="AE70" s="279"/>
      <c r="AI70" s="185"/>
      <c r="AJ70" s="185"/>
      <c r="AK70" s="185"/>
      <c r="AL70" s="185"/>
    </row>
    <row r="71" spans="1:38" s="277" customFormat="1">
      <c r="J71" s="185"/>
      <c r="K71" s="185"/>
      <c r="L71" s="185"/>
      <c r="M71" s="185"/>
      <c r="N71" s="185"/>
      <c r="O71" s="185"/>
      <c r="P71" s="284"/>
      <c r="S71" s="286"/>
      <c r="T71" s="287"/>
      <c r="U71" s="287"/>
      <c r="V71" s="286"/>
      <c r="W71" s="287"/>
      <c r="X71" s="286"/>
      <c r="Y71" s="287"/>
      <c r="Z71" s="286"/>
      <c r="AB71" s="283"/>
      <c r="AC71" s="279"/>
      <c r="AI71" s="185"/>
      <c r="AJ71" s="185"/>
      <c r="AK71" s="185"/>
      <c r="AL71" s="185"/>
    </row>
    <row r="72" spans="1:38" s="277" customFormat="1">
      <c r="J72" s="185"/>
      <c r="K72" s="185"/>
      <c r="L72" s="185"/>
      <c r="M72" s="185"/>
      <c r="N72" s="185"/>
      <c r="O72" s="185"/>
      <c r="P72" s="284" t="s">
        <v>584</v>
      </c>
      <c r="Q72" s="277">
        <f>IF(AND(C20=0,C21="Select total # of months to average"),"Enter Dates",Q73)</f>
        <v>0</v>
      </c>
      <c r="T72" s="282"/>
      <c r="AB72" s="283"/>
      <c r="AC72" s="279"/>
      <c r="AE72" s="279"/>
      <c r="AI72" s="185"/>
      <c r="AJ72" s="185"/>
      <c r="AK72" s="185"/>
      <c r="AL72" s="185"/>
    </row>
    <row r="73" spans="1:38" s="277" customFormat="1">
      <c r="J73" s="185"/>
      <c r="K73" s="185"/>
      <c r="L73" s="185"/>
      <c r="M73" s="185"/>
      <c r="N73" s="185"/>
      <c r="O73" s="185"/>
      <c r="P73" s="284" t="s">
        <v>585</v>
      </c>
      <c r="Q73" s="289">
        <f>IF(C21="Select total # of months to average",Q74,Q75)</f>
        <v>0</v>
      </c>
      <c r="T73" s="282"/>
      <c r="AB73" s="283"/>
      <c r="AC73" s="279"/>
      <c r="AE73" s="279"/>
      <c r="AI73" s="185"/>
      <c r="AJ73" s="185"/>
      <c r="AK73" s="185"/>
      <c r="AL73" s="185"/>
    </row>
    <row r="74" spans="1:38" s="277" customFormat="1">
      <c r="E74" s="185"/>
      <c r="F74" s="185"/>
      <c r="G74" s="185"/>
      <c r="J74" s="185"/>
      <c r="K74" s="185"/>
      <c r="L74" s="185"/>
      <c r="M74" s="185"/>
      <c r="N74" s="185"/>
      <c r="O74" s="185"/>
      <c r="P74" s="284" t="s">
        <v>586</v>
      </c>
      <c r="Q74" s="289">
        <f>IF(F26&gt;=F27,(F26+F27+F25)/(24+C20),(F26+F25)/(12+C20))</f>
        <v>0</v>
      </c>
      <c r="T74" s="282"/>
      <c r="AB74" s="283"/>
      <c r="AC74" s="279"/>
      <c r="AE74" s="279"/>
      <c r="AI74" s="185"/>
      <c r="AJ74" s="185"/>
      <c r="AK74" s="185"/>
      <c r="AL74" s="185"/>
    </row>
    <row r="75" spans="1:38" s="277" customFormat="1">
      <c r="E75" s="185"/>
      <c r="F75" s="185"/>
      <c r="G75" s="185"/>
      <c r="J75" s="185"/>
      <c r="K75" s="185"/>
      <c r="L75" s="185"/>
      <c r="M75" s="185"/>
      <c r="N75" s="185"/>
      <c r="O75" s="185"/>
      <c r="P75" s="284" t="s">
        <v>587</v>
      </c>
      <c r="Q75" s="289" t="e">
        <f>(F26+F27+F25)/C21</f>
        <v>#VALUE!</v>
      </c>
      <c r="T75" s="279"/>
      <c r="AB75" s="283"/>
      <c r="AC75" s="279"/>
      <c r="AE75" s="279"/>
      <c r="AG75" s="279"/>
      <c r="AI75" s="185"/>
      <c r="AJ75" s="185"/>
      <c r="AK75" s="185"/>
      <c r="AL75" s="185"/>
    </row>
    <row r="76" spans="1:38" s="277" customFormat="1">
      <c r="E76" s="185"/>
      <c r="F76" s="185"/>
      <c r="G76" s="185"/>
      <c r="J76" s="185"/>
      <c r="K76" s="185"/>
      <c r="L76" s="185"/>
      <c r="M76" s="185"/>
      <c r="N76" s="185"/>
      <c r="O76" s="185"/>
      <c r="P76" s="284"/>
      <c r="T76" s="279"/>
      <c r="AB76" s="279"/>
      <c r="AE76" s="279"/>
      <c r="AG76" s="279"/>
      <c r="AI76" s="185"/>
      <c r="AJ76" s="185"/>
      <c r="AK76" s="185"/>
      <c r="AL76" s="185"/>
    </row>
    <row r="77" spans="1:38" s="277" customFormat="1">
      <c r="E77" s="185"/>
      <c r="F77" s="185"/>
      <c r="G77" s="185"/>
      <c r="J77" s="185"/>
      <c r="K77" s="185"/>
      <c r="L77" s="185"/>
      <c r="M77" s="185"/>
      <c r="N77" s="185"/>
      <c r="O77" s="185"/>
      <c r="P77" s="284" t="s">
        <v>588</v>
      </c>
      <c r="Q77" s="277">
        <f>IF(AND(C20=0,C21="Select total # of months to average"),"Enter Dates",Q78)</f>
        <v>0</v>
      </c>
      <c r="AB77" s="279"/>
      <c r="AE77" s="279"/>
      <c r="AG77" s="279"/>
    </row>
    <row r="78" spans="1:38" s="277" customFormat="1">
      <c r="E78" s="185"/>
      <c r="F78" s="185"/>
      <c r="G78" s="185"/>
      <c r="J78" s="185"/>
      <c r="K78" s="185"/>
      <c r="L78" s="185"/>
      <c r="M78" s="185"/>
      <c r="N78" s="185"/>
      <c r="O78" s="185"/>
      <c r="P78" s="284" t="s">
        <v>589</v>
      </c>
      <c r="Q78" s="289">
        <f>IF(C21="Select total # of months to average",Q79,Q80)</f>
        <v>0</v>
      </c>
      <c r="AB78" s="279"/>
      <c r="AE78" s="279"/>
      <c r="AG78" s="279"/>
    </row>
    <row r="79" spans="1:38" s="277" customFormat="1">
      <c r="E79" s="185"/>
      <c r="F79" s="185"/>
      <c r="G79" s="185"/>
      <c r="H79" s="185"/>
      <c r="I79" s="185"/>
      <c r="J79" s="185"/>
      <c r="K79" s="185"/>
      <c r="L79" s="185"/>
      <c r="M79" s="185"/>
      <c r="N79" s="185"/>
      <c r="O79" s="185"/>
      <c r="P79" s="284" t="s">
        <v>590</v>
      </c>
      <c r="Q79" s="289">
        <f>IF(C38&gt;=C39,(C38+C39+C37)/(24+C20),(C38+C37)/(12+C20))</f>
        <v>0</v>
      </c>
      <c r="AB79" s="279"/>
      <c r="AE79" s="279"/>
      <c r="AG79" s="279"/>
    </row>
    <row r="80" spans="1:38" s="277" customFormat="1">
      <c r="E80" s="185"/>
      <c r="F80" s="185"/>
      <c r="G80" s="185"/>
      <c r="H80" s="185"/>
      <c r="I80" s="185"/>
      <c r="J80" s="185"/>
      <c r="K80" s="185"/>
      <c r="L80" s="185"/>
      <c r="M80" s="185"/>
      <c r="N80" s="185"/>
      <c r="O80" s="185"/>
      <c r="P80" s="284" t="s">
        <v>591</v>
      </c>
      <c r="Q80" s="289" t="e">
        <f>(C38+C39+C37)/C21</f>
        <v>#VALUE!</v>
      </c>
    </row>
    <row r="81" spans="5:36" s="277" customFormat="1">
      <c r="E81" s="185"/>
      <c r="F81" s="185"/>
      <c r="G81" s="185"/>
      <c r="H81" s="185"/>
      <c r="I81" s="185"/>
      <c r="J81" s="185"/>
      <c r="K81" s="185"/>
      <c r="L81" s="185"/>
      <c r="M81" s="185"/>
      <c r="N81" s="185"/>
      <c r="O81" s="185"/>
      <c r="P81" s="284"/>
      <c r="Q81" s="289"/>
    </row>
    <row r="82" spans="5:36" s="277" customFormat="1">
      <c r="E82" s="185"/>
      <c r="F82" s="185"/>
      <c r="G82" s="185"/>
      <c r="H82" s="185"/>
      <c r="I82" s="185"/>
      <c r="J82" s="185"/>
      <c r="K82" s="185"/>
      <c r="L82" s="185"/>
      <c r="M82" s="185"/>
      <c r="N82" s="185"/>
      <c r="O82" s="185"/>
      <c r="P82" s="284" t="s">
        <v>592</v>
      </c>
      <c r="Q82" s="277">
        <f>IF(AND(C20=0,C21="Select total # of months to average"),"Enter Dates",Q83)</f>
        <v>0</v>
      </c>
    </row>
    <row r="83" spans="5:36" s="277" customFormat="1">
      <c r="E83" s="185"/>
      <c r="F83" s="185"/>
      <c r="G83" s="185"/>
      <c r="H83" s="185"/>
      <c r="I83" s="185"/>
      <c r="J83" s="185"/>
      <c r="K83" s="185"/>
      <c r="L83" s="185"/>
      <c r="M83" s="185"/>
      <c r="N83" s="185"/>
      <c r="O83" s="185"/>
      <c r="P83" s="284" t="s">
        <v>593</v>
      </c>
      <c r="Q83" s="290">
        <f>IF(C21="Select total # of months to average",Q84,Q85)</f>
        <v>0</v>
      </c>
    </row>
    <row r="84" spans="5:36" s="277" customFormat="1">
      <c r="E84" s="185"/>
      <c r="F84" s="185"/>
      <c r="G84" s="185"/>
      <c r="H84" s="185"/>
      <c r="I84" s="185"/>
      <c r="J84" s="185"/>
      <c r="K84" s="185"/>
      <c r="L84" s="185"/>
      <c r="M84" s="185"/>
      <c r="N84" s="185"/>
      <c r="O84" s="185"/>
      <c r="P84" s="284" t="s">
        <v>594</v>
      </c>
      <c r="Q84" s="290">
        <f>IF(F32&gt;=F33,(F32+F33+F31)/(24+C20),(F32+F31)/(12+C20))</f>
        <v>0</v>
      </c>
      <c r="AI84" s="185"/>
      <c r="AJ84" s="185"/>
    </row>
    <row r="85" spans="5:36" s="277" customFormat="1">
      <c r="E85" s="185"/>
      <c r="F85" s="185"/>
      <c r="G85" s="185"/>
      <c r="H85" s="185"/>
      <c r="I85" s="185"/>
      <c r="J85" s="185"/>
      <c r="K85" s="185"/>
      <c r="L85" s="185"/>
      <c r="M85" s="185"/>
      <c r="N85" s="185"/>
      <c r="O85" s="185"/>
      <c r="P85" s="284" t="s">
        <v>595</v>
      </c>
      <c r="Q85" s="290" t="e">
        <f>(F32+F33+F31)/C21</f>
        <v>#VALUE!</v>
      </c>
      <c r="T85" s="279"/>
      <c r="AI85" s="185"/>
      <c r="AJ85" s="185"/>
    </row>
    <row r="86" spans="5:36" s="277" customFormat="1">
      <c r="E86" s="185"/>
      <c r="F86" s="185"/>
      <c r="G86" s="185"/>
      <c r="H86" s="185"/>
      <c r="I86" s="185"/>
      <c r="J86" s="185"/>
      <c r="K86" s="185"/>
      <c r="L86" s="185"/>
      <c r="M86" s="185"/>
      <c r="N86" s="185"/>
      <c r="O86" s="185"/>
      <c r="P86" s="284"/>
      <c r="T86" s="279"/>
      <c r="AI86" s="185"/>
      <c r="AJ86" s="185"/>
    </row>
    <row r="87" spans="5:36" s="277" customFormat="1">
      <c r="E87" s="185"/>
      <c r="F87" s="185"/>
      <c r="G87" s="185"/>
      <c r="H87" s="185"/>
      <c r="I87" s="185"/>
      <c r="J87" s="185"/>
      <c r="K87" s="185"/>
      <c r="L87" s="185"/>
      <c r="M87" s="185"/>
      <c r="N87" s="185"/>
      <c r="O87" s="185"/>
      <c r="P87" s="284"/>
      <c r="T87" s="279"/>
      <c r="AI87" s="185"/>
      <c r="AJ87" s="185"/>
    </row>
    <row r="88" spans="5:36" s="277" customFormat="1">
      <c r="E88" s="185"/>
      <c r="F88" s="185"/>
      <c r="G88" s="185"/>
      <c r="H88" s="185"/>
      <c r="I88" s="185"/>
      <c r="J88" s="185"/>
      <c r="K88" s="185"/>
      <c r="L88" s="185"/>
      <c r="M88" s="185"/>
      <c r="N88" s="185"/>
      <c r="O88" s="185"/>
      <c r="P88" s="284"/>
      <c r="T88" s="279"/>
      <c r="AI88" s="185"/>
      <c r="AJ88" s="185"/>
    </row>
    <row r="89" spans="5:36" s="277" customFormat="1">
      <c r="E89" s="185"/>
      <c r="F89" s="185"/>
      <c r="G89" s="185"/>
      <c r="H89" s="185"/>
      <c r="I89" s="185"/>
      <c r="J89" s="185"/>
      <c r="K89" s="185"/>
      <c r="L89" s="185"/>
      <c r="M89" s="185"/>
      <c r="N89" s="185"/>
      <c r="O89" s="185"/>
      <c r="P89" s="284"/>
      <c r="T89" s="279"/>
      <c r="AI89" s="185"/>
      <c r="AJ89" s="185"/>
    </row>
    <row r="90" spans="5:36" s="277" customFormat="1">
      <c r="E90" s="185"/>
      <c r="F90" s="185"/>
      <c r="G90" s="185"/>
      <c r="H90" s="185"/>
      <c r="I90" s="185"/>
      <c r="J90" s="185"/>
      <c r="K90" s="185"/>
      <c r="L90" s="185"/>
      <c r="M90" s="185"/>
      <c r="N90" s="185"/>
      <c r="O90" s="185"/>
      <c r="P90" s="284"/>
      <c r="T90" s="279"/>
      <c r="AI90" s="185"/>
      <c r="AJ90" s="185"/>
    </row>
    <row r="91" spans="5:36" s="277" customFormat="1">
      <c r="E91" s="185"/>
      <c r="F91" s="185"/>
      <c r="G91" s="185"/>
      <c r="H91" s="185"/>
      <c r="I91" s="185"/>
      <c r="J91" s="185"/>
      <c r="K91" s="185"/>
      <c r="L91" s="185"/>
      <c r="M91" s="185"/>
      <c r="N91" s="185"/>
      <c r="O91" s="185"/>
      <c r="T91" s="279"/>
      <c r="AI91" s="185"/>
      <c r="AJ91" s="185"/>
    </row>
    <row r="92" spans="5:36" s="277" customFormat="1">
      <c r="E92" s="185"/>
      <c r="F92" s="185"/>
      <c r="G92" s="185"/>
      <c r="H92" s="185"/>
      <c r="I92" s="185"/>
      <c r="J92" s="185"/>
      <c r="K92" s="185"/>
      <c r="L92" s="185"/>
      <c r="M92" s="185"/>
      <c r="N92" s="185"/>
      <c r="O92" s="185"/>
      <c r="T92" s="279"/>
      <c r="AI92" s="185"/>
      <c r="AJ92" s="185"/>
    </row>
    <row r="93" spans="5:36" s="277" customFormat="1">
      <c r="E93" s="185"/>
      <c r="F93" s="185"/>
      <c r="G93" s="185"/>
      <c r="H93" s="185"/>
      <c r="I93" s="185"/>
      <c r="J93" s="185"/>
      <c r="K93" s="185"/>
      <c r="L93" s="185"/>
      <c r="M93" s="185"/>
      <c r="N93" s="185"/>
      <c r="O93" s="185"/>
      <c r="T93" s="279"/>
      <c r="AI93" s="185"/>
      <c r="AJ93" s="185"/>
    </row>
    <row r="94" spans="5:36" s="277" customFormat="1">
      <c r="E94" s="185"/>
      <c r="F94" s="185"/>
      <c r="G94" s="185"/>
      <c r="H94" s="185"/>
      <c r="I94" s="185"/>
      <c r="J94" s="185"/>
      <c r="K94" s="185"/>
      <c r="L94" s="185"/>
      <c r="M94" s="185"/>
      <c r="N94" s="185"/>
      <c r="O94" s="185"/>
      <c r="Q94" s="279" t="s">
        <v>549</v>
      </c>
      <c r="S94" s="291">
        <v>41640</v>
      </c>
      <c r="T94" s="279">
        <v>1</v>
      </c>
      <c r="AB94" s="291">
        <v>40544</v>
      </c>
      <c r="AD94" s="277">
        <f>IF(C16=1/1/2013,1,0)</f>
        <v>0</v>
      </c>
      <c r="AE94" s="277">
        <f>DAY(C16)</f>
        <v>0</v>
      </c>
      <c r="AF94" s="277" t="s">
        <v>67</v>
      </c>
      <c r="AI94" s="185"/>
      <c r="AJ94" s="185"/>
    </row>
    <row r="95" spans="5:36" s="277" customFormat="1">
      <c r="E95" s="185"/>
      <c r="F95" s="185"/>
      <c r="G95" s="185"/>
      <c r="H95" s="185"/>
      <c r="I95" s="185"/>
      <c r="J95" s="185"/>
      <c r="K95" s="185"/>
      <c r="L95" s="185"/>
      <c r="M95" s="185"/>
      <c r="N95" s="185"/>
      <c r="O95" s="185"/>
      <c r="P95" s="277" t="s">
        <v>596</v>
      </c>
      <c r="Q95" s="277">
        <v>12</v>
      </c>
      <c r="S95" s="291">
        <v>41641</v>
      </c>
      <c r="T95" s="279">
        <v>2</v>
      </c>
      <c r="U95" s="277" t="s">
        <v>597</v>
      </c>
      <c r="V95" s="291">
        <v>41693</v>
      </c>
      <c r="W95" s="277">
        <f>VLOOKUP(C14,$S$94:$T$3175,2,FALSE)</f>
        <v>2126</v>
      </c>
      <c r="AB95" s="291">
        <v>40909</v>
      </c>
      <c r="AD95" s="277">
        <f>IF(C16=1/2/2013,1,0)</f>
        <v>0</v>
      </c>
      <c r="AE95" s="277">
        <f>MONTH(C16)</f>
        <v>1</v>
      </c>
      <c r="AF95" s="277" t="s">
        <v>127</v>
      </c>
      <c r="AG95" s="277">
        <f>DAYS360(C14,C15)</f>
        <v>12</v>
      </c>
      <c r="AH95" s="277" t="s">
        <v>598</v>
      </c>
      <c r="AI95" s="185"/>
      <c r="AJ95" s="185"/>
    </row>
    <row r="96" spans="5:36" s="277" customFormat="1">
      <c r="E96" s="185"/>
      <c r="F96" s="185"/>
      <c r="G96" s="185"/>
      <c r="H96" s="185"/>
      <c r="I96" s="185"/>
      <c r="J96" s="185"/>
      <c r="K96" s="185"/>
      <c r="L96" s="185"/>
      <c r="M96" s="185"/>
      <c r="N96" s="185"/>
      <c r="O96" s="185"/>
      <c r="P96" s="277" t="s">
        <v>599</v>
      </c>
      <c r="Q96" s="277">
        <v>12.5</v>
      </c>
      <c r="S96" s="291">
        <v>41642</v>
      </c>
      <c r="T96" s="279">
        <v>3</v>
      </c>
      <c r="U96" s="277" t="s">
        <v>600</v>
      </c>
      <c r="V96" s="291">
        <v>41706</v>
      </c>
      <c r="W96" s="277">
        <f>VLOOKUP(C15,$S$94:$T$3175,2,FALSE)</f>
        <v>2139</v>
      </c>
      <c r="AB96" s="277">
        <f>AB95-AB94</f>
        <v>365</v>
      </c>
      <c r="AD96" s="277">
        <f>IF(C16=1/3/2013,1,0)</f>
        <v>0</v>
      </c>
      <c r="AE96" s="277">
        <f>IF(AE95=1,AE94,0)</f>
        <v>0</v>
      </c>
      <c r="AF96" s="277" t="s">
        <v>601</v>
      </c>
      <c r="AG96" s="277">
        <f>IF(F13="Weekly",(C25*52)/12,0)</f>
        <v>0</v>
      </c>
      <c r="AH96" s="1099" t="s">
        <v>602</v>
      </c>
      <c r="AI96" s="185"/>
      <c r="AJ96" s="185"/>
    </row>
    <row r="97" spans="5:36" s="277" customFormat="1">
      <c r="E97" s="185"/>
      <c r="F97" s="185"/>
      <c r="G97" s="185"/>
      <c r="H97" s="185"/>
      <c r="I97" s="185"/>
      <c r="J97" s="185"/>
      <c r="K97" s="185"/>
      <c r="L97" s="185"/>
      <c r="M97" s="185"/>
      <c r="N97" s="185"/>
      <c r="O97" s="185"/>
      <c r="P97" s="277" t="s">
        <v>603</v>
      </c>
      <c r="Q97" s="277">
        <v>13</v>
      </c>
      <c r="S97" s="291">
        <v>41643</v>
      </c>
      <c r="T97" s="279">
        <v>4</v>
      </c>
      <c r="W97" s="277">
        <f>W96-W95</f>
        <v>13</v>
      </c>
      <c r="X97" s="292" t="str">
        <f>(IF(OR(W97=6),"Weekly"," "))</f>
        <v xml:space="preserve"> </v>
      </c>
      <c r="AB97" s="289"/>
      <c r="AD97" s="277">
        <f>IF(C16=1/4/2013,1,0)</f>
        <v>0</v>
      </c>
      <c r="AE97" s="277">
        <f>IF(AE95=2,31+AE94,0)</f>
        <v>0</v>
      </c>
      <c r="AF97" s="277" t="s">
        <v>604</v>
      </c>
      <c r="AH97" s="1099"/>
      <c r="AI97" s="185"/>
      <c r="AJ97" s="185"/>
    </row>
    <row r="98" spans="5:36" s="277" customFormat="1">
      <c r="E98" s="185"/>
      <c r="F98" s="185"/>
      <c r="G98" s="185"/>
      <c r="H98" s="185"/>
      <c r="I98" s="185"/>
      <c r="J98" s="185"/>
      <c r="K98" s="185"/>
      <c r="L98" s="185"/>
      <c r="M98" s="185"/>
      <c r="N98" s="185"/>
      <c r="O98" s="185"/>
      <c r="P98" s="277" t="s">
        <v>605</v>
      </c>
      <c r="Q98" s="277">
        <v>13.5</v>
      </c>
      <c r="S98" s="291">
        <v>41644</v>
      </c>
      <c r="T98" s="279">
        <v>5</v>
      </c>
      <c r="X98" s="293" t="str">
        <f>(IF(OR(W97=13),"Bi-Weekly"," "))</f>
        <v>Bi-Weekly</v>
      </c>
      <c r="AB98" s="289"/>
      <c r="AD98" s="277">
        <f>IF(C16=1/5/2013,1,0)</f>
        <v>0</v>
      </c>
      <c r="AE98" s="277">
        <f>IF(AE95=3,59+AE94,0)</f>
        <v>0</v>
      </c>
      <c r="AF98" s="277" t="s">
        <v>606</v>
      </c>
      <c r="AG98" s="277">
        <f>IF(F14="Bi-Weekly",(C25*26)/12,0)</f>
        <v>0</v>
      </c>
      <c r="AH98" s="1099"/>
      <c r="AI98" s="185"/>
      <c r="AJ98" s="185"/>
    </row>
    <row r="99" spans="5:36" s="277" customFormat="1">
      <c r="E99" s="185"/>
      <c r="F99" s="185"/>
      <c r="G99" s="185"/>
      <c r="H99" s="185"/>
      <c r="I99" s="185"/>
      <c r="J99" s="185"/>
      <c r="K99" s="185"/>
      <c r="L99" s="185"/>
      <c r="M99" s="185"/>
      <c r="N99" s="185"/>
      <c r="O99" s="185"/>
      <c r="Q99" s="277">
        <v>14</v>
      </c>
      <c r="S99" s="291">
        <v>41645</v>
      </c>
      <c r="T99" s="279">
        <v>6</v>
      </c>
      <c r="X99" s="293" t="str">
        <f>(IF(OR(W97=14,W97=15,W97=12),"Semi-Monthly"," "))</f>
        <v xml:space="preserve"> </v>
      </c>
      <c r="AB99" s="289"/>
      <c r="AD99" s="277">
        <f>IF(C16=1/6/2013,1,0)</f>
        <v>0</v>
      </c>
      <c r="AE99" s="277">
        <f>IF(AE95=4,90+AE94,0)</f>
        <v>0</v>
      </c>
      <c r="AF99" s="277" t="s">
        <v>607</v>
      </c>
      <c r="AH99" s="1099"/>
      <c r="AI99" s="185"/>
      <c r="AJ99" s="185"/>
    </row>
    <row r="100" spans="5:36" s="277" customFormat="1">
      <c r="E100" s="185"/>
      <c r="F100" s="185"/>
      <c r="G100" s="185"/>
      <c r="H100" s="185"/>
      <c r="I100" s="185"/>
      <c r="J100" s="185"/>
      <c r="K100" s="185"/>
      <c r="L100" s="185"/>
      <c r="M100" s="185"/>
      <c r="N100" s="185"/>
      <c r="O100" s="185"/>
      <c r="Q100" s="277">
        <v>14.5</v>
      </c>
      <c r="S100" s="291">
        <v>41646</v>
      </c>
      <c r="T100" s="279">
        <v>7</v>
      </c>
      <c r="X100" s="294" t="str">
        <f>(IF(OR(W97=30,W97=29,W97=27,W97=28),"Monthly"," "))</f>
        <v xml:space="preserve"> </v>
      </c>
      <c r="AB100" s="289"/>
      <c r="AD100" s="277">
        <f>IF(C16=1/7/2013,1,0)</f>
        <v>0</v>
      </c>
      <c r="AE100" s="277">
        <f>IF(AE95=5,120+AE94,0)</f>
        <v>0</v>
      </c>
      <c r="AF100" s="277" t="s">
        <v>137</v>
      </c>
      <c r="AG100" s="277">
        <f>IF(F15="Semi-Monthly",(C25*24)/12,0)</f>
        <v>0</v>
      </c>
      <c r="AH100" s="1099"/>
      <c r="AI100" s="185"/>
      <c r="AJ100" s="185"/>
    </row>
    <row r="101" spans="5:36" s="277" customFormat="1">
      <c r="E101" s="185"/>
      <c r="F101" s="185"/>
      <c r="G101" s="185"/>
      <c r="H101" s="185"/>
      <c r="I101" s="185"/>
      <c r="J101" s="185"/>
      <c r="K101" s="185"/>
      <c r="L101" s="185"/>
      <c r="M101" s="185"/>
      <c r="N101" s="185"/>
      <c r="O101" s="185"/>
      <c r="Q101" s="277">
        <v>15</v>
      </c>
      <c r="S101" s="291">
        <v>41647</v>
      </c>
      <c r="T101" s="279">
        <v>8</v>
      </c>
      <c r="AB101" s="289"/>
      <c r="AD101" s="277">
        <f>IF(C16=1/8/2013,1,0)</f>
        <v>0</v>
      </c>
      <c r="AE101" s="277">
        <f>IF(AE95=6,151+AE94,0)</f>
        <v>0</v>
      </c>
      <c r="AF101" s="277" t="s">
        <v>608</v>
      </c>
      <c r="AG101" s="277">
        <f>IF(F16="Monthly",(C25*12)/12,0)</f>
        <v>0</v>
      </c>
      <c r="AH101" s="1099"/>
      <c r="AI101" s="185"/>
      <c r="AJ101" s="185"/>
    </row>
    <row r="102" spans="5:36" s="277" customFormat="1">
      <c r="E102" s="185"/>
      <c r="F102" s="185"/>
      <c r="G102" s="185"/>
      <c r="H102" s="185"/>
      <c r="I102" s="185"/>
      <c r="J102" s="185"/>
      <c r="K102" s="185"/>
      <c r="L102" s="185"/>
      <c r="M102" s="185"/>
      <c r="N102" s="185"/>
      <c r="O102" s="185"/>
      <c r="Q102" s="277">
        <v>15.5</v>
      </c>
      <c r="S102" s="291">
        <v>41648</v>
      </c>
      <c r="T102" s="279">
        <v>9</v>
      </c>
      <c r="AB102" s="295"/>
      <c r="AD102" s="277">
        <f>IF(C16=1/9/2013,1,0)</f>
        <v>0</v>
      </c>
      <c r="AE102" s="277">
        <f>IF(AE95=7,181+AE94,0)</f>
        <v>0</v>
      </c>
      <c r="AF102" s="277" t="s">
        <v>609</v>
      </c>
      <c r="AG102" s="277">
        <f>IF(F13="Weekly",(AG112*52)/12,0)</f>
        <v>0</v>
      </c>
      <c r="AH102" s="296" t="s">
        <v>610</v>
      </c>
      <c r="AI102" s="185"/>
      <c r="AJ102" s="185"/>
    </row>
    <row r="103" spans="5:36" s="277" customFormat="1">
      <c r="E103" s="185"/>
      <c r="F103" s="185"/>
      <c r="G103" s="185"/>
      <c r="H103" s="185"/>
      <c r="I103" s="185"/>
      <c r="J103" s="185"/>
      <c r="K103" s="185"/>
      <c r="L103" s="185"/>
      <c r="M103" s="185"/>
      <c r="N103" s="185"/>
      <c r="O103" s="185"/>
      <c r="Q103" s="277">
        <v>16</v>
      </c>
      <c r="S103" s="291">
        <v>41649</v>
      </c>
      <c r="T103" s="279">
        <v>10</v>
      </c>
      <c r="AB103" s="289"/>
      <c r="AD103" s="277">
        <f>IF(C16=1/10/2013,1,0)</f>
        <v>0</v>
      </c>
      <c r="AE103" s="277">
        <f>IF(AE95=8,212+AE94,0)</f>
        <v>0</v>
      </c>
      <c r="AF103" s="277" t="s">
        <v>611</v>
      </c>
      <c r="AG103" s="297">
        <f>DAYS360(AH103,C16)</f>
        <v>-40681</v>
      </c>
      <c r="AH103" s="298">
        <v>41275</v>
      </c>
      <c r="AI103" s="185"/>
      <c r="AJ103" s="185"/>
    </row>
    <row r="104" spans="5:36" s="277" customFormat="1">
      <c r="E104" s="185"/>
      <c r="F104" s="185"/>
      <c r="G104" s="185"/>
      <c r="H104" s="185"/>
      <c r="I104" s="185"/>
      <c r="J104" s="185"/>
      <c r="K104" s="185"/>
      <c r="L104" s="185"/>
      <c r="M104" s="185"/>
      <c r="N104" s="185"/>
      <c r="O104" s="185"/>
      <c r="Q104" s="277">
        <v>16.5</v>
      </c>
      <c r="S104" s="291">
        <v>41650</v>
      </c>
      <c r="T104" s="279">
        <v>11</v>
      </c>
      <c r="AB104" s="289"/>
      <c r="AD104" s="277">
        <f>IF(C16=1/11/2013,1,0)</f>
        <v>0</v>
      </c>
      <c r="AE104" s="277">
        <f>IF(AE95=9,243+AE94,0)</f>
        <v>0</v>
      </c>
      <c r="AF104" s="299" t="s">
        <v>612</v>
      </c>
      <c r="AG104" s="300">
        <f>AG103/30</f>
        <v>-1356.0333333333333</v>
      </c>
      <c r="AH104" s="296" t="s">
        <v>613</v>
      </c>
      <c r="AI104" s="185"/>
      <c r="AJ104" s="185"/>
    </row>
    <row r="105" spans="5:36" s="277" customFormat="1">
      <c r="E105" s="185"/>
      <c r="F105" s="185"/>
      <c r="G105" s="185"/>
      <c r="H105" s="185"/>
      <c r="I105" s="185"/>
      <c r="J105" s="185"/>
      <c r="K105" s="185"/>
      <c r="L105" s="185"/>
      <c r="M105" s="185"/>
      <c r="N105" s="185"/>
      <c r="O105" s="185"/>
      <c r="Q105" s="277">
        <v>17</v>
      </c>
      <c r="S105" s="291">
        <v>41651</v>
      </c>
      <c r="T105" s="279">
        <v>12</v>
      </c>
      <c r="AB105" s="289"/>
      <c r="AD105" s="277">
        <f>IF(C16=1/12/2013,1,0)</f>
        <v>0</v>
      </c>
      <c r="AE105" s="277">
        <f>IF(AE95=10,273+AE94,0)</f>
        <v>0</v>
      </c>
      <c r="AF105" s="277" t="s">
        <v>614</v>
      </c>
      <c r="AG105" s="277" t="e">
        <f>IF(F14="Bi-Weekly",(AG112*26)/12,0)</f>
        <v>#REF!</v>
      </c>
      <c r="AH105" s="296" t="s">
        <v>610</v>
      </c>
      <c r="AI105" s="185"/>
      <c r="AJ105" s="185"/>
    </row>
    <row r="106" spans="5:36" s="277" customFormat="1">
      <c r="E106" s="185"/>
      <c r="F106" s="185"/>
      <c r="G106" s="185"/>
      <c r="H106" s="185"/>
      <c r="I106" s="185"/>
      <c r="J106" s="185"/>
      <c r="K106" s="185"/>
      <c r="L106" s="185"/>
      <c r="M106" s="185"/>
      <c r="N106" s="185"/>
      <c r="O106" s="185"/>
      <c r="Q106" s="277">
        <v>17.5</v>
      </c>
      <c r="S106" s="291">
        <v>41652</v>
      </c>
      <c r="T106" s="279">
        <v>13</v>
      </c>
      <c r="AB106" s="289"/>
      <c r="AD106" s="277" t="e">
        <f>IF(#REF!=1/4/2013,1,0)</f>
        <v>#REF!</v>
      </c>
      <c r="AE106" s="277">
        <f>IF(AE95=11,304+AE94,0)</f>
        <v>0</v>
      </c>
      <c r="AF106" s="277" t="s">
        <v>615</v>
      </c>
      <c r="AG106" s="277">
        <f>IF(F15="Semi-Monthly",(AG112*24)/12,0)</f>
        <v>0</v>
      </c>
      <c r="AH106" s="296" t="s">
        <v>610</v>
      </c>
      <c r="AI106" s="185"/>
      <c r="AJ106" s="185"/>
    </row>
    <row r="107" spans="5:36" s="277" customFormat="1">
      <c r="E107" s="185"/>
      <c r="F107" s="185"/>
      <c r="G107" s="185"/>
      <c r="H107" s="185"/>
      <c r="I107" s="185"/>
      <c r="J107" s="185"/>
      <c r="K107" s="185"/>
      <c r="L107" s="185"/>
      <c r="M107" s="185"/>
      <c r="N107" s="185"/>
      <c r="O107" s="185"/>
      <c r="Q107" s="277">
        <v>18</v>
      </c>
      <c r="S107" s="291">
        <v>41653</v>
      </c>
      <c r="T107" s="279">
        <v>14</v>
      </c>
      <c r="AB107" s="301"/>
      <c r="AD107" s="277" t="e">
        <f>IF(#REF!=1/4/2013,1,0)</f>
        <v>#REF!</v>
      </c>
      <c r="AE107" s="277">
        <f>IF(AE95=12,334+AE94,0)</f>
        <v>0</v>
      </c>
      <c r="AF107" s="277" t="s">
        <v>616</v>
      </c>
      <c r="AG107" s="277">
        <f>IF(F16="Monthly",(AG112*12)/12,0)</f>
        <v>0</v>
      </c>
      <c r="AH107" s="296" t="s">
        <v>610</v>
      </c>
      <c r="AI107" s="185"/>
      <c r="AJ107" s="185"/>
    </row>
    <row r="108" spans="5:36" s="277" customFormat="1">
      <c r="E108" s="185"/>
      <c r="F108" s="185"/>
      <c r="G108" s="185"/>
      <c r="H108" s="185"/>
      <c r="I108" s="185"/>
      <c r="J108" s="185"/>
      <c r="K108" s="185"/>
      <c r="L108" s="185"/>
      <c r="M108" s="185"/>
      <c r="N108" s="185"/>
      <c r="O108" s="185"/>
      <c r="Q108" s="277">
        <v>18.5</v>
      </c>
      <c r="S108" s="291">
        <v>41654</v>
      </c>
      <c r="T108" s="279">
        <v>15</v>
      </c>
      <c r="AB108" s="289"/>
      <c r="AD108" s="277" t="e">
        <f>IF(#REF!=1/4/2013,1,0)</f>
        <v>#REF!</v>
      </c>
      <c r="AE108" s="277">
        <f>SUM(AE96:AE107)</f>
        <v>0</v>
      </c>
      <c r="AG108" s="277" t="e">
        <f>AVERAGE(#REF!,#REF!,#REF!,#REF!)</f>
        <v>#REF!</v>
      </c>
      <c r="AH108" s="277" t="s">
        <v>617</v>
      </c>
      <c r="AI108" s="185"/>
      <c r="AJ108" s="185"/>
    </row>
    <row r="109" spans="5:36" s="277" customFormat="1">
      <c r="E109" s="185"/>
      <c r="F109" s="185"/>
      <c r="G109" s="185"/>
      <c r="H109" s="185"/>
      <c r="I109" s="185"/>
      <c r="J109" s="185"/>
      <c r="K109" s="185"/>
      <c r="L109" s="185"/>
      <c r="M109" s="185"/>
      <c r="N109" s="185"/>
      <c r="O109" s="185"/>
      <c r="Q109" s="277">
        <v>19</v>
      </c>
      <c r="S109" s="291">
        <v>41655</v>
      </c>
      <c r="T109" s="279">
        <v>16</v>
      </c>
      <c r="AD109" s="277">
        <f>IF(C32=1/4/2013,1,0)</f>
        <v>0</v>
      </c>
      <c r="AE109" s="302">
        <f>AE108/30</f>
        <v>0</v>
      </c>
      <c r="AG109" s="277" t="e">
        <f>AVERAGE(#REF!,#REF!,#REF!,#REF!)</f>
        <v>#REF!</v>
      </c>
      <c r="AH109" s="277" t="s">
        <v>618</v>
      </c>
      <c r="AI109" s="185"/>
      <c r="AJ109" s="185"/>
    </row>
    <row r="110" spans="5:36" s="277" customFormat="1">
      <c r="E110" s="185"/>
      <c r="F110" s="185"/>
      <c r="G110" s="185"/>
      <c r="H110" s="185"/>
      <c r="I110" s="185"/>
      <c r="J110" s="185"/>
      <c r="K110" s="185"/>
      <c r="L110" s="185"/>
      <c r="M110" s="185"/>
      <c r="N110" s="185"/>
      <c r="O110" s="185"/>
      <c r="Q110" s="277">
        <v>19.5</v>
      </c>
      <c r="S110" s="291">
        <v>41656</v>
      </c>
      <c r="T110" s="279">
        <v>17</v>
      </c>
      <c r="AD110" s="277" t="e">
        <f>IF(#REF!=1/4/2013,1,0)</f>
        <v>#REF!</v>
      </c>
      <c r="AG110" s="277" t="e">
        <f>AVERAGE(#REF!,#REF!,#REF!,#REF!)</f>
        <v>#REF!</v>
      </c>
      <c r="AH110" s="277" t="s">
        <v>619</v>
      </c>
      <c r="AI110" s="185"/>
      <c r="AJ110" s="185"/>
    </row>
    <row r="111" spans="5:36" s="277" customFormat="1">
      <c r="E111" s="185"/>
      <c r="F111" s="185"/>
      <c r="G111" s="185"/>
      <c r="H111" s="185"/>
      <c r="I111" s="185"/>
      <c r="J111" s="185"/>
      <c r="K111" s="185"/>
      <c r="L111" s="185"/>
      <c r="M111" s="185"/>
      <c r="N111" s="185"/>
      <c r="O111" s="185"/>
      <c r="Q111" s="277">
        <v>20</v>
      </c>
      <c r="S111" s="291">
        <v>41657</v>
      </c>
      <c r="T111" s="279">
        <v>18</v>
      </c>
      <c r="AB111" s="277">
        <f>(MONTH(C12)-1)+(DAY(C12)/(DAY(DATE(YEAR(C12),MONTH(C12)+1,1)-1)))</f>
        <v>0</v>
      </c>
      <c r="AG111" s="290" t="e">
        <f>AVERAGE(#REF!)</f>
        <v>#REF!</v>
      </c>
      <c r="AH111" s="277" t="s">
        <v>620</v>
      </c>
      <c r="AI111" s="185"/>
      <c r="AJ111" s="185"/>
    </row>
    <row r="112" spans="5:36" s="277" customFormat="1">
      <c r="E112" s="185"/>
      <c r="F112" s="185"/>
      <c r="G112" s="185"/>
      <c r="H112" s="185"/>
      <c r="I112" s="185"/>
      <c r="J112" s="185"/>
      <c r="K112" s="185"/>
      <c r="L112" s="185"/>
      <c r="M112" s="185"/>
      <c r="N112" s="185"/>
      <c r="O112" s="185"/>
      <c r="Q112" s="277">
        <v>20.5</v>
      </c>
      <c r="S112" s="291">
        <v>41658</v>
      </c>
      <c r="T112" s="279">
        <v>19</v>
      </c>
      <c r="AD112" s="277">
        <f>IF(C34=1/4/2013,1,0)</f>
        <v>0</v>
      </c>
      <c r="AG112" s="289" t="e">
        <f>AG111*C32</f>
        <v>#REF!</v>
      </c>
      <c r="AI112" s="185"/>
      <c r="AJ112" s="185"/>
    </row>
    <row r="113" spans="5:36" s="277" customFormat="1">
      <c r="E113" s="185"/>
      <c r="F113" s="185"/>
      <c r="G113" s="185"/>
      <c r="H113" s="185"/>
      <c r="I113" s="185"/>
      <c r="J113" s="185"/>
      <c r="K113" s="185"/>
      <c r="L113" s="185"/>
      <c r="M113" s="185"/>
      <c r="N113" s="185"/>
      <c r="O113" s="185"/>
      <c r="Q113" s="277">
        <v>21</v>
      </c>
      <c r="S113" s="291">
        <v>41659</v>
      </c>
      <c r="T113" s="279">
        <v>20</v>
      </c>
      <c r="AB113" s="291"/>
      <c r="AD113" s="277">
        <f>IF(C35=1/4/2013,1,0)</f>
        <v>0</v>
      </c>
      <c r="AG113" s="277" t="e">
        <f>AVERAGE(#REF!,#REF!,#REF!,#REF!)</f>
        <v>#REF!</v>
      </c>
      <c r="AH113" s="277" t="s">
        <v>621</v>
      </c>
      <c r="AI113" s="185"/>
      <c r="AJ113" s="185"/>
    </row>
    <row r="114" spans="5:36" s="277" customFormat="1">
      <c r="E114" s="185"/>
      <c r="F114" s="185"/>
      <c r="G114" s="185"/>
      <c r="H114" s="185"/>
      <c r="I114" s="185"/>
      <c r="J114" s="185"/>
      <c r="K114" s="185"/>
      <c r="L114" s="185"/>
      <c r="M114" s="185"/>
      <c r="N114" s="185"/>
      <c r="O114" s="185"/>
      <c r="Q114" s="277">
        <v>21.5</v>
      </c>
      <c r="S114" s="291">
        <v>41660</v>
      </c>
      <c r="T114" s="279">
        <v>21</v>
      </c>
      <c r="AB114" s="289"/>
      <c r="AD114" s="277">
        <f>IF(C36=1/4/2013,1,0)</f>
        <v>0</v>
      </c>
      <c r="AG114" s="277">
        <f>IF(F13="Weekly",(AG108*52)/12,0)</f>
        <v>0</v>
      </c>
      <c r="AH114" s="1084" t="s">
        <v>622</v>
      </c>
      <c r="AI114" s="185"/>
      <c r="AJ114" s="185"/>
    </row>
    <row r="115" spans="5:36" s="277" customFormat="1">
      <c r="E115" s="185"/>
      <c r="F115" s="185"/>
      <c r="G115" s="185"/>
      <c r="H115" s="185"/>
      <c r="I115" s="185"/>
      <c r="J115" s="185"/>
      <c r="K115" s="185"/>
      <c r="L115" s="185"/>
      <c r="M115" s="185"/>
      <c r="N115" s="185"/>
      <c r="O115" s="185"/>
      <c r="Q115" s="277">
        <v>22</v>
      </c>
      <c r="S115" s="291">
        <v>41661</v>
      </c>
      <c r="T115" s="279">
        <v>22</v>
      </c>
      <c r="AB115" s="289"/>
      <c r="AD115" s="277" t="e">
        <f>IF(#REF!=1/4/2013,1,0)</f>
        <v>#REF!</v>
      </c>
      <c r="AG115" s="277" t="e">
        <f>IF(F14="Bi-Weekly",(AG108*26)/12,0)</f>
        <v>#REF!</v>
      </c>
      <c r="AH115" s="1084"/>
      <c r="AI115" s="185"/>
      <c r="AJ115" s="185"/>
    </row>
    <row r="116" spans="5:36" s="277" customFormat="1">
      <c r="E116" s="185"/>
      <c r="F116" s="185"/>
      <c r="G116" s="185"/>
      <c r="H116" s="185"/>
      <c r="I116" s="185"/>
      <c r="J116" s="185"/>
      <c r="K116" s="185"/>
      <c r="L116" s="185"/>
      <c r="M116" s="185"/>
      <c r="N116" s="185"/>
      <c r="O116" s="185"/>
      <c r="Q116" s="277">
        <v>22.5</v>
      </c>
      <c r="S116" s="291">
        <v>41662</v>
      </c>
      <c r="T116" s="279">
        <v>23</v>
      </c>
      <c r="AB116" s="289"/>
      <c r="AD116" s="277" t="e">
        <f>IF(#REF!=1/4/2013,1,0)</f>
        <v>#REF!</v>
      </c>
      <c r="AG116" s="277">
        <f>IF(F15="Semi-Monthly",(AG108*24)/12,0)</f>
        <v>0</v>
      </c>
      <c r="AH116" s="1084"/>
      <c r="AI116" s="185"/>
      <c r="AJ116" s="185"/>
    </row>
    <row r="117" spans="5:36" s="277" customFormat="1">
      <c r="E117" s="185"/>
      <c r="F117" s="185"/>
      <c r="G117" s="185"/>
      <c r="H117" s="185"/>
      <c r="I117" s="185"/>
      <c r="J117" s="185"/>
      <c r="K117" s="185"/>
      <c r="L117" s="185"/>
      <c r="M117" s="185"/>
      <c r="N117" s="185"/>
      <c r="O117" s="185"/>
      <c r="Q117" s="277">
        <v>23</v>
      </c>
      <c r="S117" s="291">
        <v>41663</v>
      </c>
      <c r="T117" s="279">
        <v>24</v>
      </c>
      <c r="AB117" s="289"/>
      <c r="AD117" s="277" t="e">
        <f>IF(#REF!=1/4/2013,1,0)</f>
        <v>#REF!</v>
      </c>
      <c r="AG117" s="277">
        <f>IF(F16="Monthly",(AG108*12)/12,0)</f>
        <v>0</v>
      </c>
      <c r="AH117" s="1084"/>
      <c r="AI117" s="185"/>
      <c r="AJ117" s="185"/>
    </row>
    <row r="118" spans="5:36" s="277" customFormat="1">
      <c r="E118" s="185"/>
      <c r="F118" s="185"/>
      <c r="G118" s="185"/>
      <c r="H118" s="185"/>
      <c r="I118" s="185"/>
      <c r="J118" s="185"/>
      <c r="K118" s="185"/>
      <c r="L118" s="185"/>
      <c r="M118" s="185"/>
      <c r="N118" s="185"/>
      <c r="O118" s="185"/>
      <c r="Q118" s="277">
        <v>23.5</v>
      </c>
      <c r="S118" s="291">
        <v>41664</v>
      </c>
      <c r="T118" s="279">
        <v>25</v>
      </c>
      <c r="AB118" s="289"/>
      <c r="AD118" s="277" t="e">
        <f>IF(#REF!=1/4/2013,1,0)</f>
        <v>#REF!</v>
      </c>
      <c r="AG118" s="277">
        <f>IF(F13="Weekly",(AG109*52)/12,0)</f>
        <v>0</v>
      </c>
      <c r="AH118" s="1084" t="s">
        <v>623</v>
      </c>
      <c r="AI118" s="185"/>
      <c r="AJ118" s="185"/>
    </row>
    <row r="119" spans="5:36" s="277" customFormat="1">
      <c r="E119" s="185"/>
      <c r="F119" s="185"/>
      <c r="G119" s="185"/>
      <c r="H119" s="185"/>
      <c r="I119" s="185"/>
      <c r="J119" s="185"/>
      <c r="K119" s="185"/>
      <c r="L119" s="185"/>
      <c r="M119" s="185"/>
      <c r="N119" s="185"/>
      <c r="O119" s="185"/>
      <c r="Q119" s="277">
        <v>24</v>
      </c>
      <c r="S119" s="291">
        <v>41665</v>
      </c>
      <c r="T119" s="279">
        <v>26</v>
      </c>
      <c r="AB119" s="303"/>
      <c r="AD119" s="277">
        <f>IF(C38=1/4/2013,1,0)</f>
        <v>0</v>
      </c>
      <c r="AG119" s="277" t="e">
        <f>IF(F14="Bi-Weekly",(AG109*26)/12,0)</f>
        <v>#REF!</v>
      </c>
      <c r="AH119" s="1084"/>
      <c r="AI119" s="185"/>
      <c r="AJ119" s="185"/>
    </row>
    <row r="120" spans="5:36" s="277" customFormat="1">
      <c r="E120" s="185"/>
      <c r="F120" s="185"/>
      <c r="G120" s="185"/>
      <c r="H120" s="185"/>
      <c r="I120" s="185"/>
      <c r="J120" s="185"/>
      <c r="K120" s="185"/>
      <c r="L120" s="185"/>
      <c r="M120" s="185"/>
      <c r="N120" s="185"/>
      <c r="O120" s="185"/>
      <c r="Q120" s="277">
        <v>24.5</v>
      </c>
      <c r="S120" s="291">
        <v>41666</v>
      </c>
      <c r="T120" s="279">
        <v>27</v>
      </c>
      <c r="AB120" s="303"/>
      <c r="AD120" s="277">
        <f>IF(C39=1/4/2013,1,0)</f>
        <v>0</v>
      </c>
      <c r="AG120" s="277">
        <f>IF(F15="Semi-Monthly",(AG109*24)/12,0)</f>
        <v>0</v>
      </c>
      <c r="AH120" s="1084"/>
      <c r="AI120" s="185"/>
      <c r="AJ120" s="185"/>
    </row>
    <row r="121" spans="5:36" s="277" customFormat="1">
      <c r="E121" s="185"/>
      <c r="F121" s="185"/>
      <c r="G121" s="185"/>
      <c r="H121" s="185"/>
      <c r="I121" s="185"/>
      <c r="J121" s="185"/>
      <c r="K121" s="185"/>
      <c r="L121" s="185"/>
      <c r="M121" s="185"/>
      <c r="N121" s="185"/>
      <c r="O121" s="185"/>
      <c r="Q121" s="277">
        <v>25</v>
      </c>
      <c r="S121" s="291">
        <v>41667</v>
      </c>
      <c r="T121" s="279">
        <v>28</v>
      </c>
      <c r="AB121" s="303"/>
      <c r="AD121" s="277" t="e">
        <f>IF(#REF!=1/4/2013,1,0)</f>
        <v>#REF!</v>
      </c>
      <c r="AG121" s="277">
        <f>IF(F16="Monthly",(AG109*12)/12,0)</f>
        <v>0</v>
      </c>
      <c r="AH121" s="1084"/>
      <c r="AI121" s="185"/>
      <c r="AJ121" s="185"/>
    </row>
    <row r="122" spans="5:36" s="277" customFormat="1">
      <c r="E122" s="185"/>
      <c r="F122" s="185"/>
      <c r="G122" s="185"/>
      <c r="H122" s="185"/>
      <c r="I122" s="185"/>
      <c r="J122" s="185"/>
      <c r="K122" s="185"/>
      <c r="L122" s="185"/>
      <c r="M122" s="185"/>
      <c r="N122" s="185"/>
      <c r="O122" s="185"/>
      <c r="Q122" s="277">
        <v>25.5</v>
      </c>
      <c r="S122" s="291">
        <v>41668</v>
      </c>
      <c r="T122" s="279">
        <v>29</v>
      </c>
      <c r="AB122" s="303"/>
      <c r="AD122" s="277">
        <f>IF(Q79=1/4/2013,1,0)</f>
        <v>0</v>
      </c>
      <c r="AG122" s="277">
        <f>IF(F13="Weekly",(AG110*52)/12,0)</f>
        <v>0</v>
      </c>
      <c r="AH122" s="1084" t="s">
        <v>624</v>
      </c>
      <c r="AI122" s="185"/>
      <c r="AJ122" s="185"/>
    </row>
    <row r="123" spans="5:36" s="277" customFormat="1">
      <c r="E123" s="185"/>
      <c r="F123" s="185"/>
      <c r="G123" s="185"/>
      <c r="H123" s="185"/>
      <c r="I123" s="185"/>
      <c r="J123" s="185"/>
      <c r="K123" s="185"/>
      <c r="L123" s="185"/>
      <c r="M123" s="185"/>
      <c r="N123" s="185"/>
      <c r="O123" s="185"/>
      <c r="Q123" s="277">
        <v>26</v>
      </c>
      <c r="S123" s="291">
        <v>41669</v>
      </c>
      <c r="T123" s="279">
        <v>30</v>
      </c>
      <c r="AB123" s="289"/>
      <c r="AG123" s="277" t="e">
        <f>IF(F14="Bi-Weekly",(AG110*26)/12,0)</f>
        <v>#REF!</v>
      </c>
      <c r="AH123" s="1084"/>
      <c r="AI123" s="185"/>
      <c r="AJ123" s="185"/>
    </row>
    <row r="124" spans="5:36" s="277" customFormat="1">
      <c r="E124" s="185"/>
      <c r="F124" s="185"/>
      <c r="G124" s="185"/>
      <c r="H124" s="185"/>
      <c r="I124" s="185"/>
      <c r="J124" s="185"/>
      <c r="K124" s="185"/>
      <c r="L124" s="185"/>
      <c r="M124" s="185"/>
      <c r="N124" s="185"/>
      <c r="O124" s="185"/>
      <c r="Q124" s="277">
        <v>26.5</v>
      </c>
      <c r="S124" s="291">
        <v>41670</v>
      </c>
      <c r="T124" s="279">
        <v>31</v>
      </c>
      <c r="AB124" s="289"/>
      <c r="AG124" s="277">
        <f>IF(F15="Semi-Monthly",(AG110*24)/12,0)</f>
        <v>0</v>
      </c>
      <c r="AH124" s="1084"/>
      <c r="AI124" s="185"/>
      <c r="AJ124" s="185"/>
    </row>
    <row r="125" spans="5:36" s="277" customFormat="1">
      <c r="E125" s="185"/>
      <c r="F125" s="185"/>
      <c r="G125" s="185"/>
      <c r="H125" s="185"/>
      <c r="I125" s="185"/>
      <c r="J125" s="185"/>
      <c r="K125" s="185"/>
      <c r="L125" s="185"/>
      <c r="M125" s="185"/>
      <c r="N125" s="185"/>
      <c r="O125" s="185"/>
      <c r="Q125" s="277">
        <v>27</v>
      </c>
      <c r="S125" s="291">
        <v>41671</v>
      </c>
      <c r="T125" s="279">
        <v>32</v>
      </c>
      <c r="AB125" s="289"/>
      <c r="AG125" s="277">
        <f>IF(F16="Monthly",(AG110*12)/12,0)</f>
        <v>0</v>
      </c>
      <c r="AH125" s="1084"/>
      <c r="AI125" s="185"/>
      <c r="AJ125" s="185"/>
    </row>
    <row r="126" spans="5:36" s="277" customFormat="1">
      <c r="E126" s="185"/>
      <c r="F126" s="185"/>
      <c r="G126" s="185"/>
      <c r="H126" s="185"/>
      <c r="I126" s="185"/>
      <c r="J126" s="185"/>
      <c r="K126" s="185"/>
      <c r="L126" s="185"/>
      <c r="M126" s="185"/>
      <c r="N126" s="185"/>
      <c r="O126" s="185"/>
      <c r="Q126" s="277">
        <v>27.5</v>
      </c>
      <c r="S126" s="291">
        <v>41672</v>
      </c>
      <c r="T126" s="279">
        <v>33</v>
      </c>
      <c r="AB126" s="289"/>
      <c r="AG126" s="277">
        <f>IF(F13="Weekly",(AG113*52)/12,0)</f>
        <v>0</v>
      </c>
      <c r="AH126" s="1084" t="s">
        <v>625</v>
      </c>
      <c r="AI126" s="185"/>
      <c r="AJ126" s="185"/>
    </row>
    <row r="127" spans="5:36" s="277" customFormat="1">
      <c r="E127" s="185"/>
      <c r="F127" s="185"/>
      <c r="G127" s="185"/>
      <c r="H127" s="185"/>
      <c r="I127" s="185"/>
      <c r="J127" s="185"/>
      <c r="K127" s="185"/>
      <c r="L127" s="185"/>
      <c r="M127" s="185"/>
      <c r="N127" s="185"/>
      <c r="O127" s="185"/>
      <c r="Q127" s="277">
        <v>28</v>
      </c>
      <c r="S127" s="291">
        <v>41673</v>
      </c>
      <c r="T127" s="279">
        <v>34</v>
      </c>
      <c r="AB127" s="289"/>
      <c r="AG127" s="277" t="e">
        <f>IF(F14="Bi-Weekly",(AG113*26)/12,0)</f>
        <v>#REF!</v>
      </c>
      <c r="AH127" s="1084"/>
      <c r="AI127" s="185"/>
      <c r="AJ127" s="185"/>
    </row>
    <row r="128" spans="5:36" s="277" customFormat="1">
      <c r="E128" s="185"/>
      <c r="F128" s="185"/>
      <c r="G128" s="185"/>
      <c r="H128" s="185"/>
      <c r="I128" s="185"/>
      <c r="J128" s="185"/>
      <c r="K128" s="185"/>
      <c r="L128" s="185"/>
      <c r="M128" s="185"/>
      <c r="N128" s="185"/>
      <c r="O128" s="185"/>
      <c r="Q128" s="277">
        <v>28.5</v>
      </c>
      <c r="S128" s="291">
        <v>41674</v>
      </c>
      <c r="T128" s="279">
        <v>35</v>
      </c>
      <c r="AB128" s="289"/>
      <c r="AG128" s="277">
        <f>IF(F15="Semi-Monthly",(AG113*24)/12,0)</f>
        <v>0</v>
      </c>
      <c r="AH128" s="1084"/>
      <c r="AI128" s="185"/>
      <c r="AJ128" s="185"/>
    </row>
    <row r="129" spans="5:36" s="277" customFormat="1">
      <c r="E129" s="185"/>
      <c r="F129" s="185"/>
      <c r="G129" s="185"/>
      <c r="H129" s="185"/>
      <c r="I129" s="185"/>
      <c r="J129" s="185"/>
      <c r="K129" s="185"/>
      <c r="L129" s="185"/>
      <c r="M129" s="185"/>
      <c r="N129" s="185"/>
      <c r="O129" s="185"/>
      <c r="Q129" s="277">
        <v>29</v>
      </c>
      <c r="S129" s="291">
        <v>41675</v>
      </c>
      <c r="T129" s="279">
        <v>36</v>
      </c>
      <c r="AB129" s="289"/>
      <c r="AG129" s="277">
        <f>IF(F16="Monthly",(AG113*12)/12,0)</f>
        <v>0</v>
      </c>
      <c r="AH129" s="1084"/>
      <c r="AI129" s="185"/>
      <c r="AJ129" s="185"/>
    </row>
    <row r="130" spans="5:36" s="277" customFormat="1">
      <c r="E130" s="185"/>
      <c r="F130" s="185"/>
      <c r="G130" s="185"/>
      <c r="H130" s="185"/>
      <c r="I130" s="185"/>
      <c r="J130" s="185"/>
      <c r="K130" s="185"/>
      <c r="L130" s="185"/>
      <c r="M130" s="185"/>
      <c r="N130" s="185"/>
      <c r="O130" s="185"/>
      <c r="Q130" s="277">
        <v>29.5</v>
      </c>
      <c r="S130" s="291">
        <v>41676</v>
      </c>
      <c r="T130" s="279">
        <v>37</v>
      </c>
      <c r="AB130" s="289"/>
      <c r="AG130" s="277" t="e">
        <f>AG114+AG115+AG116+AG117</f>
        <v>#REF!</v>
      </c>
      <c r="AH130" s="277" t="s">
        <v>626</v>
      </c>
      <c r="AI130" s="185"/>
      <c r="AJ130" s="185"/>
    </row>
    <row r="131" spans="5:36" s="277" customFormat="1">
      <c r="E131" s="185"/>
      <c r="F131" s="185"/>
      <c r="G131" s="185"/>
      <c r="H131" s="185"/>
      <c r="I131" s="185"/>
      <c r="J131" s="185"/>
      <c r="K131" s="185"/>
      <c r="L131" s="185"/>
      <c r="M131" s="185"/>
      <c r="N131" s="185"/>
      <c r="O131" s="185"/>
      <c r="Q131" s="277">
        <v>30</v>
      </c>
      <c r="S131" s="291">
        <v>41677</v>
      </c>
      <c r="T131" s="279">
        <v>38</v>
      </c>
      <c r="AB131" s="289"/>
      <c r="AG131" s="277" t="e">
        <f>AG118+AG119+AG120+AG121</f>
        <v>#REF!</v>
      </c>
      <c r="AH131" s="277" t="s">
        <v>627</v>
      </c>
      <c r="AI131" s="185"/>
      <c r="AJ131" s="185"/>
    </row>
    <row r="132" spans="5:36" s="277" customFormat="1">
      <c r="E132" s="185"/>
      <c r="F132" s="185"/>
      <c r="G132" s="185"/>
      <c r="H132" s="185"/>
      <c r="I132" s="185"/>
      <c r="J132" s="185"/>
      <c r="K132" s="185"/>
      <c r="L132" s="185"/>
      <c r="M132" s="185"/>
      <c r="N132" s="185"/>
      <c r="O132" s="185"/>
      <c r="Q132" s="277">
        <v>30.5</v>
      </c>
      <c r="S132" s="291">
        <v>41678</v>
      </c>
      <c r="T132" s="279">
        <v>39</v>
      </c>
      <c r="AB132" s="289"/>
      <c r="AG132" s="277" t="e">
        <f>AG122+AG123+AG124+AG125</f>
        <v>#REF!</v>
      </c>
      <c r="AH132" s="277" t="s">
        <v>628</v>
      </c>
      <c r="AI132" s="185"/>
      <c r="AJ132" s="185"/>
    </row>
    <row r="133" spans="5:36" s="277" customFormat="1">
      <c r="E133" s="185"/>
      <c r="F133" s="185"/>
      <c r="G133" s="185"/>
      <c r="H133" s="185"/>
      <c r="I133" s="185"/>
      <c r="J133" s="185"/>
      <c r="K133" s="185"/>
      <c r="L133" s="185"/>
      <c r="M133" s="185"/>
      <c r="N133" s="185"/>
      <c r="O133" s="185"/>
      <c r="Q133" s="277">
        <v>31</v>
      </c>
      <c r="S133" s="291">
        <v>41679</v>
      </c>
      <c r="T133" s="279">
        <v>40</v>
      </c>
      <c r="AB133" s="289"/>
      <c r="AG133" s="277" t="e">
        <f>AG126+AG127+AG128+AG129</f>
        <v>#REF!</v>
      </c>
      <c r="AH133" s="277" t="s">
        <v>629</v>
      </c>
      <c r="AI133" s="185"/>
      <c r="AJ133" s="185"/>
    </row>
    <row r="134" spans="5:36" s="277" customFormat="1">
      <c r="E134" s="185"/>
      <c r="F134" s="185"/>
      <c r="G134" s="185"/>
      <c r="H134" s="185"/>
      <c r="I134" s="185"/>
      <c r="J134" s="185"/>
      <c r="K134" s="185"/>
      <c r="L134" s="185"/>
      <c r="M134" s="185"/>
      <c r="N134" s="185"/>
      <c r="O134" s="185"/>
      <c r="Q134" s="277">
        <v>31.5</v>
      </c>
      <c r="S134" s="291">
        <v>41680</v>
      </c>
      <c r="T134" s="279">
        <v>41</v>
      </c>
      <c r="AB134" s="289"/>
      <c r="AG134" s="289">
        <f>SUM(AG96:AG101)</f>
        <v>0</v>
      </c>
      <c r="AH134" s="277" t="s">
        <v>630</v>
      </c>
      <c r="AI134" s="185"/>
      <c r="AJ134" s="185"/>
    </row>
    <row r="135" spans="5:36" s="277" customFormat="1">
      <c r="E135" s="185"/>
      <c r="F135" s="185"/>
      <c r="G135" s="185"/>
      <c r="H135" s="185"/>
      <c r="I135" s="185"/>
      <c r="J135" s="185"/>
      <c r="K135" s="185"/>
      <c r="L135" s="185"/>
      <c r="M135" s="185"/>
      <c r="N135" s="185"/>
      <c r="O135" s="185"/>
      <c r="Q135" s="277">
        <v>32</v>
      </c>
      <c r="S135" s="291">
        <v>41681</v>
      </c>
      <c r="T135" s="279">
        <v>42</v>
      </c>
      <c r="AB135" s="289"/>
      <c r="AG135" s="277" t="e">
        <f>SUM(AG102,AG105,AG106,AG107)</f>
        <v>#REF!</v>
      </c>
      <c r="AH135" s="277" t="s">
        <v>620</v>
      </c>
      <c r="AI135" s="185"/>
      <c r="AJ135" s="185"/>
    </row>
    <row r="136" spans="5:36" s="277" customFormat="1">
      <c r="E136" s="185"/>
      <c r="F136" s="185"/>
      <c r="G136" s="185"/>
      <c r="H136" s="185"/>
      <c r="I136" s="185"/>
      <c r="J136" s="185"/>
      <c r="K136" s="185"/>
      <c r="L136" s="185"/>
      <c r="M136" s="185"/>
      <c r="N136" s="185"/>
      <c r="O136" s="185"/>
      <c r="Q136" s="277">
        <v>32.5</v>
      </c>
      <c r="S136" s="291">
        <v>41682</v>
      </c>
      <c r="T136" s="279">
        <v>43</v>
      </c>
      <c r="AB136" s="289"/>
      <c r="AG136" s="277" t="e">
        <f>IF(#REF!&gt;#REF!,#REF!,#REF!)</f>
        <v>#REF!</v>
      </c>
      <c r="AH136" s="277" t="s">
        <v>631</v>
      </c>
      <c r="AI136" s="185"/>
      <c r="AJ136" s="185"/>
    </row>
    <row r="137" spans="5:36" s="277" customFormat="1">
      <c r="E137" s="185"/>
      <c r="F137" s="185"/>
      <c r="G137" s="185"/>
      <c r="H137" s="185"/>
      <c r="I137" s="185"/>
      <c r="J137" s="185"/>
      <c r="K137" s="185"/>
      <c r="L137" s="185"/>
      <c r="M137" s="185"/>
      <c r="N137" s="185"/>
      <c r="O137" s="185"/>
      <c r="Q137" s="277">
        <v>33</v>
      </c>
      <c r="S137" s="291">
        <v>41683</v>
      </c>
      <c r="T137" s="279">
        <v>44</v>
      </c>
      <c r="AB137" s="289"/>
      <c r="AG137" s="277" t="e">
        <f>IF(AG136&gt;#REF!,#REF!,AG136)</f>
        <v>#REF!</v>
      </c>
      <c r="AI137" s="185"/>
      <c r="AJ137" s="185"/>
    </row>
    <row r="138" spans="5:36" s="277" customFormat="1">
      <c r="E138" s="185"/>
      <c r="F138" s="185"/>
      <c r="G138" s="185"/>
      <c r="H138" s="185"/>
      <c r="I138" s="185"/>
      <c r="J138" s="185"/>
      <c r="K138" s="185"/>
      <c r="L138" s="185"/>
      <c r="M138" s="185"/>
      <c r="N138" s="185"/>
      <c r="O138" s="185"/>
      <c r="Q138" s="277">
        <v>33.5</v>
      </c>
      <c r="S138" s="291">
        <v>41684</v>
      </c>
      <c r="T138" s="279">
        <v>45</v>
      </c>
      <c r="AB138" s="289"/>
      <c r="AG138" s="277" t="e">
        <f>IF(#REF!&gt;#REF!,#REF!,#REF!)</f>
        <v>#REF!</v>
      </c>
      <c r="AH138" s="277" t="s">
        <v>632</v>
      </c>
      <c r="AI138" s="185"/>
      <c r="AJ138" s="185"/>
    </row>
    <row r="139" spans="5:36" s="277" customFormat="1">
      <c r="E139" s="185"/>
      <c r="F139" s="185"/>
      <c r="G139" s="185"/>
      <c r="H139" s="185"/>
      <c r="I139" s="185"/>
      <c r="J139" s="185"/>
      <c r="K139" s="185"/>
      <c r="L139" s="185"/>
      <c r="M139" s="185"/>
      <c r="N139" s="185"/>
      <c r="O139" s="185"/>
      <c r="Q139" s="277">
        <v>34</v>
      </c>
      <c r="S139" s="291">
        <v>41685</v>
      </c>
      <c r="T139" s="279">
        <v>46</v>
      </c>
      <c r="AB139" s="289"/>
      <c r="AG139" s="277" t="e">
        <f>IF(Q74&gt;AG138,AG138,Q74)</f>
        <v>#REF!</v>
      </c>
      <c r="AI139" s="185"/>
      <c r="AJ139" s="185"/>
    </row>
    <row r="140" spans="5:36" s="277" customFormat="1">
      <c r="E140" s="185"/>
      <c r="F140" s="185"/>
      <c r="G140" s="185"/>
      <c r="H140" s="185"/>
      <c r="I140" s="185"/>
      <c r="J140" s="185"/>
      <c r="K140" s="185"/>
      <c r="L140" s="185"/>
      <c r="M140" s="185"/>
      <c r="N140" s="185"/>
      <c r="O140" s="185"/>
      <c r="Q140" s="277">
        <v>34.5</v>
      </c>
      <c r="S140" s="291">
        <v>41686</v>
      </c>
      <c r="T140" s="279">
        <v>47</v>
      </c>
      <c r="AB140" s="289"/>
      <c r="AG140" s="277" t="e">
        <f>IF(#REF!&gt;#REF!,#REF!,#REF!)</f>
        <v>#REF!</v>
      </c>
      <c r="AH140" s="277" t="s">
        <v>633</v>
      </c>
      <c r="AI140" s="185"/>
      <c r="AJ140" s="185"/>
    </row>
    <row r="141" spans="5:36" s="277" customFormat="1">
      <c r="E141" s="185"/>
      <c r="F141" s="185"/>
      <c r="G141" s="185"/>
      <c r="H141" s="185"/>
      <c r="I141" s="185"/>
      <c r="J141" s="185"/>
      <c r="K141" s="185"/>
      <c r="L141" s="185"/>
      <c r="M141" s="185"/>
      <c r="N141" s="185"/>
      <c r="O141" s="185"/>
      <c r="Q141" s="277">
        <v>35</v>
      </c>
      <c r="S141" s="291">
        <v>41687</v>
      </c>
      <c r="T141" s="279">
        <v>48</v>
      </c>
      <c r="AB141" s="289"/>
      <c r="AG141" s="277" t="e">
        <f>IF(#REF!&gt;AG140,AG140,#REF!)</f>
        <v>#REF!</v>
      </c>
      <c r="AI141" s="185"/>
      <c r="AJ141" s="185"/>
    </row>
    <row r="142" spans="5:36" s="277" customFormat="1">
      <c r="E142" s="185"/>
      <c r="F142" s="185"/>
      <c r="G142" s="185"/>
      <c r="H142" s="185"/>
      <c r="I142" s="185"/>
      <c r="J142" s="185"/>
      <c r="K142" s="185"/>
      <c r="L142" s="185"/>
      <c r="M142" s="185"/>
      <c r="N142" s="185"/>
      <c r="O142" s="185"/>
      <c r="Q142" s="277">
        <v>35.5</v>
      </c>
      <c r="S142" s="291">
        <v>41688</v>
      </c>
      <c r="T142" s="279">
        <v>49</v>
      </c>
      <c r="AB142" s="289"/>
      <c r="AG142" s="277" t="e">
        <f>IF(#REF!&gt;#REF!,#REF!,#REF!)</f>
        <v>#REF!</v>
      </c>
      <c r="AH142" s="277" t="s">
        <v>634</v>
      </c>
      <c r="AI142" s="185"/>
      <c r="AJ142" s="185"/>
    </row>
    <row r="143" spans="5:36" s="277" customFormat="1">
      <c r="E143" s="185"/>
      <c r="F143" s="185"/>
      <c r="G143" s="185"/>
      <c r="H143" s="185"/>
      <c r="I143" s="185"/>
      <c r="J143" s="185"/>
      <c r="K143" s="185"/>
      <c r="L143" s="185"/>
      <c r="M143" s="185"/>
      <c r="N143" s="185"/>
      <c r="O143" s="185"/>
      <c r="Q143" s="277">
        <v>36</v>
      </c>
      <c r="S143" s="291">
        <v>41689</v>
      </c>
      <c r="T143" s="279">
        <v>50</v>
      </c>
      <c r="AB143" s="289"/>
      <c r="AG143" s="277" t="e">
        <f>IF(#REF!&gt;AG142,AG142,#REF!)</f>
        <v>#REF!</v>
      </c>
      <c r="AI143" s="185"/>
      <c r="AJ143" s="185"/>
    </row>
    <row r="144" spans="5:36" s="277" customFormat="1">
      <c r="E144" s="185"/>
      <c r="F144" s="185"/>
      <c r="G144" s="185"/>
      <c r="H144" s="185"/>
      <c r="I144" s="185"/>
      <c r="J144" s="185"/>
      <c r="K144" s="185"/>
      <c r="L144" s="185"/>
      <c r="M144" s="185"/>
      <c r="N144" s="185"/>
      <c r="O144" s="185"/>
      <c r="S144" s="291">
        <v>41690</v>
      </c>
      <c r="T144" s="279">
        <v>51</v>
      </c>
      <c r="AB144" s="289"/>
      <c r="AI144" s="185"/>
      <c r="AJ144" s="185"/>
    </row>
    <row r="145" spans="5:36" s="277" customFormat="1">
      <c r="E145" s="185"/>
      <c r="F145" s="185"/>
      <c r="G145" s="185"/>
      <c r="H145" s="185"/>
      <c r="I145" s="185"/>
      <c r="J145" s="185"/>
      <c r="K145" s="185"/>
      <c r="L145" s="185"/>
      <c r="M145" s="185"/>
      <c r="N145" s="185"/>
      <c r="O145" s="185"/>
      <c r="S145" s="291">
        <v>41691</v>
      </c>
      <c r="T145" s="279">
        <v>52</v>
      </c>
      <c r="AB145" s="289"/>
      <c r="AI145" s="185"/>
      <c r="AJ145" s="185"/>
    </row>
    <row r="146" spans="5:36" s="277" customFormat="1">
      <c r="E146" s="185"/>
      <c r="F146" s="185"/>
      <c r="G146" s="185"/>
      <c r="H146" s="185"/>
      <c r="I146" s="185"/>
      <c r="J146" s="185"/>
      <c r="K146" s="185"/>
      <c r="L146" s="185"/>
      <c r="M146" s="185"/>
      <c r="N146" s="185"/>
      <c r="O146" s="185"/>
      <c r="S146" s="291">
        <v>41692</v>
      </c>
      <c r="T146" s="279">
        <v>53</v>
      </c>
      <c r="AI146" s="185"/>
      <c r="AJ146" s="185"/>
    </row>
    <row r="147" spans="5:36" s="277" customFormat="1">
      <c r="E147" s="185"/>
      <c r="F147" s="185"/>
      <c r="G147" s="185"/>
      <c r="H147" s="185"/>
      <c r="I147" s="185"/>
      <c r="J147" s="185"/>
      <c r="K147" s="185"/>
      <c r="L147" s="185"/>
      <c r="M147" s="185"/>
      <c r="N147" s="185"/>
      <c r="O147" s="185"/>
      <c r="S147" s="291">
        <v>41693</v>
      </c>
      <c r="T147" s="279">
        <v>54</v>
      </c>
      <c r="AI147" s="185"/>
      <c r="AJ147" s="185"/>
    </row>
    <row r="148" spans="5:36" s="277" customFormat="1">
      <c r="E148" s="185"/>
      <c r="F148" s="185"/>
      <c r="G148" s="185"/>
      <c r="H148" s="185"/>
      <c r="I148" s="185"/>
      <c r="J148" s="185"/>
      <c r="K148" s="185"/>
      <c r="L148" s="185"/>
      <c r="M148" s="185"/>
      <c r="N148" s="185"/>
      <c r="O148" s="185"/>
      <c r="S148" s="291">
        <v>41694</v>
      </c>
      <c r="T148" s="279">
        <v>55</v>
      </c>
      <c r="AI148" s="185"/>
      <c r="AJ148" s="185"/>
    </row>
    <row r="149" spans="5:36" s="277" customFormat="1">
      <c r="E149" s="185"/>
      <c r="F149" s="185"/>
      <c r="G149" s="185"/>
      <c r="H149" s="185"/>
      <c r="I149" s="185"/>
      <c r="J149" s="185"/>
      <c r="K149" s="185"/>
      <c r="L149" s="185"/>
      <c r="M149" s="185"/>
      <c r="N149" s="185"/>
      <c r="O149" s="185"/>
      <c r="S149" s="291">
        <v>41695</v>
      </c>
      <c r="T149" s="279">
        <v>56</v>
      </c>
      <c r="AI149" s="185"/>
      <c r="AJ149" s="185"/>
    </row>
    <row r="150" spans="5:36" s="277" customFormat="1">
      <c r="E150" s="185"/>
      <c r="F150" s="185"/>
      <c r="G150" s="185"/>
      <c r="H150" s="185"/>
      <c r="I150" s="185"/>
      <c r="J150" s="185"/>
      <c r="K150" s="185"/>
      <c r="L150" s="185"/>
      <c r="M150" s="185"/>
      <c r="N150" s="185"/>
      <c r="O150" s="185"/>
      <c r="S150" s="291">
        <v>41696</v>
      </c>
      <c r="T150" s="279">
        <v>57</v>
      </c>
      <c r="AI150" s="185"/>
      <c r="AJ150" s="185"/>
    </row>
    <row r="151" spans="5:36" s="277" customFormat="1">
      <c r="E151" s="185"/>
      <c r="F151" s="185"/>
      <c r="G151" s="185"/>
      <c r="H151" s="185"/>
      <c r="I151" s="185"/>
      <c r="J151" s="185"/>
      <c r="K151" s="185"/>
      <c r="L151" s="185"/>
      <c r="M151" s="185"/>
      <c r="N151" s="185"/>
      <c r="O151" s="185"/>
      <c r="S151" s="291">
        <v>41697</v>
      </c>
      <c r="T151" s="279">
        <v>58</v>
      </c>
      <c r="AI151" s="185"/>
      <c r="AJ151" s="185"/>
    </row>
    <row r="152" spans="5:36" s="277" customFormat="1">
      <c r="E152" s="185"/>
      <c r="F152" s="185"/>
      <c r="G152" s="185"/>
      <c r="H152" s="185"/>
      <c r="I152" s="185"/>
      <c r="J152" s="185"/>
      <c r="K152" s="185"/>
      <c r="L152" s="185"/>
      <c r="M152" s="185"/>
      <c r="N152" s="185"/>
      <c r="O152" s="185"/>
      <c r="S152" s="291">
        <v>41698</v>
      </c>
      <c r="T152" s="279">
        <v>59</v>
      </c>
      <c r="AI152" s="185"/>
      <c r="AJ152" s="185"/>
    </row>
    <row r="153" spans="5:36" s="277" customFormat="1">
      <c r="E153" s="185"/>
      <c r="F153" s="185"/>
      <c r="G153" s="185"/>
      <c r="H153" s="185"/>
      <c r="I153" s="185"/>
      <c r="J153" s="185"/>
      <c r="K153" s="185"/>
      <c r="L153" s="185"/>
      <c r="M153" s="185"/>
      <c r="N153" s="185"/>
      <c r="O153" s="185"/>
      <c r="S153" s="291">
        <v>41699</v>
      </c>
      <c r="T153" s="279">
        <v>60</v>
      </c>
      <c r="AI153" s="185"/>
      <c r="AJ153" s="185"/>
    </row>
    <row r="154" spans="5:36" s="277" customFormat="1">
      <c r="E154" s="185"/>
      <c r="F154" s="185"/>
      <c r="G154" s="185"/>
      <c r="H154" s="185"/>
      <c r="I154" s="185"/>
      <c r="J154" s="185"/>
      <c r="K154" s="185"/>
      <c r="L154" s="185"/>
      <c r="M154" s="185"/>
      <c r="N154" s="185"/>
      <c r="O154" s="185"/>
      <c r="S154" s="291">
        <v>41700</v>
      </c>
      <c r="T154" s="279">
        <v>61</v>
      </c>
      <c r="AI154" s="185"/>
      <c r="AJ154" s="185"/>
    </row>
    <row r="155" spans="5:36" s="277" customFormat="1">
      <c r="E155" s="185"/>
      <c r="F155" s="185"/>
      <c r="G155" s="185"/>
      <c r="H155" s="185"/>
      <c r="I155" s="185"/>
      <c r="J155" s="185"/>
      <c r="K155" s="185"/>
      <c r="L155" s="185"/>
      <c r="M155" s="185"/>
      <c r="N155" s="185"/>
      <c r="O155" s="185"/>
      <c r="S155" s="291">
        <v>41701</v>
      </c>
      <c r="T155" s="279">
        <v>62</v>
      </c>
    </row>
    <row r="156" spans="5:36" s="277" customFormat="1">
      <c r="E156" s="185"/>
      <c r="F156" s="185"/>
      <c r="G156" s="185"/>
      <c r="H156" s="185"/>
      <c r="I156" s="185"/>
      <c r="J156" s="185"/>
      <c r="K156" s="185"/>
      <c r="L156" s="185"/>
      <c r="M156" s="185"/>
      <c r="N156" s="185"/>
      <c r="O156" s="185"/>
      <c r="S156" s="291">
        <v>41702</v>
      </c>
      <c r="T156" s="279">
        <v>63</v>
      </c>
    </row>
    <row r="157" spans="5:36" s="277" customFormat="1">
      <c r="E157" s="185"/>
      <c r="F157" s="185"/>
      <c r="G157" s="185"/>
      <c r="H157" s="185"/>
      <c r="I157" s="185"/>
      <c r="J157" s="185"/>
      <c r="K157" s="185"/>
      <c r="L157" s="185"/>
      <c r="M157" s="185"/>
      <c r="N157" s="185"/>
      <c r="O157" s="185"/>
      <c r="S157" s="291">
        <v>41703</v>
      </c>
      <c r="T157" s="279">
        <v>64</v>
      </c>
    </row>
    <row r="158" spans="5:36" s="277" customFormat="1">
      <c r="E158" s="185"/>
      <c r="F158" s="185"/>
      <c r="G158" s="185"/>
      <c r="H158" s="185"/>
      <c r="I158" s="185"/>
      <c r="J158" s="185"/>
      <c r="K158" s="185"/>
      <c r="L158" s="185"/>
      <c r="M158" s="185"/>
      <c r="N158" s="185"/>
      <c r="O158" s="185"/>
      <c r="S158" s="291">
        <v>41704</v>
      </c>
      <c r="T158" s="279">
        <v>65</v>
      </c>
    </row>
    <row r="159" spans="5:36" s="277" customFormat="1">
      <c r="E159" s="185"/>
      <c r="F159" s="185"/>
      <c r="G159" s="185"/>
      <c r="H159" s="185"/>
      <c r="I159" s="185"/>
      <c r="J159" s="185"/>
      <c r="K159" s="185"/>
      <c r="L159" s="185"/>
      <c r="M159" s="185"/>
      <c r="N159" s="185"/>
      <c r="O159" s="185"/>
      <c r="S159" s="291">
        <v>41705</v>
      </c>
      <c r="T159" s="279">
        <v>66</v>
      </c>
    </row>
    <row r="160" spans="5:36" s="277" customFormat="1">
      <c r="E160" s="185"/>
      <c r="F160" s="185"/>
      <c r="G160" s="185"/>
      <c r="H160" s="185"/>
      <c r="I160" s="185"/>
      <c r="J160" s="185"/>
      <c r="K160" s="185"/>
      <c r="L160" s="185"/>
      <c r="M160" s="185"/>
      <c r="N160" s="185"/>
      <c r="O160" s="185"/>
      <c r="S160" s="291">
        <v>41706</v>
      </c>
      <c r="T160" s="279">
        <v>67</v>
      </c>
    </row>
    <row r="161" spans="5:20" s="277" customFormat="1">
      <c r="E161" s="185"/>
      <c r="F161" s="185"/>
      <c r="G161" s="185"/>
      <c r="H161" s="185"/>
      <c r="I161" s="185"/>
      <c r="J161" s="185"/>
      <c r="K161" s="185"/>
      <c r="L161" s="185"/>
      <c r="M161" s="185"/>
      <c r="N161" s="185"/>
      <c r="O161" s="185"/>
      <c r="S161" s="291">
        <v>41707</v>
      </c>
      <c r="T161" s="279">
        <v>68</v>
      </c>
    </row>
    <row r="162" spans="5:20" s="277" customFormat="1">
      <c r="E162" s="185"/>
      <c r="F162" s="185"/>
      <c r="G162" s="185"/>
      <c r="H162" s="185"/>
      <c r="I162" s="185"/>
      <c r="J162" s="185"/>
      <c r="K162" s="185"/>
      <c r="L162" s="185"/>
      <c r="M162" s="185"/>
      <c r="N162" s="185"/>
      <c r="O162" s="185"/>
      <c r="S162" s="291">
        <v>41708</v>
      </c>
      <c r="T162" s="279">
        <v>69</v>
      </c>
    </row>
    <row r="163" spans="5:20" s="277" customFormat="1">
      <c r="E163" s="185"/>
      <c r="F163" s="185"/>
      <c r="G163" s="185"/>
      <c r="H163" s="185"/>
      <c r="I163" s="185"/>
      <c r="J163" s="185"/>
      <c r="K163" s="185"/>
      <c r="L163" s="185"/>
      <c r="M163" s="185"/>
      <c r="N163" s="185"/>
      <c r="O163" s="185"/>
      <c r="S163" s="291">
        <v>41709</v>
      </c>
      <c r="T163" s="279">
        <v>70</v>
      </c>
    </row>
    <row r="164" spans="5:20" s="277" customFormat="1">
      <c r="E164" s="185"/>
      <c r="F164" s="185"/>
      <c r="G164" s="185"/>
      <c r="H164" s="185"/>
      <c r="I164" s="185"/>
      <c r="J164" s="185"/>
      <c r="K164" s="185"/>
      <c r="L164" s="185"/>
      <c r="M164" s="185"/>
      <c r="N164" s="185"/>
      <c r="O164" s="185"/>
      <c r="S164" s="291">
        <v>41710</v>
      </c>
      <c r="T164" s="279">
        <v>71</v>
      </c>
    </row>
    <row r="165" spans="5:20" s="277" customFormat="1">
      <c r="E165" s="185"/>
      <c r="F165" s="185"/>
      <c r="G165" s="185"/>
      <c r="H165" s="185"/>
      <c r="I165" s="185"/>
      <c r="J165" s="185"/>
      <c r="K165" s="185"/>
      <c r="L165" s="185"/>
      <c r="M165" s="185"/>
      <c r="N165" s="185"/>
      <c r="O165" s="185"/>
      <c r="S165" s="291">
        <v>41711</v>
      </c>
      <c r="T165" s="279">
        <v>72</v>
      </c>
    </row>
    <row r="166" spans="5:20" s="277" customFormat="1">
      <c r="E166" s="185"/>
      <c r="F166" s="185"/>
      <c r="G166" s="185"/>
      <c r="H166" s="185"/>
      <c r="I166" s="185"/>
      <c r="J166" s="185"/>
      <c r="K166" s="185"/>
      <c r="L166" s="185"/>
      <c r="M166" s="185"/>
      <c r="N166" s="185"/>
      <c r="O166" s="185"/>
      <c r="S166" s="291">
        <v>41712</v>
      </c>
      <c r="T166" s="279">
        <v>73</v>
      </c>
    </row>
    <row r="167" spans="5:20" s="277" customFormat="1">
      <c r="E167" s="185"/>
      <c r="F167" s="185"/>
      <c r="G167" s="185"/>
      <c r="H167" s="185"/>
      <c r="I167" s="185"/>
      <c r="J167" s="185"/>
      <c r="K167" s="185"/>
      <c r="L167" s="185"/>
      <c r="M167" s="185"/>
      <c r="N167" s="185"/>
      <c r="O167" s="185"/>
      <c r="S167" s="291">
        <v>41713</v>
      </c>
      <c r="T167" s="279">
        <v>74</v>
      </c>
    </row>
    <row r="168" spans="5:20" s="277" customFormat="1">
      <c r="E168" s="185"/>
      <c r="F168" s="185"/>
      <c r="G168" s="185"/>
      <c r="H168" s="185"/>
      <c r="I168" s="185"/>
      <c r="J168" s="185"/>
      <c r="K168" s="185"/>
      <c r="L168" s="185"/>
      <c r="M168" s="185"/>
      <c r="N168" s="185"/>
      <c r="O168" s="185"/>
      <c r="S168" s="291">
        <v>41714</v>
      </c>
      <c r="T168" s="279">
        <v>75</v>
      </c>
    </row>
    <row r="169" spans="5:20" s="277" customFormat="1">
      <c r="E169" s="185"/>
      <c r="F169" s="185"/>
      <c r="G169" s="185"/>
      <c r="H169" s="185"/>
      <c r="I169" s="185"/>
      <c r="J169" s="185"/>
      <c r="K169" s="185"/>
      <c r="L169" s="185"/>
      <c r="M169" s="185"/>
      <c r="N169" s="185"/>
      <c r="O169" s="185"/>
      <c r="S169" s="291">
        <v>41715</v>
      </c>
      <c r="T169" s="279">
        <v>76</v>
      </c>
    </row>
    <row r="170" spans="5:20" s="277" customFormat="1">
      <c r="E170" s="185"/>
      <c r="F170" s="185"/>
      <c r="G170" s="185"/>
      <c r="H170" s="185"/>
      <c r="I170" s="185"/>
      <c r="J170" s="185"/>
      <c r="K170" s="185"/>
      <c r="L170" s="185"/>
      <c r="M170" s="185"/>
      <c r="N170" s="185"/>
      <c r="O170" s="185"/>
      <c r="S170" s="291">
        <v>41716</v>
      </c>
      <c r="T170" s="279">
        <v>77</v>
      </c>
    </row>
    <row r="171" spans="5:20" s="277" customFormat="1">
      <c r="E171" s="185"/>
      <c r="F171" s="185"/>
      <c r="G171" s="185"/>
      <c r="H171" s="185"/>
      <c r="I171" s="185"/>
      <c r="J171" s="185"/>
      <c r="K171" s="185"/>
      <c r="L171" s="185"/>
      <c r="M171" s="185"/>
      <c r="N171" s="185"/>
      <c r="O171" s="185"/>
      <c r="S171" s="291">
        <v>41717</v>
      </c>
      <c r="T171" s="279">
        <v>78</v>
      </c>
    </row>
    <row r="172" spans="5:20" s="277" customFormat="1">
      <c r="E172" s="185"/>
      <c r="F172" s="185"/>
      <c r="G172" s="185"/>
      <c r="H172" s="185"/>
      <c r="I172" s="185"/>
      <c r="J172" s="185"/>
      <c r="K172" s="185"/>
      <c r="L172" s="185"/>
      <c r="M172" s="185"/>
      <c r="N172" s="185"/>
      <c r="O172" s="185"/>
      <c r="S172" s="291">
        <v>41718</v>
      </c>
      <c r="T172" s="279">
        <v>79</v>
      </c>
    </row>
    <row r="173" spans="5:20" s="277" customFormat="1">
      <c r="E173" s="185"/>
      <c r="F173" s="185"/>
      <c r="G173" s="185"/>
      <c r="H173" s="185"/>
      <c r="I173" s="185"/>
      <c r="J173" s="185"/>
      <c r="K173" s="185"/>
      <c r="L173" s="185"/>
      <c r="M173" s="185"/>
      <c r="N173" s="185"/>
      <c r="O173" s="185"/>
      <c r="S173" s="291">
        <v>41719</v>
      </c>
      <c r="T173" s="279">
        <v>80</v>
      </c>
    </row>
    <row r="174" spans="5:20" s="277" customFormat="1">
      <c r="E174" s="185"/>
      <c r="F174" s="185"/>
      <c r="G174" s="185"/>
      <c r="H174" s="185"/>
      <c r="I174" s="185"/>
      <c r="J174" s="185"/>
      <c r="K174" s="185"/>
      <c r="L174" s="185"/>
      <c r="M174" s="185"/>
      <c r="N174" s="185"/>
      <c r="O174" s="185"/>
      <c r="S174" s="291">
        <v>41720</v>
      </c>
      <c r="T174" s="279">
        <v>81</v>
      </c>
    </row>
    <row r="175" spans="5:20" s="277" customFormat="1">
      <c r="E175" s="185"/>
      <c r="F175" s="185"/>
      <c r="G175" s="185"/>
      <c r="H175" s="185"/>
      <c r="I175" s="185"/>
      <c r="J175" s="185"/>
      <c r="K175" s="185"/>
      <c r="L175" s="185"/>
      <c r="M175" s="185"/>
      <c r="N175" s="185"/>
      <c r="O175" s="185"/>
      <c r="S175" s="291">
        <v>41721</v>
      </c>
      <c r="T175" s="279">
        <v>82</v>
      </c>
    </row>
    <row r="176" spans="5:20" s="277" customFormat="1">
      <c r="E176" s="185"/>
      <c r="F176" s="185"/>
      <c r="G176" s="185"/>
      <c r="H176" s="185"/>
      <c r="I176" s="185"/>
      <c r="J176" s="185"/>
      <c r="K176" s="185"/>
      <c r="L176" s="185"/>
      <c r="M176" s="185"/>
      <c r="N176" s="185"/>
      <c r="O176" s="185"/>
      <c r="S176" s="291">
        <v>41722</v>
      </c>
      <c r="T176" s="279">
        <v>83</v>
      </c>
    </row>
    <row r="177" spans="5:20" s="277" customFormat="1">
      <c r="E177" s="185"/>
      <c r="F177" s="185"/>
      <c r="G177" s="185"/>
      <c r="H177" s="185"/>
      <c r="I177" s="185"/>
      <c r="J177" s="185"/>
      <c r="K177" s="185"/>
      <c r="L177" s="185"/>
      <c r="M177" s="185"/>
      <c r="N177" s="185"/>
      <c r="O177" s="185"/>
      <c r="S177" s="291">
        <v>41723</v>
      </c>
      <c r="T177" s="279">
        <v>84</v>
      </c>
    </row>
    <row r="178" spans="5:20" s="277" customFormat="1">
      <c r="E178" s="185"/>
      <c r="F178" s="185"/>
      <c r="G178" s="185"/>
      <c r="H178" s="185"/>
      <c r="I178" s="185"/>
      <c r="J178" s="185"/>
      <c r="K178" s="185"/>
      <c r="L178" s="185"/>
      <c r="M178" s="185"/>
      <c r="N178" s="185"/>
      <c r="S178" s="291">
        <v>41724</v>
      </c>
      <c r="T178" s="279">
        <v>85</v>
      </c>
    </row>
    <row r="179" spans="5:20" s="277" customFormat="1">
      <c r="E179" s="185"/>
      <c r="F179" s="185"/>
      <c r="G179" s="185"/>
      <c r="H179" s="185"/>
      <c r="I179" s="185"/>
      <c r="J179" s="185"/>
      <c r="K179" s="185"/>
      <c r="L179" s="185"/>
      <c r="M179" s="185"/>
      <c r="N179" s="185"/>
      <c r="S179" s="291">
        <v>41725</v>
      </c>
      <c r="T179" s="279">
        <v>86</v>
      </c>
    </row>
    <row r="180" spans="5:20" s="277" customFormat="1">
      <c r="E180" s="185"/>
      <c r="F180" s="185"/>
      <c r="G180" s="185"/>
      <c r="H180" s="185"/>
      <c r="I180" s="185"/>
      <c r="J180" s="185"/>
      <c r="K180" s="185"/>
      <c r="L180" s="185"/>
      <c r="M180" s="185"/>
      <c r="N180" s="185"/>
      <c r="S180" s="291">
        <v>41726</v>
      </c>
      <c r="T180" s="279">
        <v>87</v>
      </c>
    </row>
    <row r="181" spans="5:20" s="277" customFormat="1">
      <c r="E181" s="185"/>
      <c r="F181" s="185"/>
      <c r="G181" s="185"/>
      <c r="H181" s="185"/>
      <c r="I181" s="185"/>
      <c r="J181" s="185"/>
      <c r="K181" s="185"/>
      <c r="L181" s="185"/>
      <c r="M181" s="185"/>
      <c r="N181" s="185"/>
      <c r="S181" s="291">
        <v>41727</v>
      </c>
      <c r="T181" s="279">
        <v>88</v>
      </c>
    </row>
    <row r="182" spans="5:20" s="277" customFormat="1">
      <c r="E182" s="185"/>
      <c r="F182" s="185"/>
      <c r="G182" s="185"/>
      <c r="H182" s="185"/>
      <c r="I182" s="185"/>
      <c r="J182" s="185"/>
      <c r="K182" s="185"/>
      <c r="L182" s="185"/>
      <c r="M182" s="185"/>
      <c r="N182" s="185"/>
      <c r="S182" s="291">
        <v>41728</v>
      </c>
      <c r="T182" s="279">
        <v>89</v>
      </c>
    </row>
    <row r="183" spans="5:20" s="277" customFormat="1">
      <c r="E183" s="185"/>
      <c r="F183" s="185"/>
      <c r="G183" s="185"/>
      <c r="H183" s="185"/>
      <c r="I183" s="185"/>
      <c r="J183" s="185"/>
      <c r="K183" s="185"/>
      <c r="L183" s="185"/>
      <c r="M183" s="185"/>
      <c r="N183" s="185"/>
      <c r="S183" s="291">
        <v>41729</v>
      </c>
      <c r="T183" s="279">
        <v>90</v>
      </c>
    </row>
    <row r="184" spans="5:20" s="277" customFormat="1">
      <c r="E184" s="185"/>
      <c r="F184" s="185"/>
      <c r="G184" s="185"/>
      <c r="H184" s="185"/>
      <c r="I184" s="185"/>
      <c r="J184" s="185"/>
      <c r="K184" s="185"/>
      <c r="L184" s="185"/>
      <c r="M184" s="185"/>
      <c r="N184" s="185"/>
      <c r="S184" s="291">
        <v>41730</v>
      </c>
      <c r="T184" s="279">
        <v>91</v>
      </c>
    </row>
    <row r="185" spans="5:20" s="277" customFormat="1">
      <c r="E185" s="185"/>
      <c r="F185" s="185"/>
      <c r="G185" s="185"/>
      <c r="H185" s="185"/>
      <c r="I185" s="185"/>
      <c r="J185" s="185"/>
      <c r="K185" s="185"/>
      <c r="L185" s="185"/>
      <c r="M185" s="185"/>
      <c r="N185" s="185"/>
      <c r="S185" s="291">
        <v>41731</v>
      </c>
      <c r="T185" s="279">
        <v>92</v>
      </c>
    </row>
    <row r="186" spans="5:20" s="277" customFormat="1">
      <c r="E186" s="185"/>
      <c r="F186" s="185"/>
      <c r="G186" s="185"/>
      <c r="H186" s="185"/>
      <c r="I186" s="185"/>
      <c r="J186" s="185"/>
      <c r="K186" s="185"/>
      <c r="L186" s="185"/>
      <c r="M186" s="185"/>
      <c r="N186" s="185"/>
      <c r="S186" s="291">
        <v>41732</v>
      </c>
      <c r="T186" s="279">
        <v>93</v>
      </c>
    </row>
    <row r="187" spans="5:20" s="277" customFormat="1">
      <c r="E187" s="185"/>
      <c r="F187" s="185"/>
      <c r="G187" s="185"/>
      <c r="H187" s="185"/>
      <c r="I187" s="185"/>
      <c r="J187" s="185"/>
      <c r="K187" s="185"/>
      <c r="L187" s="185"/>
      <c r="M187" s="185"/>
      <c r="N187" s="185"/>
      <c r="S187" s="291">
        <v>41733</v>
      </c>
      <c r="T187" s="279">
        <v>94</v>
      </c>
    </row>
    <row r="188" spans="5:20" s="277" customFormat="1">
      <c r="E188" s="185"/>
      <c r="F188" s="185"/>
      <c r="G188" s="185"/>
      <c r="H188" s="185"/>
      <c r="I188" s="185"/>
      <c r="J188" s="185"/>
      <c r="K188" s="185"/>
      <c r="L188" s="185"/>
      <c r="M188" s="185"/>
      <c r="N188" s="185"/>
      <c r="S188" s="291">
        <v>41734</v>
      </c>
      <c r="T188" s="279">
        <v>95</v>
      </c>
    </row>
    <row r="189" spans="5:20" s="277" customFormat="1">
      <c r="E189" s="185"/>
      <c r="F189" s="185"/>
      <c r="G189" s="185"/>
      <c r="H189" s="185"/>
      <c r="I189" s="185"/>
      <c r="J189" s="185"/>
      <c r="K189" s="185"/>
      <c r="L189" s="185"/>
      <c r="M189" s="185"/>
      <c r="N189" s="185"/>
      <c r="S189" s="291">
        <v>41735</v>
      </c>
      <c r="T189" s="279">
        <v>96</v>
      </c>
    </row>
    <row r="190" spans="5:20" s="277" customFormat="1">
      <c r="E190" s="185"/>
      <c r="F190" s="185"/>
      <c r="G190" s="185"/>
      <c r="H190" s="185"/>
      <c r="I190" s="185"/>
      <c r="J190" s="185"/>
      <c r="K190" s="185"/>
      <c r="L190" s="185"/>
      <c r="M190" s="185"/>
      <c r="N190" s="185"/>
      <c r="S190" s="291">
        <v>41736</v>
      </c>
      <c r="T190" s="279">
        <v>97</v>
      </c>
    </row>
    <row r="191" spans="5:20" s="277" customFormat="1">
      <c r="E191" s="185"/>
      <c r="F191" s="185"/>
      <c r="G191" s="185"/>
      <c r="H191" s="185"/>
      <c r="I191" s="185"/>
      <c r="J191" s="185"/>
      <c r="K191" s="185"/>
      <c r="L191" s="185"/>
      <c r="M191" s="185"/>
      <c r="N191" s="185"/>
      <c r="S191" s="291">
        <v>41737</v>
      </c>
      <c r="T191" s="279">
        <v>98</v>
      </c>
    </row>
    <row r="192" spans="5:20" s="277" customFormat="1">
      <c r="E192" s="185"/>
      <c r="F192" s="185"/>
      <c r="G192" s="185"/>
      <c r="H192" s="185"/>
      <c r="I192" s="185"/>
      <c r="J192" s="185"/>
      <c r="K192" s="185"/>
      <c r="L192" s="185"/>
      <c r="M192" s="185"/>
      <c r="N192" s="185"/>
      <c r="S192" s="291">
        <v>41738</v>
      </c>
      <c r="T192" s="279">
        <v>99</v>
      </c>
    </row>
    <row r="193" spans="5:20" s="277" customFormat="1">
      <c r="E193" s="185"/>
      <c r="F193" s="185"/>
      <c r="G193" s="185"/>
      <c r="H193" s="185"/>
      <c r="I193" s="185"/>
      <c r="J193" s="185"/>
      <c r="K193" s="185"/>
      <c r="L193" s="185"/>
      <c r="M193" s="185"/>
      <c r="N193" s="185"/>
      <c r="S193" s="291">
        <v>41739</v>
      </c>
      <c r="T193" s="279">
        <v>100</v>
      </c>
    </row>
    <row r="194" spans="5:20" s="277" customFormat="1">
      <c r="E194" s="185"/>
      <c r="F194" s="185"/>
      <c r="G194" s="185"/>
      <c r="H194" s="185"/>
      <c r="I194" s="185"/>
      <c r="J194" s="185"/>
      <c r="K194" s="185"/>
      <c r="L194" s="185"/>
      <c r="M194" s="185"/>
      <c r="N194" s="185"/>
      <c r="S194" s="291">
        <v>41740</v>
      </c>
      <c r="T194" s="279">
        <v>101</v>
      </c>
    </row>
    <row r="195" spans="5:20" s="277" customFormat="1">
      <c r="E195" s="185"/>
      <c r="F195" s="185"/>
      <c r="G195" s="185"/>
      <c r="H195" s="185"/>
      <c r="I195" s="185"/>
      <c r="J195" s="185"/>
      <c r="K195" s="185"/>
      <c r="L195" s="185"/>
      <c r="M195" s="185"/>
      <c r="N195" s="185"/>
      <c r="S195" s="291">
        <v>41741</v>
      </c>
      <c r="T195" s="279">
        <v>102</v>
      </c>
    </row>
    <row r="196" spans="5:20" s="277" customFormat="1">
      <c r="E196" s="185"/>
      <c r="F196" s="185"/>
      <c r="G196" s="185"/>
      <c r="H196" s="185"/>
      <c r="I196" s="185"/>
      <c r="J196" s="185"/>
      <c r="K196" s="185"/>
      <c r="L196" s="185"/>
      <c r="M196" s="185"/>
      <c r="N196" s="185"/>
      <c r="S196" s="291">
        <v>41742</v>
      </c>
      <c r="T196" s="279">
        <v>103</v>
      </c>
    </row>
    <row r="197" spans="5:20" s="277" customFormat="1">
      <c r="E197" s="185"/>
      <c r="F197" s="185"/>
      <c r="G197" s="185"/>
      <c r="H197" s="185"/>
      <c r="I197" s="185"/>
      <c r="J197" s="185"/>
      <c r="K197" s="185"/>
      <c r="L197" s="185"/>
      <c r="M197" s="185"/>
      <c r="N197" s="185"/>
      <c r="S197" s="291">
        <v>41743</v>
      </c>
      <c r="T197" s="279">
        <v>104</v>
      </c>
    </row>
    <row r="198" spans="5:20" s="277" customFormat="1">
      <c r="E198" s="185"/>
      <c r="F198" s="185"/>
      <c r="G198" s="185"/>
      <c r="H198" s="185"/>
      <c r="I198" s="185"/>
      <c r="J198" s="185"/>
      <c r="K198" s="185"/>
      <c r="L198" s="185"/>
      <c r="M198" s="185"/>
      <c r="N198" s="185"/>
      <c r="S198" s="291">
        <v>41744</v>
      </c>
      <c r="T198" s="279">
        <v>105</v>
      </c>
    </row>
    <row r="199" spans="5:20" s="277" customFormat="1">
      <c r="E199" s="185"/>
      <c r="F199" s="185"/>
      <c r="G199" s="185"/>
      <c r="H199" s="185"/>
      <c r="I199" s="185"/>
      <c r="J199" s="185"/>
      <c r="K199" s="185"/>
      <c r="L199" s="185"/>
      <c r="M199" s="185"/>
      <c r="N199" s="185"/>
      <c r="S199" s="291">
        <v>41745</v>
      </c>
      <c r="T199" s="279">
        <v>106</v>
      </c>
    </row>
    <row r="200" spans="5:20" s="277" customFormat="1">
      <c r="E200" s="185"/>
      <c r="F200" s="185"/>
      <c r="G200" s="185"/>
      <c r="H200" s="185"/>
      <c r="I200" s="185"/>
      <c r="J200" s="185"/>
      <c r="K200" s="185"/>
      <c r="L200" s="185"/>
      <c r="M200" s="185"/>
      <c r="N200" s="185"/>
      <c r="S200" s="291">
        <v>41746</v>
      </c>
      <c r="T200" s="279">
        <v>107</v>
      </c>
    </row>
    <row r="201" spans="5:20" s="277" customFormat="1">
      <c r="E201" s="185"/>
      <c r="F201" s="185"/>
      <c r="G201" s="185"/>
      <c r="H201" s="185"/>
      <c r="I201" s="185"/>
      <c r="J201" s="185"/>
      <c r="K201" s="185"/>
      <c r="L201" s="185"/>
      <c r="M201" s="185"/>
      <c r="N201" s="185"/>
      <c r="S201" s="291">
        <v>41747</v>
      </c>
      <c r="T201" s="279">
        <v>108</v>
      </c>
    </row>
    <row r="202" spans="5:20" s="277" customFormat="1">
      <c r="E202" s="185"/>
      <c r="F202" s="185"/>
      <c r="G202" s="185"/>
      <c r="H202" s="185"/>
      <c r="I202" s="185"/>
      <c r="J202" s="185"/>
      <c r="K202" s="185"/>
      <c r="L202" s="185"/>
      <c r="M202" s="185"/>
      <c r="N202" s="185"/>
      <c r="S202" s="291">
        <v>41748</v>
      </c>
      <c r="T202" s="279">
        <v>109</v>
      </c>
    </row>
    <row r="203" spans="5:20" s="277" customFormat="1">
      <c r="E203" s="185"/>
      <c r="F203" s="185"/>
      <c r="G203" s="185"/>
      <c r="H203" s="185"/>
      <c r="I203" s="185"/>
      <c r="J203" s="185"/>
      <c r="K203" s="185"/>
      <c r="L203" s="185"/>
      <c r="M203" s="185"/>
      <c r="N203" s="185"/>
      <c r="S203" s="291">
        <v>41749</v>
      </c>
      <c r="T203" s="279">
        <v>110</v>
      </c>
    </row>
    <row r="204" spans="5:20" s="277" customFormat="1">
      <c r="E204" s="185"/>
      <c r="F204" s="185"/>
      <c r="G204" s="185"/>
      <c r="H204" s="185"/>
      <c r="I204" s="185"/>
      <c r="J204" s="185"/>
      <c r="K204" s="185"/>
      <c r="L204" s="185"/>
      <c r="M204" s="185"/>
      <c r="N204" s="185"/>
      <c r="S204" s="291">
        <v>41750</v>
      </c>
      <c r="T204" s="279">
        <v>111</v>
      </c>
    </row>
    <row r="205" spans="5:20" s="277" customFormat="1">
      <c r="E205" s="185"/>
      <c r="F205" s="185"/>
      <c r="G205" s="185"/>
      <c r="H205" s="185"/>
      <c r="I205" s="185"/>
      <c r="J205" s="185"/>
      <c r="K205" s="185"/>
      <c r="L205" s="185"/>
      <c r="M205" s="185"/>
      <c r="N205" s="185"/>
      <c r="S205" s="291">
        <v>41751</v>
      </c>
      <c r="T205" s="279">
        <v>112</v>
      </c>
    </row>
    <row r="206" spans="5:20" s="277" customFormat="1">
      <c r="E206" s="185"/>
      <c r="F206" s="185"/>
      <c r="G206" s="185"/>
      <c r="H206" s="185"/>
      <c r="I206" s="185"/>
      <c r="J206" s="185"/>
      <c r="K206" s="185"/>
      <c r="L206" s="185"/>
      <c r="M206" s="185"/>
      <c r="N206" s="185"/>
      <c r="S206" s="291">
        <v>41752</v>
      </c>
      <c r="T206" s="279">
        <v>113</v>
      </c>
    </row>
    <row r="207" spans="5:20" s="277" customFormat="1">
      <c r="E207" s="185"/>
      <c r="F207" s="185"/>
      <c r="G207" s="185"/>
      <c r="H207" s="185"/>
      <c r="I207" s="185"/>
      <c r="J207" s="185"/>
      <c r="K207" s="185"/>
      <c r="L207" s="185"/>
      <c r="M207" s="185"/>
      <c r="N207" s="185"/>
      <c r="S207" s="291">
        <v>41753</v>
      </c>
      <c r="T207" s="279">
        <v>114</v>
      </c>
    </row>
    <row r="208" spans="5:20" s="277" customFormat="1">
      <c r="E208" s="185"/>
      <c r="F208" s="185"/>
      <c r="G208" s="185"/>
      <c r="H208" s="185"/>
      <c r="I208" s="185"/>
      <c r="J208" s="185"/>
      <c r="K208" s="185"/>
      <c r="L208" s="185"/>
      <c r="M208" s="185"/>
      <c r="N208" s="185"/>
      <c r="S208" s="291">
        <v>41754</v>
      </c>
      <c r="T208" s="279">
        <v>115</v>
      </c>
    </row>
    <row r="209" spans="5:20" s="277" customFormat="1">
      <c r="E209" s="185"/>
      <c r="F209" s="185"/>
      <c r="G209" s="185"/>
      <c r="H209" s="185"/>
      <c r="I209" s="185"/>
      <c r="J209" s="185"/>
      <c r="K209" s="185"/>
      <c r="L209" s="185"/>
      <c r="M209" s="185"/>
      <c r="N209" s="185"/>
      <c r="S209" s="291">
        <v>41755</v>
      </c>
      <c r="T209" s="279">
        <v>116</v>
      </c>
    </row>
    <row r="210" spans="5:20" s="277" customFormat="1">
      <c r="E210" s="185"/>
      <c r="F210" s="185"/>
      <c r="G210" s="185"/>
      <c r="H210" s="185"/>
      <c r="I210" s="185"/>
      <c r="J210" s="185"/>
      <c r="K210" s="185"/>
      <c r="L210" s="185"/>
      <c r="M210" s="185"/>
      <c r="N210" s="185"/>
      <c r="S210" s="291">
        <v>41756</v>
      </c>
      <c r="T210" s="279">
        <v>117</v>
      </c>
    </row>
    <row r="211" spans="5:20" s="277" customFormat="1">
      <c r="E211" s="185"/>
      <c r="F211" s="185"/>
      <c r="G211" s="185"/>
      <c r="H211" s="185"/>
      <c r="I211" s="185"/>
      <c r="J211" s="185"/>
      <c r="K211" s="185"/>
      <c r="L211" s="185"/>
      <c r="M211" s="185"/>
      <c r="N211" s="185"/>
      <c r="S211" s="291">
        <v>41757</v>
      </c>
      <c r="T211" s="279">
        <v>118</v>
      </c>
    </row>
    <row r="212" spans="5:20" s="277" customFormat="1">
      <c r="E212" s="185"/>
      <c r="F212" s="185"/>
      <c r="G212" s="185"/>
      <c r="H212" s="185"/>
      <c r="I212" s="185"/>
      <c r="J212" s="185"/>
      <c r="K212" s="185"/>
      <c r="L212" s="185"/>
      <c r="M212" s="185"/>
      <c r="N212" s="185"/>
      <c r="S212" s="291">
        <v>41758</v>
      </c>
      <c r="T212" s="279">
        <v>119</v>
      </c>
    </row>
    <row r="213" spans="5:20" s="277" customFormat="1">
      <c r="E213" s="185"/>
      <c r="F213" s="185"/>
      <c r="G213" s="185"/>
      <c r="H213" s="185"/>
      <c r="I213" s="185"/>
      <c r="J213" s="185"/>
      <c r="K213" s="185"/>
      <c r="L213" s="185"/>
      <c r="M213" s="185"/>
      <c r="N213" s="185"/>
      <c r="S213" s="291">
        <v>41759</v>
      </c>
      <c r="T213" s="279">
        <v>120</v>
      </c>
    </row>
    <row r="214" spans="5:20" s="277" customFormat="1">
      <c r="E214" s="185"/>
      <c r="F214" s="185"/>
      <c r="G214" s="185"/>
      <c r="H214" s="185"/>
      <c r="I214" s="185"/>
      <c r="J214" s="185"/>
      <c r="K214" s="185"/>
      <c r="L214" s="185"/>
      <c r="M214" s="185"/>
      <c r="N214" s="185"/>
      <c r="S214" s="291">
        <v>41760</v>
      </c>
      <c r="T214" s="279">
        <v>121</v>
      </c>
    </row>
    <row r="215" spans="5:20" s="277" customFormat="1">
      <c r="E215" s="185"/>
      <c r="F215" s="185"/>
      <c r="G215" s="185"/>
      <c r="H215" s="185"/>
      <c r="I215" s="185"/>
      <c r="J215" s="185"/>
      <c r="K215" s="185"/>
      <c r="L215" s="185"/>
      <c r="M215" s="185"/>
      <c r="N215" s="185"/>
      <c r="S215" s="291">
        <v>41761</v>
      </c>
      <c r="T215" s="279">
        <v>122</v>
      </c>
    </row>
    <row r="216" spans="5:20" s="277" customFormat="1">
      <c r="E216" s="185"/>
      <c r="F216" s="185"/>
      <c r="G216" s="185"/>
      <c r="H216" s="185"/>
      <c r="I216" s="185"/>
      <c r="J216" s="185"/>
      <c r="K216" s="185"/>
      <c r="L216" s="185"/>
      <c r="M216" s="185"/>
      <c r="N216" s="185"/>
      <c r="S216" s="291">
        <v>41762</v>
      </c>
      <c r="T216" s="279">
        <v>123</v>
      </c>
    </row>
    <row r="217" spans="5:20" s="277" customFormat="1">
      <c r="E217" s="185"/>
      <c r="F217" s="185"/>
      <c r="G217" s="185"/>
      <c r="H217" s="185"/>
      <c r="I217" s="185"/>
      <c r="J217" s="185"/>
      <c r="K217" s="185"/>
      <c r="L217" s="185"/>
      <c r="M217" s="185"/>
      <c r="N217" s="185"/>
      <c r="S217" s="291">
        <v>41763</v>
      </c>
      <c r="T217" s="279">
        <v>124</v>
      </c>
    </row>
    <row r="218" spans="5:20" s="277" customFormat="1">
      <c r="E218" s="185"/>
      <c r="F218" s="185"/>
      <c r="G218" s="185"/>
      <c r="H218" s="185"/>
      <c r="I218" s="185"/>
      <c r="J218" s="185"/>
      <c r="K218" s="185"/>
      <c r="L218" s="185"/>
      <c r="M218" s="185"/>
      <c r="N218" s="185"/>
      <c r="S218" s="291">
        <v>41764</v>
      </c>
      <c r="T218" s="279">
        <v>125</v>
      </c>
    </row>
    <row r="219" spans="5:20" s="277" customFormat="1">
      <c r="E219" s="185"/>
      <c r="F219" s="185"/>
      <c r="G219" s="185"/>
      <c r="H219" s="185"/>
      <c r="I219" s="185"/>
      <c r="J219" s="185"/>
      <c r="K219" s="185"/>
      <c r="L219" s="185"/>
      <c r="M219" s="185"/>
      <c r="N219" s="185"/>
      <c r="S219" s="291">
        <v>41765</v>
      </c>
      <c r="T219" s="279">
        <v>126</v>
      </c>
    </row>
    <row r="220" spans="5:20" s="277" customFormat="1">
      <c r="E220" s="185"/>
      <c r="F220" s="185"/>
      <c r="G220" s="185"/>
      <c r="H220" s="185"/>
      <c r="I220" s="185"/>
      <c r="J220" s="185"/>
      <c r="K220" s="185"/>
      <c r="L220" s="185"/>
      <c r="M220" s="185"/>
      <c r="N220" s="185"/>
      <c r="S220" s="291">
        <v>41766</v>
      </c>
      <c r="T220" s="279">
        <v>127</v>
      </c>
    </row>
    <row r="221" spans="5:20" s="277" customFormat="1">
      <c r="E221" s="185"/>
      <c r="F221" s="185"/>
      <c r="G221" s="185"/>
      <c r="H221" s="185"/>
      <c r="I221" s="185"/>
      <c r="J221" s="185"/>
      <c r="K221" s="185"/>
      <c r="L221" s="185"/>
      <c r="M221" s="185"/>
      <c r="N221" s="185"/>
      <c r="S221" s="291">
        <v>41767</v>
      </c>
      <c r="T221" s="279">
        <v>128</v>
      </c>
    </row>
    <row r="222" spans="5:20" s="277" customFormat="1">
      <c r="E222" s="185"/>
      <c r="F222" s="185"/>
      <c r="G222" s="185"/>
      <c r="H222" s="185"/>
      <c r="I222" s="185"/>
      <c r="J222" s="185"/>
      <c r="K222" s="185"/>
      <c r="L222" s="185"/>
      <c r="M222" s="185"/>
      <c r="N222" s="185"/>
      <c r="S222" s="291">
        <v>41768</v>
      </c>
      <c r="T222" s="279">
        <v>129</v>
      </c>
    </row>
    <row r="223" spans="5:20" s="277" customFormat="1">
      <c r="E223" s="185"/>
      <c r="F223" s="185"/>
      <c r="G223" s="185"/>
      <c r="H223" s="185"/>
      <c r="I223" s="185"/>
      <c r="J223" s="185"/>
      <c r="K223" s="185"/>
      <c r="L223" s="185"/>
      <c r="M223" s="185"/>
      <c r="N223" s="185"/>
      <c r="S223" s="291">
        <v>41769</v>
      </c>
      <c r="T223" s="279">
        <v>130</v>
      </c>
    </row>
    <row r="224" spans="5:20" s="277" customFormat="1">
      <c r="E224" s="185"/>
      <c r="F224" s="185"/>
      <c r="G224" s="185"/>
      <c r="H224" s="185"/>
      <c r="I224" s="185"/>
      <c r="J224" s="185"/>
      <c r="K224" s="185"/>
      <c r="L224" s="185"/>
      <c r="M224" s="185"/>
      <c r="N224" s="185"/>
      <c r="S224" s="291">
        <v>41770</v>
      </c>
      <c r="T224" s="279">
        <v>131</v>
      </c>
    </row>
    <row r="225" spans="5:20" s="277" customFormat="1">
      <c r="E225" s="185"/>
      <c r="F225" s="185"/>
      <c r="G225" s="185"/>
      <c r="H225" s="185"/>
      <c r="I225" s="185"/>
      <c r="J225" s="185"/>
      <c r="K225" s="185"/>
      <c r="L225" s="185"/>
      <c r="M225" s="185"/>
      <c r="N225" s="185"/>
      <c r="S225" s="291">
        <v>41771</v>
      </c>
      <c r="T225" s="279">
        <v>132</v>
      </c>
    </row>
    <row r="226" spans="5:20" s="277" customFormat="1">
      <c r="E226" s="185"/>
      <c r="F226" s="185"/>
      <c r="G226" s="185"/>
      <c r="H226" s="185"/>
      <c r="I226" s="185"/>
      <c r="J226" s="185"/>
      <c r="K226" s="185"/>
      <c r="L226" s="185"/>
      <c r="M226" s="185"/>
      <c r="N226" s="185"/>
      <c r="S226" s="291">
        <v>41772</v>
      </c>
      <c r="T226" s="279">
        <v>133</v>
      </c>
    </row>
    <row r="227" spans="5:20" s="277" customFormat="1">
      <c r="E227" s="185"/>
      <c r="F227" s="185"/>
      <c r="G227" s="185"/>
      <c r="H227" s="185"/>
      <c r="I227" s="185"/>
      <c r="J227" s="185"/>
      <c r="K227" s="185"/>
      <c r="L227" s="185"/>
      <c r="M227" s="185"/>
      <c r="N227" s="185"/>
      <c r="S227" s="291">
        <v>41773</v>
      </c>
      <c r="T227" s="279">
        <v>134</v>
      </c>
    </row>
    <row r="228" spans="5:20" s="277" customFormat="1">
      <c r="E228" s="185"/>
      <c r="F228" s="185"/>
      <c r="G228" s="185"/>
      <c r="H228" s="185"/>
      <c r="I228" s="185"/>
      <c r="J228" s="185"/>
      <c r="K228" s="185"/>
      <c r="L228" s="185"/>
      <c r="M228" s="185"/>
      <c r="N228" s="185"/>
      <c r="S228" s="291">
        <v>41774</v>
      </c>
      <c r="T228" s="279">
        <v>135</v>
      </c>
    </row>
    <row r="229" spans="5:20" s="277" customFormat="1">
      <c r="E229" s="185"/>
      <c r="F229" s="185"/>
      <c r="G229" s="185"/>
      <c r="H229" s="185"/>
      <c r="I229" s="185"/>
      <c r="J229" s="185"/>
      <c r="K229" s="185"/>
      <c r="L229" s="185"/>
      <c r="M229" s="185"/>
      <c r="N229" s="185"/>
      <c r="S229" s="291">
        <v>41775</v>
      </c>
      <c r="T229" s="279">
        <v>136</v>
      </c>
    </row>
    <row r="230" spans="5:20" s="277" customFormat="1">
      <c r="E230" s="185"/>
      <c r="F230" s="185"/>
      <c r="G230" s="185"/>
      <c r="H230" s="185"/>
      <c r="I230" s="185"/>
      <c r="J230" s="185"/>
      <c r="K230" s="185"/>
      <c r="L230" s="185"/>
      <c r="M230" s="185"/>
      <c r="N230" s="185"/>
      <c r="S230" s="291">
        <v>41776</v>
      </c>
      <c r="T230" s="279">
        <v>137</v>
      </c>
    </row>
    <row r="231" spans="5:20" s="277" customFormat="1">
      <c r="E231" s="185"/>
      <c r="F231" s="185"/>
      <c r="G231" s="185"/>
      <c r="H231" s="185"/>
      <c r="I231" s="185"/>
      <c r="J231" s="185"/>
      <c r="K231" s="185"/>
      <c r="L231" s="185"/>
      <c r="M231" s="185"/>
      <c r="N231" s="185"/>
      <c r="S231" s="291">
        <v>41777</v>
      </c>
      <c r="T231" s="279">
        <v>138</v>
      </c>
    </row>
    <row r="232" spans="5:20" s="277" customFormat="1">
      <c r="E232" s="185"/>
      <c r="F232" s="185"/>
      <c r="G232" s="185"/>
      <c r="H232" s="185"/>
      <c r="I232" s="185"/>
      <c r="J232" s="185"/>
      <c r="K232" s="185"/>
      <c r="L232" s="185"/>
      <c r="M232" s="185"/>
      <c r="N232" s="185"/>
      <c r="S232" s="291">
        <v>41778</v>
      </c>
      <c r="T232" s="279">
        <v>139</v>
      </c>
    </row>
    <row r="233" spans="5:20" s="277" customFormat="1">
      <c r="E233" s="185"/>
      <c r="F233" s="185"/>
      <c r="G233" s="185"/>
      <c r="H233" s="185"/>
      <c r="I233" s="185"/>
      <c r="J233" s="185"/>
      <c r="K233" s="185"/>
      <c r="L233" s="185"/>
      <c r="M233" s="185"/>
      <c r="N233" s="185"/>
      <c r="S233" s="291">
        <v>41779</v>
      </c>
      <c r="T233" s="279">
        <v>140</v>
      </c>
    </row>
    <row r="234" spans="5:20" s="277" customFormat="1">
      <c r="E234" s="185"/>
      <c r="F234" s="185"/>
      <c r="G234" s="185"/>
      <c r="H234" s="185"/>
      <c r="I234" s="185"/>
      <c r="J234" s="185"/>
      <c r="K234" s="185"/>
      <c r="L234" s="185"/>
      <c r="M234" s="185"/>
      <c r="N234" s="185"/>
      <c r="S234" s="291">
        <v>41780</v>
      </c>
      <c r="T234" s="279">
        <v>141</v>
      </c>
    </row>
    <row r="235" spans="5:20" s="277" customFormat="1">
      <c r="E235" s="185"/>
      <c r="F235" s="185"/>
      <c r="G235" s="185"/>
      <c r="H235" s="185"/>
      <c r="I235" s="185"/>
      <c r="J235" s="185"/>
      <c r="K235" s="185"/>
      <c r="L235" s="185"/>
      <c r="M235" s="185"/>
      <c r="N235" s="185"/>
      <c r="S235" s="291">
        <v>41781</v>
      </c>
      <c r="T235" s="279">
        <v>142</v>
      </c>
    </row>
    <row r="236" spans="5:20" s="277" customFormat="1">
      <c r="E236" s="185"/>
      <c r="F236" s="185"/>
      <c r="G236" s="185"/>
      <c r="H236" s="185"/>
      <c r="I236" s="185"/>
      <c r="J236" s="185"/>
      <c r="K236" s="185"/>
      <c r="L236" s="185"/>
      <c r="M236" s="185"/>
      <c r="N236" s="185"/>
      <c r="S236" s="291">
        <v>41782</v>
      </c>
      <c r="T236" s="279">
        <v>143</v>
      </c>
    </row>
    <row r="237" spans="5:20" s="277" customFormat="1">
      <c r="E237" s="185"/>
      <c r="F237" s="185"/>
      <c r="G237" s="185"/>
      <c r="H237" s="185"/>
      <c r="I237" s="185"/>
      <c r="J237" s="185"/>
      <c r="K237" s="185"/>
      <c r="L237" s="185"/>
      <c r="M237" s="185"/>
      <c r="N237" s="185"/>
      <c r="S237" s="291">
        <v>41783</v>
      </c>
      <c r="T237" s="279">
        <v>144</v>
      </c>
    </row>
    <row r="238" spans="5:20" s="277" customFormat="1">
      <c r="E238" s="185"/>
      <c r="F238" s="185"/>
      <c r="G238" s="185"/>
      <c r="H238" s="185"/>
      <c r="I238" s="185"/>
      <c r="J238" s="185"/>
      <c r="K238" s="185"/>
      <c r="L238" s="185"/>
      <c r="M238" s="185"/>
      <c r="N238" s="185"/>
      <c r="S238" s="291">
        <v>41784</v>
      </c>
      <c r="T238" s="279">
        <v>145</v>
      </c>
    </row>
    <row r="239" spans="5:20" s="277" customFormat="1">
      <c r="E239" s="185"/>
      <c r="F239" s="185"/>
      <c r="G239" s="185"/>
      <c r="H239" s="185"/>
      <c r="I239" s="185"/>
      <c r="J239" s="185"/>
      <c r="K239" s="185"/>
      <c r="L239" s="185"/>
      <c r="M239" s="185"/>
      <c r="N239" s="185"/>
      <c r="S239" s="291">
        <v>41785</v>
      </c>
      <c r="T239" s="279">
        <v>146</v>
      </c>
    </row>
    <row r="240" spans="5:20" s="277" customFormat="1">
      <c r="E240" s="185"/>
      <c r="F240" s="185"/>
      <c r="G240" s="185"/>
      <c r="H240" s="185"/>
      <c r="I240" s="185"/>
      <c r="J240" s="185"/>
      <c r="K240" s="185"/>
      <c r="L240" s="185"/>
      <c r="M240" s="185"/>
      <c r="N240" s="185"/>
      <c r="S240" s="291">
        <v>41786</v>
      </c>
      <c r="T240" s="279">
        <v>147</v>
      </c>
    </row>
    <row r="241" spans="5:20" s="277" customFormat="1">
      <c r="E241" s="185"/>
      <c r="F241" s="185"/>
      <c r="G241" s="185"/>
      <c r="H241" s="185"/>
      <c r="I241" s="185"/>
      <c r="J241" s="185"/>
      <c r="K241" s="185"/>
      <c r="L241" s="185"/>
      <c r="M241" s="185"/>
      <c r="N241" s="185"/>
      <c r="S241" s="291">
        <v>41787</v>
      </c>
      <c r="T241" s="279">
        <v>148</v>
      </c>
    </row>
    <row r="242" spans="5:20" s="277" customFormat="1">
      <c r="E242" s="185"/>
      <c r="F242" s="185"/>
      <c r="G242" s="185"/>
      <c r="H242" s="185"/>
      <c r="I242" s="185"/>
      <c r="J242" s="185"/>
      <c r="K242" s="185"/>
      <c r="L242" s="185"/>
      <c r="M242" s="185"/>
      <c r="N242" s="185"/>
      <c r="S242" s="291">
        <v>41788</v>
      </c>
      <c r="T242" s="279">
        <v>149</v>
      </c>
    </row>
    <row r="243" spans="5:20" s="277" customFormat="1">
      <c r="E243" s="185"/>
      <c r="F243" s="185"/>
      <c r="G243" s="185"/>
      <c r="H243" s="185"/>
      <c r="I243" s="185"/>
      <c r="J243" s="185"/>
      <c r="K243" s="185"/>
      <c r="L243" s="185"/>
      <c r="M243" s="185"/>
      <c r="N243" s="185"/>
      <c r="S243" s="291">
        <v>41789</v>
      </c>
      <c r="T243" s="279">
        <v>150</v>
      </c>
    </row>
    <row r="244" spans="5:20" s="277" customFormat="1">
      <c r="E244" s="185"/>
      <c r="F244" s="185"/>
      <c r="G244" s="185"/>
      <c r="H244" s="185"/>
      <c r="I244" s="185"/>
      <c r="J244" s="185"/>
      <c r="K244" s="185"/>
      <c r="L244" s="185"/>
      <c r="M244" s="185"/>
      <c r="N244" s="185"/>
      <c r="S244" s="291">
        <v>41790</v>
      </c>
      <c r="T244" s="279">
        <v>151</v>
      </c>
    </row>
    <row r="245" spans="5:20" s="277" customFormat="1">
      <c r="E245" s="185"/>
      <c r="F245" s="185"/>
      <c r="G245" s="185"/>
      <c r="H245" s="185"/>
      <c r="I245" s="185"/>
      <c r="J245" s="185"/>
      <c r="K245" s="185"/>
      <c r="L245" s="185"/>
      <c r="M245" s="185"/>
      <c r="N245" s="185"/>
      <c r="S245" s="291">
        <v>41791</v>
      </c>
      <c r="T245" s="279">
        <v>152</v>
      </c>
    </row>
    <row r="246" spans="5:20" s="277" customFormat="1">
      <c r="E246" s="185"/>
      <c r="F246" s="185"/>
      <c r="G246" s="185"/>
      <c r="H246" s="185"/>
      <c r="I246" s="185"/>
      <c r="J246" s="185"/>
      <c r="K246" s="185"/>
      <c r="L246" s="185"/>
      <c r="M246" s="185"/>
      <c r="N246" s="185"/>
      <c r="S246" s="291">
        <v>41792</v>
      </c>
      <c r="T246" s="279">
        <v>153</v>
      </c>
    </row>
    <row r="247" spans="5:20" s="277" customFormat="1">
      <c r="E247" s="185"/>
      <c r="F247" s="185"/>
      <c r="G247" s="185"/>
      <c r="H247" s="185"/>
      <c r="I247" s="185"/>
      <c r="J247" s="185"/>
      <c r="K247" s="185"/>
      <c r="L247" s="185"/>
      <c r="M247" s="185"/>
      <c r="N247" s="185"/>
      <c r="S247" s="291">
        <v>41793</v>
      </c>
      <c r="T247" s="279">
        <v>154</v>
      </c>
    </row>
    <row r="248" spans="5:20" s="277" customFormat="1">
      <c r="H248" s="185"/>
      <c r="I248" s="185"/>
      <c r="J248" s="185"/>
      <c r="K248" s="185"/>
      <c r="L248" s="185"/>
      <c r="M248" s="185"/>
      <c r="N248" s="185"/>
      <c r="S248" s="291">
        <v>41794</v>
      </c>
      <c r="T248" s="279">
        <v>155</v>
      </c>
    </row>
    <row r="249" spans="5:20" s="277" customFormat="1">
      <c r="H249" s="185"/>
      <c r="I249" s="185"/>
      <c r="J249" s="185"/>
      <c r="K249" s="185"/>
      <c r="L249" s="185"/>
      <c r="M249" s="185"/>
      <c r="N249" s="185"/>
      <c r="S249" s="291">
        <v>41795</v>
      </c>
      <c r="T249" s="279">
        <v>156</v>
      </c>
    </row>
    <row r="250" spans="5:20" s="277" customFormat="1">
      <c r="H250" s="185"/>
      <c r="I250" s="185"/>
      <c r="J250" s="185"/>
      <c r="K250" s="185"/>
      <c r="L250" s="185"/>
      <c r="M250" s="185"/>
      <c r="N250" s="185"/>
      <c r="S250" s="291">
        <v>41796</v>
      </c>
      <c r="T250" s="279">
        <v>157</v>
      </c>
    </row>
    <row r="251" spans="5:20" s="277" customFormat="1">
      <c r="H251" s="185"/>
      <c r="I251" s="185"/>
      <c r="J251" s="185"/>
      <c r="K251" s="185"/>
      <c r="L251" s="185"/>
      <c r="M251" s="185"/>
      <c r="N251" s="185"/>
      <c r="O251" s="185"/>
      <c r="S251" s="291">
        <v>41797</v>
      </c>
      <c r="T251" s="279">
        <v>158</v>
      </c>
    </row>
    <row r="252" spans="5:20" s="277" customFormat="1">
      <c r="H252" s="185"/>
      <c r="I252" s="185"/>
      <c r="J252" s="185"/>
      <c r="K252" s="185"/>
      <c r="L252" s="185"/>
      <c r="M252" s="185"/>
      <c r="N252" s="185"/>
      <c r="O252" s="185"/>
      <c r="S252" s="291">
        <v>41798</v>
      </c>
      <c r="T252" s="279">
        <v>159</v>
      </c>
    </row>
    <row r="253" spans="5:20" s="277" customFormat="1">
      <c r="M253" s="185"/>
      <c r="N253" s="185"/>
      <c r="O253" s="185"/>
      <c r="S253" s="291">
        <v>41799</v>
      </c>
      <c r="T253" s="279">
        <v>160</v>
      </c>
    </row>
    <row r="254" spans="5:20" s="277" customFormat="1">
      <c r="M254" s="185"/>
      <c r="N254" s="185"/>
      <c r="O254" s="185"/>
      <c r="S254" s="291">
        <v>41800</v>
      </c>
      <c r="T254" s="279">
        <v>161</v>
      </c>
    </row>
    <row r="255" spans="5:20" s="277" customFormat="1">
      <c r="M255" s="185"/>
      <c r="N255" s="185"/>
      <c r="O255" s="185"/>
      <c r="S255" s="291">
        <v>41801</v>
      </c>
      <c r="T255" s="279">
        <v>162</v>
      </c>
    </row>
    <row r="256" spans="5:20" s="277" customFormat="1">
      <c r="M256" s="185"/>
      <c r="N256" s="185"/>
      <c r="O256" s="185"/>
      <c r="S256" s="291">
        <v>41802</v>
      </c>
      <c r="T256" s="279">
        <v>163</v>
      </c>
    </row>
    <row r="257" spans="13:20" s="277" customFormat="1">
      <c r="M257" s="185"/>
      <c r="N257" s="185"/>
      <c r="O257" s="185"/>
      <c r="S257" s="291">
        <v>41803</v>
      </c>
      <c r="T257" s="279">
        <v>164</v>
      </c>
    </row>
    <row r="258" spans="13:20" s="277" customFormat="1">
      <c r="M258" s="185"/>
      <c r="N258" s="185"/>
      <c r="O258" s="185"/>
      <c r="S258" s="291">
        <v>41804</v>
      </c>
      <c r="T258" s="279">
        <v>165</v>
      </c>
    </row>
    <row r="259" spans="13:20" s="277" customFormat="1">
      <c r="M259" s="185"/>
      <c r="N259" s="185"/>
      <c r="O259" s="185"/>
      <c r="S259" s="291">
        <v>41805</v>
      </c>
      <c r="T259" s="279">
        <v>166</v>
      </c>
    </row>
    <row r="260" spans="13:20" s="277" customFormat="1">
      <c r="M260" s="185"/>
      <c r="N260" s="185"/>
      <c r="O260" s="185"/>
      <c r="S260" s="291">
        <v>41806</v>
      </c>
      <c r="T260" s="279">
        <v>167</v>
      </c>
    </row>
    <row r="261" spans="13:20" s="277" customFormat="1">
      <c r="M261" s="185"/>
      <c r="N261" s="185"/>
      <c r="O261" s="185"/>
      <c r="S261" s="291">
        <v>41807</v>
      </c>
      <c r="T261" s="279">
        <v>168</v>
      </c>
    </row>
    <row r="262" spans="13:20" s="277" customFormat="1">
      <c r="M262" s="185"/>
      <c r="N262" s="185"/>
      <c r="O262" s="185"/>
      <c r="S262" s="291">
        <v>41808</v>
      </c>
      <c r="T262" s="279">
        <v>169</v>
      </c>
    </row>
    <row r="263" spans="13:20" s="277" customFormat="1">
      <c r="M263" s="185"/>
      <c r="N263" s="185"/>
      <c r="O263" s="185"/>
      <c r="S263" s="291">
        <v>41809</v>
      </c>
      <c r="T263" s="279">
        <v>170</v>
      </c>
    </row>
    <row r="264" spans="13:20" s="277" customFormat="1">
      <c r="M264" s="185"/>
      <c r="N264" s="185"/>
      <c r="O264" s="185"/>
      <c r="S264" s="291">
        <v>41810</v>
      </c>
      <c r="T264" s="279">
        <v>171</v>
      </c>
    </row>
    <row r="265" spans="13:20" s="277" customFormat="1">
      <c r="M265" s="185"/>
      <c r="N265" s="185"/>
      <c r="O265" s="185"/>
      <c r="S265" s="291">
        <v>41811</v>
      </c>
      <c r="T265" s="279">
        <v>172</v>
      </c>
    </row>
    <row r="266" spans="13:20" s="277" customFormat="1">
      <c r="M266" s="185"/>
      <c r="N266" s="185"/>
      <c r="O266" s="185"/>
      <c r="S266" s="291">
        <v>41812</v>
      </c>
      <c r="T266" s="279">
        <v>173</v>
      </c>
    </row>
    <row r="267" spans="13:20" s="277" customFormat="1">
      <c r="M267" s="185"/>
      <c r="N267" s="185"/>
      <c r="O267" s="185"/>
      <c r="S267" s="291">
        <v>41813</v>
      </c>
      <c r="T267" s="279">
        <v>174</v>
      </c>
    </row>
    <row r="268" spans="13:20" s="277" customFormat="1">
      <c r="M268" s="185"/>
      <c r="N268" s="185"/>
      <c r="O268" s="185"/>
      <c r="S268" s="291">
        <v>41814</v>
      </c>
      <c r="T268" s="279">
        <v>175</v>
      </c>
    </row>
    <row r="269" spans="13:20" s="277" customFormat="1">
      <c r="M269" s="185"/>
      <c r="N269" s="185"/>
      <c r="O269" s="185"/>
      <c r="S269" s="291">
        <v>41815</v>
      </c>
      <c r="T269" s="279">
        <v>176</v>
      </c>
    </row>
    <row r="270" spans="13:20" s="277" customFormat="1">
      <c r="M270" s="185"/>
      <c r="N270" s="185"/>
      <c r="O270" s="185"/>
      <c r="S270" s="291">
        <v>41816</v>
      </c>
      <c r="T270" s="279">
        <v>177</v>
      </c>
    </row>
    <row r="271" spans="13:20" s="277" customFormat="1">
      <c r="M271" s="185"/>
      <c r="N271" s="185"/>
      <c r="O271" s="185"/>
      <c r="S271" s="291">
        <v>41817</v>
      </c>
      <c r="T271" s="279">
        <v>178</v>
      </c>
    </row>
    <row r="272" spans="13:20" s="277" customFormat="1">
      <c r="M272" s="185"/>
      <c r="N272" s="185"/>
      <c r="O272" s="185"/>
      <c r="S272" s="291">
        <v>41818</v>
      </c>
      <c r="T272" s="279">
        <v>179</v>
      </c>
    </row>
    <row r="273" spans="13:20" s="277" customFormat="1">
      <c r="M273" s="185"/>
      <c r="N273" s="185"/>
      <c r="O273" s="185"/>
      <c r="S273" s="291">
        <v>41819</v>
      </c>
      <c r="T273" s="279">
        <v>180</v>
      </c>
    </row>
    <row r="274" spans="13:20" s="277" customFormat="1">
      <c r="M274" s="185"/>
      <c r="N274" s="185"/>
      <c r="O274" s="185"/>
      <c r="S274" s="291">
        <v>41820</v>
      </c>
      <c r="T274" s="279">
        <v>181</v>
      </c>
    </row>
    <row r="275" spans="13:20" s="277" customFormat="1">
      <c r="M275" s="185"/>
      <c r="N275" s="185"/>
      <c r="O275" s="185"/>
      <c r="S275" s="291">
        <v>41821</v>
      </c>
      <c r="T275" s="279">
        <v>182</v>
      </c>
    </row>
    <row r="276" spans="13:20" s="277" customFormat="1">
      <c r="M276" s="185"/>
      <c r="N276" s="185"/>
      <c r="O276" s="185"/>
      <c r="S276" s="291">
        <v>41822</v>
      </c>
      <c r="T276" s="279">
        <v>183</v>
      </c>
    </row>
    <row r="277" spans="13:20" s="277" customFormat="1">
      <c r="M277" s="185"/>
      <c r="N277" s="185"/>
      <c r="O277" s="185"/>
      <c r="S277" s="291">
        <v>41823</v>
      </c>
      <c r="T277" s="279">
        <v>184</v>
      </c>
    </row>
    <row r="278" spans="13:20" s="277" customFormat="1">
      <c r="M278" s="185"/>
      <c r="N278" s="185"/>
      <c r="O278" s="185"/>
      <c r="S278" s="291">
        <v>41824</v>
      </c>
      <c r="T278" s="279">
        <v>185</v>
      </c>
    </row>
    <row r="279" spans="13:20" s="277" customFormat="1">
      <c r="M279" s="185"/>
      <c r="N279" s="185"/>
      <c r="O279" s="185"/>
      <c r="S279" s="291">
        <v>41825</v>
      </c>
      <c r="T279" s="279">
        <v>186</v>
      </c>
    </row>
    <row r="280" spans="13:20" s="277" customFormat="1">
      <c r="M280" s="185"/>
      <c r="N280" s="185"/>
      <c r="O280" s="185"/>
      <c r="S280" s="291">
        <v>41826</v>
      </c>
      <c r="T280" s="279">
        <v>187</v>
      </c>
    </row>
    <row r="281" spans="13:20" s="277" customFormat="1">
      <c r="M281" s="185"/>
      <c r="N281" s="185"/>
      <c r="O281" s="185"/>
      <c r="S281" s="291">
        <v>41827</v>
      </c>
      <c r="T281" s="279">
        <v>188</v>
      </c>
    </row>
    <row r="282" spans="13:20" s="277" customFormat="1">
      <c r="M282" s="185"/>
      <c r="N282" s="185"/>
      <c r="O282" s="185"/>
      <c r="S282" s="291">
        <v>41828</v>
      </c>
      <c r="T282" s="279">
        <v>189</v>
      </c>
    </row>
    <row r="283" spans="13:20" s="277" customFormat="1">
      <c r="M283" s="185"/>
      <c r="N283" s="185"/>
      <c r="O283" s="185"/>
      <c r="S283" s="291">
        <v>41829</v>
      </c>
      <c r="T283" s="279">
        <v>190</v>
      </c>
    </row>
    <row r="284" spans="13:20" s="277" customFormat="1">
      <c r="M284" s="185"/>
      <c r="N284" s="185"/>
      <c r="O284" s="185"/>
      <c r="S284" s="291">
        <v>41830</v>
      </c>
      <c r="T284" s="279">
        <v>191</v>
      </c>
    </row>
    <row r="285" spans="13:20" s="277" customFormat="1">
      <c r="M285" s="185"/>
      <c r="N285" s="185"/>
      <c r="O285" s="185"/>
      <c r="S285" s="291">
        <v>41831</v>
      </c>
      <c r="T285" s="279">
        <v>192</v>
      </c>
    </row>
    <row r="286" spans="13:20" s="277" customFormat="1">
      <c r="M286" s="185"/>
      <c r="N286" s="185"/>
      <c r="O286" s="185"/>
      <c r="S286" s="291">
        <v>41832</v>
      </c>
      <c r="T286" s="279">
        <v>193</v>
      </c>
    </row>
    <row r="287" spans="13:20" s="277" customFormat="1">
      <c r="M287" s="185"/>
      <c r="N287" s="185"/>
      <c r="O287" s="185"/>
      <c r="S287" s="291">
        <v>41833</v>
      </c>
      <c r="T287" s="279">
        <v>194</v>
      </c>
    </row>
    <row r="288" spans="13:20" s="277" customFormat="1">
      <c r="M288" s="185"/>
      <c r="N288" s="185"/>
      <c r="O288" s="185"/>
      <c r="S288" s="291">
        <v>41834</v>
      </c>
      <c r="T288" s="279">
        <v>195</v>
      </c>
    </row>
    <row r="289" spans="13:20" s="277" customFormat="1">
      <c r="M289" s="185"/>
      <c r="N289" s="185"/>
      <c r="O289" s="185"/>
      <c r="S289" s="291">
        <v>41835</v>
      </c>
      <c r="T289" s="279">
        <v>196</v>
      </c>
    </row>
    <row r="290" spans="13:20" s="277" customFormat="1">
      <c r="M290" s="185"/>
      <c r="N290" s="185"/>
      <c r="O290" s="185"/>
      <c r="S290" s="291">
        <v>41836</v>
      </c>
      <c r="T290" s="279">
        <v>197</v>
      </c>
    </row>
    <row r="291" spans="13:20" s="277" customFormat="1">
      <c r="M291" s="185"/>
      <c r="N291" s="185"/>
      <c r="O291" s="185"/>
      <c r="S291" s="291">
        <v>41837</v>
      </c>
      <c r="T291" s="279">
        <v>198</v>
      </c>
    </row>
    <row r="292" spans="13:20" s="277" customFormat="1">
      <c r="M292" s="185"/>
      <c r="N292" s="185"/>
      <c r="O292" s="185"/>
      <c r="S292" s="291">
        <v>41838</v>
      </c>
      <c r="T292" s="279">
        <v>199</v>
      </c>
    </row>
    <row r="293" spans="13:20" s="277" customFormat="1">
      <c r="M293" s="185"/>
      <c r="N293" s="185"/>
      <c r="O293" s="185"/>
      <c r="S293" s="291">
        <v>41839</v>
      </c>
      <c r="T293" s="279">
        <v>200</v>
      </c>
    </row>
    <row r="294" spans="13:20" s="277" customFormat="1">
      <c r="M294" s="185"/>
      <c r="N294" s="185"/>
      <c r="O294" s="185"/>
      <c r="S294" s="291">
        <v>41840</v>
      </c>
      <c r="T294" s="279">
        <v>201</v>
      </c>
    </row>
    <row r="295" spans="13:20" s="277" customFormat="1">
      <c r="S295" s="291">
        <v>41841</v>
      </c>
      <c r="T295" s="279">
        <v>202</v>
      </c>
    </row>
    <row r="296" spans="13:20" s="277" customFormat="1">
      <c r="S296" s="291">
        <v>41842</v>
      </c>
      <c r="T296" s="279">
        <v>203</v>
      </c>
    </row>
    <row r="297" spans="13:20" s="277" customFormat="1">
      <c r="S297" s="291">
        <v>41843</v>
      </c>
      <c r="T297" s="279">
        <v>204</v>
      </c>
    </row>
    <row r="298" spans="13:20" s="277" customFormat="1">
      <c r="S298" s="291">
        <v>41844</v>
      </c>
      <c r="T298" s="279">
        <v>205</v>
      </c>
    </row>
    <row r="299" spans="13:20" s="277" customFormat="1">
      <c r="S299" s="291">
        <v>41845</v>
      </c>
      <c r="T299" s="279">
        <v>206</v>
      </c>
    </row>
    <row r="300" spans="13:20" s="277" customFormat="1">
      <c r="S300" s="291">
        <v>41846</v>
      </c>
      <c r="T300" s="279">
        <v>207</v>
      </c>
    </row>
    <row r="301" spans="13:20" s="277" customFormat="1">
      <c r="S301" s="291">
        <v>41847</v>
      </c>
      <c r="T301" s="279">
        <v>208</v>
      </c>
    </row>
    <row r="302" spans="13:20" s="277" customFormat="1">
      <c r="S302" s="291">
        <v>41848</v>
      </c>
      <c r="T302" s="279">
        <v>209</v>
      </c>
    </row>
    <row r="303" spans="13:20" s="277" customFormat="1">
      <c r="S303" s="291">
        <v>41849</v>
      </c>
      <c r="T303" s="279">
        <v>210</v>
      </c>
    </row>
    <row r="304" spans="13:20" s="277" customFormat="1">
      <c r="S304" s="291">
        <v>41850</v>
      </c>
      <c r="T304" s="279">
        <v>211</v>
      </c>
    </row>
    <row r="305" spans="19:20" s="277" customFormat="1">
      <c r="S305" s="291">
        <v>41851</v>
      </c>
      <c r="T305" s="279">
        <v>212</v>
      </c>
    </row>
    <row r="306" spans="19:20" s="277" customFormat="1">
      <c r="S306" s="291">
        <v>41852</v>
      </c>
      <c r="T306" s="279">
        <v>213</v>
      </c>
    </row>
    <row r="307" spans="19:20" s="277" customFormat="1">
      <c r="S307" s="291">
        <v>41853</v>
      </c>
      <c r="T307" s="279">
        <v>214</v>
      </c>
    </row>
    <row r="308" spans="19:20" s="277" customFormat="1">
      <c r="S308" s="291">
        <v>41854</v>
      </c>
      <c r="T308" s="279">
        <v>215</v>
      </c>
    </row>
    <row r="309" spans="19:20" s="277" customFormat="1">
      <c r="S309" s="291">
        <v>41855</v>
      </c>
      <c r="T309" s="279">
        <v>216</v>
      </c>
    </row>
    <row r="310" spans="19:20" s="277" customFormat="1">
      <c r="S310" s="291">
        <v>41856</v>
      </c>
      <c r="T310" s="279">
        <v>217</v>
      </c>
    </row>
    <row r="311" spans="19:20" s="277" customFormat="1">
      <c r="S311" s="291">
        <v>41857</v>
      </c>
      <c r="T311" s="279">
        <v>218</v>
      </c>
    </row>
    <row r="312" spans="19:20" s="277" customFormat="1">
      <c r="S312" s="291">
        <v>41858</v>
      </c>
      <c r="T312" s="279">
        <v>219</v>
      </c>
    </row>
    <row r="313" spans="19:20" s="277" customFormat="1">
      <c r="S313" s="291">
        <v>41859</v>
      </c>
      <c r="T313" s="279">
        <v>220</v>
      </c>
    </row>
    <row r="314" spans="19:20" s="277" customFormat="1">
      <c r="S314" s="291">
        <v>41860</v>
      </c>
      <c r="T314" s="279">
        <v>221</v>
      </c>
    </row>
    <row r="315" spans="19:20" s="277" customFormat="1">
      <c r="S315" s="291">
        <v>41861</v>
      </c>
      <c r="T315" s="279">
        <v>222</v>
      </c>
    </row>
    <row r="316" spans="19:20" s="277" customFormat="1">
      <c r="S316" s="291">
        <v>41862</v>
      </c>
      <c r="T316" s="279">
        <v>223</v>
      </c>
    </row>
    <row r="317" spans="19:20" s="277" customFormat="1">
      <c r="S317" s="291">
        <v>41863</v>
      </c>
      <c r="T317" s="279">
        <v>224</v>
      </c>
    </row>
    <row r="318" spans="19:20" s="277" customFormat="1">
      <c r="S318" s="291">
        <v>41864</v>
      </c>
      <c r="T318" s="279">
        <v>225</v>
      </c>
    </row>
    <row r="319" spans="19:20" s="277" customFormat="1">
      <c r="S319" s="291">
        <v>41865</v>
      </c>
      <c r="T319" s="279">
        <v>226</v>
      </c>
    </row>
    <row r="320" spans="19:20" s="277" customFormat="1">
      <c r="S320" s="291">
        <v>41866</v>
      </c>
      <c r="T320" s="279">
        <v>227</v>
      </c>
    </row>
    <row r="321" spans="19:20" s="277" customFormat="1">
      <c r="S321" s="291">
        <v>41867</v>
      </c>
      <c r="T321" s="279">
        <v>228</v>
      </c>
    </row>
    <row r="322" spans="19:20" s="277" customFormat="1">
      <c r="S322" s="291">
        <v>41868</v>
      </c>
      <c r="T322" s="279">
        <v>229</v>
      </c>
    </row>
    <row r="323" spans="19:20" s="277" customFormat="1">
      <c r="S323" s="291">
        <v>41869</v>
      </c>
      <c r="T323" s="279">
        <v>230</v>
      </c>
    </row>
    <row r="324" spans="19:20" s="277" customFormat="1">
      <c r="S324" s="291">
        <v>41870</v>
      </c>
      <c r="T324" s="279">
        <v>231</v>
      </c>
    </row>
    <row r="325" spans="19:20" s="277" customFormat="1">
      <c r="S325" s="291">
        <v>41871</v>
      </c>
      <c r="T325" s="279">
        <v>232</v>
      </c>
    </row>
    <row r="326" spans="19:20" s="277" customFormat="1">
      <c r="S326" s="291">
        <v>41872</v>
      </c>
      <c r="T326" s="279">
        <v>233</v>
      </c>
    </row>
    <row r="327" spans="19:20" s="277" customFormat="1">
      <c r="S327" s="291">
        <v>41873</v>
      </c>
      <c r="T327" s="279">
        <v>234</v>
      </c>
    </row>
    <row r="328" spans="19:20" s="277" customFormat="1">
      <c r="S328" s="291">
        <v>41874</v>
      </c>
      <c r="T328" s="279">
        <v>235</v>
      </c>
    </row>
    <row r="329" spans="19:20" s="277" customFormat="1">
      <c r="S329" s="291">
        <v>41875</v>
      </c>
      <c r="T329" s="279">
        <v>236</v>
      </c>
    </row>
    <row r="330" spans="19:20" s="277" customFormat="1">
      <c r="S330" s="291">
        <v>41876</v>
      </c>
      <c r="T330" s="279">
        <v>237</v>
      </c>
    </row>
    <row r="331" spans="19:20" s="277" customFormat="1">
      <c r="S331" s="291">
        <v>41877</v>
      </c>
      <c r="T331" s="279">
        <v>238</v>
      </c>
    </row>
    <row r="332" spans="19:20" s="277" customFormat="1">
      <c r="S332" s="291">
        <v>41878</v>
      </c>
      <c r="T332" s="279">
        <v>239</v>
      </c>
    </row>
    <row r="333" spans="19:20" s="277" customFormat="1">
      <c r="S333" s="291">
        <v>41879</v>
      </c>
      <c r="T333" s="279">
        <v>240</v>
      </c>
    </row>
    <row r="334" spans="19:20" s="277" customFormat="1">
      <c r="S334" s="291">
        <v>41880</v>
      </c>
      <c r="T334" s="279">
        <v>241</v>
      </c>
    </row>
    <row r="335" spans="19:20" s="277" customFormat="1">
      <c r="S335" s="291">
        <v>41881</v>
      </c>
      <c r="T335" s="279">
        <v>242</v>
      </c>
    </row>
    <row r="336" spans="19:20" s="277" customFormat="1">
      <c r="S336" s="291">
        <v>41882</v>
      </c>
      <c r="T336" s="279">
        <v>243</v>
      </c>
    </row>
    <row r="337" spans="19:20" s="277" customFormat="1">
      <c r="S337" s="291">
        <v>41883</v>
      </c>
      <c r="T337" s="279">
        <v>244</v>
      </c>
    </row>
    <row r="338" spans="19:20" s="277" customFormat="1">
      <c r="S338" s="291">
        <v>41884</v>
      </c>
      <c r="T338" s="279">
        <v>245</v>
      </c>
    </row>
    <row r="339" spans="19:20" s="277" customFormat="1">
      <c r="S339" s="291">
        <v>41885</v>
      </c>
      <c r="T339" s="279">
        <v>246</v>
      </c>
    </row>
    <row r="340" spans="19:20" s="277" customFormat="1">
      <c r="S340" s="291">
        <v>41886</v>
      </c>
      <c r="T340" s="279">
        <v>247</v>
      </c>
    </row>
    <row r="341" spans="19:20" s="277" customFormat="1">
      <c r="S341" s="291">
        <v>41887</v>
      </c>
      <c r="T341" s="279">
        <v>248</v>
      </c>
    </row>
    <row r="342" spans="19:20" s="277" customFormat="1">
      <c r="S342" s="291">
        <v>41888</v>
      </c>
      <c r="T342" s="279">
        <v>249</v>
      </c>
    </row>
    <row r="343" spans="19:20" s="277" customFormat="1">
      <c r="S343" s="291">
        <v>41889</v>
      </c>
      <c r="T343" s="279">
        <v>250</v>
      </c>
    </row>
    <row r="344" spans="19:20" s="277" customFormat="1">
      <c r="S344" s="291">
        <v>41890</v>
      </c>
      <c r="T344" s="279">
        <v>251</v>
      </c>
    </row>
    <row r="345" spans="19:20" s="277" customFormat="1">
      <c r="S345" s="291">
        <v>41891</v>
      </c>
      <c r="T345" s="279">
        <v>252</v>
      </c>
    </row>
    <row r="346" spans="19:20" s="277" customFormat="1">
      <c r="S346" s="291">
        <v>41892</v>
      </c>
      <c r="T346" s="279">
        <v>253</v>
      </c>
    </row>
    <row r="347" spans="19:20" s="277" customFormat="1">
      <c r="S347" s="291">
        <v>41893</v>
      </c>
      <c r="T347" s="279">
        <v>254</v>
      </c>
    </row>
    <row r="348" spans="19:20" s="277" customFormat="1">
      <c r="S348" s="291">
        <v>41894</v>
      </c>
      <c r="T348" s="279">
        <v>255</v>
      </c>
    </row>
    <row r="349" spans="19:20" s="277" customFormat="1">
      <c r="S349" s="291">
        <v>41895</v>
      </c>
      <c r="T349" s="279">
        <v>256</v>
      </c>
    </row>
    <row r="350" spans="19:20" s="277" customFormat="1">
      <c r="S350" s="291">
        <v>41896</v>
      </c>
      <c r="T350" s="279">
        <v>257</v>
      </c>
    </row>
    <row r="351" spans="19:20" s="277" customFormat="1">
      <c r="S351" s="291">
        <v>41897</v>
      </c>
      <c r="T351" s="279">
        <v>258</v>
      </c>
    </row>
    <row r="352" spans="19:20" s="277" customFormat="1">
      <c r="S352" s="291">
        <v>41898</v>
      </c>
      <c r="T352" s="279">
        <v>259</v>
      </c>
    </row>
    <row r="353" spans="19:20" s="277" customFormat="1">
      <c r="S353" s="291">
        <v>41899</v>
      </c>
      <c r="T353" s="279">
        <v>260</v>
      </c>
    </row>
    <row r="354" spans="19:20" s="277" customFormat="1">
      <c r="S354" s="291">
        <v>41900</v>
      </c>
      <c r="T354" s="279">
        <v>261</v>
      </c>
    </row>
    <row r="355" spans="19:20" s="277" customFormat="1">
      <c r="S355" s="291">
        <v>41901</v>
      </c>
      <c r="T355" s="279">
        <v>262</v>
      </c>
    </row>
    <row r="356" spans="19:20" s="277" customFormat="1">
      <c r="S356" s="291">
        <v>41902</v>
      </c>
      <c r="T356" s="279">
        <v>263</v>
      </c>
    </row>
    <row r="357" spans="19:20" s="277" customFormat="1">
      <c r="S357" s="291">
        <v>41903</v>
      </c>
      <c r="T357" s="279">
        <v>264</v>
      </c>
    </row>
    <row r="358" spans="19:20" s="277" customFormat="1">
      <c r="S358" s="291">
        <v>41904</v>
      </c>
      <c r="T358" s="279">
        <v>265</v>
      </c>
    </row>
    <row r="359" spans="19:20" s="277" customFormat="1">
      <c r="S359" s="291">
        <v>41905</v>
      </c>
      <c r="T359" s="279">
        <v>266</v>
      </c>
    </row>
    <row r="360" spans="19:20" s="277" customFormat="1">
      <c r="S360" s="291">
        <v>41906</v>
      </c>
      <c r="T360" s="279">
        <v>267</v>
      </c>
    </row>
    <row r="361" spans="19:20" s="277" customFormat="1">
      <c r="S361" s="291">
        <v>41907</v>
      </c>
      <c r="T361" s="279">
        <v>268</v>
      </c>
    </row>
    <row r="362" spans="19:20" s="277" customFormat="1">
      <c r="S362" s="291">
        <v>41908</v>
      </c>
      <c r="T362" s="279">
        <v>269</v>
      </c>
    </row>
    <row r="363" spans="19:20" s="277" customFormat="1">
      <c r="S363" s="291">
        <v>41909</v>
      </c>
      <c r="T363" s="279">
        <v>270</v>
      </c>
    </row>
    <row r="364" spans="19:20" s="277" customFormat="1">
      <c r="S364" s="291">
        <v>41910</v>
      </c>
      <c r="T364" s="279">
        <v>271</v>
      </c>
    </row>
    <row r="365" spans="19:20" s="277" customFormat="1">
      <c r="S365" s="291">
        <v>41911</v>
      </c>
      <c r="T365" s="279">
        <v>272</v>
      </c>
    </row>
    <row r="366" spans="19:20" s="277" customFormat="1">
      <c r="S366" s="291">
        <v>41912</v>
      </c>
      <c r="T366" s="279">
        <v>273</v>
      </c>
    </row>
    <row r="367" spans="19:20" s="277" customFormat="1">
      <c r="S367" s="291">
        <v>41913</v>
      </c>
      <c r="T367" s="279">
        <v>274</v>
      </c>
    </row>
    <row r="368" spans="19:20" s="277" customFormat="1">
      <c r="S368" s="291">
        <v>41914</v>
      </c>
      <c r="T368" s="279">
        <v>275</v>
      </c>
    </row>
    <row r="369" spans="19:20" s="277" customFormat="1">
      <c r="S369" s="291">
        <v>41915</v>
      </c>
      <c r="T369" s="279">
        <v>276</v>
      </c>
    </row>
    <row r="370" spans="19:20" s="277" customFormat="1">
      <c r="S370" s="291">
        <v>41916</v>
      </c>
      <c r="T370" s="279">
        <v>277</v>
      </c>
    </row>
    <row r="371" spans="19:20" s="277" customFormat="1">
      <c r="S371" s="291">
        <v>41917</v>
      </c>
      <c r="T371" s="279">
        <v>278</v>
      </c>
    </row>
    <row r="372" spans="19:20" s="277" customFormat="1">
      <c r="S372" s="291">
        <v>41918</v>
      </c>
      <c r="T372" s="279">
        <v>279</v>
      </c>
    </row>
    <row r="373" spans="19:20" s="277" customFormat="1">
      <c r="S373" s="291">
        <v>41919</v>
      </c>
      <c r="T373" s="279">
        <v>280</v>
      </c>
    </row>
    <row r="374" spans="19:20" s="277" customFormat="1">
      <c r="S374" s="291">
        <v>41920</v>
      </c>
      <c r="T374" s="279">
        <v>281</v>
      </c>
    </row>
    <row r="375" spans="19:20" s="277" customFormat="1">
      <c r="S375" s="291">
        <v>41921</v>
      </c>
      <c r="T375" s="279">
        <v>282</v>
      </c>
    </row>
    <row r="376" spans="19:20" s="277" customFormat="1">
      <c r="S376" s="291">
        <v>41922</v>
      </c>
      <c r="T376" s="279">
        <v>283</v>
      </c>
    </row>
    <row r="377" spans="19:20" s="277" customFormat="1">
      <c r="S377" s="291">
        <v>41923</v>
      </c>
      <c r="T377" s="279">
        <v>284</v>
      </c>
    </row>
    <row r="378" spans="19:20" s="277" customFormat="1">
      <c r="S378" s="291">
        <v>41924</v>
      </c>
      <c r="T378" s="279">
        <v>285</v>
      </c>
    </row>
    <row r="379" spans="19:20" s="277" customFormat="1">
      <c r="S379" s="291">
        <v>41925</v>
      </c>
      <c r="T379" s="279">
        <v>286</v>
      </c>
    </row>
    <row r="380" spans="19:20" s="277" customFormat="1">
      <c r="S380" s="291">
        <v>41926</v>
      </c>
      <c r="T380" s="279">
        <v>287</v>
      </c>
    </row>
    <row r="381" spans="19:20" s="277" customFormat="1">
      <c r="S381" s="291">
        <v>41927</v>
      </c>
      <c r="T381" s="279">
        <v>288</v>
      </c>
    </row>
    <row r="382" spans="19:20" s="277" customFormat="1">
      <c r="S382" s="291">
        <v>41928</v>
      </c>
      <c r="T382" s="279">
        <v>289</v>
      </c>
    </row>
    <row r="383" spans="19:20" s="277" customFormat="1">
      <c r="S383" s="291">
        <v>41929</v>
      </c>
      <c r="T383" s="279">
        <v>290</v>
      </c>
    </row>
    <row r="384" spans="19:20" s="277" customFormat="1">
      <c r="S384" s="291">
        <v>41930</v>
      </c>
      <c r="T384" s="279">
        <v>291</v>
      </c>
    </row>
    <row r="385" spans="19:20" s="277" customFormat="1">
      <c r="S385" s="291">
        <v>41931</v>
      </c>
      <c r="T385" s="279">
        <v>292</v>
      </c>
    </row>
    <row r="386" spans="19:20" s="277" customFormat="1">
      <c r="S386" s="291">
        <v>41932</v>
      </c>
      <c r="T386" s="279">
        <v>293</v>
      </c>
    </row>
    <row r="387" spans="19:20" s="277" customFormat="1">
      <c r="S387" s="291">
        <v>41933</v>
      </c>
      <c r="T387" s="279">
        <v>294</v>
      </c>
    </row>
    <row r="388" spans="19:20" s="277" customFormat="1">
      <c r="S388" s="291">
        <v>41934</v>
      </c>
      <c r="T388" s="279">
        <v>295</v>
      </c>
    </row>
    <row r="389" spans="19:20" s="277" customFormat="1">
      <c r="S389" s="291">
        <v>41935</v>
      </c>
      <c r="T389" s="279">
        <v>296</v>
      </c>
    </row>
    <row r="390" spans="19:20" s="277" customFormat="1">
      <c r="S390" s="291">
        <v>41936</v>
      </c>
      <c r="T390" s="279">
        <v>297</v>
      </c>
    </row>
    <row r="391" spans="19:20" s="277" customFormat="1">
      <c r="S391" s="291">
        <v>41937</v>
      </c>
      <c r="T391" s="279">
        <v>298</v>
      </c>
    </row>
    <row r="392" spans="19:20" s="277" customFormat="1">
      <c r="S392" s="291">
        <v>41938</v>
      </c>
      <c r="T392" s="279">
        <v>299</v>
      </c>
    </row>
    <row r="393" spans="19:20" s="277" customFormat="1">
      <c r="S393" s="291">
        <v>41939</v>
      </c>
      <c r="T393" s="279">
        <v>300</v>
      </c>
    </row>
    <row r="394" spans="19:20" s="277" customFormat="1">
      <c r="S394" s="291">
        <v>41940</v>
      </c>
      <c r="T394" s="279">
        <v>301</v>
      </c>
    </row>
    <row r="395" spans="19:20" s="277" customFormat="1">
      <c r="S395" s="291">
        <v>41941</v>
      </c>
      <c r="T395" s="279">
        <v>302</v>
      </c>
    </row>
    <row r="396" spans="19:20" s="277" customFormat="1">
      <c r="S396" s="291">
        <v>41942</v>
      </c>
      <c r="T396" s="279">
        <v>303</v>
      </c>
    </row>
    <row r="397" spans="19:20" s="277" customFormat="1">
      <c r="S397" s="291">
        <v>41943</v>
      </c>
      <c r="T397" s="279">
        <v>304</v>
      </c>
    </row>
    <row r="398" spans="19:20" s="277" customFormat="1">
      <c r="S398" s="291">
        <v>41944</v>
      </c>
      <c r="T398" s="279">
        <v>305</v>
      </c>
    </row>
    <row r="399" spans="19:20" s="277" customFormat="1">
      <c r="S399" s="291">
        <v>41945</v>
      </c>
      <c r="T399" s="279">
        <v>306</v>
      </c>
    </row>
    <row r="400" spans="19:20" s="277" customFormat="1">
      <c r="S400" s="291">
        <v>41946</v>
      </c>
      <c r="T400" s="279">
        <v>307</v>
      </c>
    </row>
    <row r="401" spans="19:20" s="277" customFormat="1">
      <c r="S401" s="291">
        <v>41947</v>
      </c>
      <c r="T401" s="279">
        <v>308</v>
      </c>
    </row>
    <row r="402" spans="19:20" s="277" customFormat="1">
      <c r="S402" s="291">
        <v>41948</v>
      </c>
      <c r="T402" s="279">
        <v>309</v>
      </c>
    </row>
    <row r="403" spans="19:20" s="277" customFormat="1">
      <c r="S403" s="291">
        <v>41949</v>
      </c>
      <c r="T403" s="279">
        <v>310</v>
      </c>
    </row>
    <row r="404" spans="19:20" s="277" customFormat="1">
      <c r="S404" s="291">
        <v>41950</v>
      </c>
      <c r="T404" s="279">
        <v>311</v>
      </c>
    </row>
    <row r="405" spans="19:20" s="277" customFormat="1">
      <c r="S405" s="291">
        <v>41951</v>
      </c>
      <c r="T405" s="279">
        <v>312</v>
      </c>
    </row>
    <row r="406" spans="19:20" s="277" customFormat="1">
      <c r="S406" s="291">
        <v>41952</v>
      </c>
      <c r="T406" s="279">
        <v>313</v>
      </c>
    </row>
    <row r="407" spans="19:20" s="277" customFormat="1">
      <c r="S407" s="291">
        <v>41953</v>
      </c>
      <c r="T407" s="279">
        <v>314</v>
      </c>
    </row>
    <row r="408" spans="19:20" s="277" customFormat="1">
      <c r="S408" s="291">
        <v>41954</v>
      </c>
      <c r="T408" s="279">
        <v>315</v>
      </c>
    </row>
    <row r="409" spans="19:20" s="277" customFormat="1">
      <c r="S409" s="291">
        <v>41955</v>
      </c>
      <c r="T409" s="279">
        <v>316</v>
      </c>
    </row>
    <row r="410" spans="19:20" s="277" customFormat="1">
      <c r="S410" s="291">
        <v>41956</v>
      </c>
      <c r="T410" s="279">
        <v>317</v>
      </c>
    </row>
    <row r="411" spans="19:20" s="277" customFormat="1">
      <c r="S411" s="291">
        <v>41957</v>
      </c>
      <c r="T411" s="279">
        <v>318</v>
      </c>
    </row>
    <row r="412" spans="19:20" s="277" customFormat="1">
      <c r="S412" s="291">
        <v>41958</v>
      </c>
      <c r="T412" s="279">
        <v>319</v>
      </c>
    </row>
    <row r="413" spans="19:20" s="277" customFormat="1">
      <c r="S413" s="291">
        <v>41959</v>
      </c>
      <c r="T413" s="279">
        <v>320</v>
      </c>
    </row>
    <row r="414" spans="19:20" s="277" customFormat="1">
      <c r="S414" s="291">
        <v>41960</v>
      </c>
      <c r="T414" s="279">
        <v>321</v>
      </c>
    </row>
    <row r="415" spans="19:20" s="277" customFormat="1">
      <c r="S415" s="291">
        <v>41961</v>
      </c>
      <c r="T415" s="279">
        <v>322</v>
      </c>
    </row>
    <row r="416" spans="19:20" s="277" customFormat="1">
      <c r="S416" s="291">
        <v>41962</v>
      </c>
      <c r="T416" s="279">
        <v>323</v>
      </c>
    </row>
    <row r="417" spans="19:20" s="277" customFormat="1">
      <c r="S417" s="291">
        <v>41963</v>
      </c>
      <c r="T417" s="279">
        <v>324</v>
      </c>
    </row>
    <row r="418" spans="19:20" s="277" customFormat="1">
      <c r="S418" s="291">
        <v>41964</v>
      </c>
      <c r="T418" s="279">
        <v>325</v>
      </c>
    </row>
    <row r="419" spans="19:20" s="277" customFormat="1">
      <c r="S419" s="291">
        <v>41965</v>
      </c>
      <c r="T419" s="279">
        <v>326</v>
      </c>
    </row>
    <row r="420" spans="19:20" s="277" customFormat="1">
      <c r="S420" s="291">
        <v>41966</v>
      </c>
      <c r="T420" s="279">
        <v>327</v>
      </c>
    </row>
    <row r="421" spans="19:20" s="277" customFormat="1">
      <c r="S421" s="291">
        <v>41967</v>
      </c>
      <c r="T421" s="279">
        <v>328</v>
      </c>
    </row>
    <row r="422" spans="19:20" s="277" customFormat="1">
      <c r="S422" s="291">
        <v>41968</v>
      </c>
      <c r="T422" s="279">
        <v>329</v>
      </c>
    </row>
    <row r="423" spans="19:20" s="277" customFormat="1">
      <c r="S423" s="291">
        <v>41969</v>
      </c>
      <c r="T423" s="279">
        <v>330</v>
      </c>
    </row>
    <row r="424" spans="19:20" s="277" customFormat="1">
      <c r="S424" s="291">
        <v>41970</v>
      </c>
      <c r="T424" s="279">
        <v>331</v>
      </c>
    </row>
    <row r="425" spans="19:20" s="277" customFormat="1">
      <c r="S425" s="291">
        <v>41971</v>
      </c>
      <c r="T425" s="279">
        <v>332</v>
      </c>
    </row>
    <row r="426" spans="19:20" s="277" customFormat="1">
      <c r="S426" s="291">
        <v>41972</v>
      </c>
      <c r="T426" s="279">
        <v>333</v>
      </c>
    </row>
    <row r="427" spans="19:20" s="277" customFormat="1">
      <c r="S427" s="291">
        <v>41973</v>
      </c>
      <c r="T427" s="279">
        <v>334</v>
      </c>
    </row>
    <row r="428" spans="19:20" s="277" customFormat="1">
      <c r="S428" s="291">
        <v>41974</v>
      </c>
      <c r="T428" s="279">
        <v>335</v>
      </c>
    </row>
    <row r="429" spans="19:20" s="277" customFormat="1">
      <c r="S429" s="291">
        <v>41975</v>
      </c>
      <c r="T429" s="279">
        <v>336</v>
      </c>
    </row>
    <row r="430" spans="19:20" s="277" customFormat="1">
      <c r="S430" s="291">
        <v>41976</v>
      </c>
      <c r="T430" s="279">
        <v>337</v>
      </c>
    </row>
    <row r="431" spans="19:20" s="277" customFormat="1">
      <c r="S431" s="291">
        <v>41977</v>
      </c>
      <c r="T431" s="279">
        <v>338</v>
      </c>
    </row>
    <row r="432" spans="19:20" s="277" customFormat="1">
      <c r="S432" s="291">
        <v>41978</v>
      </c>
      <c r="T432" s="279">
        <v>339</v>
      </c>
    </row>
    <row r="433" spans="19:20" s="277" customFormat="1">
      <c r="S433" s="291">
        <v>41979</v>
      </c>
      <c r="T433" s="279">
        <v>340</v>
      </c>
    </row>
    <row r="434" spans="19:20" s="277" customFormat="1">
      <c r="S434" s="291">
        <v>41980</v>
      </c>
      <c r="T434" s="279">
        <v>341</v>
      </c>
    </row>
    <row r="435" spans="19:20" s="277" customFormat="1">
      <c r="S435" s="291">
        <v>41981</v>
      </c>
      <c r="T435" s="279">
        <v>342</v>
      </c>
    </row>
    <row r="436" spans="19:20" s="277" customFormat="1">
      <c r="S436" s="291">
        <v>41982</v>
      </c>
      <c r="T436" s="279">
        <v>343</v>
      </c>
    </row>
    <row r="437" spans="19:20" s="277" customFormat="1">
      <c r="S437" s="291">
        <v>41983</v>
      </c>
      <c r="T437" s="279">
        <v>344</v>
      </c>
    </row>
    <row r="438" spans="19:20" s="277" customFormat="1">
      <c r="S438" s="291">
        <v>41984</v>
      </c>
      <c r="T438" s="279">
        <v>345</v>
      </c>
    </row>
    <row r="439" spans="19:20" s="277" customFormat="1">
      <c r="S439" s="291">
        <v>41985</v>
      </c>
      <c r="T439" s="279">
        <v>346</v>
      </c>
    </row>
    <row r="440" spans="19:20" s="277" customFormat="1">
      <c r="S440" s="291">
        <v>41986</v>
      </c>
      <c r="T440" s="279">
        <v>347</v>
      </c>
    </row>
    <row r="441" spans="19:20" s="277" customFormat="1">
      <c r="S441" s="291">
        <v>41987</v>
      </c>
      <c r="T441" s="279">
        <v>348</v>
      </c>
    </row>
    <row r="442" spans="19:20" s="277" customFormat="1">
      <c r="S442" s="291">
        <v>41988</v>
      </c>
      <c r="T442" s="279">
        <v>349</v>
      </c>
    </row>
    <row r="443" spans="19:20" s="277" customFormat="1">
      <c r="S443" s="291">
        <v>41989</v>
      </c>
      <c r="T443" s="279">
        <v>350</v>
      </c>
    </row>
    <row r="444" spans="19:20" s="277" customFormat="1">
      <c r="S444" s="291">
        <v>41990</v>
      </c>
      <c r="T444" s="279">
        <v>351</v>
      </c>
    </row>
    <row r="445" spans="19:20" s="277" customFormat="1">
      <c r="S445" s="291">
        <v>41991</v>
      </c>
      <c r="T445" s="279">
        <v>352</v>
      </c>
    </row>
    <row r="446" spans="19:20" s="277" customFormat="1">
      <c r="S446" s="291">
        <v>41992</v>
      </c>
      <c r="T446" s="279">
        <v>353</v>
      </c>
    </row>
    <row r="447" spans="19:20" s="277" customFormat="1">
      <c r="S447" s="291">
        <v>41993</v>
      </c>
      <c r="T447" s="279">
        <v>354</v>
      </c>
    </row>
    <row r="448" spans="19:20" s="277" customFormat="1">
      <c r="S448" s="291">
        <v>41994</v>
      </c>
      <c r="T448" s="279">
        <v>355</v>
      </c>
    </row>
    <row r="449" spans="19:20" s="277" customFormat="1">
      <c r="S449" s="291">
        <v>41995</v>
      </c>
      <c r="T449" s="279">
        <v>356</v>
      </c>
    </row>
    <row r="450" spans="19:20" s="277" customFormat="1">
      <c r="S450" s="291">
        <v>41996</v>
      </c>
      <c r="T450" s="279">
        <v>357</v>
      </c>
    </row>
    <row r="451" spans="19:20" s="277" customFormat="1">
      <c r="S451" s="291">
        <v>41997</v>
      </c>
      <c r="T451" s="279">
        <v>358</v>
      </c>
    </row>
    <row r="452" spans="19:20" s="277" customFormat="1">
      <c r="S452" s="291">
        <v>41998</v>
      </c>
      <c r="T452" s="279">
        <v>359</v>
      </c>
    </row>
    <row r="453" spans="19:20" s="277" customFormat="1">
      <c r="S453" s="291">
        <v>41999</v>
      </c>
      <c r="T453" s="279">
        <v>360</v>
      </c>
    </row>
    <row r="454" spans="19:20" s="277" customFormat="1">
      <c r="S454" s="291">
        <v>42000</v>
      </c>
      <c r="T454" s="279">
        <v>361</v>
      </c>
    </row>
    <row r="455" spans="19:20" s="277" customFormat="1">
      <c r="S455" s="291">
        <v>42001</v>
      </c>
      <c r="T455" s="279">
        <v>362</v>
      </c>
    </row>
    <row r="456" spans="19:20" s="277" customFormat="1">
      <c r="S456" s="291">
        <v>42002</v>
      </c>
      <c r="T456" s="279">
        <v>363</v>
      </c>
    </row>
    <row r="457" spans="19:20" s="277" customFormat="1">
      <c r="S457" s="291">
        <v>42003</v>
      </c>
      <c r="T457" s="279">
        <v>364</v>
      </c>
    </row>
    <row r="458" spans="19:20" s="277" customFormat="1">
      <c r="S458" s="291">
        <v>42004</v>
      </c>
      <c r="T458" s="279">
        <v>365</v>
      </c>
    </row>
    <row r="459" spans="19:20" s="277" customFormat="1">
      <c r="S459" s="291">
        <v>42005</v>
      </c>
      <c r="T459" s="279">
        <v>366</v>
      </c>
    </row>
    <row r="460" spans="19:20" s="277" customFormat="1">
      <c r="S460" s="291">
        <v>42006</v>
      </c>
      <c r="T460" s="279">
        <v>367</v>
      </c>
    </row>
    <row r="461" spans="19:20" s="277" customFormat="1">
      <c r="S461" s="291">
        <v>42007</v>
      </c>
      <c r="T461" s="279">
        <v>368</v>
      </c>
    </row>
    <row r="462" spans="19:20" s="277" customFormat="1">
      <c r="S462" s="291">
        <v>42008</v>
      </c>
      <c r="T462" s="279">
        <v>369</v>
      </c>
    </row>
    <row r="463" spans="19:20" s="277" customFormat="1">
      <c r="S463" s="291">
        <v>42009</v>
      </c>
      <c r="T463" s="279">
        <v>370</v>
      </c>
    </row>
    <row r="464" spans="19:20" s="277" customFormat="1">
      <c r="S464" s="291">
        <v>42010</v>
      </c>
      <c r="T464" s="279">
        <v>371</v>
      </c>
    </row>
    <row r="465" spans="19:20" s="277" customFormat="1">
      <c r="S465" s="291">
        <v>42011</v>
      </c>
      <c r="T465" s="279">
        <v>372</v>
      </c>
    </row>
    <row r="466" spans="19:20" s="277" customFormat="1">
      <c r="S466" s="291">
        <v>42012</v>
      </c>
      <c r="T466" s="279">
        <v>373</v>
      </c>
    </row>
    <row r="467" spans="19:20" s="277" customFormat="1">
      <c r="S467" s="291">
        <v>42013</v>
      </c>
      <c r="T467" s="279">
        <v>374</v>
      </c>
    </row>
    <row r="468" spans="19:20" s="277" customFormat="1">
      <c r="S468" s="291">
        <v>42014</v>
      </c>
      <c r="T468" s="279">
        <v>375</v>
      </c>
    </row>
    <row r="469" spans="19:20" s="277" customFormat="1">
      <c r="S469" s="291">
        <v>42015</v>
      </c>
      <c r="T469" s="279">
        <v>376</v>
      </c>
    </row>
    <row r="470" spans="19:20" s="277" customFormat="1">
      <c r="S470" s="291">
        <v>42016</v>
      </c>
      <c r="T470" s="279">
        <v>377</v>
      </c>
    </row>
    <row r="471" spans="19:20" s="277" customFormat="1">
      <c r="S471" s="291">
        <v>42017</v>
      </c>
      <c r="T471" s="279">
        <v>378</v>
      </c>
    </row>
    <row r="472" spans="19:20" s="277" customFormat="1">
      <c r="S472" s="291">
        <v>42018</v>
      </c>
      <c r="T472" s="279">
        <v>379</v>
      </c>
    </row>
    <row r="473" spans="19:20" s="277" customFormat="1">
      <c r="S473" s="291">
        <v>42019</v>
      </c>
      <c r="T473" s="279">
        <v>380</v>
      </c>
    </row>
    <row r="474" spans="19:20" s="277" customFormat="1">
      <c r="S474" s="291">
        <v>42020</v>
      </c>
      <c r="T474" s="279">
        <v>381</v>
      </c>
    </row>
    <row r="475" spans="19:20" s="277" customFormat="1">
      <c r="S475" s="291">
        <v>42021</v>
      </c>
      <c r="T475" s="279">
        <v>382</v>
      </c>
    </row>
    <row r="476" spans="19:20" s="277" customFormat="1">
      <c r="S476" s="291">
        <v>42022</v>
      </c>
      <c r="T476" s="279">
        <v>383</v>
      </c>
    </row>
    <row r="477" spans="19:20" s="277" customFormat="1">
      <c r="S477" s="291">
        <v>42023</v>
      </c>
      <c r="T477" s="279">
        <v>384</v>
      </c>
    </row>
    <row r="478" spans="19:20" s="277" customFormat="1">
      <c r="S478" s="291">
        <v>42024</v>
      </c>
      <c r="T478" s="279">
        <v>385</v>
      </c>
    </row>
    <row r="479" spans="19:20" s="277" customFormat="1">
      <c r="S479" s="291">
        <v>42025</v>
      </c>
      <c r="T479" s="279">
        <v>386</v>
      </c>
    </row>
    <row r="480" spans="19:20" s="277" customFormat="1">
      <c r="S480" s="291">
        <v>42026</v>
      </c>
      <c r="T480" s="279">
        <v>387</v>
      </c>
    </row>
    <row r="481" spans="19:20" s="277" customFormat="1">
      <c r="S481" s="291">
        <v>42027</v>
      </c>
      <c r="T481" s="279">
        <v>388</v>
      </c>
    </row>
    <row r="482" spans="19:20" s="277" customFormat="1">
      <c r="S482" s="291">
        <v>42028</v>
      </c>
      <c r="T482" s="279">
        <v>389</v>
      </c>
    </row>
    <row r="483" spans="19:20" s="277" customFormat="1">
      <c r="S483" s="291">
        <v>42029</v>
      </c>
      <c r="T483" s="279">
        <v>390</v>
      </c>
    </row>
    <row r="484" spans="19:20" s="277" customFormat="1">
      <c r="S484" s="291">
        <v>42030</v>
      </c>
      <c r="T484" s="279">
        <v>391</v>
      </c>
    </row>
    <row r="485" spans="19:20" s="277" customFormat="1">
      <c r="S485" s="291">
        <v>42031</v>
      </c>
      <c r="T485" s="279">
        <v>392</v>
      </c>
    </row>
    <row r="486" spans="19:20" s="277" customFormat="1">
      <c r="S486" s="291">
        <v>42032</v>
      </c>
      <c r="T486" s="279">
        <v>393</v>
      </c>
    </row>
    <row r="487" spans="19:20" s="277" customFormat="1">
      <c r="S487" s="291">
        <v>42033</v>
      </c>
      <c r="T487" s="279">
        <v>394</v>
      </c>
    </row>
    <row r="488" spans="19:20" s="277" customFormat="1">
      <c r="S488" s="291">
        <v>42034</v>
      </c>
      <c r="T488" s="279">
        <v>395</v>
      </c>
    </row>
    <row r="489" spans="19:20" s="277" customFormat="1">
      <c r="S489" s="291">
        <v>42035</v>
      </c>
      <c r="T489" s="279">
        <v>396</v>
      </c>
    </row>
    <row r="490" spans="19:20" s="277" customFormat="1">
      <c r="S490" s="291">
        <v>42036</v>
      </c>
      <c r="T490" s="279">
        <v>397</v>
      </c>
    </row>
    <row r="491" spans="19:20" s="277" customFormat="1">
      <c r="S491" s="291">
        <v>42037</v>
      </c>
      <c r="T491" s="279">
        <v>398</v>
      </c>
    </row>
    <row r="492" spans="19:20" s="277" customFormat="1">
      <c r="S492" s="291">
        <v>42038</v>
      </c>
      <c r="T492" s="279">
        <v>399</v>
      </c>
    </row>
    <row r="493" spans="19:20" s="277" customFormat="1">
      <c r="S493" s="291">
        <v>42039</v>
      </c>
      <c r="T493" s="279">
        <v>400</v>
      </c>
    </row>
    <row r="494" spans="19:20" s="277" customFormat="1">
      <c r="S494" s="291">
        <v>42040</v>
      </c>
      <c r="T494" s="279">
        <v>401</v>
      </c>
    </row>
    <row r="495" spans="19:20" s="277" customFormat="1">
      <c r="S495" s="291">
        <v>42041</v>
      </c>
      <c r="T495" s="279">
        <v>402</v>
      </c>
    </row>
    <row r="496" spans="19:20" s="277" customFormat="1">
      <c r="S496" s="291">
        <v>42042</v>
      </c>
      <c r="T496" s="279">
        <v>403</v>
      </c>
    </row>
    <row r="497" spans="19:20" s="277" customFormat="1">
      <c r="S497" s="291">
        <v>42043</v>
      </c>
      <c r="T497" s="279">
        <v>404</v>
      </c>
    </row>
    <row r="498" spans="19:20" s="277" customFormat="1">
      <c r="S498" s="291">
        <v>42044</v>
      </c>
      <c r="T498" s="279">
        <v>405</v>
      </c>
    </row>
    <row r="499" spans="19:20" s="277" customFormat="1">
      <c r="S499" s="291">
        <v>42045</v>
      </c>
      <c r="T499" s="279">
        <v>406</v>
      </c>
    </row>
    <row r="500" spans="19:20" s="277" customFormat="1">
      <c r="S500" s="291">
        <v>42046</v>
      </c>
      <c r="T500" s="279">
        <v>407</v>
      </c>
    </row>
    <row r="501" spans="19:20" s="277" customFormat="1">
      <c r="S501" s="291">
        <v>42047</v>
      </c>
      <c r="T501" s="279">
        <v>408</v>
      </c>
    </row>
    <row r="502" spans="19:20" s="277" customFormat="1">
      <c r="S502" s="291">
        <v>42048</v>
      </c>
      <c r="T502" s="279">
        <v>409</v>
      </c>
    </row>
    <row r="503" spans="19:20" s="277" customFormat="1">
      <c r="S503" s="291">
        <v>42049</v>
      </c>
      <c r="T503" s="279">
        <v>410</v>
      </c>
    </row>
    <row r="504" spans="19:20" s="277" customFormat="1">
      <c r="S504" s="291">
        <v>42050</v>
      </c>
      <c r="T504" s="279">
        <v>411</v>
      </c>
    </row>
    <row r="505" spans="19:20" s="277" customFormat="1">
      <c r="S505" s="291">
        <v>42051</v>
      </c>
      <c r="T505" s="279">
        <v>412</v>
      </c>
    </row>
    <row r="506" spans="19:20" s="277" customFormat="1">
      <c r="S506" s="291">
        <v>42052</v>
      </c>
      <c r="T506" s="279">
        <v>413</v>
      </c>
    </row>
    <row r="507" spans="19:20" s="277" customFormat="1">
      <c r="S507" s="291">
        <v>42053</v>
      </c>
      <c r="T507" s="279">
        <v>414</v>
      </c>
    </row>
    <row r="508" spans="19:20" s="277" customFormat="1">
      <c r="S508" s="291">
        <v>42054</v>
      </c>
      <c r="T508" s="279">
        <v>415</v>
      </c>
    </row>
    <row r="509" spans="19:20" s="277" customFormat="1">
      <c r="S509" s="291">
        <v>42055</v>
      </c>
      <c r="T509" s="279">
        <v>416</v>
      </c>
    </row>
    <row r="510" spans="19:20" s="277" customFormat="1">
      <c r="S510" s="291">
        <v>42056</v>
      </c>
      <c r="T510" s="279">
        <v>417</v>
      </c>
    </row>
    <row r="511" spans="19:20" s="277" customFormat="1">
      <c r="S511" s="291">
        <v>42057</v>
      </c>
      <c r="T511" s="279">
        <v>418</v>
      </c>
    </row>
    <row r="512" spans="19:20" s="277" customFormat="1">
      <c r="S512" s="291">
        <v>42058</v>
      </c>
      <c r="T512" s="279">
        <v>419</v>
      </c>
    </row>
    <row r="513" spans="19:20" s="277" customFormat="1">
      <c r="S513" s="291">
        <v>42059</v>
      </c>
      <c r="T513" s="279">
        <v>420</v>
      </c>
    </row>
    <row r="514" spans="19:20" s="277" customFormat="1">
      <c r="S514" s="291">
        <v>42060</v>
      </c>
      <c r="T514" s="279">
        <v>421</v>
      </c>
    </row>
    <row r="515" spans="19:20" s="277" customFormat="1">
      <c r="S515" s="291">
        <v>42061</v>
      </c>
      <c r="T515" s="279">
        <v>422</v>
      </c>
    </row>
    <row r="516" spans="19:20" s="277" customFormat="1">
      <c r="S516" s="291">
        <v>42062</v>
      </c>
      <c r="T516" s="279">
        <v>423</v>
      </c>
    </row>
    <row r="517" spans="19:20" s="277" customFormat="1">
      <c r="S517" s="291">
        <v>42063</v>
      </c>
      <c r="T517" s="279">
        <v>424</v>
      </c>
    </row>
    <row r="518" spans="19:20" s="277" customFormat="1">
      <c r="S518" s="291">
        <v>42064</v>
      </c>
      <c r="T518" s="279">
        <v>425</v>
      </c>
    </row>
    <row r="519" spans="19:20" s="277" customFormat="1">
      <c r="S519" s="291">
        <v>42065</v>
      </c>
      <c r="T519" s="279">
        <v>426</v>
      </c>
    </row>
    <row r="520" spans="19:20" s="277" customFormat="1">
      <c r="S520" s="291">
        <v>42066</v>
      </c>
      <c r="T520" s="279">
        <v>427</v>
      </c>
    </row>
    <row r="521" spans="19:20" s="277" customFormat="1">
      <c r="S521" s="291">
        <v>42067</v>
      </c>
      <c r="T521" s="279">
        <v>428</v>
      </c>
    </row>
    <row r="522" spans="19:20" s="277" customFormat="1">
      <c r="S522" s="291">
        <v>42068</v>
      </c>
      <c r="T522" s="279">
        <v>429</v>
      </c>
    </row>
    <row r="523" spans="19:20" s="277" customFormat="1">
      <c r="S523" s="291">
        <v>42069</v>
      </c>
      <c r="T523" s="279">
        <v>430</v>
      </c>
    </row>
    <row r="524" spans="19:20" s="277" customFormat="1">
      <c r="S524" s="291">
        <v>42070</v>
      </c>
      <c r="T524" s="279">
        <v>431</v>
      </c>
    </row>
    <row r="525" spans="19:20" s="277" customFormat="1">
      <c r="S525" s="291">
        <v>42071</v>
      </c>
      <c r="T525" s="279">
        <v>432</v>
      </c>
    </row>
    <row r="526" spans="19:20" s="277" customFormat="1">
      <c r="S526" s="291">
        <v>42072</v>
      </c>
      <c r="T526" s="279">
        <v>433</v>
      </c>
    </row>
    <row r="527" spans="19:20" s="277" customFormat="1">
      <c r="S527" s="291">
        <v>42073</v>
      </c>
      <c r="T527" s="279">
        <v>434</v>
      </c>
    </row>
    <row r="528" spans="19:20" s="277" customFormat="1">
      <c r="S528" s="291">
        <v>42074</v>
      </c>
      <c r="T528" s="279">
        <v>435</v>
      </c>
    </row>
    <row r="529" spans="19:20" s="277" customFormat="1">
      <c r="S529" s="291">
        <v>42075</v>
      </c>
      <c r="T529" s="279">
        <v>436</v>
      </c>
    </row>
    <row r="530" spans="19:20" s="277" customFormat="1">
      <c r="S530" s="291">
        <v>42076</v>
      </c>
      <c r="T530" s="279">
        <v>437</v>
      </c>
    </row>
    <row r="531" spans="19:20" s="277" customFormat="1">
      <c r="S531" s="291">
        <v>42077</v>
      </c>
      <c r="T531" s="279">
        <v>438</v>
      </c>
    </row>
    <row r="532" spans="19:20" s="277" customFormat="1">
      <c r="S532" s="291">
        <v>42078</v>
      </c>
      <c r="T532" s="279">
        <v>439</v>
      </c>
    </row>
    <row r="533" spans="19:20" s="277" customFormat="1">
      <c r="S533" s="291">
        <v>42079</v>
      </c>
      <c r="T533" s="279">
        <v>440</v>
      </c>
    </row>
    <row r="534" spans="19:20" s="277" customFormat="1">
      <c r="S534" s="291">
        <v>42080</v>
      </c>
      <c r="T534" s="279">
        <v>441</v>
      </c>
    </row>
    <row r="535" spans="19:20" s="277" customFormat="1">
      <c r="S535" s="291">
        <v>42081</v>
      </c>
      <c r="T535" s="279">
        <v>442</v>
      </c>
    </row>
    <row r="536" spans="19:20" s="277" customFormat="1">
      <c r="S536" s="291">
        <v>42082</v>
      </c>
      <c r="T536" s="279">
        <v>443</v>
      </c>
    </row>
    <row r="537" spans="19:20" s="277" customFormat="1">
      <c r="S537" s="291">
        <v>42083</v>
      </c>
      <c r="T537" s="279">
        <v>444</v>
      </c>
    </row>
    <row r="538" spans="19:20" s="277" customFormat="1">
      <c r="S538" s="291">
        <v>42084</v>
      </c>
      <c r="T538" s="279">
        <v>445</v>
      </c>
    </row>
    <row r="539" spans="19:20" s="277" customFormat="1">
      <c r="S539" s="291">
        <v>42085</v>
      </c>
      <c r="T539" s="279">
        <v>446</v>
      </c>
    </row>
    <row r="540" spans="19:20" s="277" customFormat="1">
      <c r="S540" s="291">
        <v>42086</v>
      </c>
      <c r="T540" s="279">
        <v>447</v>
      </c>
    </row>
    <row r="541" spans="19:20" s="277" customFormat="1">
      <c r="S541" s="291">
        <v>42087</v>
      </c>
      <c r="T541" s="279">
        <v>448</v>
      </c>
    </row>
    <row r="542" spans="19:20" s="277" customFormat="1">
      <c r="S542" s="291">
        <v>42088</v>
      </c>
      <c r="T542" s="279">
        <v>449</v>
      </c>
    </row>
    <row r="543" spans="19:20" s="277" customFormat="1">
      <c r="S543" s="291">
        <v>42089</v>
      </c>
      <c r="T543" s="279">
        <v>450</v>
      </c>
    </row>
    <row r="544" spans="19:20" s="277" customFormat="1">
      <c r="S544" s="291">
        <v>42090</v>
      </c>
      <c r="T544" s="279">
        <v>451</v>
      </c>
    </row>
    <row r="545" spans="19:20" s="277" customFormat="1">
      <c r="S545" s="291">
        <v>42091</v>
      </c>
      <c r="T545" s="279">
        <v>452</v>
      </c>
    </row>
    <row r="546" spans="19:20" s="277" customFormat="1">
      <c r="S546" s="291">
        <v>42092</v>
      </c>
      <c r="T546" s="279">
        <v>453</v>
      </c>
    </row>
    <row r="547" spans="19:20" s="277" customFormat="1">
      <c r="S547" s="291">
        <v>42093</v>
      </c>
      <c r="T547" s="279">
        <v>454</v>
      </c>
    </row>
    <row r="548" spans="19:20" s="277" customFormat="1">
      <c r="S548" s="291">
        <v>42094</v>
      </c>
      <c r="T548" s="279">
        <v>455</v>
      </c>
    </row>
    <row r="549" spans="19:20" s="277" customFormat="1">
      <c r="S549" s="291">
        <v>42095</v>
      </c>
      <c r="T549" s="279">
        <v>456</v>
      </c>
    </row>
    <row r="550" spans="19:20" s="277" customFormat="1">
      <c r="S550" s="291">
        <v>42096</v>
      </c>
      <c r="T550" s="279">
        <v>457</v>
      </c>
    </row>
    <row r="551" spans="19:20" s="277" customFormat="1">
      <c r="S551" s="291">
        <v>42097</v>
      </c>
      <c r="T551" s="279">
        <v>458</v>
      </c>
    </row>
    <row r="552" spans="19:20" s="277" customFormat="1">
      <c r="S552" s="291">
        <v>42098</v>
      </c>
      <c r="T552" s="279">
        <v>459</v>
      </c>
    </row>
    <row r="553" spans="19:20" s="277" customFormat="1">
      <c r="S553" s="291">
        <v>42099</v>
      </c>
      <c r="T553" s="279">
        <v>460</v>
      </c>
    </row>
    <row r="554" spans="19:20" s="277" customFormat="1">
      <c r="S554" s="291">
        <v>42100</v>
      </c>
      <c r="T554" s="279">
        <v>461</v>
      </c>
    </row>
    <row r="555" spans="19:20" s="277" customFormat="1">
      <c r="S555" s="291">
        <v>42101</v>
      </c>
      <c r="T555" s="279">
        <v>462</v>
      </c>
    </row>
    <row r="556" spans="19:20" s="277" customFormat="1">
      <c r="S556" s="291">
        <v>42102</v>
      </c>
      <c r="T556" s="279">
        <v>463</v>
      </c>
    </row>
    <row r="557" spans="19:20" s="277" customFormat="1">
      <c r="S557" s="291">
        <v>42103</v>
      </c>
      <c r="T557" s="279">
        <v>464</v>
      </c>
    </row>
    <row r="558" spans="19:20" s="277" customFormat="1">
      <c r="S558" s="291">
        <v>42104</v>
      </c>
      <c r="T558" s="279">
        <v>465</v>
      </c>
    </row>
    <row r="559" spans="19:20" s="277" customFormat="1">
      <c r="S559" s="291">
        <v>42105</v>
      </c>
      <c r="T559" s="279">
        <v>466</v>
      </c>
    </row>
    <row r="560" spans="19:20" s="277" customFormat="1">
      <c r="S560" s="291">
        <v>42106</v>
      </c>
      <c r="T560" s="279">
        <v>467</v>
      </c>
    </row>
    <row r="561" spans="19:20" s="277" customFormat="1">
      <c r="S561" s="291">
        <v>42107</v>
      </c>
      <c r="T561" s="279">
        <v>468</v>
      </c>
    </row>
    <row r="562" spans="19:20" s="277" customFormat="1">
      <c r="S562" s="291">
        <v>42108</v>
      </c>
      <c r="T562" s="279">
        <v>469</v>
      </c>
    </row>
    <row r="563" spans="19:20" s="277" customFormat="1">
      <c r="S563" s="291">
        <v>42109</v>
      </c>
      <c r="T563" s="279">
        <v>470</v>
      </c>
    </row>
    <row r="564" spans="19:20" s="277" customFormat="1">
      <c r="S564" s="291">
        <v>42110</v>
      </c>
      <c r="T564" s="279">
        <v>471</v>
      </c>
    </row>
    <row r="565" spans="19:20" s="277" customFormat="1">
      <c r="S565" s="291">
        <v>42111</v>
      </c>
      <c r="T565" s="279">
        <v>472</v>
      </c>
    </row>
    <row r="566" spans="19:20" s="277" customFormat="1">
      <c r="S566" s="291">
        <v>42112</v>
      </c>
      <c r="T566" s="279">
        <v>473</v>
      </c>
    </row>
    <row r="567" spans="19:20" s="277" customFormat="1">
      <c r="S567" s="291">
        <v>42113</v>
      </c>
      <c r="T567" s="279">
        <v>474</v>
      </c>
    </row>
    <row r="568" spans="19:20" s="277" customFormat="1">
      <c r="S568" s="291">
        <v>42114</v>
      </c>
      <c r="T568" s="279">
        <v>475</v>
      </c>
    </row>
    <row r="569" spans="19:20" s="277" customFormat="1">
      <c r="S569" s="291">
        <v>42115</v>
      </c>
      <c r="T569" s="279">
        <v>476</v>
      </c>
    </row>
    <row r="570" spans="19:20" s="277" customFormat="1">
      <c r="S570" s="291">
        <v>42116</v>
      </c>
      <c r="T570" s="279">
        <v>477</v>
      </c>
    </row>
    <row r="571" spans="19:20" s="277" customFormat="1">
      <c r="S571" s="291">
        <v>42117</v>
      </c>
      <c r="T571" s="279">
        <v>478</v>
      </c>
    </row>
    <row r="572" spans="19:20" s="277" customFormat="1">
      <c r="S572" s="291">
        <v>42118</v>
      </c>
      <c r="T572" s="279">
        <v>479</v>
      </c>
    </row>
    <row r="573" spans="19:20" s="277" customFormat="1">
      <c r="S573" s="291">
        <v>42119</v>
      </c>
      <c r="T573" s="279">
        <v>480</v>
      </c>
    </row>
    <row r="574" spans="19:20" s="277" customFormat="1">
      <c r="S574" s="291">
        <v>42120</v>
      </c>
      <c r="T574" s="279">
        <v>481</v>
      </c>
    </row>
    <row r="575" spans="19:20" s="277" customFormat="1">
      <c r="S575" s="291">
        <v>42121</v>
      </c>
      <c r="T575" s="279">
        <v>482</v>
      </c>
    </row>
    <row r="576" spans="19:20" s="277" customFormat="1">
      <c r="S576" s="291">
        <v>42122</v>
      </c>
      <c r="T576" s="279">
        <v>483</v>
      </c>
    </row>
    <row r="577" spans="19:20" s="277" customFormat="1">
      <c r="S577" s="291">
        <v>42123</v>
      </c>
      <c r="T577" s="279">
        <v>484</v>
      </c>
    </row>
    <row r="578" spans="19:20" s="277" customFormat="1">
      <c r="S578" s="291">
        <v>42124</v>
      </c>
      <c r="T578" s="279">
        <v>485</v>
      </c>
    </row>
    <row r="579" spans="19:20" s="277" customFormat="1">
      <c r="S579" s="291">
        <v>42125</v>
      </c>
      <c r="T579" s="279">
        <v>486</v>
      </c>
    </row>
    <row r="580" spans="19:20" s="277" customFormat="1">
      <c r="S580" s="291">
        <v>42126</v>
      </c>
      <c r="T580" s="279">
        <v>487</v>
      </c>
    </row>
    <row r="581" spans="19:20" s="277" customFormat="1">
      <c r="S581" s="291">
        <v>42127</v>
      </c>
      <c r="T581" s="279">
        <v>488</v>
      </c>
    </row>
    <row r="582" spans="19:20" s="277" customFormat="1">
      <c r="S582" s="291">
        <v>42128</v>
      </c>
      <c r="T582" s="279">
        <v>489</v>
      </c>
    </row>
    <row r="583" spans="19:20" s="277" customFormat="1">
      <c r="S583" s="291">
        <v>42129</v>
      </c>
      <c r="T583" s="279">
        <v>490</v>
      </c>
    </row>
    <row r="584" spans="19:20" s="277" customFormat="1">
      <c r="S584" s="291">
        <v>42130</v>
      </c>
      <c r="T584" s="279">
        <v>491</v>
      </c>
    </row>
    <row r="585" spans="19:20" s="277" customFormat="1">
      <c r="S585" s="291">
        <v>42131</v>
      </c>
      <c r="T585" s="279">
        <v>492</v>
      </c>
    </row>
    <row r="586" spans="19:20" s="277" customFormat="1">
      <c r="S586" s="291">
        <v>42132</v>
      </c>
      <c r="T586" s="279">
        <v>493</v>
      </c>
    </row>
    <row r="587" spans="19:20" s="277" customFormat="1">
      <c r="S587" s="291">
        <v>42133</v>
      </c>
      <c r="T587" s="279">
        <v>494</v>
      </c>
    </row>
    <row r="588" spans="19:20" s="277" customFormat="1">
      <c r="S588" s="291">
        <v>42134</v>
      </c>
      <c r="T588" s="279">
        <v>495</v>
      </c>
    </row>
    <row r="589" spans="19:20" s="277" customFormat="1">
      <c r="S589" s="291">
        <v>42135</v>
      </c>
      <c r="T589" s="279">
        <v>496</v>
      </c>
    </row>
    <row r="590" spans="19:20" s="277" customFormat="1">
      <c r="S590" s="291">
        <v>42136</v>
      </c>
      <c r="T590" s="279">
        <v>497</v>
      </c>
    </row>
    <row r="591" spans="19:20" s="277" customFormat="1">
      <c r="S591" s="291">
        <v>42137</v>
      </c>
      <c r="T591" s="279">
        <v>498</v>
      </c>
    </row>
    <row r="592" spans="19:20" s="277" customFormat="1">
      <c r="S592" s="291">
        <v>42138</v>
      </c>
      <c r="T592" s="279">
        <v>499</v>
      </c>
    </row>
    <row r="593" spans="19:20" s="277" customFormat="1">
      <c r="S593" s="291">
        <v>42139</v>
      </c>
      <c r="T593" s="279">
        <v>500</v>
      </c>
    </row>
    <row r="594" spans="19:20" s="277" customFormat="1">
      <c r="S594" s="291">
        <v>42140</v>
      </c>
      <c r="T594" s="279">
        <v>501</v>
      </c>
    </row>
    <row r="595" spans="19:20" s="277" customFormat="1">
      <c r="S595" s="291">
        <v>42141</v>
      </c>
      <c r="T595" s="279">
        <v>502</v>
      </c>
    </row>
    <row r="596" spans="19:20" s="277" customFormat="1">
      <c r="S596" s="291">
        <v>42142</v>
      </c>
      <c r="T596" s="279">
        <v>503</v>
      </c>
    </row>
    <row r="597" spans="19:20" s="277" customFormat="1">
      <c r="S597" s="291">
        <v>42143</v>
      </c>
      <c r="T597" s="279">
        <v>504</v>
      </c>
    </row>
    <row r="598" spans="19:20" s="277" customFormat="1">
      <c r="S598" s="291">
        <v>42144</v>
      </c>
      <c r="T598" s="279">
        <v>505</v>
      </c>
    </row>
    <row r="599" spans="19:20" s="277" customFormat="1">
      <c r="S599" s="291">
        <v>42145</v>
      </c>
      <c r="T599" s="279">
        <v>506</v>
      </c>
    </row>
    <row r="600" spans="19:20" s="277" customFormat="1">
      <c r="S600" s="291">
        <v>42146</v>
      </c>
      <c r="T600" s="279">
        <v>507</v>
      </c>
    </row>
    <row r="601" spans="19:20" s="277" customFormat="1">
      <c r="S601" s="291">
        <v>42147</v>
      </c>
      <c r="T601" s="279">
        <v>508</v>
      </c>
    </row>
    <row r="602" spans="19:20" s="277" customFormat="1">
      <c r="S602" s="291">
        <v>42148</v>
      </c>
      <c r="T602" s="279">
        <v>509</v>
      </c>
    </row>
    <row r="603" spans="19:20" s="277" customFormat="1">
      <c r="S603" s="291">
        <v>42149</v>
      </c>
      <c r="T603" s="279">
        <v>510</v>
      </c>
    </row>
    <row r="604" spans="19:20" s="277" customFormat="1">
      <c r="S604" s="291">
        <v>42150</v>
      </c>
      <c r="T604" s="279">
        <v>511</v>
      </c>
    </row>
    <row r="605" spans="19:20" s="277" customFormat="1">
      <c r="S605" s="291">
        <v>42151</v>
      </c>
      <c r="T605" s="279">
        <v>512</v>
      </c>
    </row>
    <row r="606" spans="19:20" s="277" customFormat="1">
      <c r="S606" s="291">
        <v>42152</v>
      </c>
      <c r="T606" s="279">
        <v>513</v>
      </c>
    </row>
    <row r="607" spans="19:20" s="277" customFormat="1">
      <c r="S607" s="291">
        <v>42153</v>
      </c>
      <c r="T607" s="279">
        <v>514</v>
      </c>
    </row>
    <row r="608" spans="19:20" s="277" customFormat="1">
      <c r="S608" s="291">
        <v>42154</v>
      </c>
      <c r="T608" s="279">
        <v>515</v>
      </c>
    </row>
    <row r="609" spans="19:20" s="277" customFormat="1">
      <c r="S609" s="291">
        <v>42155</v>
      </c>
      <c r="T609" s="279">
        <v>516</v>
      </c>
    </row>
    <row r="610" spans="19:20" s="277" customFormat="1">
      <c r="S610" s="291">
        <v>42156</v>
      </c>
      <c r="T610" s="279">
        <v>517</v>
      </c>
    </row>
    <row r="611" spans="19:20" s="277" customFormat="1">
      <c r="S611" s="291">
        <v>42157</v>
      </c>
      <c r="T611" s="279">
        <v>518</v>
      </c>
    </row>
    <row r="612" spans="19:20" s="277" customFormat="1">
      <c r="S612" s="291">
        <v>42158</v>
      </c>
      <c r="T612" s="279">
        <v>519</v>
      </c>
    </row>
    <row r="613" spans="19:20" s="277" customFormat="1">
      <c r="S613" s="291">
        <v>42159</v>
      </c>
      <c r="T613" s="279">
        <v>520</v>
      </c>
    </row>
    <row r="614" spans="19:20" s="277" customFormat="1">
      <c r="S614" s="291">
        <v>42160</v>
      </c>
      <c r="T614" s="279">
        <v>521</v>
      </c>
    </row>
    <row r="615" spans="19:20" s="277" customFormat="1">
      <c r="S615" s="291">
        <v>42161</v>
      </c>
      <c r="T615" s="279">
        <v>522</v>
      </c>
    </row>
    <row r="616" spans="19:20" s="277" customFormat="1">
      <c r="S616" s="291">
        <v>42162</v>
      </c>
      <c r="T616" s="279">
        <v>523</v>
      </c>
    </row>
    <row r="617" spans="19:20" s="277" customFormat="1">
      <c r="S617" s="291">
        <v>42163</v>
      </c>
      <c r="T617" s="279">
        <v>524</v>
      </c>
    </row>
    <row r="618" spans="19:20" s="277" customFormat="1">
      <c r="S618" s="291">
        <v>42164</v>
      </c>
      <c r="T618" s="279">
        <v>525</v>
      </c>
    </row>
    <row r="619" spans="19:20" s="277" customFormat="1">
      <c r="S619" s="291">
        <v>42165</v>
      </c>
      <c r="T619" s="279">
        <v>526</v>
      </c>
    </row>
    <row r="620" spans="19:20" s="277" customFormat="1">
      <c r="S620" s="291">
        <v>42166</v>
      </c>
      <c r="T620" s="279">
        <v>527</v>
      </c>
    </row>
    <row r="621" spans="19:20" s="277" customFormat="1">
      <c r="S621" s="291">
        <v>42167</v>
      </c>
      <c r="T621" s="279">
        <v>528</v>
      </c>
    </row>
    <row r="622" spans="19:20" s="277" customFormat="1">
      <c r="S622" s="291">
        <v>42168</v>
      </c>
      <c r="T622" s="279">
        <v>529</v>
      </c>
    </row>
    <row r="623" spans="19:20" s="277" customFormat="1">
      <c r="S623" s="291">
        <v>42169</v>
      </c>
      <c r="T623" s="279">
        <v>530</v>
      </c>
    </row>
    <row r="624" spans="19:20" s="277" customFormat="1">
      <c r="S624" s="291">
        <v>42170</v>
      </c>
      <c r="T624" s="279">
        <v>531</v>
      </c>
    </row>
    <row r="625" spans="19:20" s="277" customFormat="1">
      <c r="S625" s="291">
        <v>42171</v>
      </c>
      <c r="T625" s="279">
        <v>532</v>
      </c>
    </row>
    <row r="626" spans="19:20" s="277" customFormat="1">
      <c r="S626" s="291">
        <v>42172</v>
      </c>
      <c r="T626" s="279">
        <v>533</v>
      </c>
    </row>
    <row r="627" spans="19:20" s="277" customFormat="1">
      <c r="S627" s="291">
        <v>42173</v>
      </c>
      <c r="T627" s="279">
        <v>534</v>
      </c>
    </row>
    <row r="628" spans="19:20" s="277" customFormat="1">
      <c r="S628" s="291">
        <v>42174</v>
      </c>
      <c r="T628" s="279">
        <v>535</v>
      </c>
    </row>
    <row r="629" spans="19:20" s="277" customFormat="1">
      <c r="S629" s="291">
        <v>42175</v>
      </c>
      <c r="T629" s="279">
        <v>536</v>
      </c>
    </row>
    <row r="630" spans="19:20" s="277" customFormat="1">
      <c r="S630" s="291">
        <v>42176</v>
      </c>
      <c r="T630" s="279">
        <v>537</v>
      </c>
    </row>
    <row r="631" spans="19:20" s="277" customFormat="1">
      <c r="S631" s="291">
        <v>42177</v>
      </c>
      <c r="T631" s="279">
        <v>538</v>
      </c>
    </row>
    <row r="632" spans="19:20" s="277" customFormat="1">
      <c r="S632" s="291">
        <v>42178</v>
      </c>
      <c r="T632" s="279">
        <v>539</v>
      </c>
    </row>
    <row r="633" spans="19:20" s="277" customFormat="1">
      <c r="S633" s="291">
        <v>42179</v>
      </c>
      <c r="T633" s="279">
        <v>540</v>
      </c>
    </row>
    <row r="634" spans="19:20" s="277" customFormat="1">
      <c r="S634" s="291">
        <v>42180</v>
      </c>
      <c r="T634" s="279">
        <v>541</v>
      </c>
    </row>
    <row r="635" spans="19:20" s="277" customFormat="1">
      <c r="S635" s="291">
        <v>42181</v>
      </c>
      <c r="T635" s="279">
        <v>542</v>
      </c>
    </row>
    <row r="636" spans="19:20" s="277" customFormat="1">
      <c r="S636" s="291">
        <v>42182</v>
      </c>
      <c r="T636" s="279">
        <v>543</v>
      </c>
    </row>
    <row r="637" spans="19:20" s="277" customFormat="1">
      <c r="S637" s="291">
        <v>42183</v>
      </c>
      <c r="T637" s="279">
        <v>544</v>
      </c>
    </row>
    <row r="638" spans="19:20" s="277" customFormat="1">
      <c r="S638" s="291">
        <v>42184</v>
      </c>
      <c r="T638" s="279">
        <v>545</v>
      </c>
    </row>
    <row r="639" spans="19:20" s="277" customFormat="1">
      <c r="S639" s="291">
        <v>42185</v>
      </c>
      <c r="T639" s="279">
        <v>546</v>
      </c>
    </row>
    <row r="640" spans="19:20" s="277" customFormat="1">
      <c r="S640" s="291">
        <v>42186</v>
      </c>
      <c r="T640" s="279">
        <v>547</v>
      </c>
    </row>
    <row r="641" spans="19:20" s="277" customFormat="1">
      <c r="S641" s="291">
        <v>42187</v>
      </c>
      <c r="T641" s="279">
        <v>548</v>
      </c>
    </row>
    <row r="642" spans="19:20" s="277" customFormat="1">
      <c r="S642" s="291">
        <v>42188</v>
      </c>
      <c r="T642" s="279">
        <v>549</v>
      </c>
    </row>
    <row r="643" spans="19:20" s="277" customFormat="1">
      <c r="S643" s="291">
        <v>42189</v>
      </c>
      <c r="T643" s="279">
        <v>550</v>
      </c>
    </row>
    <row r="644" spans="19:20" s="277" customFormat="1">
      <c r="S644" s="291">
        <v>42190</v>
      </c>
      <c r="T644" s="279">
        <v>551</v>
      </c>
    </row>
    <row r="645" spans="19:20" s="277" customFormat="1">
      <c r="S645" s="291">
        <v>42191</v>
      </c>
      <c r="T645" s="279">
        <v>552</v>
      </c>
    </row>
    <row r="646" spans="19:20" s="277" customFormat="1">
      <c r="S646" s="291">
        <v>42192</v>
      </c>
      <c r="T646" s="279">
        <v>553</v>
      </c>
    </row>
    <row r="647" spans="19:20" s="277" customFormat="1">
      <c r="S647" s="291">
        <v>42193</v>
      </c>
      <c r="T647" s="279">
        <v>554</v>
      </c>
    </row>
    <row r="648" spans="19:20" s="277" customFormat="1">
      <c r="S648" s="291">
        <v>42194</v>
      </c>
      <c r="T648" s="279">
        <v>555</v>
      </c>
    </row>
    <row r="649" spans="19:20" s="277" customFormat="1">
      <c r="S649" s="291">
        <v>42195</v>
      </c>
      <c r="T649" s="279">
        <v>556</v>
      </c>
    </row>
    <row r="650" spans="19:20" s="277" customFormat="1">
      <c r="S650" s="291">
        <v>42196</v>
      </c>
      <c r="T650" s="279">
        <v>557</v>
      </c>
    </row>
    <row r="651" spans="19:20" s="277" customFormat="1">
      <c r="S651" s="291">
        <v>42197</v>
      </c>
      <c r="T651" s="279">
        <v>558</v>
      </c>
    </row>
    <row r="652" spans="19:20" s="277" customFormat="1">
      <c r="S652" s="291">
        <v>42198</v>
      </c>
      <c r="T652" s="279">
        <v>559</v>
      </c>
    </row>
    <row r="653" spans="19:20" s="277" customFormat="1">
      <c r="S653" s="291">
        <v>42199</v>
      </c>
      <c r="T653" s="279">
        <v>560</v>
      </c>
    </row>
    <row r="654" spans="19:20" s="277" customFormat="1">
      <c r="S654" s="291">
        <v>42200</v>
      </c>
      <c r="T654" s="279">
        <v>561</v>
      </c>
    </row>
    <row r="655" spans="19:20" s="277" customFormat="1">
      <c r="S655" s="291">
        <v>42201</v>
      </c>
      <c r="T655" s="279">
        <v>562</v>
      </c>
    </row>
    <row r="656" spans="19:20" s="277" customFormat="1">
      <c r="S656" s="291">
        <v>42202</v>
      </c>
      <c r="T656" s="279">
        <v>563</v>
      </c>
    </row>
    <row r="657" spans="19:20" s="277" customFormat="1">
      <c r="S657" s="291">
        <v>42203</v>
      </c>
      <c r="T657" s="279">
        <v>564</v>
      </c>
    </row>
    <row r="658" spans="19:20" s="277" customFormat="1">
      <c r="S658" s="291">
        <v>42204</v>
      </c>
      <c r="T658" s="279">
        <v>565</v>
      </c>
    </row>
    <row r="659" spans="19:20" s="277" customFormat="1">
      <c r="S659" s="291">
        <v>42205</v>
      </c>
      <c r="T659" s="279">
        <v>566</v>
      </c>
    </row>
    <row r="660" spans="19:20" s="277" customFormat="1">
      <c r="S660" s="291">
        <v>42206</v>
      </c>
      <c r="T660" s="279">
        <v>567</v>
      </c>
    </row>
    <row r="661" spans="19:20" s="277" customFormat="1">
      <c r="S661" s="291">
        <v>42207</v>
      </c>
      <c r="T661" s="279">
        <v>568</v>
      </c>
    </row>
    <row r="662" spans="19:20" s="277" customFormat="1">
      <c r="S662" s="291">
        <v>42208</v>
      </c>
      <c r="T662" s="279">
        <v>569</v>
      </c>
    </row>
    <row r="663" spans="19:20" s="277" customFormat="1">
      <c r="S663" s="291">
        <v>42209</v>
      </c>
      <c r="T663" s="279">
        <v>570</v>
      </c>
    </row>
    <row r="664" spans="19:20" s="277" customFormat="1">
      <c r="S664" s="291">
        <v>42210</v>
      </c>
      <c r="T664" s="279">
        <v>571</v>
      </c>
    </row>
    <row r="665" spans="19:20" s="277" customFormat="1">
      <c r="S665" s="291">
        <v>42211</v>
      </c>
      <c r="T665" s="279">
        <v>572</v>
      </c>
    </row>
    <row r="666" spans="19:20" s="277" customFormat="1">
      <c r="S666" s="291">
        <v>42212</v>
      </c>
      <c r="T666" s="279">
        <v>573</v>
      </c>
    </row>
    <row r="667" spans="19:20" s="277" customFormat="1">
      <c r="S667" s="291">
        <v>42213</v>
      </c>
      <c r="T667" s="279">
        <v>574</v>
      </c>
    </row>
    <row r="668" spans="19:20" s="277" customFormat="1">
      <c r="S668" s="291">
        <v>42214</v>
      </c>
      <c r="T668" s="279">
        <v>575</v>
      </c>
    </row>
    <row r="669" spans="19:20" s="277" customFormat="1">
      <c r="S669" s="291">
        <v>42215</v>
      </c>
      <c r="T669" s="279">
        <v>576</v>
      </c>
    </row>
    <row r="670" spans="19:20" s="277" customFormat="1">
      <c r="S670" s="291">
        <v>42216</v>
      </c>
      <c r="T670" s="279">
        <v>577</v>
      </c>
    </row>
    <row r="671" spans="19:20" s="277" customFormat="1">
      <c r="S671" s="291">
        <v>42217</v>
      </c>
      <c r="T671" s="279">
        <v>578</v>
      </c>
    </row>
    <row r="672" spans="19:20" s="277" customFormat="1">
      <c r="S672" s="291">
        <v>42218</v>
      </c>
      <c r="T672" s="279">
        <v>579</v>
      </c>
    </row>
    <row r="673" spans="19:20" s="277" customFormat="1">
      <c r="S673" s="291">
        <v>42219</v>
      </c>
      <c r="T673" s="279">
        <v>580</v>
      </c>
    </row>
    <row r="674" spans="19:20" s="277" customFormat="1">
      <c r="S674" s="291">
        <v>42220</v>
      </c>
      <c r="T674" s="279">
        <v>581</v>
      </c>
    </row>
    <row r="675" spans="19:20" s="277" customFormat="1">
      <c r="S675" s="291">
        <v>42221</v>
      </c>
      <c r="T675" s="279">
        <v>582</v>
      </c>
    </row>
    <row r="676" spans="19:20" s="277" customFormat="1">
      <c r="S676" s="291">
        <v>42222</v>
      </c>
      <c r="T676" s="279">
        <v>583</v>
      </c>
    </row>
    <row r="677" spans="19:20" s="277" customFormat="1">
      <c r="S677" s="291">
        <v>42223</v>
      </c>
      <c r="T677" s="279">
        <v>584</v>
      </c>
    </row>
    <row r="678" spans="19:20" s="277" customFormat="1">
      <c r="S678" s="291">
        <v>42224</v>
      </c>
      <c r="T678" s="279">
        <v>585</v>
      </c>
    </row>
    <row r="679" spans="19:20" s="277" customFormat="1">
      <c r="S679" s="291">
        <v>42225</v>
      </c>
      <c r="T679" s="279">
        <v>586</v>
      </c>
    </row>
    <row r="680" spans="19:20" s="277" customFormat="1">
      <c r="S680" s="291">
        <v>42226</v>
      </c>
      <c r="T680" s="279">
        <v>587</v>
      </c>
    </row>
    <row r="681" spans="19:20" s="277" customFormat="1">
      <c r="S681" s="291">
        <v>42227</v>
      </c>
      <c r="T681" s="279">
        <v>588</v>
      </c>
    </row>
    <row r="682" spans="19:20" s="277" customFormat="1">
      <c r="S682" s="291">
        <v>42228</v>
      </c>
      <c r="T682" s="279">
        <v>589</v>
      </c>
    </row>
    <row r="683" spans="19:20" s="277" customFormat="1">
      <c r="S683" s="291">
        <v>42229</v>
      </c>
      <c r="T683" s="279">
        <v>590</v>
      </c>
    </row>
    <row r="684" spans="19:20" s="277" customFormat="1">
      <c r="S684" s="291">
        <v>42230</v>
      </c>
      <c r="T684" s="279">
        <v>591</v>
      </c>
    </row>
    <row r="685" spans="19:20" s="277" customFormat="1">
      <c r="S685" s="291">
        <v>42231</v>
      </c>
      <c r="T685" s="279">
        <v>592</v>
      </c>
    </row>
    <row r="686" spans="19:20" s="277" customFormat="1">
      <c r="S686" s="291">
        <v>42232</v>
      </c>
      <c r="T686" s="279">
        <v>593</v>
      </c>
    </row>
    <row r="687" spans="19:20" s="277" customFormat="1">
      <c r="S687" s="291">
        <v>42233</v>
      </c>
      <c r="T687" s="279">
        <v>594</v>
      </c>
    </row>
    <row r="688" spans="19:20" s="277" customFormat="1">
      <c r="S688" s="291">
        <v>42234</v>
      </c>
      <c r="T688" s="279">
        <v>595</v>
      </c>
    </row>
    <row r="689" spans="19:20" s="277" customFormat="1">
      <c r="S689" s="291">
        <v>42235</v>
      </c>
      <c r="T689" s="279">
        <v>596</v>
      </c>
    </row>
    <row r="690" spans="19:20" s="277" customFormat="1">
      <c r="S690" s="291">
        <v>42236</v>
      </c>
      <c r="T690" s="279">
        <v>597</v>
      </c>
    </row>
    <row r="691" spans="19:20" s="277" customFormat="1">
      <c r="S691" s="291">
        <v>42237</v>
      </c>
      <c r="T691" s="279">
        <v>598</v>
      </c>
    </row>
    <row r="692" spans="19:20" s="277" customFormat="1">
      <c r="S692" s="291">
        <v>42238</v>
      </c>
      <c r="T692" s="279">
        <v>599</v>
      </c>
    </row>
    <row r="693" spans="19:20" s="277" customFormat="1">
      <c r="S693" s="291">
        <v>42239</v>
      </c>
      <c r="T693" s="279">
        <v>600</v>
      </c>
    </row>
    <row r="694" spans="19:20" s="277" customFormat="1">
      <c r="S694" s="291">
        <v>42240</v>
      </c>
      <c r="T694" s="279">
        <v>601</v>
      </c>
    </row>
    <row r="695" spans="19:20" s="277" customFormat="1">
      <c r="S695" s="291">
        <v>42241</v>
      </c>
      <c r="T695" s="279">
        <v>602</v>
      </c>
    </row>
    <row r="696" spans="19:20" s="277" customFormat="1">
      <c r="S696" s="291">
        <v>42242</v>
      </c>
      <c r="T696" s="279">
        <v>603</v>
      </c>
    </row>
    <row r="697" spans="19:20" s="277" customFormat="1">
      <c r="S697" s="291">
        <v>42243</v>
      </c>
      <c r="T697" s="279">
        <v>604</v>
      </c>
    </row>
    <row r="698" spans="19:20" s="277" customFormat="1">
      <c r="S698" s="291">
        <v>42244</v>
      </c>
      <c r="T698" s="279">
        <v>605</v>
      </c>
    </row>
    <row r="699" spans="19:20" s="277" customFormat="1">
      <c r="S699" s="291">
        <v>42245</v>
      </c>
      <c r="T699" s="279">
        <v>606</v>
      </c>
    </row>
    <row r="700" spans="19:20" s="277" customFormat="1">
      <c r="S700" s="291">
        <v>42246</v>
      </c>
      <c r="T700" s="279">
        <v>607</v>
      </c>
    </row>
    <row r="701" spans="19:20" s="277" customFormat="1">
      <c r="S701" s="291">
        <v>42247</v>
      </c>
      <c r="T701" s="279">
        <v>608</v>
      </c>
    </row>
    <row r="702" spans="19:20" s="277" customFormat="1">
      <c r="S702" s="291">
        <v>42248</v>
      </c>
      <c r="T702" s="279">
        <v>609</v>
      </c>
    </row>
    <row r="703" spans="19:20" s="277" customFormat="1">
      <c r="S703" s="291">
        <v>42249</v>
      </c>
      <c r="T703" s="279">
        <v>610</v>
      </c>
    </row>
    <row r="704" spans="19:20" s="277" customFormat="1">
      <c r="S704" s="291">
        <v>42250</v>
      </c>
      <c r="T704" s="279">
        <v>611</v>
      </c>
    </row>
    <row r="705" spans="19:20" s="277" customFormat="1">
      <c r="S705" s="291">
        <v>42251</v>
      </c>
      <c r="T705" s="279">
        <v>612</v>
      </c>
    </row>
    <row r="706" spans="19:20" s="277" customFormat="1">
      <c r="S706" s="291">
        <v>42252</v>
      </c>
      <c r="T706" s="279">
        <v>613</v>
      </c>
    </row>
    <row r="707" spans="19:20" s="277" customFormat="1">
      <c r="S707" s="291">
        <v>42253</v>
      </c>
      <c r="T707" s="279">
        <v>614</v>
      </c>
    </row>
    <row r="708" spans="19:20" s="277" customFormat="1">
      <c r="S708" s="291">
        <v>42254</v>
      </c>
      <c r="T708" s="279">
        <v>615</v>
      </c>
    </row>
    <row r="709" spans="19:20" s="277" customFormat="1">
      <c r="S709" s="291">
        <v>42255</v>
      </c>
      <c r="T709" s="279">
        <v>616</v>
      </c>
    </row>
    <row r="710" spans="19:20" s="277" customFormat="1">
      <c r="S710" s="291">
        <v>42256</v>
      </c>
      <c r="T710" s="279">
        <v>617</v>
      </c>
    </row>
    <row r="711" spans="19:20" s="277" customFormat="1">
      <c r="S711" s="291">
        <v>42257</v>
      </c>
      <c r="T711" s="279">
        <v>618</v>
      </c>
    </row>
    <row r="712" spans="19:20" s="277" customFormat="1">
      <c r="S712" s="291">
        <v>42258</v>
      </c>
      <c r="T712" s="279">
        <v>619</v>
      </c>
    </row>
    <row r="713" spans="19:20" s="277" customFormat="1">
      <c r="S713" s="291">
        <v>42259</v>
      </c>
      <c r="T713" s="279">
        <v>620</v>
      </c>
    </row>
    <row r="714" spans="19:20" s="277" customFormat="1">
      <c r="S714" s="291">
        <v>42260</v>
      </c>
      <c r="T714" s="279">
        <v>621</v>
      </c>
    </row>
    <row r="715" spans="19:20" s="277" customFormat="1">
      <c r="S715" s="291">
        <v>42261</v>
      </c>
      <c r="T715" s="279">
        <v>622</v>
      </c>
    </row>
    <row r="716" spans="19:20" s="277" customFormat="1">
      <c r="S716" s="291">
        <v>42262</v>
      </c>
      <c r="T716" s="279">
        <v>623</v>
      </c>
    </row>
    <row r="717" spans="19:20" s="277" customFormat="1">
      <c r="S717" s="291">
        <v>42263</v>
      </c>
      <c r="T717" s="279">
        <v>624</v>
      </c>
    </row>
    <row r="718" spans="19:20" s="277" customFormat="1">
      <c r="S718" s="291">
        <v>42264</v>
      </c>
      <c r="T718" s="279">
        <v>625</v>
      </c>
    </row>
    <row r="719" spans="19:20" s="277" customFormat="1">
      <c r="S719" s="291">
        <v>42265</v>
      </c>
      <c r="T719" s="279">
        <v>626</v>
      </c>
    </row>
    <row r="720" spans="19:20" s="277" customFormat="1">
      <c r="S720" s="291">
        <v>42266</v>
      </c>
      <c r="T720" s="279">
        <v>627</v>
      </c>
    </row>
    <row r="721" spans="19:20" s="277" customFormat="1">
      <c r="S721" s="291">
        <v>42267</v>
      </c>
      <c r="T721" s="279">
        <v>628</v>
      </c>
    </row>
    <row r="722" spans="19:20" s="277" customFormat="1">
      <c r="S722" s="291">
        <v>42268</v>
      </c>
      <c r="T722" s="279">
        <v>629</v>
      </c>
    </row>
    <row r="723" spans="19:20" s="277" customFormat="1">
      <c r="S723" s="291">
        <v>42269</v>
      </c>
      <c r="T723" s="279">
        <v>630</v>
      </c>
    </row>
    <row r="724" spans="19:20" s="277" customFormat="1">
      <c r="S724" s="291">
        <v>42270</v>
      </c>
      <c r="T724" s="279">
        <v>631</v>
      </c>
    </row>
    <row r="725" spans="19:20" s="277" customFormat="1">
      <c r="S725" s="291">
        <v>42271</v>
      </c>
      <c r="T725" s="279">
        <v>632</v>
      </c>
    </row>
    <row r="726" spans="19:20" s="277" customFormat="1">
      <c r="S726" s="291">
        <v>42272</v>
      </c>
      <c r="T726" s="279">
        <v>633</v>
      </c>
    </row>
    <row r="727" spans="19:20" s="277" customFormat="1">
      <c r="S727" s="291">
        <v>42273</v>
      </c>
      <c r="T727" s="279">
        <v>634</v>
      </c>
    </row>
    <row r="728" spans="19:20" s="277" customFormat="1">
      <c r="S728" s="291">
        <v>42274</v>
      </c>
      <c r="T728" s="279">
        <v>635</v>
      </c>
    </row>
    <row r="729" spans="19:20" s="277" customFormat="1">
      <c r="S729" s="291">
        <v>42275</v>
      </c>
      <c r="T729" s="279">
        <v>636</v>
      </c>
    </row>
    <row r="730" spans="19:20" s="277" customFormat="1">
      <c r="S730" s="291">
        <v>42276</v>
      </c>
      <c r="T730" s="279">
        <v>637</v>
      </c>
    </row>
    <row r="731" spans="19:20" s="277" customFormat="1">
      <c r="S731" s="291">
        <v>42277</v>
      </c>
      <c r="T731" s="279">
        <v>638</v>
      </c>
    </row>
    <row r="732" spans="19:20" s="277" customFormat="1">
      <c r="S732" s="291">
        <v>42278</v>
      </c>
      <c r="T732" s="279">
        <v>639</v>
      </c>
    </row>
    <row r="733" spans="19:20" s="277" customFormat="1">
      <c r="S733" s="291">
        <v>42279</v>
      </c>
      <c r="T733" s="279">
        <v>640</v>
      </c>
    </row>
    <row r="734" spans="19:20" s="277" customFormat="1">
      <c r="S734" s="291">
        <v>42280</v>
      </c>
      <c r="T734" s="279">
        <v>641</v>
      </c>
    </row>
    <row r="735" spans="19:20" s="277" customFormat="1">
      <c r="S735" s="291">
        <v>42281</v>
      </c>
      <c r="T735" s="279">
        <v>642</v>
      </c>
    </row>
    <row r="736" spans="19:20" s="277" customFormat="1">
      <c r="S736" s="291">
        <v>42282</v>
      </c>
      <c r="T736" s="279">
        <v>643</v>
      </c>
    </row>
    <row r="737" spans="19:20" s="277" customFormat="1">
      <c r="S737" s="291">
        <v>42283</v>
      </c>
      <c r="T737" s="279">
        <v>644</v>
      </c>
    </row>
    <row r="738" spans="19:20" s="277" customFormat="1">
      <c r="S738" s="291">
        <v>42284</v>
      </c>
      <c r="T738" s="279">
        <v>645</v>
      </c>
    </row>
    <row r="739" spans="19:20" s="277" customFormat="1">
      <c r="S739" s="291">
        <v>42285</v>
      </c>
      <c r="T739" s="279">
        <v>646</v>
      </c>
    </row>
    <row r="740" spans="19:20" s="277" customFormat="1">
      <c r="S740" s="291">
        <v>42286</v>
      </c>
      <c r="T740" s="279">
        <v>647</v>
      </c>
    </row>
    <row r="741" spans="19:20" s="277" customFormat="1">
      <c r="S741" s="291">
        <v>42287</v>
      </c>
      <c r="T741" s="279">
        <v>648</v>
      </c>
    </row>
    <row r="742" spans="19:20" s="277" customFormat="1">
      <c r="S742" s="291">
        <v>42288</v>
      </c>
      <c r="T742" s="279">
        <v>649</v>
      </c>
    </row>
    <row r="743" spans="19:20" s="277" customFormat="1">
      <c r="S743" s="291">
        <v>42289</v>
      </c>
      <c r="T743" s="279">
        <v>650</v>
      </c>
    </row>
    <row r="744" spans="19:20" s="277" customFormat="1">
      <c r="S744" s="291">
        <v>42290</v>
      </c>
      <c r="T744" s="279">
        <v>651</v>
      </c>
    </row>
    <row r="745" spans="19:20" s="277" customFormat="1">
      <c r="S745" s="291">
        <v>42291</v>
      </c>
      <c r="T745" s="279">
        <v>652</v>
      </c>
    </row>
    <row r="746" spans="19:20" s="277" customFormat="1">
      <c r="S746" s="291">
        <v>42292</v>
      </c>
      <c r="T746" s="279">
        <v>653</v>
      </c>
    </row>
    <row r="747" spans="19:20" s="277" customFormat="1">
      <c r="S747" s="291">
        <v>42293</v>
      </c>
      <c r="T747" s="279">
        <v>654</v>
      </c>
    </row>
    <row r="748" spans="19:20" s="277" customFormat="1">
      <c r="S748" s="291">
        <v>42294</v>
      </c>
      <c r="T748" s="279">
        <v>655</v>
      </c>
    </row>
    <row r="749" spans="19:20" s="277" customFormat="1">
      <c r="S749" s="291">
        <v>42295</v>
      </c>
      <c r="T749" s="279">
        <v>656</v>
      </c>
    </row>
    <row r="750" spans="19:20" s="277" customFormat="1">
      <c r="S750" s="291">
        <v>42296</v>
      </c>
      <c r="T750" s="279">
        <v>657</v>
      </c>
    </row>
    <row r="751" spans="19:20" s="277" customFormat="1">
      <c r="S751" s="291">
        <v>42297</v>
      </c>
      <c r="T751" s="279">
        <v>658</v>
      </c>
    </row>
    <row r="752" spans="19:20" s="277" customFormat="1">
      <c r="S752" s="291">
        <v>42298</v>
      </c>
      <c r="T752" s="279">
        <v>659</v>
      </c>
    </row>
    <row r="753" spans="19:20" s="277" customFormat="1">
      <c r="S753" s="291">
        <v>42299</v>
      </c>
      <c r="T753" s="279">
        <v>660</v>
      </c>
    </row>
    <row r="754" spans="19:20" s="277" customFormat="1">
      <c r="S754" s="291">
        <v>42300</v>
      </c>
      <c r="T754" s="279">
        <v>661</v>
      </c>
    </row>
    <row r="755" spans="19:20" s="277" customFormat="1">
      <c r="S755" s="291">
        <v>42301</v>
      </c>
      <c r="T755" s="279">
        <v>662</v>
      </c>
    </row>
    <row r="756" spans="19:20" s="277" customFormat="1">
      <c r="S756" s="291">
        <v>42302</v>
      </c>
      <c r="T756" s="279">
        <v>663</v>
      </c>
    </row>
    <row r="757" spans="19:20" s="277" customFormat="1">
      <c r="S757" s="291">
        <v>42303</v>
      </c>
      <c r="T757" s="279">
        <v>664</v>
      </c>
    </row>
    <row r="758" spans="19:20" s="277" customFormat="1">
      <c r="S758" s="291">
        <v>42304</v>
      </c>
      <c r="T758" s="279">
        <v>665</v>
      </c>
    </row>
    <row r="759" spans="19:20" s="277" customFormat="1">
      <c r="S759" s="291">
        <v>42305</v>
      </c>
      <c r="T759" s="279">
        <v>666</v>
      </c>
    </row>
    <row r="760" spans="19:20" s="277" customFormat="1">
      <c r="S760" s="291">
        <v>42306</v>
      </c>
      <c r="T760" s="279">
        <v>667</v>
      </c>
    </row>
    <row r="761" spans="19:20" s="277" customFormat="1">
      <c r="S761" s="291">
        <v>42307</v>
      </c>
      <c r="T761" s="279">
        <v>668</v>
      </c>
    </row>
    <row r="762" spans="19:20" s="277" customFormat="1">
      <c r="S762" s="291">
        <v>42308</v>
      </c>
      <c r="T762" s="279">
        <v>669</v>
      </c>
    </row>
    <row r="763" spans="19:20" s="277" customFormat="1">
      <c r="S763" s="291">
        <v>42309</v>
      </c>
      <c r="T763" s="279">
        <v>670</v>
      </c>
    </row>
    <row r="764" spans="19:20" s="277" customFormat="1">
      <c r="S764" s="291">
        <v>42310</v>
      </c>
      <c r="T764" s="279">
        <v>671</v>
      </c>
    </row>
    <row r="765" spans="19:20" s="277" customFormat="1">
      <c r="S765" s="291">
        <v>42311</v>
      </c>
      <c r="T765" s="279">
        <v>672</v>
      </c>
    </row>
    <row r="766" spans="19:20" s="277" customFormat="1">
      <c r="S766" s="291">
        <v>42312</v>
      </c>
      <c r="T766" s="279">
        <v>673</v>
      </c>
    </row>
    <row r="767" spans="19:20" s="277" customFormat="1">
      <c r="S767" s="291">
        <v>42313</v>
      </c>
      <c r="T767" s="279">
        <v>674</v>
      </c>
    </row>
    <row r="768" spans="19:20" s="277" customFormat="1">
      <c r="S768" s="291">
        <v>42314</v>
      </c>
      <c r="T768" s="279">
        <v>675</v>
      </c>
    </row>
    <row r="769" spans="19:20" s="277" customFormat="1">
      <c r="S769" s="291">
        <v>42315</v>
      </c>
      <c r="T769" s="279">
        <v>676</v>
      </c>
    </row>
    <row r="770" spans="19:20" s="277" customFormat="1">
      <c r="S770" s="291">
        <v>42316</v>
      </c>
      <c r="T770" s="279">
        <v>677</v>
      </c>
    </row>
    <row r="771" spans="19:20" s="277" customFormat="1">
      <c r="S771" s="291">
        <v>42317</v>
      </c>
      <c r="T771" s="279">
        <v>678</v>
      </c>
    </row>
    <row r="772" spans="19:20" s="277" customFormat="1">
      <c r="S772" s="291">
        <v>42318</v>
      </c>
      <c r="T772" s="279">
        <v>679</v>
      </c>
    </row>
    <row r="773" spans="19:20" s="277" customFormat="1">
      <c r="S773" s="291">
        <v>42319</v>
      </c>
      <c r="T773" s="279">
        <v>680</v>
      </c>
    </row>
    <row r="774" spans="19:20" s="277" customFormat="1">
      <c r="S774" s="291">
        <v>42320</v>
      </c>
      <c r="T774" s="279">
        <v>681</v>
      </c>
    </row>
    <row r="775" spans="19:20" s="277" customFormat="1">
      <c r="S775" s="291">
        <v>42321</v>
      </c>
      <c r="T775" s="279">
        <v>682</v>
      </c>
    </row>
    <row r="776" spans="19:20" s="277" customFormat="1">
      <c r="S776" s="291">
        <v>42322</v>
      </c>
      <c r="T776" s="279">
        <v>683</v>
      </c>
    </row>
    <row r="777" spans="19:20" s="277" customFormat="1">
      <c r="S777" s="291">
        <v>42323</v>
      </c>
      <c r="T777" s="279">
        <v>684</v>
      </c>
    </row>
    <row r="778" spans="19:20" s="277" customFormat="1">
      <c r="S778" s="291">
        <v>42324</v>
      </c>
      <c r="T778" s="279">
        <v>685</v>
      </c>
    </row>
    <row r="779" spans="19:20" s="277" customFormat="1">
      <c r="S779" s="291">
        <v>42325</v>
      </c>
      <c r="T779" s="279">
        <v>686</v>
      </c>
    </row>
    <row r="780" spans="19:20" s="277" customFormat="1">
      <c r="S780" s="291">
        <v>42326</v>
      </c>
      <c r="T780" s="279">
        <v>687</v>
      </c>
    </row>
    <row r="781" spans="19:20" s="277" customFormat="1">
      <c r="S781" s="291">
        <v>42327</v>
      </c>
      <c r="T781" s="279">
        <v>688</v>
      </c>
    </row>
    <row r="782" spans="19:20" s="277" customFormat="1">
      <c r="S782" s="291">
        <v>42328</v>
      </c>
      <c r="T782" s="279">
        <v>689</v>
      </c>
    </row>
    <row r="783" spans="19:20" s="277" customFormat="1">
      <c r="S783" s="291">
        <v>42329</v>
      </c>
      <c r="T783" s="279">
        <v>690</v>
      </c>
    </row>
    <row r="784" spans="19:20" s="277" customFormat="1">
      <c r="S784" s="291">
        <v>42330</v>
      </c>
      <c r="T784" s="279">
        <v>691</v>
      </c>
    </row>
    <row r="785" spans="19:20" s="277" customFormat="1">
      <c r="S785" s="291">
        <v>42331</v>
      </c>
      <c r="T785" s="279">
        <v>692</v>
      </c>
    </row>
    <row r="786" spans="19:20" s="277" customFormat="1">
      <c r="S786" s="291">
        <v>42332</v>
      </c>
      <c r="T786" s="279">
        <v>693</v>
      </c>
    </row>
    <row r="787" spans="19:20" s="277" customFormat="1">
      <c r="S787" s="291">
        <v>42333</v>
      </c>
      <c r="T787" s="279">
        <v>694</v>
      </c>
    </row>
    <row r="788" spans="19:20" s="277" customFormat="1">
      <c r="S788" s="291">
        <v>42334</v>
      </c>
      <c r="T788" s="279">
        <v>695</v>
      </c>
    </row>
    <row r="789" spans="19:20" s="277" customFormat="1">
      <c r="S789" s="291">
        <v>42335</v>
      </c>
      <c r="T789" s="279">
        <v>696</v>
      </c>
    </row>
    <row r="790" spans="19:20" s="277" customFormat="1">
      <c r="S790" s="291">
        <v>42336</v>
      </c>
      <c r="T790" s="279">
        <v>697</v>
      </c>
    </row>
    <row r="791" spans="19:20" s="277" customFormat="1">
      <c r="S791" s="291">
        <v>42337</v>
      </c>
      <c r="T791" s="279">
        <v>698</v>
      </c>
    </row>
    <row r="792" spans="19:20" s="277" customFormat="1">
      <c r="S792" s="291">
        <v>42338</v>
      </c>
      <c r="T792" s="279">
        <v>699</v>
      </c>
    </row>
    <row r="793" spans="19:20" s="277" customFormat="1">
      <c r="S793" s="291">
        <v>42339</v>
      </c>
      <c r="T793" s="279">
        <v>700</v>
      </c>
    </row>
    <row r="794" spans="19:20" s="277" customFormat="1">
      <c r="S794" s="291">
        <v>42340</v>
      </c>
      <c r="T794" s="279">
        <v>701</v>
      </c>
    </row>
    <row r="795" spans="19:20" s="277" customFormat="1">
      <c r="S795" s="291">
        <v>42341</v>
      </c>
      <c r="T795" s="279">
        <v>702</v>
      </c>
    </row>
    <row r="796" spans="19:20" s="277" customFormat="1">
      <c r="S796" s="291">
        <v>42342</v>
      </c>
      <c r="T796" s="279">
        <v>703</v>
      </c>
    </row>
    <row r="797" spans="19:20" s="277" customFormat="1">
      <c r="S797" s="291">
        <v>42343</v>
      </c>
      <c r="T797" s="279">
        <v>704</v>
      </c>
    </row>
    <row r="798" spans="19:20" s="277" customFormat="1">
      <c r="S798" s="291">
        <v>42344</v>
      </c>
      <c r="T798" s="279">
        <v>705</v>
      </c>
    </row>
    <row r="799" spans="19:20" s="277" customFormat="1">
      <c r="S799" s="291">
        <v>42345</v>
      </c>
      <c r="T799" s="279">
        <v>706</v>
      </c>
    </row>
    <row r="800" spans="19:20" s="277" customFormat="1">
      <c r="S800" s="291">
        <v>42346</v>
      </c>
      <c r="T800" s="279">
        <v>707</v>
      </c>
    </row>
    <row r="801" spans="19:20" s="277" customFormat="1">
      <c r="S801" s="291">
        <v>42347</v>
      </c>
      <c r="T801" s="279">
        <v>708</v>
      </c>
    </row>
    <row r="802" spans="19:20" s="277" customFormat="1">
      <c r="S802" s="291">
        <v>42348</v>
      </c>
      <c r="T802" s="279">
        <v>709</v>
      </c>
    </row>
    <row r="803" spans="19:20" s="277" customFormat="1">
      <c r="S803" s="291">
        <v>42349</v>
      </c>
      <c r="T803" s="279">
        <v>710</v>
      </c>
    </row>
    <row r="804" spans="19:20" s="277" customFormat="1">
      <c r="S804" s="291">
        <v>42350</v>
      </c>
      <c r="T804" s="279">
        <v>711</v>
      </c>
    </row>
    <row r="805" spans="19:20" s="277" customFormat="1">
      <c r="S805" s="291">
        <v>42351</v>
      </c>
      <c r="T805" s="279">
        <v>712</v>
      </c>
    </row>
    <row r="806" spans="19:20" s="277" customFormat="1">
      <c r="S806" s="291">
        <v>42352</v>
      </c>
      <c r="T806" s="279">
        <v>713</v>
      </c>
    </row>
    <row r="807" spans="19:20" s="277" customFormat="1">
      <c r="S807" s="291">
        <v>42353</v>
      </c>
      <c r="T807" s="279">
        <v>714</v>
      </c>
    </row>
    <row r="808" spans="19:20" s="277" customFormat="1">
      <c r="S808" s="291">
        <v>42354</v>
      </c>
      <c r="T808" s="279">
        <v>715</v>
      </c>
    </row>
    <row r="809" spans="19:20" s="277" customFormat="1">
      <c r="S809" s="291">
        <v>42355</v>
      </c>
      <c r="T809" s="279">
        <v>716</v>
      </c>
    </row>
    <row r="810" spans="19:20" s="277" customFormat="1">
      <c r="S810" s="291">
        <v>42356</v>
      </c>
      <c r="T810" s="279">
        <v>717</v>
      </c>
    </row>
    <row r="811" spans="19:20" s="277" customFormat="1">
      <c r="S811" s="291">
        <v>42357</v>
      </c>
      <c r="T811" s="279">
        <v>718</v>
      </c>
    </row>
    <row r="812" spans="19:20" s="277" customFormat="1">
      <c r="S812" s="291">
        <v>42358</v>
      </c>
      <c r="T812" s="279">
        <v>719</v>
      </c>
    </row>
    <row r="813" spans="19:20" s="277" customFormat="1">
      <c r="S813" s="291">
        <v>42359</v>
      </c>
      <c r="T813" s="279">
        <v>720</v>
      </c>
    </row>
    <row r="814" spans="19:20" s="277" customFormat="1">
      <c r="S814" s="291">
        <v>42360</v>
      </c>
      <c r="T814" s="279">
        <v>721</v>
      </c>
    </row>
    <row r="815" spans="19:20" s="277" customFormat="1">
      <c r="S815" s="291">
        <v>42361</v>
      </c>
      <c r="T815" s="279">
        <v>722</v>
      </c>
    </row>
    <row r="816" spans="19:20" s="277" customFormat="1">
      <c r="S816" s="291">
        <v>42362</v>
      </c>
      <c r="T816" s="279">
        <v>723</v>
      </c>
    </row>
    <row r="817" spans="19:20" s="277" customFormat="1">
      <c r="S817" s="291">
        <v>42363</v>
      </c>
      <c r="T817" s="279">
        <v>724</v>
      </c>
    </row>
    <row r="818" spans="19:20" s="277" customFormat="1">
      <c r="S818" s="291">
        <v>42364</v>
      </c>
      <c r="T818" s="279">
        <v>725</v>
      </c>
    </row>
    <row r="819" spans="19:20" s="277" customFormat="1">
      <c r="S819" s="291">
        <v>42365</v>
      </c>
      <c r="T819" s="279">
        <v>726</v>
      </c>
    </row>
    <row r="820" spans="19:20" s="277" customFormat="1">
      <c r="S820" s="291">
        <v>42366</v>
      </c>
      <c r="T820" s="279">
        <v>727</v>
      </c>
    </row>
    <row r="821" spans="19:20" s="277" customFormat="1">
      <c r="S821" s="291">
        <v>42367</v>
      </c>
      <c r="T821" s="279">
        <v>728</v>
      </c>
    </row>
    <row r="822" spans="19:20" s="277" customFormat="1">
      <c r="S822" s="291">
        <v>42368</v>
      </c>
      <c r="T822" s="279">
        <v>729</v>
      </c>
    </row>
    <row r="823" spans="19:20" s="277" customFormat="1">
      <c r="S823" s="291">
        <v>42369</v>
      </c>
      <c r="T823" s="279">
        <v>730</v>
      </c>
    </row>
    <row r="824" spans="19:20" s="277" customFormat="1">
      <c r="S824" s="291">
        <v>42370</v>
      </c>
      <c r="T824" s="279">
        <v>731</v>
      </c>
    </row>
    <row r="825" spans="19:20" s="277" customFormat="1">
      <c r="S825" s="291">
        <v>42371</v>
      </c>
      <c r="T825" s="279">
        <v>732</v>
      </c>
    </row>
    <row r="826" spans="19:20" s="277" customFormat="1">
      <c r="S826" s="291">
        <v>42372</v>
      </c>
      <c r="T826" s="279">
        <v>733</v>
      </c>
    </row>
    <row r="827" spans="19:20" s="277" customFormat="1">
      <c r="S827" s="291">
        <v>42373</v>
      </c>
      <c r="T827" s="279">
        <v>734</v>
      </c>
    </row>
    <row r="828" spans="19:20" s="277" customFormat="1">
      <c r="S828" s="291">
        <v>42374</v>
      </c>
      <c r="T828" s="279">
        <v>735</v>
      </c>
    </row>
    <row r="829" spans="19:20" s="277" customFormat="1">
      <c r="S829" s="291">
        <v>42375</v>
      </c>
      <c r="T829" s="279">
        <v>736</v>
      </c>
    </row>
    <row r="830" spans="19:20" s="277" customFormat="1">
      <c r="S830" s="291">
        <v>42376</v>
      </c>
      <c r="T830" s="279">
        <v>737</v>
      </c>
    </row>
    <row r="831" spans="19:20" s="277" customFormat="1">
      <c r="S831" s="291">
        <v>42377</v>
      </c>
      <c r="T831" s="279">
        <v>738</v>
      </c>
    </row>
    <row r="832" spans="19:20" s="277" customFormat="1">
      <c r="S832" s="291">
        <v>42378</v>
      </c>
      <c r="T832" s="279">
        <v>739</v>
      </c>
    </row>
    <row r="833" spans="19:20" s="277" customFormat="1">
      <c r="S833" s="291">
        <v>42379</v>
      </c>
      <c r="T833" s="279">
        <v>740</v>
      </c>
    </row>
    <row r="834" spans="19:20" s="277" customFormat="1">
      <c r="S834" s="291">
        <v>42380</v>
      </c>
      <c r="T834" s="279">
        <v>741</v>
      </c>
    </row>
    <row r="835" spans="19:20" s="277" customFormat="1">
      <c r="S835" s="291">
        <v>42381</v>
      </c>
      <c r="T835" s="279">
        <v>742</v>
      </c>
    </row>
    <row r="836" spans="19:20" s="277" customFormat="1">
      <c r="S836" s="291">
        <v>42382</v>
      </c>
      <c r="T836" s="279">
        <v>743</v>
      </c>
    </row>
    <row r="837" spans="19:20" s="277" customFormat="1">
      <c r="S837" s="291">
        <v>42383</v>
      </c>
      <c r="T837" s="279">
        <v>744</v>
      </c>
    </row>
    <row r="838" spans="19:20" s="277" customFormat="1">
      <c r="S838" s="291">
        <v>42384</v>
      </c>
      <c r="T838" s="279">
        <v>745</v>
      </c>
    </row>
    <row r="839" spans="19:20" s="277" customFormat="1">
      <c r="S839" s="291">
        <v>42385</v>
      </c>
      <c r="T839" s="279">
        <v>746</v>
      </c>
    </row>
    <row r="840" spans="19:20" s="277" customFormat="1">
      <c r="S840" s="291">
        <v>42386</v>
      </c>
      <c r="T840" s="279">
        <v>747</v>
      </c>
    </row>
    <row r="841" spans="19:20" s="277" customFormat="1">
      <c r="S841" s="291">
        <v>42387</v>
      </c>
      <c r="T841" s="279">
        <v>748</v>
      </c>
    </row>
    <row r="842" spans="19:20" s="277" customFormat="1">
      <c r="S842" s="291">
        <v>42388</v>
      </c>
      <c r="T842" s="279">
        <v>749</v>
      </c>
    </row>
    <row r="843" spans="19:20" s="277" customFormat="1">
      <c r="S843" s="291">
        <v>42389</v>
      </c>
      <c r="T843" s="279">
        <v>750</v>
      </c>
    </row>
    <row r="844" spans="19:20" s="277" customFormat="1">
      <c r="S844" s="291">
        <v>42390</v>
      </c>
      <c r="T844" s="279">
        <v>751</v>
      </c>
    </row>
    <row r="845" spans="19:20" s="277" customFormat="1">
      <c r="S845" s="291">
        <v>42391</v>
      </c>
      <c r="T845" s="279">
        <v>752</v>
      </c>
    </row>
    <row r="846" spans="19:20" s="277" customFormat="1">
      <c r="S846" s="291">
        <v>42392</v>
      </c>
      <c r="T846" s="279">
        <v>753</v>
      </c>
    </row>
    <row r="847" spans="19:20" s="277" customFormat="1">
      <c r="S847" s="291">
        <v>42393</v>
      </c>
      <c r="T847" s="279">
        <v>754</v>
      </c>
    </row>
    <row r="848" spans="19:20" s="277" customFormat="1">
      <c r="S848" s="291">
        <v>42394</v>
      </c>
      <c r="T848" s="279">
        <v>755</v>
      </c>
    </row>
    <row r="849" spans="19:20" s="277" customFormat="1">
      <c r="S849" s="291">
        <v>42395</v>
      </c>
      <c r="T849" s="279">
        <v>756</v>
      </c>
    </row>
    <row r="850" spans="19:20" s="277" customFormat="1">
      <c r="S850" s="291">
        <v>42396</v>
      </c>
      <c r="T850" s="279">
        <v>757</v>
      </c>
    </row>
    <row r="851" spans="19:20" s="277" customFormat="1">
      <c r="S851" s="291">
        <v>42397</v>
      </c>
      <c r="T851" s="279">
        <v>758</v>
      </c>
    </row>
    <row r="852" spans="19:20" s="277" customFormat="1">
      <c r="S852" s="291">
        <v>42398</v>
      </c>
      <c r="T852" s="279">
        <v>759</v>
      </c>
    </row>
    <row r="853" spans="19:20" s="277" customFormat="1">
      <c r="S853" s="291">
        <v>42399</v>
      </c>
      <c r="T853" s="279">
        <v>760</v>
      </c>
    </row>
    <row r="854" spans="19:20" s="277" customFormat="1">
      <c r="S854" s="291">
        <v>42400</v>
      </c>
      <c r="T854" s="279">
        <v>761</v>
      </c>
    </row>
    <row r="855" spans="19:20" s="277" customFormat="1">
      <c r="S855" s="291">
        <v>42401</v>
      </c>
      <c r="T855" s="279">
        <v>762</v>
      </c>
    </row>
    <row r="856" spans="19:20" s="277" customFormat="1">
      <c r="S856" s="291">
        <v>42402</v>
      </c>
      <c r="T856" s="279">
        <v>763</v>
      </c>
    </row>
    <row r="857" spans="19:20" s="277" customFormat="1">
      <c r="S857" s="291">
        <v>42403</v>
      </c>
      <c r="T857" s="279">
        <v>764</v>
      </c>
    </row>
    <row r="858" spans="19:20" s="277" customFormat="1">
      <c r="S858" s="291">
        <v>42404</v>
      </c>
      <c r="T858" s="279">
        <v>765</v>
      </c>
    </row>
    <row r="859" spans="19:20" s="277" customFormat="1">
      <c r="S859" s="291">
        <v>42405</v>
      </c>
      <c r="T859" s="279">
        <v>766</v>
      </c>
    </row>
    <row r="860" spans="19:20" s="277" customFormat="1">
      <c r="S860" s="291">
        <v>42406</v>
      </c>
      <c r="T860" s="279">
        <v>767</v>
      </c>
    </row>
    <row r="861" spans="19:20" s="277" customFormat="1">
      <c r="S861" s="291">
        <v>42407</v>
      </c>
      <c r="T861" s="279">
        <v>768</v>
      </c>
    </row>
    <row r="862" spans="19:20" s="277" customFormat="1">
      <c r="S862" s="291">
        <v>42408</v>
      </c>
      <c r="T862" s="279">
        <v>769</v>
      </c>
    </row>
    <row r="863" spans="19:20" s="277" customFormat="1">
      <c r="S863" s="291">
        <v>42409</v>
      </c>
      <c r="T863" s="279">
        <v>770</v>
      </c>
    </row>
    <row r="864" spans="19:20" s="277" customFormat="1">
      <c r="S864" s="291">
        <v>42410</v>
      </c>
      <c r="T864" s="279">
        <v>771</v>
      </c>
    </row>
    <row r="865" spans="19:20" s="277" customFormat="1">
      <c r="S865" s="291">
        <v>42411</v>
      </c>
      <c r="T865" s="279">
        <v>772</v>
      </c>
    </row>
    <row r="866" spans="19:20" s="277" customFormat="1">
      <c r="S866" s="291">
        <v>42412</v>
      </c>
      <c r="T866" s="279">
        <v>773</v>
      </c>
    </row>
    <row r="867" spans="19:20" s="277" customFormat="1">
      <c r="S867" s="291">
        <v>42413</v>
      </c>
      <c r="T867" s="279">
        <v>774</v>
      </c>
    </row>
    <row r="868" spans="19:20" s="277" customFormat="1">
      <c r="S868" s="291">
        <v>42414</v>
      </c>
      <c r="T868" s="279">
        <v>775</v>
      </c>
    </row>
    <row r="869" spans="19:20" s="277" customFormat="1">
      <c r="S869" s="291">
        <v>42415</v>
      </c>
      <c r="T869" s="279">
        <v>776</v>
      </c>
    </row>
    <row r="870" spans="19:20" s="277" customFormat="1">
      <c r="S870" s="291">
        <v>42416</v>
      </c>
      <c r="T870" s="279">
        <v>777</v>
      </c>
    </row>
    <row r="871" spans="19:20" s="277" customFormat="1">
      <c r="S871" s="291">
        <v>42417</v>
      </c>
      <c r="T871" s="279">
        <v>778</v>
      </c>
    </row>
    <row r="872" spans="19:20" s="277" customFormat="1">
      <c r="S872" s="291">
        <v>42418</v>
      </c>
      <c r="T872" s="279">
        <v>779</v>
      </c>
    </row>
    <row r="873" spans="19:20" s="277" customFormat="1">
      <c r="S873" s="291">
        <v>42419</v>
      </c>
      <c r="T873" s="279">
        <v>780</v>
      </c>
    </row>
    <row r="874" spans="19:20" s="277" customFormat="1">
      <c r="S874" s="291">
        <v>42420</v>
      </c>
      <c r="T874" s="279">
        <v>781</v>
      </c>
    </row>
    <row r="875" spans="19:20" s="277" customFormat="1">
      <c r="S875" s="291">
        <v>42421</v>
      </c>
      <c r="T875" s="279">
        <v>782</v>
      </c>
    </row>
    <row r="876" spans="19:20" s="277" customFormat="1">
      <c r="S876" s="291">
        <v>42422</v>
      </c>
      <c r="T876" s="279">
        <v>783</v>
      </c>
    </row>
    <row r="877" spans="19:20" s="277" customFormat="1">
      <c r="S877" s="291">
        <v>42423</v>
      </c>
      <c r="T877" s="279">
        <v>784</v>
      </c>
    </row>
    <row r="878" spans="19:20" s="277" customFormat="1">
      <c r="S878" s="291">
        <v>42424</v>
      </c>
      <c r="T878" s="279">
        <v>785</v>
      </c>
    </row>
    <row r="879" spans="19:20" s="277" customFormat="1">
      <c r="S879" s="291">
        <v>42425</v>
      </c>
      <c r="T879" s="279">
        <v>786</v>
      </c>
    </row>
    <row r="880" spans="19:20" s="277" customFormat="1">
      <c r="S880" s="291">
        <v>42426</v>
      </c>
      <c r="T880" s="279">
        <v>787</v>
      </c>
    </row>
    <row r="881" spans="19:20" s="277" customFormat="1">
      <c r="S881" s="291">
        <v>42427</v>
      </c>
      <c r="T881" s="279">
        <v>788</v>
      </c>
    </row>
    <row r="882" spans="19:20" s="277" customFormat="1">
      <c r="S882" s="291">
        <v>42428</v>
      </c>
      <c r="T882" s="279">
        <v>789</v>
      </c>
    </row>
    <row r="883" spans="19:20" s="277" customFormat="1">
      <c r="S883" s="291">
        <v>42429</v>
      </c>
      <c r="T883" s="279">
        <v>790</v>
      </c>
    </row>
    <row r="884" spans="19:20" s="277" customFormat="1">
      <c r="S884" s="291">
        <v>42430</v>
      </c>
      <c r="T884" s="279">
        <v>791</v>
      </c>
    </row>
    <row r="885" spans="19:20" s="277" customFormat="1">
      <c r="S885" s="291">
        <v>42431</v>
      </c>
      <c r="T885" s="279">
        <v>792</v>
      </c>
    </row>
    <row r="886" spans="19:20" s="277" customFormat="1">
      <c r="S886" s="291">
        <v>42432</v>
      </c>
      <c r="T886" s="279">
        <v>793</v>
      </c>
    </row>
    <row r="887" spans="19:20" s="277" customFormat="1">
      <c r="S887" s="291">
        <v>42433</v>
      </c>
      <c r="T887" s="279">
        <v>794</v>
      </c>
    </row>
    <row r="888" spans="19:20" s="277" customFormat="1">
      <c r="S888" s="291">
        <v>42434</v>
      </c>
      <c r="T888" s="279">
        <v>795</v>
      </c>
    </row>
    <row r="889" spans="19:20" s="277" customFormat="1">
      <c r="S889" s="291">
        <v>42435</v>
      </c>
      <c r="T889" s="279">
        <v>796</v>
      </c>
    </row>
    <row r="890" spans="19:20" s="277" customFormat="1">
      <c r="S890" s="291">
        <v>42436</v>
      </c>
      <c r="T890" s="279">
        <v>797</v>
      </c>
    </row>
    <row r="891" spans="19:20" s="277" customFormat="1">
      <c r="S891" s="291">
        <v>42437</v>
      </c>
      <c r="T891" s="279">
        <v>798</v>
      </c>
    </row>
    <row r="892" spans="19:20" s="277" customFormat="1">
      <c r="S892" s="291">
        <v>42438</v>
      </c>
      <c r="T892" s="279">
        <v>799</v>
      </c>
    </row>
    <row r="893" spans="19:20" s="277" customFormat="1">
      <c r="S893" s="291">
        <v>42439</v>
      </c>
      <c r="T893" s="279">
        <v>800</v>
      </c>
    </row>
    <row r="894" spans="19:20" s="277" customFormat="1">
      <c r="S894" s="291">
        <v>42440</v>
      </c>
      <c r="T894" s="279">
        <v>801</v>
      </c>
    </row>
    <row r="895" spans="19:20" s="277" customFormat="1">
      <c r="S895" s="291">
        <v>42441</v>
      </c>
      <c r="T895" s="279">
        <v>802</v>
      </c>
    </row>
    <row r="896" spans="19:20" s="277" customFormat="1">
      <c r="S896" s="291">
        <v>42442</v>
      </c>
      <c r="T896" s="279">
        <v>803</v>
      </c>
    </row>
    <row r="897" spans="19:20" s="277" customFormat="1">
      <c r="S897" s="291">
        <v>42443</v>
      </c>
      <c r="T897" s="279">
        <v>804</v>
      </c>
    </row>
    <row r="898" spans="19:20" s="277" customFormat="1">
      <c r="S898" s="291">
        <v>42444</v>
      </c>
      <c r="T898" s="279">
        <v>805</v>
      </c>
    </row>
    <row r="899" spans="19:20" s="277" customFormat="1">
      <c r="S899" s="291">
        <v>42445</v>
      </c>
      <c r="T899" s="279">
        <v>806</v>
      </c>
    </row>
    <row r="900" spans="19:20" s="277" customFormat="1">
      <c r="S900" s="291">
        <v>42446</v>
      </c>
      <c r="T900" s="279">
        <v>807</v>
      </c>
    </row>
    <row r="901" spans="19:20" s="277" customFormat="1">
      <c r="S901" s="291">
        <v>42447</v>
      </c>
      <c r="T901" s="279">
        <v>808</v>
      </c>
    </row>
    <row r="902" spans="19:20" s="277" customFormat="1">
      <c r="S902" s="291">
        <v>42448</v>
      </c>
      <c r="T902" s="279">
        <v>809</v>
      </c>
    </row>
    <row r="903" spans="19:20" s="277" customFormat="1">
      <c r="S903" s="291">
        <v>42449</v>
      </c>
      <c r="T903" s="279">
        <v>810</v>
      </c>
    </row>
    <row r="904" spans="19:20" s="277" customFormat="1">
      <c r="S904" s="291">
        <v>42450</v>
      </c>
      <c r="T904" s="279">
        <v>811</v>
      </c>
    </row>
    <row r="905" spans="19:20" s="277" customFormat="1">
      <c r="S905" s="291">
        <v>42451</v>
      </c>
      <c r="T905" s="279">
        <v>812</v>
      </c>
    </row>
    <row r="906" spans="19:20" s="277" customFormat="1">
      <c r="S906" s="291">
        <v>42452</v>
      </c>
      <c r="T906" s="279">
        <v>813</v>
      </c>
    </row>
    <row r="907" spans="19:20" s="277" customFormat="1">
      <c r="S907" s="291">
        <v>42453</v>
      </c>
      <c r="T907" s="279">
        <v>814</v>
      </c>
    </row>
    <row r="908" spans="19:20" s="277" customFormat="1">
      <c r="S908" s="291">
        <v>42454</v>
      </c>
      <c r="T908" s="279">
        <v>815</v>
      </c>
    </row>
    <row r="909" spans="19:20" s="277" customFormat="1">
      <c r="S909" s="291">
        <v>42455</v>
      </c>
      <c r="T909" s="279">
        <v>816</v>
      </c>
    </row>
    <row r="910" spans="19:20" s="277" customFormat="1">
      <c r="S910" s="291">
        <v>42456</v>
      </c>
      <c r="T910" s="279">
        <v>817</v>
      </c>
    </row>
    <row r="911" spans="19:20" s="277" customFormat="1">
      <c r="S911" s="291">
        <v>42457</v>
      </c>
      <c r="T911" s="279">
        <v>818</v>
      </c>
    </row>
    <row r="912" spans="19:20" s="277" customFormat="1">
      <c r="S912" s="291">
        <v>42458</v>
      </c>
      <c r="T912" s="279">
        <v>819</v>
      </c>
    </row>
    <row r="913" spans="19:20" s="277" customFormat="1">
      <c r="S913" s="291">
        <v>42459</v>
      </c>
      <c r="T913" s="279">
        <v>820</v>
      </c>
    </row>
    <row r="914" spans="19:20" s="277" customFormat="1">
      <c r="S914" s="291">
        <v>42460</v>
      </c>
      <c r="T914" s="279">
        <v>821</v>
      </c>
    </row>
    <row r="915" spans="19:20" s="277" customFormat="1">
      <c r="S915" s="291">
        <v>42461</v>
      </c>
      <c r="T915" s="279">
        <v>822</v>
      </c>
    </row>
    <row r="916" spans="19:20" s="277" customFormat="1">
      <c r="S916" s="291">
        <v>42462</v>
      </c>
      <c r="T916" s="279">
        <v>823</v>
      </c>
    </row>
    <row r="917" spans="19:20" s="277" customFormat="1">
      <c r="S917" s="291">
        <v>42463</v>
      </c>
      <c r="T917" s="279">
        <v>824</v>
      </c>
    </row>
    <row r="918" spans="19:20" s="277" customFormat="1">
      <c r="S918" s="291">
        <v>42464</v>
      </c>
      <c r="T918" s="279">
        <v>825</v>
      </c>
    </row>
    <row r="919" spans="19:20" s="277" customFormat="1">
      <c r="S919" s="291">
        <v>42465</v>
      </c>
      <c r="T919" s="279">
        <v>826</v>
      </c>
    </row>
    <row r="920" spans="19:20" s="277" customFormat="1">
      <c r="S920" s="291">
        <v>42466</v>
      </c>
      <c r="T920" s="279">
        <v>827</v>
      </c>
    </row>
    <row r="921" spans="19:20" s="277" customFormat="1">
      <c r="S921" s="291">
        <v>42467</v>
      </c>
      <c r="T921" s="279">
        <v>828</v>
      </c>
    </row>
    <row r="922" spans="19:20" s="277" customFormat="1">
      <c r="S922" s="291">
        <v>42468</v>
      </c>
      <c r="T922" s="279">
        <v>829</v>
      </c>
    </row>
    <row r="923" spans="19:20" s="277" customFormat="1">
      <c r="S923" s="291">
        <v>42469</v>
      </c>
      <c r="T923" s="279">
        <v>830</v>
      </c>
    </row>
    <row r="924" spans="19:20" s="277" customFormat="1">
      <c r="S924" s="291">
        <v>42470</v>
      </c>
      <c r="T924" s="279">
        <v>831</v>
      </c>
    </row>
    <row r="925" spans="19:20" s="277" customFormat="1">
      <c r="S925" s="291">
        <v>42471</v>
      </c>
      <c r="T925" s="279">
        <v>832</v>
      </c>
    </row>
    <row r="926" spans="19:20" s="277" customFormat="1">
      <c r="S926" s="291">
        <v>42472</v>
      </c>
      <c r="T926" s="279">
        <v>833</v>
      </c>
    </row>
    <row r="927" spans="19:20" s="277" customFormat="1">
      <c r="S927" s="291">
        <v>42473</v>
      </c>
      <c r="T927" s="279">
        <v>834</v>
      </c>
    </row>
    <row r="928" spans="19:20" s="277" customFormat="1">
      <c r="S928" s="291">
        <v>42474</v>
      </c>
      <c r="T928" s="279">
        <v>835</v>
      </c>
    </row>
    <row r="929" spans="19:20" s="277" customFormat="1">
      <c r="S929" s="291">
        <v>42475</v>
      </c>
      <c r="T929" s="279">
        <v>836</v>
      </c>
    </row>
    <row r="930" spans="19:20" s="277" customFormat="1">
      <c r="S930" s="291">
        <v>42476</v>
      </c>
      <c r="T930" s="279">
        <v>837</v>
      </c>
    </row>
    <row r="931" spans="19:20" s="277" customFormat="1">
      <c r="S931" s="291">
        <v>42477</v>
      </c>
      <c r="T931" s="279">
        <v>838</v>
      </c>
    </row>
    <row r="932" spans="19:20" s="277" customFormat="1">
      <c r="S932" s="291">
        <v>42478</v>
      </c>
      <c r="T932" s="279">
        <v>839</v>
      </c>
    </row>
    <row r="933" spans="19:20" s="277" customFormat="1">
      <c r="S933" s="291">
        <v>42479</v>
      </c>
      <c r="T933" s="279">
        <v>840</v>
      </c>
    </row>
    <row r="934" spans="19:20" s="277" customFormat="1">
      <c r="S934" s="291">
        <v>42480</v>
      </c>
      <c r="T934" s="279">
        <v>841</v>
      </c>
    </row>
    <row r="935" spans="19:20" s="277" customFormat="1">
      <c r="S935" s="291">
        <v>42481</v>
      </c>
      <c r="T935" s="279">
        <v>842</v>
      </c>
    </row>
    <row r="936" spans="19:20" s="277" customFormat="1">
      <c r="S936" s="291">
        <v>42482</v>
      </c>
      <c r="T936" s="279">
        <v>843</v>
      </c>
    </row>
    <row r="937" spans="19:20" s="277" customFormat="1">
      <c r="S937" s="291">
        <v>42483</v>
      </c>
      <c r="T937" s="279">
        <v>844</v>
      </c>
    </row>
    <row r="938" spans="19:20" s="277" customFormat="1">
      <c r="S938" s="291">
        <v>42484</v>
      </c>
      <c r="T938" s="279">
        <v>845</v>
      </c>
    </row>
    <row r="939" spans="19:20" s="277" customFormat="1">
      <c r="S939" s="291">
        <v>42485</v>
      </c>
      <c r="T939" s="279">
        <v>846</v>
      </c>
    </row>
    <row r="940" spans="19:20" s="277" customFormat="1">
      <c r="S940" s="291">
        <v>42486</v>
      </c>
      <c r="T940" s="279">
        <v>847</v>
      </c>
    </row>
    <row r="941" spans="19:20" s="277" customFormat="1">
      <c r="S941" s="291">
        <v>42487</v>
      </c>
      <c r="T941" s="279">
        <v>848</v>
      </c>
    </row>
    <row r="942" spans="19:20" s="277" customFormat="1">
      <c r="S942" s="291">
        <v>42488</v>
      </c>
      <c r="T942" s="279">
        <v>849</v>
      </c>
    </row>
    <row r="943" spans="19:20" s="277" customFormat="1">
      <c r="S943" s="291">
        <v>42489</v>
      </c>
      <c r="T943" s="279">
        <v>850</v>
      </c>
    </row>
    <row r="944" spans="19:20" s="277" customFormat="1">
      <c r="S944" s="291">
        <v>42490</v>
      </c>
      <c r="T944" s="279">
        <v>851</v>
      </c>
    </row>
    <row r="945" spans="19:20" s="277" customFormat="1">
      <c r="S945" s="291">
        <v>42491</v>
      </c>
      <c r="T945" s="279">
        <v>852</v>
      </c>
    </row>
    <row r="946" spans="19:20" s="277" customFormat="1">
      <c r="S946" s="291">
        <v>42492</v>
      </c>
      <c r="T946" s="279">
        <v>853</v>
      </c>
    </row>
    <row r="947" spans="19:20" s="277" customFormat="1">
      <c r="S947" s="291">
        <v>42493</v>
      </c>
      <c r="T947" s="279">
        <v>854</v>
      </c>
    </row>
    <row r="948" spans="19:20" s="277" customFormat="1">
      <c r="S948" s="291">
        <v>42494</v>
      </c>
      <c r="T948" s="279">
        <v>855</v>
      </c>
    </row>
    <row r="949" spans="19:20" s="277" customFormat="1">
      <c r="S949" s="291">
        <v>42495</v>
      </c>
      <c r="T949" s="279">
        <v>856</v>
      </c>
    </row>
    <row r="950" spans="19:20" s="277" customFormat="1">
      <c r="S950" s="291">
        <v>42496</v>
      </c>
      <c r="T950" s="279">
        <v>857</v>
      </c>
    </row>
    <row r="951" spans="19:20" s="277" customFormat="1">
      <c r="S951" s="291">
        <v>42497</v>
      </c>
      <c r="T951" s="279">
        <v>858</v>
      </c>
    </row>
    <row r="952" spans="19:20" s="277" customFormat="1">
      <c r="S952" s="291">
        <v>42498</v>
      </c>
      <c r="T952" s="279">
        <v>859</v>
      </c>
    </row>
    <row r="953" spans="19:20" s="277" customFormat="1">
      <c r="S953" s="291">
        <v>42499</v>
      </c>
      <c r="T953" s="279">
        <v>860</v>
      </c>
    </row>
    <row r="954" spans="19:20" s="277" customFormat="1">
      <c r="S954" s="291">
        <v>42500</v>
      </c>
      <c r="T954" s="279">
        <v>861</v>
      </c>
    </row>
    <row r="955" spans="19:20" s="277" customFormat="1">
      <c r="S955" s="291">
        <v>42501</v>
      </c>
      <c r="T955" s="279">
        <v>862</v>
      </c>
    </row>
    <row r="956" spans="19:20" s="277" customFormat="1">
      <c r="S956" s="291">
        <v>42502</v>
      </c>
      <c r="T956" s="279">
        <v>863</v>
      </c>
    </row>
    <row r="957" spans="19:20" s="277" customFormat="1">
      <c r="S957" s="291">
        <v>42503</v>
      </c>
      <c r="T957" s="279">
        <v>864</v>
      </c>
    </row>
    <row r="958" spans="19:20" s="277" customFormat="1">
      <c r="S958" s="291">
        <v>42504</v>
      </c>
      <c r="T958" s="279">
        <v>865</v>
      </c>
    </row>
    <row r="959" spans="19:20" s="277" customFormat="1">
      <c r="S959" s="291">
        <v>42505</v>
      </c>
      <c r="T959" s="279">
        <v>866</v>
      </c>
    </row>
    <row r="960" spans="19:20" s="277" customFormat="1">
      <c r="S960" s="291">
        <v>42506</v>
      </c>
      <c r="T960" s="279">
        <v>867</v>
      </c>
    </row>
    <row r="961" spans="19:20" s="277" customFormat="1">
      <c r="S961" s="291">
        <v>42507</v>
      </c>
      <c r="T961" s="279">
        <v>868</v>
      </c>
    </row>
    <row r="962" spans="19:20" s="277" customFormat="1">
      <c r="S962" s="291">
        <v>42508</v>
      </c>
      <c r="T962" s="279">
        <v>869</v>
      </c>
    </row>
    <row r="963" spans="19:20" s="277" customFormat="1">
      <c r="S963" s="291">
        <v>42509</v>
      </c>
      <c r="T963" s="279">
        <v>870</v>
      </c>
    </row>
    <row r="964" spans="19:20" s="277" customFormat="1">
      <c r="S964" s="291">
        <v>42510</v>
      </c>
      <c r="T964" s="279">
        <v>871</v>
      </c>
    </row>
    <row r="965" spans="19:20" s="277" customFormat="1">
      <c r="S965" s="291">
        <v>42511</v>
      </c>
      <c r="T965" s="279">
        <v>872</v>
      </c>
    </row>
    <row r="966" spans="19:20" s="277" customFormat="1">
      <c r="S966" s="291">
        <v>42512</v>
      </c>
      <c r="T966" s="279">
        <v>873</v>
      </c>
    </row>
    <row r="967" spans="19:20" s="277" customFormat="1">
      <c r="S967" s="291">
        <v>42513</v>
      </c>
      <c r="T967" s="279">
        <v>874</v>
      </c>
    </row>
    <row r="968" spans="19:20" s="277" customFormat="1">
      <c r="S968" s="291">
        <v>42514</v>
      </c>
      <c r="T968" s="279">
        <v>875</v>
      </c>
    </row>
    <row r="969" spans="19:20" s="277" customFormat="1">
      <c r="S969" s="291">
        <v>42515</v>
      </c>
      <c r="T969" s="279">
        <v>876</v>
      </c>
    </row>
    <row r="970" spans="19:20" s="277" customFormat="1">
      <c r="S970" s="291">
        <v>42516</v>
      </c>
      <c r="T970" s="279">
        <v>877</v>
      </c>
    </row>
    <row r="971" spans="19:20" s="277" customFormat="1">
      <c r="S971" s="291">
        <v>42517</v>
      </c>
      <c r="T971" s="279">
        <v>878</v>
      </c>
    </row>
    <row r="972" spans="19:20" s="277" customFormat="1">
      <c r="S972" s="291">
        <v>42518</v>
      </c>
      <c r="T972" s="279">
        <v>879</v>
      </c>
    </row>
    <row r="973" spans="19:20" s="277" customFormat="1">
      <c r="S973" s="291">
        <v>42519</v>
      </c>
      <c r="T973" s="279">
        <v>880</v>
      </c>
    </row>
    <row r="974" spans="19:20" s="277" customFormat="1">
      <c r="S974" s="291">
        <v>42520</v>
      </c>
      <c r="T974" s="279">
        <v>881</v>
      </c>
    </row>
    <row r="975" spans="19:20" s="277" customFormat="1">
      <c r="S975" s="291">
        <v>42521</v>
      </c>
      <c r="T975" s="279">
        <v>882</v>
      </c>
    </row>
    <row r="976" spans="19:20" s="277" customFormat="1">
      <c r="S976" s="291">
        <v>42522</v>
      </c>
      <c r="T976" s="279">
        <v>883</v>
      </c>
    </row>
    <row r="977" spans="19:20" s="277" customFormat="1">
      <c r="S977" s="291">
        <v>42523</v>
      </c>
      <c r="T977" s="279">
        <v>884</v>
      </c>
    </row>
    <row r="978" spans="19:20" s="277" customFormat="1">
      <c r="S978" s="291">
        <v>42524</v>
      </c>
      <c r="T978" s="279">
        <v>885</v>
      </c>
    </row>
    <row r="979" spans="19:20" s="277" customFormat="1">
      <c r="S979" s="291">
        <v>42525</v>
      </c>
      <c r="T979" s="279">
        <v>886</v>
      </c>
    </row>
    <row r="980" spans="19:20" s="277" customFormat="1">
      <c r="S980" s="291">
        <v>42526</v>
      </c>
      <c r="T980" s="279">
        <v>887</v>
      </c>
    </row>
    <row r="981" spans="19:20" s="277" customFormat="1">
      <c r="S981" s="291">
        <v>42527</v>
      </c>
      <c r="T981" s="279">
        <v>888</v>
      </c>
    </row>
    <row r="982" spans="19:20" s="277" customFormat="1">
      <c r="S982" s="291">
        <v>42528</v>
      </c>
      <c r="T982" s="279">
        <v>889</v>
      </c>
    </row>
    <row r="983" spans="19:20" s="277" customFormat="1">
      <c r="S983" s="291">
        <v>42529</v>
      </c>
      <c r="T983" s="279">
        <v>890</v>
      </c>
    </row>
    <row r="984" spans="19:20" s="277" customFormat="1">
      <c r="S984" s="291">
        <v>42530</v>
      </c>
      <c r="T984" s="279">
        <v>891</v>
      </c>
    </row>
    <row r="985" spans="19:20" s="277" customFormat="1">
      <c r="S985" s="291">
        <v>42531</v>
      </c>
      <c r="T985" s="279">
        <v>892</v>
      </c>
    </row>
    <row r="986" spans="19:20" s="277" customFormat="1">
      <c r="S986" s="291">
        <v>42532</v>
      </c>
      <c r="T986" s="279">
        <v>893</v>
      </c>
    </row>
    <row r="987" spans="19:20" s="277" customFormat="1">
      <c r="S987" s="291">
        <v>42533</v>
      </c>
      <c r="T987" s="279">
        <v>894</v>
      </c>
    </row>
    <row r="988" spans="19:20" s="277" customFormat="1">
      <c r="S988" s="291">
        <v>42534</v>
      </c>
      <c r="T988" s="279">
        <v>895</v>
      </c>
    </row>
    <row r="989" spans="19:20" s="277" customFormat="1">
      <c r="S989" s="291">
        <v>42535</v>
      </c>
      <c r="T989" s="279">
        <v>896</v>
      </c>
    </row>
    <row r="990" spans="19:20" s="277" customFormat="1">
      <c r="S990" s="291">
        <v>42536</v>
      </c>
      <c r="T990" s="279">
        <v>897</v>
      </c>
    </row>
    <row r="991" spans="19:20" s="277" customFormat="1">
      <c r="S991" s="291">
        <v>42537</v>
      </c>
      <c r="T991" s="279">
        <v>898</v>
      </c>
    </row>
    <row r="992" spans="19:20" s="277" customFormat="1">
      <c r="S992" s="291">
        <v>42538</v>
      </c>
      <c r="T992" s="279">
        <v>899</v>
      </c>
    </row>
    <row r="993" spans="19:20" s="277" customFormat="1">
      <c r="S993" s="291">
        <v>42539</v>
      </c>
      <c r="T993" s="279">
        <v>900</v>
      </c>
    </row>
    <row r="994" spans="19:20" s="277" customFormat="1">
      <c r="S994" s="291">
        <v>42540</v>
      </c>
      <c r="T994" s="279">
        <v>901</v>
      </c>
    </row>
    <row r="995" spans="19:20" s="277" customFormat="1">
      <c r="S995" s="291">
        <v>42541</v>
      </c>
      <c r="T995" s="279">
        <v>902</v>
      </c>
    </row>
    <row r="996" spans="19:20" s="277" customFormat="1">
      <c r="S996" s="291">
        <v>42542</v>
      </c>
      <c r="T996" s="279">
        <v>903</v>
      </c>
    </row>
    <row r="997" spans="19:20" s="277" customFormat="1">
      <c r="S997" s="291">
        <v>42543</v>
      </c>
      <c r="T997" s="279">
        <v>904</v>
      </c>
    </row>
    <row r="998" spans="19:20" s="277" customFormat="1">
      <c r="S998" s="291">
        <v>42544</v>
      </c>
      <c r="T998" s="279">
        <v>905</v>
      </c>
    </row>
    <row r="999" spans="19:20" s="277" customFormat="1">
      <c r="S999" s="291">
        <v>42545</v>
      </c>
      <c r="T999" s="279">
        <v>906</v>
      </c>
    </row>
    <row r="1000" spans="19:20" s="277" customFormat="1">
      <c r="S1000" s="291">
        <v>42546</v>
      </c>
      <c r="T1000" s="279">
        <v>907</v>
      </c>
    </row>
    <row r="1001" spans="19:20" s="277" customFormat="1">
      <c r="S1001" s="291">
        <v>42547</v>
      </c>
      <c r="T1001" s="279">
        <v>908</v>
      </c>
    </row>
    <row r="1002" spans="19:20" s="277" customFormat="1">
      <c r="S1002" s="291">
        <v>42548</v>
      </c>
      <c r="T1002" s="279">
        <v>909</v>
      </c>
    </row>
    <row r="1003" spans="19:20" s="277" customFormat="1">
      <c r="S1003" s="291">
        <v>42549</v>
      </c>
      <c r="T1003" s="279">
        <v>910</v>
      </c>
    </row>
    <row r="1004" spans="19:20" s="277" customFormat="1">
      <c r="S1004" s="291">
        <v>42550</v>
      </c>
      <c r="T1004" s="279">
        <v>911</v>
      </c>
    </row>
    <row r="1005" spans="19:20" s="277" customFormat="1">
      <c r="S1005" s="291">
        <v>42551</v>
      </c>
      <c r="T1005" s="279">
        <v>912</v>
      </c>
    </row>
    <row r="1006" spans="19:20" s="277" customFormat="1">
      <c r="S1006" s="291">
        <v>42552</v>
      </c>
      <c r="T1006" s="279">
        <v>913</v>
      </c>
    </row>
    <row r="1007" spans="19:20" s="277" customFormat="1">
      <c r="S1007" s="291">
        <v>42553</v>
      </c>
      <c r="T1007" s="279">
        <v>914</v>
      </c>
    </row>
    <row r="1008" spans="19:20" s="277" customFormat="1">
      <c r="S1008" s="291">
        <v>42554</v>
      </c>
      <c r="T1008" s="279">
        <v>915</v>
      </c>
    </row>
    <row r="1009" spans="19:20" s="277" customFormat="1">
      <c r="S1009" s="291">
        <v>42555</v>
      </c>
      <c r="T1009" s="279">
        <v>916</v>
      </c>
    </row>
    <row r="1010" spans="19:20" s="277" customFormat="1">
      <c r="S1010" s="291">
        <v>42556</v>
      </c>
      <c r="T1010" s="279">
        <v>917</v>
      </c>
    </row>
    <row r="1011" spans="19:20" s="277" customFormat="1">
      <c r="S1011" s="291">
        <v>42557</v>
      </c>
      <c r="T1011" s="279">
        <v>918</v>
      </c>
    </row>
    <row r="1012" spans="19:20" s="277" customFormat="1">
      <c r="S1012" s="291">
        <v>42558</v>
      </c>
      <c r="T1012" s="279">
        <v>919</v>
      </c>
    </row>
    <row r="1013" spans="19:20" s="277" customFormat="1">
      <c r="S1013" s="291">
        <v>42559</v>
      </c>
      <c r="T1013" s="279">
        <v>920</v>
      </c>
    </row>
    <row r="1014" spans="19:20" s="277" customFormat="1">
      <c r="S1014" s="291">
        <v>42560</v>
      </c>
      <c r="T1014" s="279">
        <v>921</v>
      </c>
    </row>
    <row r="1015" spans="19:20" s="277" customFormat="1">
      <c r="S1015" s="291">
        <v>42561</v>
      </c>
      <c r="T1015" s="279">
        <v>922</v>
      </c>
    </row>
    <row r="1016" spans="19:20" s="277" customFormat="1">
      <c r="S1016" s="291">
        <v>42562</v>
      </c>
      <c r="T1016" s="279">
        <v>923</v>
      </c>
    </row>
    <row r="1017" spans="19:20" s="277" customFormat="1">
      <c r="S1017" s="291">
        <v>42563</v>
      </c>
      <c r="T1017" s="279">
        <v>924</v>
      </c>
    </row>
    <row r="1018" spans="19:20" s="277" customFormat="1">
      <c r="S1018" s="291">
        <v>42564</v>
      </c>
      <c r="T1018" s="279">
        <v>925</v>
      </c>
    </row>
    <row r="1019" spans="19:20" s="277" customFormat="1">
      <c r="S1019" s="291">
        <v>42565</v>
      </c>
      <c r="T1019" s="279">
        <v>926</v>
      </c>
    </row>
    <row r="1020" spans="19:20" s="277" customFormat="1">
      <c r="S1020" s="291">
        <v>42566</v>
      </c>
      <c r="T1020" s="279">
        <v>927</v>
      </c>
    </row>
    <row r="1021" spans="19:20" s="277" customFormat="1">
      <c r="S1021" s="291">
        <v>42567</v>
      </c>
      <c r="T1021" s="279">
        <v>928</v>
      </c>
    </row>
    <row r="1022" spans="19:20" s="277" customFormat="1">
      <c r="S1022" s="291">
        <v>42568</v>
      </c>
      <c r="T1022" s="279">
        <v>929</v>
      </c>
    </row>
    <row r="1023" spans="19:20" s="277" customFormat="1">
      <c r="S1023" s="291">
        <v>42569</v>
      </c>
      <c r="T1023" s="279">
        <v>930</v>
      </c>
    </row>
    <row r="1024" spans="19:20" s="277" customFormat="1">
      <c r="S1024" s="291">
        <v>42570</v>
      </c>
      <c r="T1024" s="279">
        <v>931</v>
      </c>
    </row>
    <row r="1025" spans="19:20" s="277" customFormat="1">
      <c r="S1025" s="291">
        <v>42571</v>
      </c>
      <c r="T1025" s="279">
        <v>932</v>
      </c>
    </row>
    <row r="1026" spans="19:20" s="277" customFormat="1">
      <c r="S1026" s="291">
        <v>42572</v>
      </c>
      <c r="T1026" s="279">
        <v>933</v>
      </c>
    </row>
    <row r="1027" spans="19:20" s="277" customFormat="1">
      <c r="S1027" s="291">
        <v>42573</v>
      </c>
      <c r="T1027" s="279">
        <v>934</v>
      </c>
    </row>
    <row r="1028" spans="19:20" s="277" customFormat="1">
      <c r="S1028" s="291">
        <v>42574</v>
      </c>
      <c r="T1028" s="279">
        <v>935</v>
      </c>
    </row>
    <row r="1029" spans="19:20" s="277" customFormat="1">
      <c r="S1029" s="291">
        <v>42575</v>
      </c>
      <c r="T1029" s="279">
        <v>936</v>
      </c>
    </row>
    <row r="1030" spans="19:20" s="277" customFormat="1">
      <c r="S1030" s="291">
        <v>42576</v>
      </c>
      <c r="T1030" s="279">
        <v>937</v>
      </c>
    </row>
    <row r="1031" spans="19:20" s="277" customFormat="1">
      <c r="S1031" s="291">
        <v>42577</v>
      </c>
      <c r="T1031" s="279">
        <v>938</v>
      </c>
    </row>
    <row r="1032" spans="19:20" s="277" customFormat="1">
      <c r="S1032" s="291">
        <v>42578</v>
      </c>
      <c r="T1032" s="279">
        <v>939</v>
      </c>
    </row>
    <row r="1033" spans="19:20" s="277" customFormat="1">
      <c r="S1033" s="291">
        <v>42579</v>
      </c>
      <c r="T1033" s="279">
        <v>940</v>
      </c>
    </row>
    <row r="1034" spans="19:20" s="277" customFormat="1">
      <c r="S1034" s="291">
        <v>42580</v>
      </c>
      <c r="T1034" s="279">
        <v>941</v>
      </c>
    </row>
    <row r="1035" spans="19:20" s="277" customFormat="1">
      <c r="S1035" s="291">
        <v>42581</v>
      </c>
      <c r="T1035" s="279">
        <v>942</v>
      </c>
    </row>
    <row r="1036" spans="19:20" s="277" customFormat="1">
      <c r="S1036" s="291">
        <v>42582</v>
      </c>
      <c r="T1036" s="279">
        <v>943</v>
      </c>
    </row>
    <row r="1037" spans="19:20" s="277" customFormat="1">
      <c r="S1037" s="291">
        <v>42583</v>
      </c>
      <c r="T1037" s="279">
        <v>944</v>
      </c>
    </row>
    <row r="1038" spans="19:20" s="277" customFormat="1">
      <c r="S1038" s="291">
        <v>42584</v>
      </c>
      <c r="T1038" s="279">
        <v>945</v>
      </c>
    </row>
    <row r="1039" spans="19:20" s="277" customFormat="1">
      <c r="S1039" s="291">
        <v>42585</v>
      </c>
      <c r="T1039" s="279">
        <v>946</v>
      </c>
    </row>
    <row r="1040" spans="19:20" s="277" customFormat="1">
      <c r="S1040" s="291">
        <v>42586</v>
      </c>
      <c r="T1040" s="279">
        <v>947</v>
      </c>
    </row>
    <row r="1041" spans="19:20" s="277" customFormat="1">
      <c r="S1041" s="291">
        <v>42587</v>
      </c>
      <c r="T1041" s="279">
        <v>948</v>
      </c>
    </row>
    <row r="1042" spans="19:20" s="277" customFormat="1">
      <c r="S1042" s="291">
        <v>42588</v>
      </c>
      <c r="T1042" s="279">
        <v>949</v>
      </c>
    </row>
    <row r="1043" spans="19:20" s="277" customFormat="1">
      <c r="S1043" s="291">
        <v>42589</v>
      </c>
      <c r="T1043" s="279">
        <v>950</v>
      </c>
    </row>
    <row r="1044" spans="19:20" s="277" customFormat="1">
      <c r="S1044" s="291">
        <v>42590</v>
      </c>
      <c r="T1044" s="279">
        <v>951</v>
      </c>
    </row>
    <row r="1045" spans="19:20" s="277" customFormat="1">
      <c r="S1045" s="291">
        <v>42591</v>
      </c>
      <c r="T1045" s="279">
        <v>952</v>
      </c>
    </row>
    <row r="1046" spans="19:20" s="277" customFormat="1">
      <c r="S1046" s="291">
        <v>42592</v>
      </c>
      <c r="T1046" s="279">
        <v>953</v>
      </c>
    </row>
    <row r="1047" spans="19:20" s="277" customFormat="1">
      <c r="S1047" s="291">
        <v>42593</v>
      </c>
      <c r="T1047" s="279">
        <v>954</v>
      </c>
    </row>
    <row r="1048" spans="19:20" s="277" customFormat="1">
      <c r="S1048" s="291">
        <v>42594</v>
      </c>
      <c r="T1048" s="279">
        <v>955</v>
      </c>
    </row>
    <row r="1049" spans="19:20" s="277" customFormat="1">
      <c r="S1049" s="291">
        <v>42595</v>
      </c>
      <c r="T1049" s="279">
        <v>956</v>
      </c>
    </row>
    <row r="1050" spans="19:20" s="277" customFormat="1">
      <c r="S1050" s="291">
        <v>42596</v>
      </c>
      <c r="T1050" s="279">
        <v>957</v>
      </c>
    </row>
    <row r="1051" spans="19:20" s="277" customFormat="1">
      <c r="S1051" s="291">
        <v>42597</v>
      </c>
      <c r="T1051" s="279">
        <v>958</v>
      </c>
    </row>
    <row r="1052" spans="19:20" s="277" customFormat="1">
      <c r="S1052" s="291">
        <v>42598</v>
      </c>
      <c r="T1052" s="279">
        <v>959</v>
      </c>
    </row>
    <row r="1053" spans="19:20" s="277" customFormat="1">
      <c r="S1053" s="291">
        <v>42599</v>
      </c>
      <c r="T1053" s="279">
        <v>960</v>
      </c>
    </row>
    <row r="1054" spans="19:20" s="277" customFormat="1">
      <c r="S1054" s="291">
        <v>42600</v>
      </c>
      <c r="T1054" s="279">
        <v>961</v>
      </c>
    </row>
    <row r="1055" spans="19:20" s="277" customFormat="1">
      <c r="S1055" s="291">
        <v>42601</v>
      </c>
      <c r="T1055" s="279">
        <v>962</v>
      </c>
    </row>
    <row r="1056" spans="19:20" s="277" customFormat="1">
      <c r="S1056" s="291">
        <v>42602</v>
      </c>
      <c r="T1056" s="279">
        <v>963</v>
      </c>
    </row>
    <row r="1057" spans="19:20" s="277" customFormat="1">
      <c r="S1057" s="291">
        <v>42603</v>
      </c>
      <c r="T1057" s="279">
        <v>964</v>
      </c>
    </row>
    <row r="1058" spans="19:20" s="277" customFormat="1">
      <c r="S1058" s="291">
        <v>42604</v>
      </c>
      <c r="T1058" s="279">
        <v>965</v>
      </c>
    </row>
    <row r="1059" spans="19:20" s="277" customFormat="1">
      <c r="S1059" s="291">
        <v>42605</v>
      </c>
      <c r="T1059" s="279">
        <v>966</v>
      </c>
    </row>
    <row r="1060" spans="19:20" s="277" customFormat="1">
      <c r="S1060" s="291">
        <v>42606</v>
      </c>
      <c r="T1060" s="279">
        <v>967</v>
      </c>
    </row>
    <row r="1061" spans="19:20" s="277" customFormat="1">
      <c r="S1061" s="291">
        <v>42607</v>
      </c>
      <c r="T1061" s="279">
        <v>968</v>
      </c>
    </row>
    <row r="1062" spans="19:20" s="277" customFormat="1">
      <c r="S1062" s="291">
        <v>42608</v>
      </c>
      <c r="T1062" s="279">
        <v>969</v>
      </c>
    </row>
    <row r="1063" spans="19:20" s="277" customFormat="1">
      <c r="S1063" s="291">
        <v>42609</v>
      </c>
      <c r="T1063" s="279">
        <v>970</v>
      </c>
    </row>
    <row r="1064" spans="19:20" s="277" customFormat="1">
      <c r="S1064" s="291">
        <v>42610</v>
      </c>
      <c r="T1064" s="279">
        <v>971</v>
      </c>
    </row>
    <row r="1065" spans="19:20" s="277" customFormat="1">
      <c r="S1065" s="291">
        <v>42611</v>
      </c>
      <c r="T1065" s="279">
        <v>972</v>
      </c>
    </row>
    <row r="1066" spans="19:20" s="277" customFormat="1">
      <c r="S1066" s="291">
        <v>42612</v>
      </c>
      <c r="T1066" s="279">
        <v>973</v>
      </c>
    </row>
    <row r="1067" spans="19:20" s="277" customFormat="1">
      <c r="S1067" s="291">
        <v>42613</v>
      </c>
      <c r="T1067" s="279">
        <v>974</v>
      </c>
    </row>
    <row r="1068" spans="19:20" s="277" customFormat="1">
      <c r="S1068" s="291">
        <v>42614</v>
      </c>
      <c r="T1068" s="279">
        <v>975</v>
      </c>
    </row>
    <row r="1069" spans="19:20" s="277" customFormat="1">
      <c r="S1069" s="291">
        <v>42615</v>
      </c>
      <c r="T1069" s="279">
        <v>976</v>
      </c>
    </row>
    <row r="1070" spans="19:20" s="277" customFormat="1">
      <c r="S1070" s="291">
        <v>42616</v>
      </c>
      <c r="T1070" s="279">
        <v>977</v>
      </c>
    </row>
    <row r="1071" spans="19:20" s="277" customFormat="1">
      <c r="S1071" s="291">
        <v>42617</v>
      </c>
      <c r="T1071" s="279">
        <v>978</v>
      </c>
    </row>
    <row r="1072" spans="19:20" s="277" customFormat="1">
      <c r="S1072" s="291">
        <v>42618</v>
      </c>
      <c r="T1072" s="279">
        <v>979</v>
      </c>
    </row>
    <row r="1073" spans="19:20" s="277" customFormat="1">
      <c r="S1073" s="291">
        <v>42619</v>
      </c>
      <c r="T1073" s="279">
        <v>980</v>
      </c>
    </row>
    <row r="1074" spans="19:20" s="277" customFormat="1">
      <c r="S1074" s="291">
        <v>42620</v>
      </c>
      <c r="T1074" s="279">
        <v>981</v>
      </c>
    </row>
    <row r="1075" spans="19:20" s="277" customFormat="1">
      <c r="S1075" s="291">
        <v>42621</v>
      </c>
      <c r="T1075" s="279">
        <v>982</v>
      </c>
    </row>
    <row r="1076" spans="19:20" s="277" customFormat="1">
      <c r="S1076" s="291">
        <v>42622</v>
      </c>
      <c r="T1076" s="279">
        <v>983</v>
      </c>
    </row>
    <row r="1077" spans="19:20" s="277" customFormat="1">
      <c r="S1077" s="291">
        <v>42623</v>
      </c>
      <c r="T1077" s="279">
        <v>984</v>
      </c>
    </row>
    <row r="1078" spans="19:20" s="277" customFormat="1">
      <c r="S1078" s="291">
        <v>42624</v>
      </c>
      <c r="T1078" s="279">
        <v>985</v>
      </c>
    </row>
    <row r="1079" spans="19:20" s="277" customFormat="1">
      <c r="S1079" s="291">
        <v>42625</v>
      </c>
      <c r="T1079" s="279">
        <v>986</v>
      </c>
    </row>
    <row r="1080" spans="19:20" s="277" customFormat="1">
      <c r="S1080" s="291">
        <v>42626</v>
      </c>
      <c r="T1080" s="279">
        <v>987</v>
      </c>
    </row>
    <row r="1081" spans="19:20" s="277" customFormat="1">
      <c r="S1081" s="291">
        <v>42627</v>
      </c>
      <c r="T1081" s="279">
        <v>988</v>
      </c>
    </row>
    <row r="1082" spans="19:20" s="277" customFormat="1">
      <c r="S1082" s="291">
        <v>42628</v>
      </c>
      <c r="T1082" s="279">
        <v>989</v>
      </c>
    </row>
    <row r="1083" spans="19:20" s="277" customFormat="1">
      <c r="S1083" s="291">
        <v>42629</v>
      </c>
      <c r="T1083" s="279">
        <v>990</v>
      </c>
    </row>
    <row r="1084" spans="19:20" s="277" customFormat="1">
      <c r="S1084" s="291">
        <v>42630</v>
      </c>
      <c r="T1084" s="279">
        <v>991</v>
      </c>
    </row>
    <row r="1085" spans="19:20" s="277" customFormat="1">
      <c r="S1085" s="291">
        <v>42631</v>
      </c>
      <c r="T1085" s="279">
        <v>992</v>
      </c>
    </row>
    <row r="1086" spans="19:20" s="277" customFormat="1">
      <c r="S1086" s="291">
        <v>42632</v>
      </c>
      <c r="T1086" s="279">
        <v>993</v>
      </c>
    </row>
    <row r="1087" spans="19:20" s="277" customFormat="1">
      <c r="S1087" s="291">
        <v>42633</v>
      </c>
      <c r="T1087" s="279">
        <v>994</v>
      </c>
    </row>
    <row r="1088" spans="19:20" s="277" customFormat="1">
      <c r="S1088" s="291">
        <v>42634</v>
      </c>
      <c r="T1088" s="279">
        <v>995</v>
      </c>
    </row>
    <row r="1089" spans="19:20" s="277" customFormat="1">
      <c r="S1089" s="291">
        <v>42635</v>
      </c>
      <c r="T1089" s="279">
        <v>996</v>
      </c>
    </row>
    <row r="1090" spans="19:20" s="277" customFormat="1">
      <c r="S1090" s="291">
        <v>42636</v>
      </c>
      <c r="T1090" s="279">
        <v>997</v>
      </c>
    </row>
    <row r="1091" spans="19:20" s="277" customFormat="1">
      <c r="S1091" s="291">
        <v>42637</v>
      </c>
      <c r="T1091" s="279">
        <v>998</v>
      </c>
    </row>
    <row r="1092" spans="19:20" s="277" customFormat="1">
      <c r="S1092" s="291">
        <v>42638</v>
      </c>
      <c r="T1092" s="279">
        <v>999</v>
      </c>
    </row>
    <row r="1093" spans="19:20" s="277" customFormat="1">
      <c r="S1093" s="291">
        <v>42639</v>
      </c>
      <c r="T1093" s="279">
        <v>1000</v>
      </c>
    </row>
    <row r="1094" spans="19:20" s="277" customFormat="1">
      <c r="S1094" s="291">
        <v>42640</v>
      </c>
      <c r="T1094" s="279">
        <v>1001</v>
      </c>
    </row>
    <row r="1095" spans="19:20" s="277" customFormat="1">
      <c r="S1095" s="291">
        <v>42641</v>
      </c>
      <c r="T1095" s="279">
        <v>1002</v>
      </c>
    </row>
    <row r="1096" spans="19:20" s="277" customFormat="1">
      <c r="S1096" s="291">
        <v>42642</v>
      </c>
      <c r="T1096" s="279">
        <v>1003</v>
      </c>
    </row>
    <row r="1097" spans="19:20" s="277" customFormat="1">
      <c r="S1097" s="291">
        <v>42643</v>
      </c>
      <c r="T1097" s="279">
        <v>1004</v>
      </c>
    </row>
    <row r="1098" spans="19:20" s="277" customFormat="1">
      <c r="S1098" s="291">
        <v>42644</v>
      </c>
      <c r="T1098" s="279">
        <v>1005</v>
      </c>
    </row>
    <row r="1099" spans="19:20" s="277" customFormat="1">
      <c r="S1099" s="291">
        <v>42645</v>
      </c>
      <c r="T1099" s="279">
        <v>1006</v>
      </c>
    </row>
    <row r="1100" spans="19:20" s="277" customFormat="1">
      <c r="S1100" s="291">
        <v>42646</v>
      </c>
      <c r="T1100" s="279">
        <v>1007</v>
      </c>
    </row>
    <row r="1101" spans="19:20" s="277" customFormat="1">
      <c r="S1101" s="291">
        <v>42647</v>
      </c>
      <c r="T1101" s="279">
        <v>1008</v>
      </c>
    </row>
    <row r="1102" spans="19:20" s="277" customFormat="1">
      <c r="S1102" s="291">
        <v>42648</v>
      </c>
      <c r="T1102" s="279">
        <v>1009</v>
      </c>
    </row>
    <row r="1103" spans="19:20" s="277" customFormat="1">
      <c r="S1103" s="291">
        <v>42649</v>
      </c>
      <c r="T1103" s="279">
        <v>1010</v>
      </c>
    </row>
    <row r="1104" spans="19:20" s="277" customFormat="1">
      <c r="S1104" s="291">
        <v>42650</v>
      </c>
      <c r="T1104" s="279">
        <v>1011</v>
      </c>
    </row>
    <row r="1105" spans="19:20" s="277" customFormat="1">
      <c r="S1105" s="291">
        <v>42651</v>
      </c>
      <c r="T1105" s="279">
        <v>1012</v>
      </c>
    </row>
    <row r="1106" spans="19:20" s="277" customFormat="1">
      <c r="S1106" s="291">
        <v>42652</v>
      </c>
      <c r="T1106" s="279">
        <v>1013</v>
      </c>
    </row>
    <row r="1107" spans="19:20" s="277" customFormat="1">
      <c r="S1107" s="291">
        <v>42653</v>
      </c>
      <c r="T1107" s="279">
        <v>1014</v>
      </c>
    </row>
    <row r="1108" spans="19:20" s="277" customFormat="1">
      <c r="S1108" s="291">
        <v>42654</v>
      </c>
      <c r="T1108" s="279">
        <v>1015</v>
      </c>
    </row>
    <row r="1109" spans="19:20" s="277" customFormat="1">
      <c r="S1109" s="291">
        <v>42655</v>
      </c>
      <c r="T1109" s="279">
        <v>1016</v>
      </c>
    </row>
    <row r="1110" spans="19:20" s="277" customFormat="1">
      <c r="S1110" s="291">
        <v>42656</v>
      </c>
      <c r="T1110" s="279">
        <v>1017</v>
      </c>
    </row>
    <row r="1111" spans="19:20" s="277" customFormat="1">
      <c r="S1111" s="291">
        <v>42657</v>
      </c>
      <c r="T1111" s="279">
        <v>1018</v>
      </c>
    </row>
    <row r="1112" spans="19:20" s="277" customFormat="1">
      <c r="S1112" s="291">
        <v>42658</v>
      </c>
      <c r="T1112" s="279">
        <v>1019</v>
      </c>
    </row>
    <row r="1113" spans="19:20" s="277" customFormat="1">
      <c r="S1113" s="291">
        <v>42659</v>
      </c>
      <c r="T1113" s="279">
        <v>1020</v>
      </c>
    </row>
    <row r="1114" spans="19:20" s="277" customFormat="1">
      <c r="S1114" s="291">
        <v>42660</v>
      </c>
      <c r="T1114" s="279">
        <v>1021</v>
      </c>
    </row>
    <row r="1115" spans="19:20" s="277" customFormat="1">
      <c r="S1115" s="291">
        <v>42661</v>
      </c>
      <c r="T1115" s="279">
        <v>1022</v>
      </c>
    </row>
    <row r="1116" spans="19:20" s="277" customFormat="1">
      <c r="S1116" s="291">
        <v>42662</v>
      </c>
      <c r="T1116" s="279">
        <v>1023</v>
      </c>
    </row>
    <row r="1117" spans="19:20" s="277" customFormat="1">
      <c r="S1117" s="291">
        <v>42663</v>
      </c>
      <c r="T1117" s="279">
        <v>1024</v>
      </c>
    </row>
    <row r="1118" spans="19:20" s="277" customFormat="1">
      <c r="S1118" s="291">
        <v>42664</v>
      </c>
      <c r="T1118" s="279">
        <v>1025</v>
      </c>
    </row>
    <row r="1119" spans="19:20" s="277" customFormat="1">
      <c r="S1119" s="291">
        <v>42665</v>
      </c>
      <c r="T1119" s="279">
        <v>1026</v>
      </c>
    </row>
    <row r="1120" spans="19:20" s="277" customFormat="1">
      <c r="S1120" s="291">
        <v>42666</v>
      </c>
      <c r="T1120" s="279">
        <v>1027</v>
      </c>
    </row>
    <row r="1121" spans="16:35" s="185" customFormat="1">
      <c r="P1121" s="277"/>
      <c r="Q1121" s="277"/>
      <c r="R1121" s="277"/>
      <c r="S1121" s="291">
        <v>42667</v>
      </c>
      <c r="T1121" s="279">
        <v>1028</v>
      </c>
      <c r="U1121" s="277"/>
      <c r="V1121" s="277"/>
      <c r="W1121" s="277"/>
      <c r="X1121" s="277"/>
      <c r="Y1121" s="277"/>
      <c r="Z1121" s="277"/>
      <c r="AA1121" s="277"/>
      <c r="AB1121" s="277"/>
      <c r="AC1121" s="277"/>
      <c r="AD1121" s="277"/>
      <c r="AE1121" s="277"/>
      <c r="AF1121" s="277"/>
      <c r="AG1121" s="277"/>
      <c r="AH1121" s="277"/>
      <c r="AI1121" s="277"/>
    </row>
    <row r="1122" spans="16:35" s="185" customFormat="1">
      <c r="P1122" s="277"/>
      <c r="Q1122" s="277"/>
      <c r="R1122" s="277"/>
      <c r="S1122" s="291">
        <v>42668</v>
      </c>
      <c r="T1122" s="279">
        <v>1029</v>
      </c>
      <c r="U1122" s="277"/>
      <c r="V1122" s="277"/>
      <c r="W1122" s="277"/>
      <c r="X1122" s="277"/>
      <c r="Y1122" s="277"/>
      <c r="Z1122" s="277"/>
      <c r="AA1122" s="277"/>
      <c r="AB1122" s="277"/>
      <c r="AC1122" s="277"/>
      <c r="AD1122" s="277"/>
      <c r="AE1122" s="277"/>
      <c r="AF1122" s="277"/>
      <c r="AG1122" s="277"/>
      <c r="AH1122" s="277"/>
      <c r="AI1122" s="277"/>
    </row>
    <row r="1123" spans="16:35" s="185" customFormat="1">
      <c r="P1123" s="277"/>
      <c r="Q1123" s="277"/>
      <c r="R1123" s="277"/>
      <c r="S1123" s="291">
        <v>42669</v>
      </c>
      <c r="T1123" s="279">
        <v>1030</v>
      </c>
      <c r="U1123" s="277"/>
      <c r="V1123" s="277"/>
      <c r="W1123" s="277"/>
      <c r="X1123" s="277"/>
      <c r="Y1123" s="277"/>
      <c r="Z1123" s="277"/>
      <c r="AA1123" s="277"/>
      <c r="AB1123" s="277"/>
      <c r="AC1123" s="277"/>
      <c r="AD1123" s="277"/>
      <c r="AE1123" s="277"/>
      <c r="AF1123" s="277"/>
      <c r="AG1123" s="277"/>
      <c r="AH1123" s="277"/>
      <c r="AI1123" s="277"/>
    </row>
    <row r="1124" spans="16:35" s="185" customFormat="1">
      <c r="P1124" s="277"/>
      <c r="Q1124" s="277"/>
      <c r="R1124" s="277"/>
      <c r="S1124" s="291">
        <v>42670</v>
      </c>
      <c r="T1124" s="279">
        <v>1031</v>
      </c>
      <c r="U1124" s="277"/>
      <c r="V1124" s="277"/>
      <c r="W1124" s="277"/>
      <c r="X1124" s="277"/>
      <c r="Y1124" s="277"/>
      <c r="Z1124" s="277"/>
      <c r="AA1124" s="277"/>
      <c r="AB1124" s="277"/>
      <c r="AC1124" s="277"/>
      <c r="AD1124" s="277"/>
      <c r="AE1124" s="277"/>
      <c r="AF1124" s="277"/>
      <c r="AG1124" s="277"/>
      <c r="AH1124" s="277"/>
      <c r="AI1124" s="277"/>
    </row>
    <row r="1125" spans="16:35" s="185" customFormat="1">
      <c r="P1125" s="277"/>
      <c r="Q1125" s="277"/>
      <c r="R1125" s="277"/>
      <c r="S1125" s="291">
        <v>42671</v>
      </c>
      <c r="T1125" s="279">
        <v>1032</v>
      </c>
      <c r="U1125" s="277"/>
      <c r="V1125" s="277"/>
      <c r="W1125" s="277"/>
      <c r="X1125" s="277"/>
      <c r="Y1125" s="277"/>
      <c r="Z1125" s="277"/>
      <c r="AA1125" s="277"/>
      <c r="AB1125" s="277"/>
      <c r="AC1125" s="277"/>
      <c r="AD1125" s="277"/>
      <c r="AE1125" s="277"/>
      <c r="AF1125" s="277"/>
      <c r="AG1125" s="277"/>
      <c r="AH1125" s="277"/>
      <c r="AI1125" s="277"/>
    </row>
    <row r="1126" spans="16:35" s="185" customFormat="1">
      <c r="P1126" s="277"/>
      <c r="Q1126" s="277"/>
      <c r="R1126" s="277"/>
      <c r="S1126" s="291">
        <v>42672</v>
      </c>
      <c r="T1126" s="279">
        <v>1033</v>
      </c>
      <c r="U1126" s="277"/>
      <c r="V1126" s="277"/>
      <c r="W1126" s="277"/>
      <c r="X1126" s="277"/>
      <c r="Y1126" s="277"/>
      <c r="Z1126" s="277"/>
      <c r="AA1126" s="277"/>
      <c r="AB1126" s="277"/>
      <c r="AC1126" s="277"/>
      <c r="AD1126" s="277"/>
      <c r="AE1126" s="277"/>
      <c r="AF1126" s="277"/>
      <c r="AG1126" s="277"/>
      <c r="AH1126" s="277"/>
      <c r="AI1126" s="277"/>
    </row>
    <row r="1127" spans="16:35" s="185" customFormat="1">
      <c r="P1127" s="277"/>
      <c r="Q1127" s="277"/>
      <c r="R1127" s="277"/>
      <c r="S1127" s="291">
        <v>42673</v>
      </c>
      <c r="T1127" s="279">
        <v>1034</v>
      </c>
      <c r="U1127" s="277"/>
      <c r="V1127" s="277"/>
      <c r="W1127" s="277"/>
      <c r="X1127" s="277"/>
      <c r="Y1127" s="277"/>
      <c r="Z1127" s="277"/>
      <c r="AA1127" s="277"/>
      <c r="AB1127" s="277"/>
      <c r="AC1127" s="277"/>
      <c r="AD1127" s="277"/>
      <c r="AE1127" s="277"/>
      <c r="AF1127" s="277"/>
      <c r="AG1127" s="277"/>
      <c r="AH1127" s="277"/>
      <c r="AI1127" s="277"/>
    </row>
    <row r="1128" spans="16:35" s="185" customFormat="1">
      <c r="P1128" s="277"/>
      <c r="Q1128" s="277"/>
      <c r="R1128" s="277"/>
      <c r="S1128" s="291">
        <v>42674</v>
      </c>
      <c r="T1128" s="279">
        <v>1035</v>
      </c>
      <c r="U1128" s="277"/>
      <c r="V1128" s="277"/>
      <c r="W1128" s="277"/>
      <c r="X1128" s="277"/>
      <c r="Y1128" s="277"/>
      <c r="Z1128" s="277"/>
      <c r="AA1128" s="277"/>
      <c r="AB1128" s="277"/>
      <c r="AC1128" s="277"/>
      <c r="AD1128" s="277"/>
      <c r="AE1128" s="277"/>
      <c r="AF1128" s="277"/>
      <c r="AG1128" s="277"/>
      <c r="AH1128" s="277"/>
      <c r="AI1128" s="277"/>
    </row>
    <row r="1129" spans="16:35" s="185" customFormat="1">
      <c r="P1129" s="277"/>
      <c r="Q1129" s="277"/>
      <c r="R1129" s="277"/>
      <c r="S1129" s="291">
        <v>42675</v>
      </c>
      <c r="T1129" s="279">
        <v>1036</v>
      </c>
      <c r="U1129" s="277"/>
      <c r="V1129" s="277"/>
      <c r="W1129" s="277"/>
      <c r="X1129" s="277"/>
      <c r="Y1129" s="277"/>
      <c r="Z1129" s="277"/>
      <c r="AA1129" s="277"/>
      <c r="AB1129" s="277"/>
      <c r="AC1129" s="277"/>
      <c r="AD1129" s="277"/>
      <c r="AE1129" s="277"/>
      <c r="AF1129" s="277"/>
      <c r="AG1129" s="277"/>
      <c r="AH1129" s="277"/>
      <c r="AI1129" s="277"/>
    </row>
    <row r="1130" spans="16:35" s="185" customFormat="1">
      <c r="P1130" s="277"/>
      <c r="Q1130" s="277"/>
      <c r="R1130" s="277"/>
      <c r="S1130" s="291">
        <v>42676</v>
      </c>
      <c r="T1130" s="279">
        <v>1037</v>
      </c>
      <c r="U1130" s="277"/>
      <c r="V1130" s="277"/>
      <c r="W1130" s="277"/>
      <c r="X1130" s="277"/>
      <c r="Y1130" s="277"/>
      <c r="Z1130" s="277"/>
      <c r="AA1130" s="277"/>
      <c r="AB1130" s="277"/>
      <c r="AC1130" s="277"/>
      <c r="AD1130" s="277"/>
      <c r="AE1130" s="277"/>
      <c r="AF1130" s="277"/>
      <c r="AG1130" s="277"/>
      <c r="AH1130" s="277"/>
      <c r="AI1130" s="277"/>
    </row>
    <row r="1131" spans="16:35" s="185" customFormat="1">
      <c r="P1131" s="277"/>
      <c r="Q1131" s="277"/>
      <c r="R1131" s="277"/>
      <c r="S1131" s="291">
        <v>42677</v>
      </c>
      <c r="T1131" s="279">
        <v>1038</v>
      </c>
      <c r="U1131" s="277"/>
      <c r="V1131" s="277"/>
      <c r="W1131" s="277"/>
      <c r="X1131" s="277"/>
      <c r="Y1131" s="277"/>
      <c r="Z1131" s="277"/>
      <c r="AA1131" s="277"/>
      <c r="AB1131" s="277"/>
      <c r="AC1131" s="277"/>
      <c r="AD1131" s="277"/>
      <c r="AE1131" s="277"/>
      <c r="AF1131" s="277"/>
      <c r="AG1131" s="277"/>
      <c r="AH1131" s="277"/>
      <c r="AI1131" s="277"/>
    </row>
    <row r="1132" spans="16:35" s="185" customFormat="1">
      <c r="P1132" s="277"/>
      <c r="Q1132" s="277"/>
      <c r="R1132" s="277"/>
      <c r="S1132" s="291">
        <v>42678</v>
      </c>
      <c r="T1132" s="279">
        <v>1039</v>
      </c>
      <c r="U1132" s="277"/>
      <c r="V1132" s="277"/>
      <c r="W1132" s="277"/>
      <c r="X1132" s="277"/>
      <c r="Y1132" s="277"/>
      <c r="Z1132" s="277"/>
      <c r="AA1132" s="277"/>
      <c r="AB1132" s="277"/>
      <c r="AC1132" s="277"/>
      <c r="AD1132" s="277"/>
      <c r="AE1132" s="277"/>
      <c r="AF1132" s="277"/>
      <c r="AG1132" s="277"/>
      <c r="AH1132" s="277"/>
      <c r="AI1132" s="277"/>
    </row>
    <row r="1133" spans="16:35" s="185" customFormat="1">
      <c r="P1133" s="277"/>
      <c r="Q1133" s="277"/>
      <c r="R1133" s="277"/>
      <c r="S1133" s="291">
        <v>42679</v>
      </c>
      <c r="T1133" s="279">
        <v>1040</v>
      </c>
      <c r="U1133" s="277"/>
      <c r="V1133" s="277"/>
      <c r="W1133" s="277"/>
      <c r="X1133" s="277"/>
      <c r="Y1133" s="277"/>
      <c r="Z1133" s="277"/>
      <c r="AA1133" s="277"/>
      <c r="AB1133" s="277"/>
      <c r="AC1133" s="277"/>
      <c r="AD1133" s="277"/>
      <c r="AE1133" s="277"/>
      <c r="AF1133" s="277"/>
      <c r="AG1133" s="277"/>
      <c r="AH1133" s="277"/>
      <c r="AI1133" s="277"/>
    </row>
    <row r="1134" spans="16:35" s="185" customFormat="1">
      <c r="P1134" s="277"/>
      <c r="Q1134" s="277"/>
      <c r="R1134" s="277"/>
      <c r="S1134" s="291">
        <v>42680</v>
      </c>
      <c r="T1134" s="279">
        <v>1041</v>
      </c>
      <c r="U1134" s="277"/>
      <c r="V1134" s="277"/>
      <c r="W1134" s="277"/>
      <c r="X1134" s="277"/>
      <c r="Y1134" s="277"/>
      <c r="Z1134" s="277"/>
      <c r="AA1134" s="277"/>
      <c r="AB1134" s="277"/>
      <c r="AC1134" s="277"/>
      <c r="AD1134" s="277"/>
      <c r="AE1134" s="277"/>
      <c r="AF1134" s="277"/>
      <c r="AG1134" s="277"/>
      <c r="AH1134" s="277"/>
      <c r="AI1134" s="277"/>
    </row>
    <row r="1135" spans="16:35" s="185" customFormat="1">
      <c r="P1135" s="277"/>
      <c r="Q1135" s="277"/>
      <c r="R1135" s="277"/>
      <c r="S1135" s="291">
        <v>42681</v>
      </c>
      <c r="T1135" s="279">
        <v>1042</v>
      </c>
      <c r="U1135" s="277"/>
      <c r="V1135" s="277"/>
      <c r="W1135" s="277"/>
      <c r="X1135" s="277"/>
      <c r="Y1135" s="277"/>
      <c r="Z1135" s="277"/>
      <c r="AA1135" s="277"/>
      <c r="AB1135" s="277"/>
      <c r="AC1135" s="277"/>
      <c r="AD1135" s="277"/>
      <c r="AE1135" s="277"/>
      <c r="AF1135" s="277"/>
      <c r="AG1135" s="277"/>
      <c r="AH1135" s="277"/>
      <c r="AI1135" s="277"/>
    </row>
    <row r="1136" spans="16:35" s="185" customFormat="1">
      <c r="P1136" s="277"/>
      <c r="Q1136" s="277"/>
      <c r="R1136" s="277"/>
      <c r="S1136" s="291">
        <v>42682</v>
      </c>
      <c r="T1136" s="279">
        <v>1043</v>
      </c>
      <c r="U1136" s="277"/>
      <c r="V1136" s="277"/>
      <c r="W1136" s="277"/>
      <c r="X1136" s="277"/>
      <c r="Y1136" s="277"/>
      <c r="Z1136" s="277"/>
      <c r="AA1136" s="277"/>
      <c r="AB1136" s="277"/>
      <c r="AC1136" s="277"/>
      <c r="AD1136" s="277"/>
      <c r="AE1136" s="277"/>
      <c r="AF1136" s="277"/>
      <c r="AG1136" s="277"/>
      <c r="AH1136" s="277"/>
      <c r="AI1136" s="277"/>
    </row>
    <row r="1137" spans="16:35" s="185" customFormat="1">
      <c r="P1137" s="277"/>
      <c r="Q1137" s="277"/>
      <c r="R1137" s="277"/>
      <c r="S1137" s="291">
        <v>42683</v>
      </c>
      <c r="T1137" s="279">
        <v>1044</v>
      </c>
      <c r="U1137" s="277"/>
      <c r="V1137" s="277"/>
      <c r="W1137" s="277"/>
      <c r="X1137" s="277"/>
      <c r="Y1137" s="277"/>
      <c r="Z1137" s="277"/>
      <c r="AA1137" s="277"/>
      <c r="AB1137" s="277"/>
      <c r="AC1137" s="277"/>
      <c r="AD1137" s="277"/>
      <c r="AE1137" s="277"/>
      <c r="AF1137" s="277"/>
      <c r="AG1137" s="277"/>
      <c r="AH1137" s="277"/>
      <c r="AI1137" s="277"/>
    </row>
    <row r="1138" spans="16:35" s="185" customFormat="1">
      <c r="P1138" s="277"/>
      <c r="Q1138" s="277"/>
      <c r="R1138" s="277"/>
      <c r="S1138" s="291">
        <v>42684</v>
      </c>
      <c r="T1138" s="279">
        <v>1045</v>
      </c>
      <c r="U1138" s="277"/>
      <c r="V1138" s="277"/>
      <c r="W1138" s="277"/>
      <c r="X1138" s="277"/>
      <c r="Y1138" s="277"/>
      <c r="Z1138" s="277"/>
      <c r="AA1138" s="277"/>
      <c r="AB1138" s="277"/>
      <c r="AC1138" s="277"/>
      <c r="AD1138" s="277"/>
      <c r="AE1138" s="277"/>
      <c r="AF1138" s="277"/>
      <c r="AG1138" s="277"/>
      <c r="AH1138" s="277"/>
      <c r="AI1138" s="277"/>
    </row>
    <row r="1139" spans="16:35" s="185" customFormat="1">
      <c r="P1139" s="277"/>
      <c r="Q1139" s="277"/>
      <c r="R1139" s="277"/>
      <c r="S1139" s="291">
        <v>42685</v>
      </c>
      <c r="T1139" s="279">
        <v>1046</v>
      </c>
      <c r="U1139" s="277"/>
      <c r="V1139" s="277"/>
      <c r="W1139" s="277"/>
      <c r="X1139" s="277"/>
      <c r="Y1139" s="277"/>
      <c r="Z1139" s="277"/>
      <c r="AA1139" s="277"/>
      <c r="AB1139" s="277"/>
      <c r="AC1139" s="277"/>
      <c r="AD1139" s="277"/>
      <c r="AE1139" s="277"/>
      <c r="AF1139" s="277"/>
      <c r="AG1139" s="277"/>
      <c r="AH1139" s="277"/>
      <c r="AI1139" s="277"/>
    </row>
    <row r="1140" spans="16:35" s="185" customFormat="1">
      <c r="P1140" s="277"/>
      <c r="Q1140" s="277"/>
      <c r="R1140" s="277"/>
      <c r="S1140" s="291">
        <v>42686</v>
      </c>
      <c r="T1140" s="279">
        <v>1047</v>
      </c>
      <c r="U1140" s="277"/>
      <c r="V1140" s="277"/>
      <c r="W1140" s="277"/>
      <c r="X1140" s="277"/>
      <c r="Y1140" s="277"/>
      <c r="Z1140" s="277"/>
      <c r="AA1140" s="277"/>
      <c r="AB1140" s="277"/>
      <c r="AC1140" s="277"/>
      <c r="AD1140" s="277"/>
      <c r="AE1140" s="277"/>
      <c r="AF1140" s="277"/>
      <c r="AG1140" s="277"/>
      <c r="AH1140" s="277"/>
      <c r="AI1140" s="277"/>
    </row>
    <row r="1141" spans="16:35" s="185" customFormat="1">
      <c r="P1141" s="277"/>
      <c r="Q1141" s="277"/>
      <c r="R1141" s="277"/>
      <c r="S1141" s="291">
        <v>42687</v>
      </c>
      <c r="T1141" s="279">
        <v>1048</v>
      </c>
      <c r="U1141" s="277"/>
      <c r="V1141" s="277"/>
      <c r="W1141" s="277"/>
      <c r="X1141" s="277"/>
      <c r="Y1141" s="277"/>
      <c r="Z1141" s="277"/>
      <c r="AA1141" s="277"/>
      <c r="AB1141" s="277"/>
      <c r="AC1141" s="277"/>
      <c r="AD1141" s="277"/>
      <c r="AE1141" s="277"/>
      <c r="AF1141" s="277"/>
      <c r="AG1141" s="277"/>
      <c r="AH1141" s="277"/>
      <c r="AI1141" s="277"/>
    </row>
    <row r="1142" spans="16:35" s="185" customFormat="1">
      <c r="P1142" s="277"/>
      <c r="Q1142" s="277"/>
      <c r="R1142" s="277"/>
      <c r="S1142" s="291">
        <v>42688</v>
      </c>
      <c r="T1142" s="279">
        <v>1049</v>
      </c>
      <c r="U1142" s="277"/>
      <c r="V1142" s="277"/>
      <c r="W1142" s="277"/>
      <c r="X1142" s="277"/>
      <c r="Y1142" s="277"/>
      <c r="Z1142" s="277"/>
      <c r="AA1142" s="277"/>
      <c r="AB1142" s="277"/>
      <c r="AC1142" s="277"/>
      <c r="AD1142" s="277"/>
      <c r="AE1142" s="277"/>
      <c r="AF1142" s="277"/>
      <c r="AG1142" s="277"/>
      <c r="AH1142" s="277"/>
      <c r="AI1142" s="277"/>
    </row>
    <row r="1143" spans="16:35" s="185" customFormat="1">
      <c r="P1143" s="277"/>
      <c r="Q1143" s="277"/>
      <c r="R1143" s="277"/>
      <c r="S1143" s="291">
        <v>42689</v>
      </c>
      <c r="T1143" s="279">
        <v>1050</v>
      </c>
      <c r="U1143" s="277"/>
      <c r="V1143" s="277"/>
      <c r="W1143" s="277"/>
      <c r="X1143" s="277"/>
      <c r="Y1143" s="277"/>
      <c r="Z1143" s="277"/>
      <c r="AA1143" s="277"/>
      <c r="AB1143" s="277"/>
      <c r="AC1143" s="277"/>
      <c r="AD1143" s="277"/>
      <c r="AE1143" s="277"/>
      <c r="AF1143" s="277"/>
      <c r="AG1143" s="277"/>
      <c r="AH1143" s="277"/>
      <c r="AI1143" s="277"/>
    </row>
    <row r="1144" spans="16:35" s="185" customFormat="1">
      <c r="P1144" s="277"/>
      <c r="Q1144" s="277"/>
      <c r="R1144" s="277"/>
      <c r="S1144" s="291">
        <v>42690</v>
      </c>
      <c r="T1144" s="279">
        <v>1051</v>
      </c>
      <c r="U1144" s="277"/>
      <c r="V1144" s="277"/>
      <c r="W1144" s="277"/>
      <c r="X1144" s="277"/>
      <c r="Y1144" s="277"/>
      <c r="Z1144" s="277"/>
      <c r="AA1144" s="277"/>
      <c r="AB1144" s="277"/>
      <c r="AC1144" s="277"/>
      <c r="AD1144" s="277"/>
      <c r="AE1144" s="277"/>
      <c r="AF1144" s="277"/>
      <c r="AG1144" s="277"/>
      <c r="AH1144" s="277"/>
      <c r="AI1144" s="277"/>
    </row>
    <row r="1145" spans="16:35" s="185" customFormat="1">
      <c r="P1145" s="277"/>
      <c r="Q1145" s="277"/>
      <c r="R1145" s="277"/>
      <c r="S1145" s="291">
        <v>42691</v>
      </c>
      <c r="T1145" s="279">
        <v>1052</v>
      </c>
      <c r="U1145" s="277"/>
      <c r="V1145" s="277"/>
      <c r="W1145" s="277"/>
      <c r="X1145" s="277"/>
      <c r="Y1145" s="277"/>
      <c r="Z1145" s="277"/>
      <c r="AA1145" s="277"/>
      <c r="AB1145" s="277"/>
      <c r="AC1145" s="277"/>
      <c r="AD1145" s="277"/>
      <c r="AE1145" s="277"/>
      <c r="AF1145" s="277"/>
      <c r="AG1145" s="277"/>
      <c r="AH1145" s="277"/>
      <c r="AI1145" s="277"/>
    </row>
    <row r="1146" spans="16:35" s="185" customFormat="1">
      <c r="P1146" s="277"/>
      <c r="Q1146" s="277"/>
      <c r="R1146" s="277"/>
      <c r="S1146" s="291">
        <v>42692</v>
      </c>
      <c r="T1146" s="279">
        <v>1053</v>
      </c>
      <c r="U1146" s="277"/>
      <c r="V1146" s="277"/>
      <c r="W1146" s="277"/>
      <c r="X1146" s="277"/>
      <c r="Y1146" s="277"/>
      <c r="Z1146" s="277"/>
      <c r="AA1146" s="277"/>
      <c r="AB1146" s="277"/>
      <c r="AC1146" s="277"/>
      <c r="AD1146" s="277"/>
      <c r="AE1146" s="277"/>
      <c r="AF1146" s="277"/>
      <c r="AG1146" s="277"/>
      <c r="AH1146" s="277"/>
      <c r="AI1146" s="277"/>
    </row>
    <row r="1147" spans="16:35" s="185" customFormat="1">
      <c r="P1147" s="277"/>
      <c r="Q1147" s="277"/>
      <c r="R1147" s="277"/>
      <c r="S1147" s="291">
        <v>42693</v>
      </c>
      <c r="T1147" s="279">
        <v>1054</v>
      </c>
      <c r="U1147" s="277"/>
      <c r="V1147" s="277"/>
      <c r="W1147" s="277"/>
      <c r="X1147" s="277"/>
      <c r="Y1147" s="277"/>
      <c r="Z1147" s="277"/>
      <c r="AA1147" s="277"/>
      <c r="AB1147" s="277"/>
      <c r="AC1147" s="277"/>
      <c r="AD1147" s="277"/>
      <c r="AE1147" s="277"/>
      <c r="AF1147" s="277"/>
      <c r="AG1147" s="277"/>
      <c r="AH1147" s="277"/>
      <c r="AI1147" s="277"/>
    </row>
    <row r="1148" spans="16:35" s="185" customFormat="1">
      <c r="P1148" s="277"/>
      <c r="Q1148" s="277"/>
      <c r="R1148" s="277"/>
      <c r="S1148" s="291">
        <v>42694</v>
      </c>
      <c r="T1148" s="279">
        <v>1055</v>
      </c>
      <c r="U1148" s="277"/>
      <c r="V1148" s="277"/>
      <c r="W1148" s="277"/>
      <c r="X1148" s="277"/>
      <c r="Y1148" s="277"/>
      <c r="Z1148" s="277"/>
      <c r="AA1148" s="277"/>
      <c r="AB1148" s="277"/>
      <c r="AC1148" s="277"/>
      <c r="AD1148" s="277"/>
      <c r="AE1148" s="277"/>
      <c r="AF1148" s="277"/>
      <c r="AG1148" s="277"/>
      <c r="AH1148" s="277"/>
      <c r="AI1148" s="277"/>
    </row>
    <row r="1149" spans="16:35" s="185" customFormat="1">
      <c r="P1149" s="277"/>
      <c r="Q1149" s="277"/>
      <c r="R1149" s="277"/>
      <c r="S1149" s="291">
        <v>42695</v>
      </c>
      <c r="T1149" s="279">
        <v>1056</v>
      </c>
      <c r="U1149" s="277"/>
      <c r="V1149" s="277"/>
      <c r="W1149" s="277"/>
      <c r="X1149" s="277"/>
      <c r="Y1149" s="277"/>
      <c r="Z1149" s="277"/>
      <c r="AA1149" s="277"/>
      <c r="AB1149" s="277"/>
      <c r="AC1149" s="277"/>
      <c r="AD1149" s="277"/>
      <c r="AE1149" s="277"/>
      <c r="AF1149" s="277"/>
      <c r="AG1149" s="277"/>
      <c r="AH1149" s="277"/>
      <c r="AI1149" s="277"/>
    </row>
    <row r="1150" spans="16:35" s="185" customFormat="1">
      <c r="P1150" s="277"/>
      <c r="Q1150" s="277"/>
      <c r="R1150" s="277"/>
      <c r="S1150" s="291">
        <v>42696</v>
      </c>
      <c r="T1150" s="279">
        <v>1057</v>
      </c>
      <c r="U1150" s="277"/>
      <c r="V1150" s="277"/>
      <c r="W1150" s="277"/>
      <c r="X1150" s="277"/>
      <c r="Y1150" s="277"/>
      <c r="Z1150" s="277"/>
      <c r="AA1150" s="277"/>
      <c r="AB1150" s="277"/>
      <c r="AC1150" s="277"/>
      <c r="AD1150" s="277"/>
      <c r="AE1150" s="277"/>
      <c r="AF1150" s="277"/>
      <c r="AG1150" s="277"/>
      <c r="AH1150" s="277"/>
      <c r="AI1150" s="277"/>
    </row>
    <row r="1151" spans="16:35" s="185" customFormat="1">
      <c r="P1151" s="277"/>
      <c r="Q1151" s="277"/>
      <c r="R1151" s="277"/>
      <c r="S1151" s="291">
        <v>42697</v>
      </c>
      <c r="T1151" s="279">
        <v>1058</v>
      </c>
      <c r="U1151" s="277"/>
      <c r="V1151" s="277"/>
      <c r="W1151" s="277"/>
      <c r="X1151" s="277"/>
      <c r="Y1151" s="277"/>
      <c r="Z1151" s="277"/>
      <c r="AA1151" s="277"/>
      <c r="AB1151" s="277"/>
      <c r="AC1151" s="277"/>
      <c r="AD1151" s="277"/>
      <c r="AE1151" s="277"/>
      <c r="AF1151" s="277"/>
      <c r="AG1151" s="277"/>
      <c r="AH1151" s="277"/>
      <c r="AI1151" s="277"/>
    </row>
    <row r="1152" spans="16:35" s="185" customFormat="1">
      <c r="P1152" s="277"/>
      <c r="Q1152" s="277"/>
      <c r="R1152" s="277"/>
      <c r="S1152" s="291">
        <v>42698</v>
      </c>
      <c r="T1152" s="279">
        <v>1059</v>
      </c>
      <c r="U1152" s="277"/>
      <c r="V1152" s="277"/>
      <c r="W1152" s="277"/>
      <c r="X1152" s="277"/>
      <c r="Y1152" s="277"/>
      <c r="Z1152" s="277"/>
      <c r="AA1152" s="277"/>
      <c r="AB1152" s="277"/>
      <c r="AC1152" s="277"/>
      <c r="AD1152" s="277"/>
      <c r="AE1152" s="277"/>
      <c r="AF1152" s="277"/>
      <c r="AG1152" s="277"/>
      <c r="AH1152" s="277"/>
      <c r="AI1152" s="277"/>
    </row>
    <row r="1153" spans="16:35" s="185" customFormat="1">
      <c r="P1153" s="277"/>
      <c r="Q1153" s="277"/>
      <c r="R1153" s="277"/>
      <c r="S1153" s="291">
        <v>42699</v>
      </c>
      <c r="T1153" s="279">
        <v>1060</v>
      </c>
      <c r="U1153" s="277"/>
      <c r="V1153" s="277"/>
      <c r="W1153" s="277"/>
      <c r="X1153" s="277"/>
      <c r="Y1153" s="277"/>
      <c r="Z1153" s="277"/>
      <c r="AA1153" s="277"/>
      <c r="AB1153" s="277"/>
      <c r="AC1153" s="277"/>
      <c r="AD1153" s="277"/>
      <c r="AE1153" s="277"/>
      <c r="AF1153" s="277"/>
      <c r="AG1153" s="277"/>
      <c r="AH1153" s="277"/>
      <c r="AI1153" s="277"/>
    </row>
    <row r="1154" spans="16:35" s="185" customFormat="1">
      <c r="P1154" s="277"/>
      <c r="Q1154" s="277"/>
      <c r="R1154" s="277"/>
      <c r="S1154" s="291">
        <v>42700</v>
      </c>
      <c r="T1154" s="279">
        <v>1061</v>
      </c>
      <c r="U1154" s="277"/>
      <c r="V1154" s="277"/>
      <c r="W1154" s="277"/>
      <c r="X1154" s="277"/>
      <c r="Y1154" s="277"/>
      <c r="Z1154" s="277"/>
      <c r="AA1154" s="277"/>
      <c r="AB1154" s="277"/>
      <c r="AC1154" s="277"/>
      <c r="AD1154" s="277"/>
      <c r="AE1154" s="277"/>
      <c r="AF1154" s="277"/>
      <c r="AG1154" s="277"/>
      <c r="AH1154" s="277"/>
      <c r="AI1154" s="277"/>
    </row>
    <row r="1155" spans="16:35" s="185" customFormat="1">
      <c r="P1155" s="277"/>
      <c r="Q1155" s="277"/>
      <c r="R1155" s="277"/>
      <c r="S1155" s="291">
        <v>42701</v>
      </c>
      <c r="T1155" s="279">
        <v>1062</v>
      </c>
      <c r="U1155" s="277"/>
      <c r="V1155" s="277"/>
      <c r="W1155" s="277"/>
      <c r="X1155" s="277"/>
      <c r="Y1155" s="277"/>
      <c r="Z1155" s="277"/>
      <c r="AA1155" s="277"/>
      <c r="AB1155" s="277"/>
      <c r="AC1155" s="277"/>
      <c r="AD1155" s="277"/>
      <c r="AE1155" s="277"/>
      <c r="AF1155" s="277"/>
      <c r="AG1155" s="277"/>
      <c r="AH1155" s="277"/>
      <c r="AI1155" s="277"/>
    </row>
    <row r="1156" spans="16:35" s="185" customFormat="1">
      <c r="P1156" s="277"/>
      <c r="Q1156" s="277"/>
      <c r="R1156" s="277"/>
      <c r="S1156" s="291">
        <v>42702</v>
      </c>
      <c r="T1156" s="279">
        <v>1063</v>
      </c>
      <c r="U1156" s="277"/>
      <c r="V1156" s="277"/>
      <c r="W1156" s="277"/>
      <c r="X1156" s="277"/>
      <c r="Y1156" s="277"/>
      <c r="Z1156" s="277"/>
      <c r="AA1156" s="277"/>
      <c r="AB1156" s="277"/>
      <c r="AC1156" s="277"/>
      <c r="AD1156" s="277"/>
      <c r="AE1156" s="277"/>
      <c r="AF1156" s="277"/>
      <c r="AG1156" s="277"/>
      <c r="AH1156" s="277"/>
      <c r="AI1156" s="277"/>
    </row>
    <row r="1157" spans="16:35" s="185" customFormat="1">
      <c r="P1157" s="277"/>
      <c r="Q1157" s="277"/>
      <c r="R1157" s="277"/>
      <c r="S1157" s="291">
        <v>42703</v>
      </c>
      <c r="T1157" s="279">
        <v>1064</v>
      </c>
      <c r="U1157" s="277"/>
      <c r="V1157" s="277"/>
      <c r="W1157" s="277"/>
      <c r="X1157" s="277"/>
      <c r="Y1157" s="277"/>
      <c r="Z1157" s="277"/>
      <c r="AA1157" s="277"/>
      <c r="AB1157" s="277"/>
      <c r="AC1157" s="277"/>
      <c r="AD1157" s="277"/>
      <c r="AE1157" s="277"/>
      <c r="AF1157" s="277"/>
      <c r="AG1157" s="277"/>
      <c r="AH1157" s="277"/>
      <c r="AI1157" s="277"/>
    </row>
    <row r="1158" spans="16:35" s="185" customFormat="1">
      <c r="P1158" s="277"/>
      <c r="Q1158" s="277"/>
      <c r="R1158" s="277"/>
      <c r="S1158" s="291">
        <v>42704</v>
      </c>
      <c r="T1158" s="279">
        <v>1065</v>
      </c>
      <c r="U1158" s="277"/>
      <c r="V1158" s="277"/>
      <c r="W1158" s="277"/>
      <c r="X1158" s="277"/>
      <c r="Y1158" s="277"/>
      <c r="Z1158" s="277"/>
      <c r="AA1158" s="277"/>
      <c r="AB1158" s="277"/>
      <c r="AC1158" s="277"/>
      <c r="AD1158" s="277"/>
      <c r="AE1158" s="277"/>
      <c r="AF1158" s="277"/>
      <c r="AG1158" s="277"/>
      <c r="AH1158" s="277"/>
      <c r="AI1158" s="277"/>
    </row>
    <row r="1159" spans="16:35" s="185" customFormat="1">
      <c r="P1159" s="277"/>
      <c r="Q1159" s="277"/>
      <c r="R1159" s="277"/>
      <c r="S1159" s="291">
        <v>42705</v>
      </c>
      <c r="T1159" s="279">
        <v>1066</v>
      </c>
      <c r="U1159" s="277"/>
      <c r="V1159" s="277"/>
      <c r="W1159" s="277"/>
      <c r="X1159" s="277"/>
      <c r="Y1159" s="277"/>
      <c r="Z1159" s="277"/>
      <c r="AA1159" s="277"/>
      <c r="AB1159" s="277"/>
      <c r="AC1159" s="277"/>
      <c r="AD1159" s="277"/>
      <c r="AE1159" s="277"/>
      <c r="AF1159" s="277"/>
      <c r="AG1159" s="277"/>
      <c r="AH1159" s="277"/>
      <c r="AI1159" s="277"/>
    </row>
    <row r="1160" spans="16:35" s="185" customFormat="1">
      <c r="P1160" s="277"/>
      <c r="Q1160" s="277"/>
      <c r="R1160" s="277"/>
      <c r="S1160" s="291">
        <v>42706</v>
      </c>
      <c r="T1160" s="279">
        <v>1067</v>
      </c>
      <c r="U1160" s="277"/>
      <c r="V1160" s="277"/>
      <c r="W1160" s="277"/>
      <c r="X1160" s="277"/>
      <c r="Y1160" s="277"/>
      <c r="Z1160" s="277"/>
      <c r="AA1160" s="277"/>
      <c r="AB1160" s="277"/>
      <c r="AC1160" s="277"/>
      <c r="AD1160" s="277"/>
      <c r="AE1160" s="277"/>
      <c r="AF1160" s="277"/>
      <c r="AG1160" s="277"/>
      <c r="AH1160" s="277"/>
      <c r="AI1160" s="277"/>
    </row>
    <row r="1161" spans="16:35" s="185" customFormat="1">
      <c r="P1161" s="277"/>
      <c r="Q1161" s="277"/>
      <c r="R1161" s="277"/>
      <c r="S1161" s="291">
        <v>42707</v>
      </c>
      <c r="T1161" s="279">
        <v>1068</v>
      </c>
      <c r="U1161" s="277"/>
      <c r="V1161" s="277"/>
      <c r="W1161" s="277"/>
      <c r="X1161" s="277"/>
      <c r="Y1161" s="277"/>
      <c r="Z1161" s="277"/>
      <c r="AA1161" s="277"/>
      <c r="AB1161" s="277"/>
      <c r="AC1161" s="277"/>
      <c r="AD1161" s="277"/>
      <c r="AE1161" s="277"/>
      <c r="AF1161" s="277"/>
      <c r="AG1161" s="277"/>
      <c r="AH1161" s="277"/>
      <c r="AI1161" s="277"/>
    </row>
    <row r="1162" spans="16:35" s="185" customFormat="1">
      <c r="P1162" s="277"/>
      <c r="Q1162" s="277"/>
      <c r="R1162" s="277"/>
      <c r="S1162" s="291">
        <v>42708</v>
      </c>
      <c r="T1162" s="279">
        <v>1069</v>
      </c>
      <c r="U1162" s="277"/>
      <c r="V1162" s="277"/>
      <c r="W1162" s="277"/>
      <c r="X1162" s="277"/>
      <c r="Y1162" s="277"/>
      <c r="Z1162" s="277"/>
      <c r="AA1162" s="277"/>
      <c r="AB1162" s="277"/>
      <c r="AC1162" s="277"/>
      <c r="AD1162" s="277"/>
      <c r="AE1162" s="277"/>
      <c r="AF1162" s="277"/>
      <c r="AG1162" s="277"/>
      <c r="AH1162" s="277"/>
      <c r="AI1162" s="277"/>
    </row>
    <row r="1163" spans="16:35" s="185" customFormat="1">
      <c r="P1163" s="277"/>
      <c r="Q1163" s="277"/>
      <c r="R1163" s="277"/>
      <c r="S1163" s="291">
        <v>42709</v>
      </c>
      <c r="T1163" s="279">
        <v>1070</v>
      </c>
      <c r="U1163" s="277"/>
      <c r="V1163" s="277"/>
      <c r="W1163" s="277"/>
      <c r="X1163" s="277"/>
      <c r="Y1163" s="277"/>
      <c r="Z1163" s="277"/>
      <c r="AA1163" s="277"/>
      <c r="AB1163" s="277"/>
      <c r="AC1163" s="277"/>
      <c r="AD1163" s="277"/>
      <c r="AE1163" s="277"/>
      <c r="AF1163" s="277"/>
      <c r="AG1163" s="277"/>
      <c r="AH1163" s="277"/>
      <c r="AI1163" s="277"/>
    </row>
    <row r="1164" spans="16:35" s="185" customFormat="1">
      <c r="P1164" s="277"/>
      <c r="Q1164" s="277"/>
      <c r="R1164" s="277"/>
      <c r="S1164" s="291">
        <v>42710</v>
      </c>
      <c r="T1164" s="279">
        <v>1071</v>
      </c>
      <c r="U1164" s="277"/>
      <c r="V1164" s="277"/>
      <c r="W1164" s="277"/>
      <c r="X1164" s="277"/>
      <c r="Y1164" s="277"/>
      <c r="Z1164" s="277"/>
      <c r="AA1164" s="277"/>
      <c r="AB1164" s="277"/>
      <c r="AC1164" s="277"/>
      <c r="AD1164" s="277"/>
      <c r="AE1164" s="277"/>
      <c r="AF1164" s="277"/>
      <c r="AG1164" s="277"/>
      <c r="AH1164" s="277"/>
      <c r="AI1164" s="277"/>
    </row>
    <row r="1165" spans="16:35" s="185" customFormat="1">
      <c r="P1165" s="277"/>
      <c r="Q1165" s="277"/>
      <c r="R1165" s="277"/>
      <c r="S1165" s="291">
        <v>42711</v>
      </c>
      <c r="T1165" s="279">
        <v>1072</v>
      </c>
      <c r="U1165" s="277"/>
      <c r="V1165" s="277"/>
      <c r="W1165" s="277"/>
      <c r="X1165" s="277"/>
      <c r="Y1165" s="277"/>
      <c r="Z1165" s="277"/>
      <c r="AA1165" s="277"/>
      <c r="AB1165" s="277"/>
      <c r="AC1165" s="277"/>
      <c r="AD1165" s="277"/>
      <c r="AE1165" s="277"/>
      <c r="AF1165" s="277"/>
      <c r="AG1165" s="277"/>
      <c r="AH1165" s="277"/>
      <c r="AI1165" s="277"/>
    </row>
    <row r="1166" spans="16:35" s="185" customFormat="1">
      <c r="P1166" s="277"/>
      <c r="Q1166" s="277"/>
      <c r="R1166" s="277"/>
      <c r="S1166" s="291">
        <v>42712</v>
      </c>
      <c r="T1166" s="279">
        <v>1073</v>
      </c>
      <c r="U1166" s="277"/>
      <c r="V1166" s="277"/>
      <c r="W1166" s="277"/>
      <c r="X1166" s="277"/>
      <c r="Y1166" s="277"/>
      <c r="Z1166" s="277"/>
      <c r="AA1166" s="277"/>
      <c r="AB1166" s="277"/>
      <c r="AC1166" s="277"/>
      <c r="AD1166" s="277"/>
      <c r="AE1166" s="277"/>
      <c r="AF1166" s="277"/>
      <c r="AG1166" s="277"/>
      <c r="AH1166" s="277"/>
      <c r="AI1166" s="277"/>
    </row>
    <row r="1167" spans="16:35" s="185" customFormat="1">
      <c r="P1167" s="277"/>
      <c r="Q1167" s="277"/>
      <c r="R1167" s="277"/>
      <c r="S1167" s="291">
        <v>42713</v>
      </c>
      <c r="T1167" s="279">
        <v>1074</v>
      </c>
      <c r="U1167" s="277"/>
      <c r="V1167" s="277"/>
      <c r="W1167" s="277"/>
      <c r="X1167" s="277"/>
      <c r="Y1167" s="277"/>
      <c r="Z1167" s="277"/>
      <c r="AA1167" s="277"/>
      <c r="AB1167" s="277"/>
      <c r="AC1167" s="277"/>
      <c r="AD1167" s="277"/>
      <c r="AE1167" s="277"/>
      <c r="AF1167" s="277"/>
      <c r="AG1167" s="277"/>
      <c r="AH1167" s="277"/>
      <c r="AI1167" s="277"/>
    </row>
    <row r="1168" spans="16:35" s="185" customFormat="1">
      <c r="P1168" s="277"/>
      <c r="Q1168" s="277"/>
      <c r="R1168" s="277"/>
      <c r="S1168" s="291">
        <v>42714</v>
      </c>
      <c r="T1168" s="279">
        <v>1075</v>
      </c>
      <c r="U1168" s="277"/>
      <c r="V1168" s="277"/>
      <c r="W1168" s="277"/>
      <c r="X1168" s="277"/>
      <c r="Y1168" s="277"/>
      <c r="Z1168" s="277"/>
      <c r="AA1168" s="277"/>
      <c r="AB1168" s="277"/>
      <c r="AC1168" s="277"/>
      <c r="AD1168" s="277"/>
      <c r="AE1168" s="277"/>
      <c r="AF1168" s="277"/>
      <c r="AG1168" s="277"/>
      <c r="AH1168" s="277"/>
      <c r="AI1168" s="277"/>
    </row>
    <row r="1169" spans="16:35" s="185" customFormat="1">
      <c r="P1169" s="277"/>
      <c r="Q1169" s="277"/>
      <c r="R1169" s="277"/>
      <c r="S1169" s="291">
        <v>42715</v>
      </c>
      <c r="T1169" s="279">
        <v>1076</v>
      </c>
      <c r="U1169" s="277"/>
      <c r="V1169" s="277"/>
      <c r="W1169" s="277"/>
      <c r="X1169" s="277"/>
      <c r="Y1169" s="277"/>
      <c r="Z1169" s="277"/>
      <c r="AA1169" s="277"/>
      <c r="AB1169" s="277"/>
      <c r="AC1169" s="277"/>
      <c r="AD1169" s="277"/>
      <c r="AE1169" s="277"/>
      <c r="AF1169" s="277"/>
      <c r="AG1169" s="277"/>
      <c r="AH1169" s="277"/>
      <c r="AI1169" s="277"/>
    </row>
    <row r="1170" spans="16:35" s="185" customFormat="1">
      <c r="P1170" s="277"/>
      <c r="Q1170" s="277"/>
      <c r="R1170" s="277"/>
      <c r="S1170" s="291">
        <v>42716</v>
      </c>
      <c r="T1170" s="279">
        <v>1077</v>
      </c>
      <c r="U1170" s="277"/>
      <c r="V1170" s="277"/>
      <c r="W1170" s="277"/>
      <c r="X1170" s="277"/>
      <c r="Y1170" s="277"/>
      <c r="Z1170" s="277"/>
      <c r="AA1170" s="277"/>
      <c r="AB1170" s="277"/>
      <c r="AC1170" s="277"/>
      <c r="AD1170" s="277"/>
      <c r="AE1170" s="277"/>
      <c r="AF1170" s="277"/>
      <c r="AG1170" s="277"/>
      <c r="AH1170" s="277"/>
      <c r="AI1170" s="277"/>
    </row>
    <row r="1171" spans="16:35" s="185" customFormat="1">
      <c r="P1171" s="277"/>
      <c r="Q1171" s="277"/>
      <c r="R1171" s="277"/>
      <c r="S1171" s="291">
        <v>42717</v>
      </c>
      <c r="T1171" s="279">
        <v>1078</v>
      </c>
      <c r="U1171" s="277"/>
      <c r="V1171" s="277"/>
      <c r="W1171" s="277"/>
      <c r="X1171" s="277"/>
      <c r="Y1171" s="277"/>
      <c r="Z1171" s="277"/>
      <c r="AA1171" s="277"/>
      <c r="AB1171" s="277"/>
      <c r="AC1171" s="277"/>
      <c r="AD1171" s="277"/>
      <c r="AE1171" s="277"/>
      <c r="AF1171" s="277"/>
      <c r="AG1171" s="277"/>
      <c r="AH1171" s="277"/>
      <c r="AI1171" s="277"/>
    </row>
    <row r="1172" spans="16:35" s="185" customFormat="1">
      <c r="P1172" s="277"/>
      <c r="Q1172" s="277"/>
      <c r="R1172" s="277"/>
      <c r="S1172" s="291">
        <v>42718</v>
      </c>
      <c r="T1172" s="279">
        <v>1079</v>
      </c>
      <c r="U1172" s="277"/>
      <c r="V1172" s="277"/>
      <c r="W1172" s="277"/>
      <c r="X1172" s="277"/>
      <c r="Y1172" s="277"/>
      <c r="Z1172" s="277"/>
      <c r="AA1172" s="277"/>
      <c r="AB1172" s="277"/>
      <c r="AC1172" s="277"/>
      <c r="AD1172" s="277"/>
      <c r="AE1172" s="277"/>
      <c r="AF1172" s="277"/>
      <c r="AG1172" s="277"/>
      <c r="AH1172" s="277"/>
      <c r="AI1172" s="277"/>
    </row>
    <row r="1173" spans="16:35" s="185" customFormat="1">
      <c r="P1173" s="277"/>
      <c r="Q1173" s="277"/>
      <c r="R1173" s="277"/>
      <c r="S1173" s="291">
        <v>42719</v>
      </c>
      <c r="T1173" s="279">
        <v>1080</v>
      </c>
      <c r="U1173" s="277"/>
      <c r="V1173" s="277"/>
      <c r="W1173" s="277"/>
      <c r="X1173" s="277"/>
      <c r="Y1173" s="277"/>
      <c r="Z1173" s="277"/>
      <c r="AA1173" s="277"/>
      <c r="AB1173" s="277"/>
      <c r="AC1173" s="277"/>
      <c r="AD1173" s="277"/>
      <c r="AE1173" s="277"/>
      <c r="AF1173" s="277"/>
      <c r="AG1173" s="277"/>
      <c r="AH1173" s="277"/>
      <c r="AI1173" s="277"/>
    </row>
    <row r="1174" spans="16:35" s="185" customFormat="1">
      <c r="P1174" s="277"/>
      <c r="Q1174" s="277"/>
      <c r="R1174" s="277"/>
      <c r="S1174" s="291">
        <v>42720</v>
      </c>
      <c r="T1174" s="279">
        <v>1081</v>
      </c>
      <c r="U1174" s="277"/>
      <c r="V1174" s="277"/>
      <c r="W1174" s="277"/>
      <c r="X1174" s="277"/>
      <c r="Y1174" s="277"/>
      <c r="Z1174" s="277"/>
      <c r="AA1174" s="277"/>
      <c r="AB1174" s="277"/>
      <c r="AC1174" s="277"/>
      <c r="AD1174" s="277"/>
      <c r="AE1174" s="277"/>
      <c r="AF1174" s="277"/>
      <c r="AG1174" s="277"/>
      <c r="AH1174" s="277"/>
      <c r="AI1174" s="277"/>
    </row>
    <row r="1175" spans="16:35" s="185" customFormat="1">
      <c r="P1175" s="277"/>
      <c r="Q1175" s="277"/>
      <c r="R1175" s="277"/>
      <c r="S1175" s="291">
        <v>42721</v>
      </c>
      <c r="T1175" s="279">
        <v>1082</v>
      </c>
      <c r="U1175" s="277"/>
      <c r="V1175" s="277"/>
      <c r="W1175" s="277"/>
      <c r="X1175" s="277"/>
      <c r="Y1175" s="277"/>
      <c r="Z1175" s="277"/>
      <c r="AA1175" s="277"/>
      <c r="AB1175" s="277"/>
      <c r="AC1175" s="277"/>
      <c r="AD1175" s="277"/>
      <c r="AE1175" s="277"/>
      <c r="AF1175" s="277"/>
      <c r="AG1175" s="277"/>
      <c r="AH1175" s="277"/>
      <c r="AI1175" s="277"/>
    </row>
    <row r="1176" spans="16:35" s="185" customFormat="1">
      <c r="P1176" s="277"/>
      <c r="Q1176" s="277"/>
      <c r="R1176" s="277"/>
      <c r="S1176" s="291">
        <v>42722</v>
      </c>
      <c r="T1176" s="279">
        <v>1083</v>
      </c>
      <c r="U1176" s="277"/>
      <c r="V1176" s="277"/>
      <c r="W1176" s="277"/>
      <c r="X1176" s="277"/>
      <c r="Y1176" s="277"/>
      <c r="Z1176" s="277"/>
      <c r="AA1176" s="277"/>
      <c r="AB1176" s="277"/>
      <c r="AC1176" s="277"/>
      <c r="AD1176" s="277"/>
      <c r="AE1176" s="277"/>
      <c r="AF1176" s="277"/>
      <c r="AG1176" s="277"/>
      <c r="AH1176" s="277"/>
      <c r="AI1176" s="277"/>
    </row>
    <row r="1177" spans="16:35" s="185" customFormat="1">
      <c r="P1177" s="277"/>
      <c r="Q1177" s="277"/>
      <c r="R1177" s="277"/>
      <c r="S1177" s="291">
        <v>42723</v>
      </c>
      <c r="T1177" s="279">
        <v>1084</v>
      </c>
      <c r="U1177" s="277"/>
      <c r="V1177" s="277"/>
      <c r="W1177" s="277"/>
      <c r="X1177" s="277"/>
      <c r="Y1177" s="277"/>
      <c r="Z1177" s="277"/>
      <c r="AA1177" s="277"/>
      <c r="AB1177" s="277"/>
      <c r="AC1177" s="277"/>
      <c r="AD1177" s="277"/>
      <c r="AE1177" s="277"/>
      <c r="AF1177" s="277"/>
      <c r="AG1177" s="277"/>
      <c r="AH1177" s="277"/>
      <c r="AI1177" s="277"/>
    </row>
    <row r="1178" spans="16:35" s="185" customFormat="1">
      <c r="P1178" s="277"/>
      <c r="Q1178" s="277"/>
      <c r="R1178" s="277"/>
      <c r="S1178" s="291">
        <v>42724</v>
      </c>
      <c r="T1178" s="279">
        <v>1085</v>
      </c>
      <c r="U1178" s="277"/>
      <c r="V1178" s="277"/>
      <c r="W1178" s="277"/>
      <c r="X1178" s="277"/>
      <c r="Y1178" s="277"/>
      <c r="Z1178" s="277"/>
      <c r="AA1178" s="277"/>
      <c r="AB1178" s="277"/>
      <c r="AC1178" s="277"/>
      <c r="AD1178" s="277"/>
      <c r="AE1178" s="277"/>
      <c r="AF1178" s="277"/>
      <c r="AG1178" s="277"/>
      <c r="AH1178" s="277"/>
      <c r="AI1178" s="277"/>
    </row>
    <row r="1179" spans="16:35" s="185" customFormat="1">
      <c r="P1179" s="277"/>
      <c r="Q1179" s="277"/>
      <c r="R1179" s="277"/>
      <c r="S1179" s="291">
        <v>42725</v>
      </c>
      <c r="T1179" s="279">
        <v>1086</v>
      </c>
      <c r="U1179" s="277"/>
      <c r="V1179" s="277"/>
      <c r="W1179" s="277"/>
      <c r="X1179" s="277"/>
      <c r="Y1179" s="277"/>
      <c r="Z1179" s="277"/>
      <c r="AA1179" s="277"/>
      <c r="AB1179" s="277"/>
      <c r="AC1179" s="277"/>
      <c r="AD1179" s="277"/>
      <c r="AE1179" s="277"/>
      <c r="AF1179" s="277"/>
      <c r="AG1179" s="277"/>
      <c r="AH1179" s="277"/>
      <c r="AI1179" s="277"/>
    </row>
    <row r="1180" spans="16:35" s="185" customFormat="1">
      <c r="P1180" s="277"/>
      <c r="Q1180" s="277"/>
      <c r="R1180" s="277"/>
      <c r="S1180" s="291">
        <v>42726</v>
      </c>
      <c r="T1180" s="279">
        <v>1087</v>
      </c>
      <c r="U1180" s="277"/>
      <c r="V1180" s="277"/>
      <c r="W1180" s="277"/>
      <c r="X1180" s="277"/>
      <c r="Y1180" s="277"/>
      <c r="Z1180" s="277"/>
      <c r="AA1180" s="277"/>
      <c r="AB1180" s="277"/>
      <c r="AC1180" s="277"/>
      <c r="AD1180" s="277"/>
      <c r="AE1180" s="277"/>
      <c r="AF1180" s="277"/>
      <c r="AG1180" s="277"/>
      <c r="AH1180" s="277"/>
      <c r="AI1180" s="277"/>
    </row>
    <row r="1181" spans="16:35" s="185" customFormat="1">
      <c r="P1181" s="277"/>
      <c r="Q1181" s="277"/>
      <c r="R1181" s="277"/>
      <c r="S1181" s="291">
        <v>42727</v>
      </c>
      <c r="T1181" s="279">
        <v>1088</v>
      </c>
      <c r="U1181" s="277"/>
      <c r="V1181" s="277"/>
      <c r="W1181" s="277"/>
      <c r="X1181" s="277"/>
      <c r="Y1181" s="277"/>
      <c r="Z1181" s="277"/>
      <c r="AA1181" s="277"/>
      <c r="AB1181" s="277"/>
      <c r="AC1181" s="277"/>
      <c r="AD1181" s="277"/>
      <c r="AE1181" s="277"/>
      <c r="AF1181" s="277"/>
      <c r="AG1181" s="277"/>
      <c r="AH1181" s="277"/>
      <c r="AI1181" s="277"/>
    </row>
    <row r="1182" spans="16:35" s="185" customFormat="1">
      <c r="P1182" s="277"/>
      <c r="Q1182" s="277"/>
      <c r="R1182" s="277"/>
      <c r="S1182" s="291">
        <v>42728</v>
      </c>
      <c r="T1182" s="279">
        <v>1089</v>
      </c>
      <c r="U1182" s="277"/>
      <c r="V1182" s="277"/>
      <c r="W1182" s="277"/>
      <c r="X1182" s="277"/>
      <c r="Y1182" s="277"/>
      <c r="Z1182" s="277"/>
      <c r="AA1182" s="277"/>
      <c r="AB1182" s="277"/>
      <c r="AC1182" s="277"/>
      <c r="AD1182" s="277"/>
      <c r="AE1182" s="277"/>
      <c r="AF1182" s="277"/>
      <c r="AG1182" s="277"/>
      <c r="AH1182" s="277"/>
      <c r="AI1182" s="277"/>
    </row>
    <row r="1183" spans="16:35" s="185" customFormat="1">
      <c r="P1183" s="277"/>
      <c r="Q1183" s="277"/>
      <c r="R1183" s="277"/>
      <c r="S1183" s="291">
        <v>42729</v>
      </c>
      <c r="T1183" s="279">
        <v>1090</v>
      </c>
      <c r="U1183" s="277"/>
      <c r="V1183" s="277"/>
      <c r="W1183" s="277"/>
      <c r="X1183" s="277"/>
      <c r="Y1183" s="277"/>
      <c r="Z1183" s="277"/>
      <c r="AA1183" s="277"/>
      <c r="AB1183" s="277"/>
      <c r="AC1183" s="277"/>
      <c r="AD1183" s="277"/>
      <c r="AE1183" s="277"/>
      <c r="AF1183" s="277"/>
      <c r="AG1183" s="277"/>
      <c r="AH1183" s="277"/>
      <c r="AI1183" s="277"/>
    </row>
    <row r="1184" spans="16:35" s="185" customFormat="1">
      <c r="P1184" s="277"/>
      <c r="Q1184" s="277"/>
      <c r="R1184" s="277"/>
      <c r="S1184" s="291">
        <v>42730</v>
      </c>
      <c r="T1184" s="279">
        <v>1091</v>
      </c>
      <c r="U1184" s="277"/>
      <c r="V1184" s="277"/>
      <c r="W1184" s="277"/>
      <c r="X1184" s="277"/>
      <c r="Y1184" s="277"/>
      <c r="Z1184" s="277"/>
      <c r="AA1184" s="277"/>
      <c r="AB1184" s="277"/>
      <c r="AC1184" s="277"/>
      <c r="AD1184" s="277"/>
      <c r="AE1184" s="277"/>
      <c r="AF1184" s="277"/>
      <c r="AG1184" s="277"/>
      <c r="AH1184" s="277"/>
      <c r="AI1184" s="277"/>
    </row>
    <row r="1185" spans="16:35" s="185" customFormat="1">
      <c r="P1185" s="277"/>
      <c r="Q1185" s="277"/>
      <c r="R1185" s="277"/>
      <c r="S1185" s="291">
        <v>42731</v>
      </c>
      <c r="T1185" s="279">
        <v>1092</v>
      </c>
      <c r="U1185" s="277"/>
      <c r="V1185" s="277"/>
      <c r="W1185" s="277"/>
      <c r="X1185" s="277"/>
      <c r="Y1185" s="277"/>
      <c r="Z1185" s="277"/>
      <c r="AA1185" s="277"/>
      <c r="AB1185" s="277"/>
      <c r="AC1185" s="277"/>
      <c r="AD1185" s="277"/>
      <c r="AE1185" s="277"/>
      <c r="AF1185" s="277"/>
      <c r="AG1185" s="277"/>
      <c r="AH1185" s="277"/>
      <c r="AI1185" s="277"/>
    </row>
    <row r="1186" spans="16:35" s="185" customFormat="1">
      <c r="P1186" s="277"/>
      <c r="Q1186" s="277"/>
      <c r="R1186" s="277"/>
      <c r="S1186" s="291">
        <v>42732</v>
      </c>
      <c r="T1186" s="279">
        <v>1093</v>
      </c>
      <c r="U1186" s="277"/>
      <c r="V1186" s="277"/>
      <c r="W1186" s="277"/>
      <c r="X1186" s="277"/>
      <c r="Y1186" s="277"/>
      <c r="Z1186" s="277"/>
      <c r="AA1186" s="277"/>
      <c r="AB1186" s="277"/>
      <c r="AC1186" s="277"/>
      <c r="AD1186" s="277"/>
      <c r="AE1186" s="277"/>
      <c r="AF1186" s="277"/>
      <c r="AG1186" s="277"/>
      <c r="AH1186" s="277"/>
      <c r="AI1186" s="277"/>
    </row>
    <row r="1187" spans="16:35" s="185" customFormat="1">
      <c r="P1187" s="277"/>
      <c r="Q1187" s="277"/>
      <c r="R1187" s="277"/>
      <c r="S1187" s="291">
        <v>42733</v>
      </c>
      <c r="T1187" s="279">
        <v>1094</v>
      </c>
      <c r="U1187" s="277"/>
      <c r="V1187" s="277"/>
      <c r="W1187" s="277"/>
      <c r="X1187" s="277"/>
      <c r="Y1187" s="277"/>
      <c r="Z1187" s="277"/>
      <c r="AA1187" s="277"/>
      <c r="AB1187" s="277"/>
      <c r="AC1187" s="277"/>
      <c r="AD1187" s="277"/>
      <c r="AE1187" s="277"/>
      <c r="AF1187" s="277"/>
      <c r="AG1187" s="277"/>
      <c r="AH1187" s="277"/>
      <c r="AI1187" s="277"/>
    </row>
    <row r="1188" spans="16:35" s="185" customFormat="1">
      <c r="P1188" s="277"/>
      <c r="Q1188" s="277"/>
      <c r="R1188" s="277"/>
      <c r="S1188" s="291">
        <v>42734</v>
      </c>
      <c r="T1188" s="279">
        <v>1095</v>
      </c>
      <c r="U1188" s="277"/>
      <c r="V1188" s="277"/>
      <c r="W1188" s="277"/>
      <c r="X1188" s="277"/>
      <c r="Y1188" s="277"/>
      <c r="Z1188" s="277"/>
      <c r="AA1188" s="277"/>
      <c r="AB1188" s="277"/>
      <c r="AC1188" s="277"/>
      <c r="AD1188" s="277"/>
      <c r="AE1188" s="277"/>
      <c r="AF1188" s="277"/>
      <c r="AG1188" s="277"/>
      <c r="AH1188" s="277"/>
      <c r="AI1188" s="277"/>
    </row>
    <row r="1189" spans="16:35" s="185" customFormat="1">
      <c r="P1189" s="277"/>
      <c r="Q1189" s="277"/>
      <c r="R1189" s="277"/>
      <c r="S1189" s="291">
        <v>42735</v>
      </c>
      <c r="T1189" s="279">
        <v>1096</v>
      </c>
      <c r="U1189" s="277"/>
      <c r="V1189" s="277"/>
      <c r="W1189" s="277"/>
      <c r="X1189" s="277"/>
      <c r="Y1189" s="277"/>
      <c r="Z1189" s="277"/>
      <c r="AA1189" s="277"/>
      <c r="AB1189" s="277"/>
      <c r="AC1189" s="277"/>
      <c r="AD1189" s="277"/>
      <c r="AE1189" s="277"/>
      <c r="AF1189" s="277"/>
      <c r="AG1189" s="277"/>
      <c r="AH1189" s="277"/>
      <c r="AI1189" s="277"/>
    </row>
    <row r="1190" spans="16:35" s="185" customFormat="1">
      <c r="P1190" s="277"/>
      <c r="Q1190" s="277"/>
      <c r="R1190" s="277"/>
      <c r="S1190" s="291">
        <v>42736</v>
      </c>
      <c r="T1190" s="279">
        <v>1097</v>
      </c>
      <c r="U1190" s="277"/>
      <c r="V1190" s="277"/>
      <c r="W1190" s="277"/>
      <c r="X1190" s="277"/>
      <c r="Y1190" s="277"/>
      <c r="Z1190" s="277"/>
      <c r="AA1190" s="277"/>
      <c r="AB1190" s="277"/>
      <c r="AC1190" s="277"/>
      <c r="AD1190" s="277"/>
      <c r="AE1190" s="277"/>
      <c r="AF1190" s="277"/>
      <c r="AG1190" s="277"/>
      <c r="AH1190" s="277"/>
      <c r="AI1190" s="277"/>
    </row>
    <row r="1191" spans="16:35" s="185" customFormat="1">
      <c r="P1191" s="277"/>
      <c r="Q1191" s="277"/>
      <c r="R1191" s="277"/>
      <c r="S1191" s="291">
        <v>42737</v>
      </c>
      <c r="T1191" s="279">
        <v>1098</v>
      </c>
      <c r="U1191" s="277"/>
      <c r="V1191" s="277"/>
      <c r="W1191" s="277"/>
      <c r="X1191" s="277"/>
      <c r="Y1191" s="277"/>
      <c r="Z1191" s="277"/>
      <c r="AA1191" s="277"/>
      <c r="AB1191" s="277"/>
      <c r="AC1191" s="277"/>
      <c r="AD1191" s="277"/>
      <c r="AE1191" s="277"/>
      <c r="AF1191" s="277"/>
      <c r="AG1191" s="277"/>
      <c r="AH1191" s="277"/>
      <c r="AI1191" s="277"/>
    </row>
    <row r="1192" spans="16:35" s="185" customFormat="1">
      <c r="P1192" s="277"/>
      <c r="Q1192" s="277"/>
      <c r="R1192" s="277"/>
      <c r="S1192" s="291">
        <v>42738</v>
      </c>
      <c r="T1192" s="279">
        <v>1099</v>
      </c>
      <c r="U1192" s="277"/>
      <c r="V1192" s="277"/>
      <c r="W1192" s="277"/>
      <c r="X1192" s="277"/>
      <c r="Y1192" s="277"/>
      <c r="Z1192" s="277"/>
      <c r="AA1192" s="277"/>
      <c r="AB1192" s="277"/>
      <c r="AC1192" s="277"/>
      <c r="AD1192" s="277"/>
      <c r="AE1192" s="277"/>
      <c r="AF1192" s="277"/>
      <c r="AG1192" s="277"/>
      <c r="AH1192" s="277"/>
      <c r="AI1192" s="277"/>
    </row>
    <row r="1193" spans="16:35" s="185" customFormat="1">
      <c r="P1193" s="277"/>
      <c r="Q1193" s="277"/>
      <c r="R1193" s="277"/>
      <c r="S1193" s="291">
        <v>42739</v>
      </c>
      <c r="T1193" s="279">
        <v>1100</v>
      </c>
      <c r="U1193" s="277"/>
      <c r="V1193" s="277"/>
      <c r="W1193" s="277"/>
      <c r="X1193" s="277"/>
      <c r="Y1193" s="277"/>
      <c r="Z1193" s="277"/>
      <c r="AA1193" s="277"/>
      <c r="AB1193" s="277"/>
      <c r="AC1193" s="277"/>
      <c r="AD1193" s="277"/>
      <c r="AE1193" s="277"/>
      <c r="AF1193" s="277"/>
      <c r="AG1193" s="277"/>
      <c r="AH1193" s="277"/>
      <c r="AI1193" s="277"/>
    </row>
    <row r="1194" spans="16:35" s="185" customFormat="1">
      <c r="P1194" s="277"/>
      <c r="Q1194" s="277"/>
      <c r="R1194" s="277"/>
      <c r="S1194" s="291">
        <v>42740</v>
      </c>
      <c r="T1194" s="279">
        <v>1101</v>
      </c>
      <c r="U1194" s="277"/>
      <c r="V1194" s="277"/>
      <c r="W1194" s="277"/>
      <c r="X1194" s="277"/>
      <c r="Y1194" s="277"/>
      <c r="Z1194" s="277"/>
      <c r="AA1194" s="277"/>
      <c r="AB1194" s="277"/>
      <c r="AC1194" s="277"/>
      <c r="AD1194" s="277"/>
      <c r="AE1194" s="277"/>
      <c r="AF1194" s="277"/>
      <c r="AG1194" s="277"/>
      <c r="AH1194" s="277"/>
      <c r="AI1194" s="277"/>
    </row>
    <row r="1195" spans="16:35" s="185" customFormat="1">
      <c r="P1195" s="277"/>
      <c r="Q1195" s="277"/>
      <c r="R1195" s="277"/>
      <c r="S1195" s="291">
        <v>42741</v>
      </c>
      <c r="T1195" s="279">
        <v>1102</v>
      </c>
      <c r="U1195" s="277"/>
      <c r="V1195" s="277"/>
      <c r="W1195" s="277"/>
      <c r="X1195" s="277"/>
      <c r="Y1195" s="277"/>
      <c r="Z1195" s="277"/>
      <c r="AA1195" s="277"/>
      <c r="AB1195" s="277"/>
      <c r="AC1195" s="277"/>
      <c r="AD1195" s="277"/>
      <c r="AE1195" s="277"/>
      <c r="AF1195" s="277"/>
      <c r="AG1195" s="277"/>
      <c r="AH1195" s="277"/>
      <c r="AI1195" s="277"/>
    </row>
    <row r="1196" spans="16:35" s="185" customFormat="1">
      <c r="P1196" s="277"/>
      <c r="Q1196" s="277"/>
      <c r="R1196" s="277"/>
      <c r="S1196" s="291">
        <v>42742</v>
      </c>
      <c r="T1196" s="279">
        <v>1103</v>
      </c>
      <c r="U1196" s="277"/>
      <c r="V1196" s="277"/>
      <c r="W1196" s="277"/>
      <c r="X1196" s="277"/>
      <c r="Y1196" s="277"/>
      <c r="Z1196" s="277"/>
      <c r="AA1196" s="277"/>
      <c r="AB1196" s="277"/>
      <c r="AC1196" s="277"/>
      <c r="AD1196" s="277"/>
      <c r="AE1196" s="277"/>
      <c r="AF1196" s="277"/>
      <c r="AG1196" s="277"/>
      <c r="AH1196" s="277"/>
      <c r="AI1196" s="277"/>
    </row>
    <row r="1197" spans="16:35" s="185" customFormat="1">
      <c r="P1197" s="277"/>
      <c r="Q1197" s="277"/>
      <c r="R1197" s="277"/>
      <c r="S1197" s="291">
        <v>42743</v>
      </c>
      <c r="T1197" s="279">
        <v>1104</v>
      </c>
      <c r="U1197" s="277"/>
      <c r="V1197" s="277"/>
      <c r="W1197" s="277"/>
      <c r="X1197" s="277"/>
      <c r="Y1197" s="277"/>
      <c r="Z1197" s="277"/>
      <c r="AA1197" s="277"/>
      <c r="AB1197" s="277"/>
      <c r="AC1197" s="277"/>
      <c r="AD1197" s="277"/>
      <c r="AE1197" s="277"/>
      <c r="AF1197" s="277"/>
      <c r="AG1197" s="277"/>
      <c r="AH1197" s="277"/>
      <c r="AI1197" s="277"/>
    </row>
    <row r="1198" spans="16:35" s="185" customFormat="1">
      <c r="P1198" s="277"/>
      <c r="Q1198" s="277"/>
      <c r="R1198" s="277"/>
      <c r="S1198" s="291">
        <v>42744</v>
      </c>
      <c r="T1198" s="279">
        <v>1105</v>
      </c>
      <c r="U1198" s="277"/>
      <c r="V1198" s="277"/>
      <c r="W1198" s="277"/>
      <c r="X1198" s="277"/>
      <c r="Y1198" s="277"/>
      <c r="Z1198" s="277"/>
      <c r="AA1198" s="277"/>
      <c r="AB1198" s="277"/>
      <c r="AC1198" s="277"/>
      <c r="AD1198" s="277"/>
      <c r="AE1198" s="277"/>
      <c r="AF1198" s="277"/>
      <c r="AG1198" s="277"/>
      <c r="AH1198" s="277"/>
      <c r="AI1198" s="277"/>
    </row>
    <row r="1199" spans="16:35" s="185" customFormat="1">
      <c r="P1199" s="277"/>
      <c r="Q1199" s="277"/>
      <c r="R1199" s="277"/>
      <c r="S1199" s="291">
        <v>42745</v>
      </c>
      <c r="T1199" s="279">
        <v>1106</v>
      </c>
      <c r="U1199" s="277"/>
      <c r="V1199" s="277"/>
      <c r="W1199" s="277"/>
      <c r="X1199" s="277"/>
      <c r="Y1199" s="277"/>
      <c r="Z1199" s="277"/>
      <c r="AA1199" s="277"/>
      <c r="AB1199" s="277"/>
      <c r="AC1199" s="277"/>
      <c r="AD1199" s="277"/>
      <c r="AE1199" s="277"/>
      <c r="AF1199" s="277"/>
      <c r="AG1199" s="277"/>
      <c r="AH1199" s="277"/>
      <c r="AI1199" s="277"/>
    </row>
    <row r="1200" spans="16:35" s="185" customFormat="1">
      <c r="P1200" s="277"/>
      <c r="Q1200" s="277"/>
      <c r="R1200" s="277"/>
      <c r="S1200" s="291">
        <v>42746</v>
      </c>
      <c r="T1200" s="279">
        <v>1107</v>
      </c>
      <c r="U1200" s="277"/>
      <c r="V1200" s="277"/>
      <c r="W1200" s="277"/>
      <c r="X1200" s="277"/>
      <c r="Y1200" s="277"/>
      <c r="Z1200" s="277"/>
      <c r="AA1200" s="277"/>
      <c r="AB1200" s="277"/>
      <c r="AC1200" s="277"/>
      <c r="AD1200" s="277"/>
      <c r="AE1200" s="277"/>
      <c r="AF1200" s="277"/>
      <c r="AG1200" s="277"/>
      <c r="AH1200" s="277"/>
      <c r="AI1200" s="277"/>
    </row>
    <row r="1201" spans="16:35" s="185" customFormat="1">
      <c r="P1201" s="277"/>
      <c r="Q1201" s="277"/>
      <c r="R1201" s="277"/>
      <c r="S1201" s="291">
        <v>42747</v>
      </c>
      <c r="T1201" s="279">
        <v>1108</v>
      </c>
      <c r="U1201" s="277"/>
      <c r="V1201" s="277"/>
      <c r="W1201" s="277"/>
      <c r="X1201" s="277"/>
      <c r="Y1201" s="277"/>
      <c r="Z1201" s="277"/>
      <c r="AA1201" s="277"/>
      <c r="AB1201" s="277"/>
      <c r="AC1201" s="277"/>
      <c r="AD1201" s="277"/>
      <c r="AE1201" s="277"/>
      <c r="AF1201" s="277"/>
      <c r="AG1201" s="277"/>
      <c r="AH1201" s="277"/>
      <c r="AI1201" s="277"/>
    </row>
    <row r="1202" spans="16:35" s="185" customFormat="1">
      <c r="P1202" s="277"/>
      <c r="Q1202" s="277"/>
      <c r="R1202" s="277"/>
      <c r="S1202" s="291">
        <v>42748</v>
      </c>
      <c r="T1202" s="279">
        <v>1109</v>
      </c>
      <c r="U1202" s="277"/>
      <c r="V1202" s="277"/>
      <c r="W1202" s="277"/>
      <c r="X1202" s="277"/>
      <c r="Y1202" s="277"/>
      <c r="Z1202" s="277"/>
      <c r="AA1202" s="277"/>
      <c r="AB1202" s="277"/>
      <c r="AC1202" s="277"/>
      <c r="AD1202" s="277"/>
      <c r="AE1202" s="277"/>
      <c r="AF1202" s="277"/>
      <c r="AG1202" s="277"/>
      <c r="AH1202" s="277"/>
      <c r="AI1202" s="277"/>
    </row>
    <row r="1203" spans="16:35" s="185" customFormat="1">
      <c r="P1203" s="277"/>
      <c r="Q1203" s="277"/>
      <c r="R1203" s="277"/>
      <c r="S1203" s="291">
        <v>42749</v>
      </c>
      <c r="T1203" s="279">
        <v>1110</v>
      </c>
      <c r="U1203" s="277"/>
      <c r="V1203" s="277"/>
      <c r="W1203" s="277"/>
      <c r="X1203" s="277"/>
      <c r="Y1203" s="277"/>
      <c r="Z1203" s="277"/>
      <c r="AA1203" s="277"/>
      <c r="AB1203" s="277"/>
      <c r="AC1203" s="277"/>
      <c r="AD1203" s="277"/>
      <c r="AE1203" s="277"/>
      <c r="AF1203" s="277"/>
      <c r="AG1203" s="277"/>
      <c r="AH1203" s="277"/>
      <c r="AI1203" s="277"/>
    </row>
    <row r="1204" spans="16:35" s="185" customFormat="1">
      <c r="P1204" s="277"/>
      <c r="Q1204" s="277"/>
      <c r="R1204" s="277"/>
      <c r="S1204" s="291">
        <v>42750</v>
      </c>
      <c r="T1204" s="279">
        <v>1111</v>
      </c>
      <c r="U1204" s="277"/>
      <c r="V1204" s="277"/>
      <c r="W1204" s="277"/>
      <c r="X1204" s="277"/>
      <c r="Y1204" s="277"/>
      <c r="Z1204" s="277"/>
      <c r="AA1204" s="277"/>
      <c r="AB1204" s="277"/>
      <c r="AC1204" s="277"/>
      <c r="AD1204" s="277"/>
      <c r="AE1204" s="277"/>
      <c r="AF1204" s="277"/>
      <c r="AG1204" s="277"/>
      <c r="AH1204" s="277"/>
      <c r="AI1204" s="277"/>
    </row>
    <row r="1205" spans="16:35" s="185" customFormat="1">
      <c r="P1205" s="277"/>
      <c r="Q1205" s="277"/>
      <c r="R1205" s="277"/>
      <c r="S1205" s="291">
        <v>42751</v>
      </c>
      <c r="T1205" s="279">
        <v>1112</v>
      </c>
      <c r="U1205" s="277"/>
      <c r="V1205" s="277"/>
      <c r="W1205" s="277"/>
      <c r="X1205" s="277"/>
      <c r="Y1205" s="277"/>
      <c r="Z1205" s="277"/>
      <c r="AA1205" s="277"/>
      <c r="AB1205" s="277"/>
      <c r="AC1205" s="277"/>
      <c r="AD1205" s="277"/>
      <c r="AE1205" s="277"/>
      <c r="AF1205" s="277"/>
      <c r="AG1205" s="277"/>
      <c r="AH1205" s="277"/>
      <c r="AI1205" s="277"/>
    </row>
    <row r="1206" spans="16:35" s="185" customFormat="1">
      <c r="P1206" s="277"/>
      <c r="Q1206" s="277"/>
      <c r="R1206" s="277"/>
      <c r="S1206" s="291">
        <v>42752</v>
      </c>
      <c r="T1206" s="279">
        <v>1113</v>
      </c>
      <c r="U1206" s="277"/>
      <c r="V1206" s="277"/>
      <c r="W1206" s="277"/>
      <c r="X1206" s="277"/>
      <c r="Y1206" s="277"/>
      <c r="Z1206" s="277"/>
      <c r="AA1206" s="277"/>
      <c r="AB1206" s="277"/>
      <c r="AC1206" s="277"/>
      <c r="AD1206" s="277"/>
      <c r="AE1206" s="277"/>
      <c r="AF1206" s="277"/>
      <c r="AG1206" s="277"/>
      <c r="AH1206" s="277"/>
      <c r="AI1206" s="277"/>
    </row>
    <row r="1207" spans="16:35" s="185" customFormat="1">
      <c r="P1207" s="277"/>
      <c r="Q1207" s="277"/>
      <c r="R1207" s="277"/>
      <c r="S1207" s="291">
        <v>42753</v>
      </c>
      <c r="T1207" s="279">
        <v>1114</v>
      </c>
      <c r="U1207" s="277"/>
      <c r="V1207" s="277"/>
      <c r="W1207" s="277"/>
      <c r="X1207" s="277"/>
      <c r="Y1207" s="277"/>
      <c r="Z1207" s="277"/>
      <c r="AA1207" s="277"/>
      <c r="AB1207" s="277"/>
      <c r="AC1207" s="277"/>
      <c r="AD1207" s="277"/>
      <c r="AE1207" s="277"/>
      <c r="AF1207" s="277"/>
      <c r="AG1207" s="277"/>
      <c r="AH1207" s="277"/>
      <c r="AI1207" s="277"/>
    </row>
    <row r="1208" spans="16:35" s="185" customFormat="1">
      <c r="P1208" s="277"/>
      <c r="Q1208" s="277"/>
      <c r="R1208" s="277"/>
      <c r="S1208" s="291">
        <v>42754</v>
      </c>
      <c r="T1208" s="279">
        <v>1115</v>
      </c>
      <c r="U1208" s="277"/>
      <c r="V1208" s="277"/>
      <c r="W1208" s="277"/>
      <c r="X1208" s="277"/>
      <c r="Y1208" s="277"/>
      <c r="Z1208" s="277"/>
      <c r="AA1208" s="277"/>
      <c r="AB1208" s="277"/>
      <c r="AC1208" s="277"/>
      <c r="AD1208" s="277"/>
      <c r="AE1208" s="277"/>
      <c r="AF1208" s="277"/>
      <c r="AG1208" s="277"/>
      <c r="AH1208" s="277"/>
      <c r="AI1208" s="277"/>
    </row>
    <row r="1209" spans="16:35" s="185" customFormat="1">
      <c r="P1209" s="277"/>
      <c r="Q1209" s="277"/>
      <c r="R1209" s="277"/>
      <c r="S1209" s="291">
        <v>42755</v>
      </c>
      <c r="T1209" s="279">
        <v>1116</v>
      </c>
      <c r="U1209" s="277"/>
      <c r="V1209" s="277"/>
      <c r="W1209" s="277"/>
      <c r="X1209" s="277"/>
      <c r="Y1209" s="277"/>
      <c r="Z1209" s="277"/>
      <c r="AA1209" s="277"/>
      <c r="AB1209" s="277"/>
      <c r="AC1209" s="277"/>
      <c r="AD1209" s="277"/>
      <c r="AE1209" s="277"/>
      <c r="AF1209" s="277"/>
      <c r="AG1209" s="277"/>
      <c r="AH1209" s="277"/>
      <c r="AI1209" s="277"/>
    </row>
    <row r="1210" spans="16:35" s="185" customFormat="1">
      <c r="P1210" s="277"/>
      <c r="Q1210" s="277"/>
      <c r="R1210" s="277"/>
      <c r="S1210" s="291">
        <v>42756</v>
      </c>
      <c r="T1210" s="279">
        <v>1117</v>
      </c>
      <c r="U1210" s="277"/>
      <c r="V1210" s="277"/>
      <c r="W1210" s="277"/>
      <c r="X1210" s="277"/>
      <c r="Y1210" s="277"/>
      <c r="Z1210" s="277"/>
      <c r="AA1210" s="277"/>
      <c r="AB1210" s="277"/>
      <c r="AC1210" s="277"/>
      <c r="AD1210" s="277"/>
      <c r="AE1210" s="277"/>
      <c r="AF1210" s="277"/>
      <c r="AG1210" s="277"/>
      <c r="AH1210" s="277"/>
      <c r="AI1210" s="277"/>
    </row>
    <row r="1211" spans="16:35" s="185" customFormat="1">
      <c r="P1211" s="277"/>
      <c r="Q1211" s="277"/>
      <c r="R1211" s="277"/>
      <c r="S1211" s="291">
        <v>42757</v>
      </c>
      <c r="T1211" s="279">
        <v>1118</v>
      </c>
      <c r="U1211" s="277"/>
      <c r="V1211" s="277"/>
      <c r="W1211" s="277"/>
      <c r="X1211" s="277"/>
      <c r="Y1211" s="277"/>
      <c r="Z1211" s="277"/>
      <c r="AA1211" s="277"/>
      <c r="AB1211" s="277"/>
      <c r="AC1211" s="277"/>
      <c r="AD1211" s="277"/>
      <c r="AE1211" s="277"/>
      <c r="AF1211" s="277"/>
      <c r="AG1211" s="277"/>
      <c r="AH1211" s="277"/>
      <c r="AI1211" s="277"/>
    </row>
    <row r="1212" spans="16:35" s="185" customFormat="1">
      <c r="P1212" s="277"/>
      <c r="Q1212" s="277"/>
      <c r="R1212" s="277"/>
      <c r="S1212" s="291">
        <v>42758</v>
      </c>
      <c r="T1212" s="279">
        <v>1119</v>
      </c>
      <c r="U1212" s="277"/>
      <c r="V1212" s="277"/>
      <c r="W1212" s="277"/>
      <c r="X1212" s="277"/>
      <c r="Y1212" s="277"/>
      <c r="Z1212" s="277"/>
      <c r="AA1212" s="277"/>
      <c r="AB1212" s="277"/>
      <c r="AC1212" s="277"/>
      <c r="AD1212" s="277"/>
      <c r="AE1212" s="277"/>
      <c r="AF1212" s="277"/>
      <c r="AG1212" s="277"/>
      <c r="AH1212" s="277"/>
      <c r="AI1212" s="277"/>
    </row>
    <row r="1213" spans="16:35" s="185" customFormat="1">
      <c r="P1213" s="277"/>
      <c r="Q1213" s="277"/>
      <c r="R1213" s="277"/>
      <c r="S1213" s="291">
        <v>42759</v>
      </c>
      <c r="T1213" s="279">
        <v>1120</v>
      </c>
      <c r="U1213" s="277"/>
      <c r="V1213" s="277"/>
      <c r="W1213" s="277"/>
      <c r="X1213" s="277"/>
      <c r="Y1213" s="277"/>
      <c r="Z1213" s="277"/>
      <c r="AA1213" s="277"/>
      <c r="AB1213" s="277"/>
      <c r="AC1213" s="277"/>
      <c r="AD1213" s="277"/>
      <c r="AE1213" s="277"/>
      <c r="AF1213" s="277"/>
      <c r="AG1213" s="277"/>
      <c r="AH1213" s="277"/>
      <c r="AI1213" s="277"/>
    </row>
    <row r="1214" spans="16:35" s="185" customFormat="1">
      <c r="P1214" s="277"/>
      <c r="Q1214" s="277"/>
      <c r="R1214" s="277"/>
      <c r="S1214" s="291">
        <v>42760</v>
      </c>
      <c r="T1214" s="279">
        <v>1121</v>
      </c>
      <c r="U1214" s="277"/>
      <c r="V1214" s="277"/>
      <c r="W1214" s="277"/>
      <c r="X1214" s="277"/>
      <c r="Y1214" s="277"/>
      <c r="Z1214" s="277"/>
      <c r="AA1214" s="277"/>
      <c r="AB1214" s="277"/>
      <c r="AC1214" s="277"/>
      <c r="AD1214" s="277"/>
      <c r="AE1214" s="277"/>
      <c r="AF1214" s="277"/>
      <c r="AG1214" s="277"/>
      <c r="AH1214" s="277"/>
      <c r="AI1214" s="277"/>
    </row>
    <row r="1215" spans="16:35" s="185" customFormat="1">
      <c r="P1215" s="277"/>
      <c r="Q1215" s="277"/>
      <c r="R1215" s="277"/>
      <c r="S1215" s="291">
        <v>42761</v>
      </c>
      <c r="T1215" s="279">
        <v>1122</v>
      </c>
      <c r="U1215" s="277"/>
      <c r="V1215" s="277"/>
      <c r="W1215" s="277"/>
      <c r="X1215" s="277"/>
      <c r="Y1215" s="277"/>
      <c r="Z1215" s="277"/>
      <c r="AA1215" s="277"/>
      <c r="AB1215" s="277"/>
      <c r="AC1215" s="277"/>
      <c r="AD1215" s="277"/>
      <c r="AE1215" s="277"/>
      <c r="AF1215" s="277"/>
      <c r="AG1215" s="277"/>
      <c r="AH1215" s="277"/>
      <c r="AI1215" s="277"/>
    </row>
    <row r="1216" spans="16:35" s="185" customFormat="1">
      <c r="P1216" s="277"/>
      <c r="Q1216" s="277"/>
      <c r="R1216" s="277"/>
      <c r="S1216" s="291">
        <v>42762</v>
      </c>
      <c r="T1216" s="279">
        <v>1123</v>
      </c>
      <c r="U1216" s="277"/>
      <c r="V1216" s="277"/>
      <c r="W1216" s="277"/>
      <c r="X1216" s="277"/>
      <c r="Y1216" s="277"/>
      <c r="Z1216" s="277"/>
      <c r="AA1216" s="277"/>
      <c r="AB1216" s="277"/>
      <c r="AC1216" s="277"/>
      <c r="AD1216" s="277"/>
      <c r="AE1216" s="277"/>
      <c r="AF1216" s="277"/>
      <c r="AG1216" s="277"/>
      <c r="AH1216" s="277"/>
      <c r="AI1216" s="277"/>
    </row>
    <row r="1217" spans="16:35" s="185" customFormat="1">
      <c r="P1217" s="277"/>
      <c r="Q1217" s="277"/>
      <c r="R1217" s="277"/>
      <c r="S1217" s="291">
        <v>42763</v>
      </c>
      <c r="T1217" s="279">
        <v>1124</v>
      </c>
      <c r="U1217" s="277"/>
      <c r="V1217" s="277"/>
      <c r="W1217" s="277"/>
      <c r="X1217" s="277"/>
      <c r="Y1217" s="277"/>
      <c r="Z1217" s="277"/>
      <c r="AA1217" s="277"/>
      <c r="AB1217" s="277"/>
      <c r="AC1217" s="277"/>
      <c r="AD1217" s="277"/>
      <c r="AE1217" s="277"/>
      <c r="AF1217" s="277"/>
      <c r="AG1217" s="277"/>
      <c r="AH1217" s="277"/>
      <c r="AI1217" s="277"/>
    </row>
    <row r="1218" spans="16:35" s="185" customFormat="1">
      <c r="P1218" s="277"/>
      <c r="Q1218" s="277"/>
      <c r="R1218" s="277"/>
      <c r="S1218" s="291">
        <v>42764</v>
      </c>
      <c r="T1218" s="279">
        <v>1125</v>
      </c>
      <c r="U1218" s="277"/>
      <c r="V1218" s="277"/>
      <c r="W1218" s="277"/>
      <c r="X1218" s="277"/>
      <c r="Y1218" s="277"/>
      <c r="Z1218" s="277"/>
      <c r="AA1218" s="277"/>
      <c r="AB1218" s="277"/>
      <c r="AC1218" s="277"/>
      <c r="AD1218" s="277"/>
      <c r="AE1218" s="277"/>
      <c r="AF1218" s="277"/>
      <c r="AG1218" s="277"/>
      <c r="AH1218" s="277"/>
      <c r="AI1218" s="277"/>
    </row>
    <row r="1219" spans="16:35" s="185" customFormat="1">
      <c r="P1219" s="277"/>
      <c r="Q1219" s="277"/>
      <c r="R1219" s="277"/>
      <c r="S1219" s="291">
        <v>42765</v>
      </c>
      <c r="T1219" s="279">
        <v>1126</v>
      </c>
      <c r="U1219" s="277"/>
      <c r="V1219" s="277"/>
      <c r="W1219" s="277"/>
      <c r="X1219" s="277"/>
      <c r="Y1219" s="277"/>
      <c r="Z1219" s="277"/>
      <c r="AA1219" s="277"/>
      <c r="AB1219" s="277"/>
      <c r="AC1219" s="277"/>
      <c r="AD1219" s="277"/>
      <c r="AE1219" s="277"/>
      <c r="AF1219" s="277"/>
      <c r="AG1219" s="277"/>
      <c r="AH1219" s="277"/>
      <c r="AI1219" s="277"/>
    </row>
    <row r="1220" spans="16:35" s="185" customFormat="1">
      <c r="P1220" s="277"/>
      <c r="Q1220" s="277"/>
      <c r="R1220" s="277"/>
      <c r="S1220" s="291">
        <v>42766</v>
      </c>
      <c r="T1220" s="279">
        <v>1127</v>
      </c>
      <c r="U1220" s="277"/>
      <c r="V1220" s="277"/>
      <c r="W1220" s="277"/>
      <c r="X1220" s="277"/>
      <c r="Y1220" s="277"/>
      <c r="Z1220" s="277"/>
      <c r="AA1220" s="277"/>
      <c r="AB1220" s="277"/>
      <c r="AC1220" s="277"/>
      <c r="AD1220" s="277"/>
      <c r="AE1220" s="277"/>
      <c r="AF1220" s="277"/>
      <c r="AG1220" s="277"/>
      <c r="AH1220" s="277"/>
      <c r="AI1220" s="277"/>
    </row>
    <row r="1221" spans="16:35" s="185" customFormat="1">
      <c r="P1221" s="277"/>
      <c r="Q1221" s="277"/>
      <c r="R1221" s="277"/>
      <c r="S1221" s="291">
        <v>42767</v>
      </c>
      <c r="T1221" s="279">
        <v>1128</v>
      </c>
      <c r="U1221" s="277"/>
      <c r="V1221" s="277"/>
      <c r="W1221" s="277"/>
      <c r="X1221" s="277"/>
      <c r="Y1221" s="277"/>
      <c r="Z1221" s="277"/>
      <c r="AA1221" s="277"/>
      <c r="AB1221" s="277"/>
      <c r="AC1221" s="277"/>
      <c r="AD1221" s="277"/>
      <c r="AE1221" s="277"/>
      <c r="AF1221" s="277"/>
      <c r="AG1221" s="277"/>
      <c r="AH1221" s="277"/>
      <c r="AI1221" s="277"/>
    </row>
    <row r="1222" spans="16:35" s="185" customFormat="1">
      <c r="P1222" s="277"/>
      <c r="Q1222" s="277"/>
      <c r="R1222" s="277"/>
      <c r="S1222" s="291">
        <v>42768</v>
      </c>
      <c r="T1222" s="279">
        <v>1129</v>
      </c>
      <c r="U1222" s="277"/>
      <c r="V1222" s="277"/>
      <c r="W1222" s="277"/>
      <c r="X1222" s="277"/>
      <c r="Y1222" s="277"/>
      <c r="Z1222" s="277"/>
      <c r="AA1222" s="277"/>
      <c r="AB1222" s="277"/>
      <c r="AC1222" s="277"/>
      <c r="AD1222" s="277"/>
      <c r="AE1222" s="277"/>
      <c r="AF1222" s="277"/>
      <c r="AG1222" s="277"/>
      <c r="AH1222" s="277"/>
      <c r="AI1222" s="277"/>
    </row>
    <row r="1223" spans="16:35" s="185" customFormat="1">
      <c r="P1223" s="277"/>
      <c r="Q1223" s="277"/>
      <c r="R1223" s="277"/>
      <c r="S1223" s="291">
        <v>42769</v>
      </c>
      <c r="T1223" s="279">
        <v>1130</v>
      </c>
      <c r="U1223" s="277"/>
      <c r="V1223" s="277"/>
      <c r="W1223" s="277"/>
      <c r="X1223" s="277"/>
      <c r="Y1223" s="277"/>
      <c r="Z1223" s="277"/>
      <c r="AA1223" s="277"/>
      <c r="AB1223" s="277"/>
      <c r="AC1223" s="277"/>
      <c r="AD1223" s="277"/>
      <c r="AE1223" s="277"/>
      <c r="AF1223" s="277"/>
      <c r="AG1223" s="277"/>
      <c r="AH1223" s="277"/>
      <c r="AI1223" s="277"/>
    </row>
    <row r="1224" spans="16:35" s="185" customFormat="1">
      <c r="P1224" s="277"/>
      <c r="Q1224" s="277"/>
      <c r="R1224" s="277"/>
      <c r="S1224" s="291">
        <v>42770</v>
      </c>
      <c r="T1224" s="279">
        <v>1131</v>
      </c>
      <c r="U1224" s="277"/>
      <c r="V1224" s="277"/>
      <c r="W1224" s="277"/>
      <c r="X1224" s="277"/>
      <c r="Y1224" s="277"/>
      <c r="Z1224" s="277"/>
      <c r="AA1224" s="277"/>
      <c r="AB1224" s="277"/>
      <c r="AC1224" s="277"/>
      <c r="AD1224" s="277"/>
      <c r="AE1224" s="277"/>
      <c r="AF1224" s="277"/>
      <c r="AG1224" s="277"/>
      <c r="AH1224" s="277"/>
      <c r="AI1224" s="277"/>
    </row>
    <row r="1225" spans="16:35" s="185" customFormat="1">
      <c r="P1225" s="277"/>
      <c r="Q1225" s="277"/>
      <c r="R1225" s="277"/>
      <c r="S1225" s="291">
        <v>42771</v>
      </c>
      <c r="T1225" s="279">
        <v>1132</v>
      </c>
      <c r="U1225" s="277"/>
      <c r="V1225" s="277"/>
      <c r="W1225" s="277"/>
      <c r="X1225" s="277"/>
      <c r="Y1225" s="277"/>
      <c r="Z1225" s="277"/>
      <c r="AA1225" s="277"/>
      <c r="AB1225" s="277"/>
      <c r="AC1225" s="277"/>
      <c r="AD1225" s="277"/>
      <c r="AE1225" s="277"/>
      <c r="AF1225" s="277"/>
      <c r="AG1225" s="277"/>
      <c r="AH1225" s="277"/>
      <c r="AI1225" s="277"/>
    </row>
    <row r="1226" spans="16:35" s="185" customFormat="1">
      <c r="P1226" s="277"/>
      <c r="Q1226" s="277"/>
      <c r="R1226" s="277"/>
      <c r="S1226" s="291">
        <v>42772</v>
      </c>
      <c r="T1226" s="279">
        <v>1133</v>
      </c>
      <c r="U1226" s="277"/>
      <c r="V1226" s="277"/>
      <c r="W1226" s="277"/>
      <c r="X1226" s="277"/>
      <c r="Y1226" s="277"/>
      <c r="Z1226" s="277"/>
      <c r="AA1226" s="277"/>
      <c r="AB1226" s="277"/>
      <c r="AC1226" s="277"/>
      <c r="AD1226" s="277"/>
      <c r="AE1226" s="277"/>
      <c r="AF1226" s="277"/>
      <c r="AG1226" s="277"/>
      <c r="AH1226" s="277"/>
      <c r="AI1226" s="277"/>
    </row>
    <row r="1227" spans="16:35" s="185" customFormat="1">
      <c r="P1227" s="277"/>
      <c r="Q1227" s="277"/>
      <c r="R1227" s="277"/>
      <c r="S1227" s="291">
        <v>42773</v>
      </c>
      <c r="T1227" s="279">
        <v>1134</v>
      </c>
      <c r="U1227" s="277"/>
      <c r="V1227" s="277"/>
      <c r="W1227" s="277"/>
      <c r="X1227" s="277"/>
      <c r="Y1227" s="277"/>
      <c r="Z1227" s="277"/>
      <c r="AA1227" s="277"/>
      <c r="AB1227" s="277"/>
      <c r="AC1227" s="277"/>
      <c r="AD1227" s="277"/>
      <c r="AE1227" s="277"/>
      <c r="AF1227" s="277"/>
      <c r="AG1227" s="277"/>
      <c r="AH1227" s="277"/>
      <c r="AI1227" s="277"/>
    </row>
    <row r="1228" spans="16:35" s="185" customFormat="1">
      <c r="P1228" s="277"/>
      <c r="Q1228" s="277"/>
      <c r="R1228" s="277"/>
      <c r="S1228" s="291">
        <v>42774</v>
      </c>
      <c r="T1228" s="279">
        <v>1135</v>
      </c>
      <c r="U1228" s="277"/>
      <c r="V1228" s="277"/>
      <c r="W1228" s="277"/>
      <c r="X1228" s="277"/>
      <c r="Y1228" s="277"/>
      <c r="Z1228" s="277"/>
      <c r="AA1228" s="277"/>
      <c r="AB1228" s="277"/>
      <c r="AC1228" s="277"/>
      <c r="AD1228" s="277"/>
      <c r="AE1228" s="277"/>
      <c r="AF1228" s="277"/>
      <c r="AG1228" s="277"/>
      <c r="AH1228" s="277"/>
      <c r="AI1228" s="277"/>
    </row>
    <row r="1229" spans="16:35" s="185" customFormat="1">
      <c r="P1229" s="277"/>
      <c r="Q1229" s="277"/>
      <c r="R1229" s="277"/>
      <c r="S1229" s="291">
        <v>42775</v>
      </c>
      <c r="T1229" s="279">
        <v>1136</v>
      </c>
      <c r="U1229" s="277"/>
      <c r="V1229" s="277"/>
      <c r="W1229" s="277"/>
      <c r="X1229" s="277"/>
      <c r="Y1229" s="277"/>
      <c r="Z1229" s="277"/>
      <c r="AA1229" s="277"/>
      <c r="AB1229" s="277"/>
      <c r="AC1229" s="277"/>
      <c r="AD1229" s="277"/>
      <c r="AE1229" s="277"/>
      <c r="AF1229" s="277"/>
      <c r="AG1229" s="277"/>
      <c r="AH1229" s="277"/>
      <c r="AI1229" s="277"/>
    </row>
    <row r="1230" spans="16:35" s="185" customFormat="1">
      <c r="P1230" s="277"/>
      <c r="Q1230" s="277"/>
      <c r="R1230" s="277"/>
      <c r="S1230" s="291">
        <v>42776</v>
      </c>
      <c r="T1230" s="279">
        <v>1137</v>
      </c>
      <c r="U1230" s="277"/>
      <c r="V1230" s="277"/>
      <c r="W1230" s="277"/>
      <c r="X1230" s="277"/>
      <c r="Y1230" s="277"/>
      <c r="Z1230" s="277"/>
      <c r="AA1230" s="277"/>
      <c r="AB1230" s="277"/>
      <c r="AC1230" s="277"/>
      <c r="AD1230" s="277"/>
      <c r="AE1230" s="277"/>
      <c r="AF1230" s="277"/>
      <c r="AG1230" s="277"/>
      <c r="AH1230" s="277"/>
      <c r="AI1230" s="277"/>
    </row>
    <row r="1231" spans="16:35" s="185" customFormat="1">
      <c r="P1231" s="277"/>
      <c r="Q1231" s="277"/>
      <c r="R1231" s="277"/>
      <c r="S1231" s="291">
        <v>42777</v>
      </c>
      <c r="T1231" s="279">
        <v>1138</v>
      </c>
      <c r="U1231" s="277"/>
      <c r="V1231" s="277"/>
      <c r="W1231" s="277"/>
      <c r="X1231" s="277"/>
      <c r="Y1231" s="277"/>
      <c r="Z1231" s="277"/>
      <c r="AA1231" s="277"/>
      <c r="AB1231" s="277"/>
      <c r="AC1231" s="277"/>
      <c r="AD1231" s="277"/>
      <c r="AE1231" s="277"/>
      <c r="AF1231" s="277"/>
      <c r="AG1231" s="277"/>
      <c r="AH1231" s="277"/>
      <c r="AI1231" s="277"/>
    </row>
    <row r="1232" spans="16:35" s="185" customFormat="1">
      <c r="P1232" s="277"/>
      <c r="Q1232" s="277"/>
      <c r="R1232" s="277"/>
      <c r="S1232" s="291">
        <v>42778</v>
      </c>
      <c r="T1232" s="279">
        <v>1139</v>
      </c>
      <c r="U1232" s="277"/>
      <c r="V1232" s="277"/>
      <c r="W1232" s="277"/>
      <c r="X1232" s="277"/>
      <c r="Y1232" s="277"/>
      <c r="Z1232" s="277"/>
      <c r="AA1232" s="277"/>
      <c r="AB1232" s="277"/>
      <c r="AC1232" s="277"/>
      <c r="AD1232" s="277"/>
      <c r="AE1232" s="277"/>
      <c r="AF1232" s="277"/>
      <c r="AG1232" s="277"/>
      <c r="AH1232" s="277"/>
      <c r="AI1232" s="277"/>
    </row>
    <row r="1233" spans="16:35" s="185" customFormat="1">
      <c r="P1233" s="277"/>
      <c r="Q1233" s="277"/>
      <c r="R1233" s="277"/>
      <c r="S1233" s="291">
        <v>42779</v>
      </c>
      <c r="T1233" s="279">
        <v>1140</v>
      </c>
      <c r="U1233" s="277"/>
      <c r="V1233" s="277"/>
      <c r="W1233" s="277"/>
      <c r="X1233" s="277"/>
      <c r="Y1233" s="277"/>
      <c r="Z1233" s="277"/>
      <c r="AA1233" s="277"/>
      <c r="AB1233" s="277"/>
      <c r="AC1233" s="277"/>
      <c r="AD1233" s="277"/>
      <c r="AE1233" s="277"/>
      <c r="AF1233" s="277"/>
      <c r="AG1233" s="277"/>
      <c r="AH1233" s="277"/>
      <c r="AI1233" s="277"/>
    </row>
    <row r="1234" spans="16:35" s="185" customFormat="1">
      <c r="P1234" s="277"/>
      <c r="Q1234" s="277"/>
      <c r="R1234" s="277"/>
      <c r="S1234" s="291">
        <v>42780</v>
      </c>
      <c r="T1234" s="279">
        <v>1141</v>
      </c>
      <c r="U1234" s="277"/>
      <c r="V1234" s="277"/>
      <c r="W1234" s="277"/>
      <c r="X1234" s="277"/>
      <c r="Y1234" s="277"/>
      <c r="Z1234" s="277"/>
      <c r="AA1234" s="277"/>
      <c r="AB1234" s="277"/>
      <c r="AC1234" s="277"/>
      <c r="AD1234" s="277"/>
      <c r="AE1234" s="277"/>
      <c r="AF1234" s="277"/>
      <c r="AG1234" s="277"/>
      <c r="AH1234" s="277"/>
      <c r="AI1234" s="277"/>
    </row>
    <row r="1235" spans="16:35" s="185" customFormat="1">
      <c r="P1235" s="277"/>
      <c r="Q1235" s="277"/>
      <c r="R1235" s="277"/>
      <c r="S1235" s="291">
        <v>42781</v>
      </c>
      <c r="T1235" s="279">
        <v>1142</v>
      </c>
      <c r="U1235" s="277"/>
      <c r="V1235" s="277"/>
      <c r="W1235" s="277"/>
      <c r="X1235" s="277"/>
      <c r="Y1235" s="277"/>
      <c r="Z1235" s="277"/>
      <c r="AA1235" s="277"/>
      <c r="AB1235" s="277"/>
      <c r="AC1235" s="277"/>
      <c r="AD1235" s="277"/>
      <c r="AE1235" s="277"/>
      <c r="AF1235" s="277"/>
      <c r="AG1235" s="277"/>
      <c r="AH1235" s="277"/>
      <c r="AI1235" s="277"/>
    </row>
    <row r="1236" spans="16:35" s="185" customFormat="1">
      <c r="P1236" s="277"/>
      <c r="Q1236" s="277"/>
      <c r="R1236" s="277"/>
      <c r="S1236" s="291">
        <v>42782</v>
      </c>
      <c r="T1236" s="279">
        <v>1143</v>
      </c>
      <c r="U1236" s="277"/>
      <c r="V1236" s="277"/>
      <c r="W1236" s="277"/>
      <c r="X1236" s="277"/>
      <c r="Y1236" s="277"/>
      <c r="Z1236" s="277"/>
      <c r="AA1236" s="277"/>
      <c r="AB1236" s="277"/>
      <c r="AC1236" s="277"/>
      <c r="AD1236" s="277"/>
      <c r="AE1236" s="277"/>
      <c r="AF1236" s="277"/>
      <c r="AG1236" s="277"/>
      <c r="AH1236" s="277"/>
      <c r="AI1236" s="277"/>
    </row>
    <row r="1237" spans="16:35" s="185" customFormat="1">
      <c r="P1237" s="277"/>
      <c r="Q1237" s="277"/>
      <c r="R1237" s="277"/>
      <c r="S1237" s="291">
        <v>42783</v>
      </c>
      <c r="T1237" s="279">
        <v>1144</v>
      </c>
      <c r="U1237" s="277"/>
      <c r="V1237" s="277"/>
      <c r="W1237" s="277"/>
      <c r="X1237" s="277"/>
      <c r="Y1237" s="277"/>
      <c r="Z1237" s="277"/>
      <c r="AA1237" s="277"/>
      <c r="AB1237" s="277"/>
      <c r="AC1237" s="277"/>
      <c r="AD1237" s="277"/>
      <c r="AE1237" s="277"/>
      <c r="AF1237" s="277"/>
      <c r="AG1237" s="277"/>
      <c r="AH1237" s="277"/>
      <c r="AI1237" s="277"/>
    </row>
    <row r="1238" spans="16:35" s="185" customFormat="1">
      <c r="P1238" s="277"/>
      <c r="Q1238" s="277"/>
      <c r="R1238" s="277"/>
      <c r="S1238" s="291">
        <v>42784</v>
      </c>
      <c r="T1238" s="279">
        <v>1145</v>
      </c>
      <c r="U1238" s="277"/>
      <c r="V1238" s="277"/>
      <c r="W1238" s="277"/>
      <c r="X1238" s="277"/>
      <c r="Y1238" s="277"/>
      <c r="Z1238" s="277"/>
      <c r="AA1238" s="277"/>
      <c r="AB1238" s="277"/>
      <c r="AC1238" s="277"/>
      <c r="AD1238" s="277"/>
      <c r="AE1238" s="277"/>
      <c r="AF1238" s="277"/>
      <c r="AG1238" s="277"/>
      <c r="AH1238" s="277"/>
      <c r="AI1238" s="277"/>
    </row>
    <row r="1239" spans="16:35" s="185" customFormat="1">
      <c r="P1239" s="277"/>
      <c r="Q1239" s="277"/>
      <c r="R1239" s="277"/>
      <c r="S1239" s="291">
        <v>42785</v>
      </c>
      <c r="T1239" s="279">
        <v>1146</v>
      </c>
      <c r="U1239" s="277"/>
      <c r="V1239" s="277"/>
      <c r="W1239" s="277"/>
      <c r="X1239" s="277"/>
      <c r="Y1239" s="277"/>
      <c r="Z1239" s="277"/>
      <c r="AA1239" s="277"/>
      <c r="AB1239" s="277"/>
      <c r="AC1239" s="277"/>
      <c r="AD1239" s="277"/>
      <c r="AE1239" s="277"/>
      <c r="AF1239" s="277"/>
      <c r="AG1239" s="277"/>
      <c r="AH1239" s="277"/>
      <c r="AI1239" s="277"/>
    </row>
    <row r="1240" spans="16:35" s="185" customFormat="1">
      <c r="P1240" s="277"/>
      <c r="Q1240" s="277"/>
      <c r="R1240" s="277"/>
      <c r="S1240" s="291">
        <v>42786</v>
      </c>
      <c r="T1240" s="279">
        <v>1147</v>
      </c>
      <c r="U1240" s="277"/>
      <c r="V1240" s="277"/>
      <c r="W1240" s="277"/>
      <c r="X1240" s="277"/>
      <c r="Y1240" s="277"/>
      <c r="Z1240" s="277"/>
      <c r="AA1240" s="277"/>
      <c r="AB1240" s="277"/>
      <c r="AC1240" s="277"/>
      <c r="AD1240" s="277"/>
      <c r="AE1240" s="277"/>
      <c r="AF1240" s="277"/>
      <c r="AG1240" s="277"/>
      <c r="AH1240" s="277"/>
      <c r="AI1240" s="277"/>
    </row>
    <row r="1241" spans="16:35" s="185" customFormat="1">
      <c r="P1241" s="277"/>
      <c r="Q1241" s="277"/>
      <c r="R1241" s="277"/>
      <c r="S1241" s="291">
        <v>42787</v>
      </c>
      <c r="T1241" s="279">
        <v>1148</v>
      </c>
      <c r="U1241" s="277"/>
      <c r="V1241" s="277"/>
      <c r="W1241" s="277"/>
      <c r="X1241" s="277"/>
      <c r="Y1241" s="277"/>
      <c r="Z1241" s="277"/>
      <c r="AA1241" s="277"/>
      <c r="AB1241" s="277"/>
      <c r="AC1241" s="277"/>
      <c r="AD1241" s="277"/>
      <c r="AE1241" s="277"/>
      <c r="AF1241" s="277"/>
      <c r="AG1241" s="277"/>
      <c r="AH1241" s="277"/>
      <c r="AI1241" s="277"/>
    </row>
    <row r="1242" spans="16:35" s="185" customFormat="1">
      <c r="P1242" s="277"/>
      <c r="Q1242" s="277"/>
      <c r="R1242" s="277"/>
      <c r="S1242" s="291">
        <v>42788</v>
      </c>
      <c r="T1242" s="279">
        <v>1149</v>
      </c>
      <c r="U1242" s="277"/>
      <c r="V1242" s="277"/>
      <c r="W1242" s="277"/>
      <c r="X1242" s="277"/>
      <c r="Y1242" s="277"/>
      <c r="Z1242" s="277"/>
      <c r="AA1242" s="277"/>
      <c r="AB1242" s="277"/>
      <c r="AC1242" s="277"/>
      <c r="AD1242" s="277"/>
      <c r="AE1242" s="277"/>
      <c r="AF1242" s="277"/>
      <c r="AG1242" s="277"/>
      <c r="AH1242" s="277"/>
      <c r="AI1242" s="277"/>
    </row>
    <row r="1243" spans="16:35" s="185" customFormat="1">
      <c r="P1243" s="277"/>
      <c r="Q1243" s="277"/>
      <c r="R1243" s="277"/>
      <c r="S1243" s="291">
        <v>42789</v>
      </c>
      <c r="T1243" s="279">
        <v>1150</v>
      </c>
      <c r="U1243" s="277"/>
      <c r="V1243" s="277"/>
      <c r="W1243" s="277"/>
      <c r="X1243" s="277"/>
      <c r="Y1243" s="277"/>
      <c r="Z1243" s="277"/>
      <c r="AA1243" s="277"/>
      <c r="AB1243" s="277"/>
      <c r="AC1243" s="277"/>
      <c r="AD1243" s="277"/>
      <c r="AE1243" s="277"/>
      <c r="AF1243" s="277"/>
      <c r="AG1243" s="277"/>
      <c r="AH1243" s="277"/>
      <c r="AI1243" s="277"/>
    </row>
    <row r="1244" spans="16:35" s="185" customFormat="1">
      <c r="P1244" s="277"/>
      <c r="Q1244" s="277"/>
      <c r="R1244" s="277"/>
      <c r="S1244" s="291">
        <v>42790</v>
      </c>
      <c r="T1244" s="279">
        <v>1151</v>
      </c>
      <c r="U1244" s="277"/>
      <c r="V1244" s="277"/>
      <c r="W1244" s="277"/>
      <c r="X1244" s="277"/>
      <c r="Y1244" s="277"/>
      <c r="Z1244" s="277"/>
      <c r="AA1244" s="277"/>
      <c r="AB1244" s="277"/>
      <c r="AC1244" s="277"/>
      <c r="AD1244" s="277"/>
      <c r="AE1244" s="277"/>
      <c r="AF1244" s="277"/>
      <c r="AG1244" s="277"/>
      <c r="AH1244" s="277"/>
      <c r="AI1244" s="277"/>
    </row>
    <row r="1245" spans="16:35" s="185" customFormat="1">
      <c r="P1245" s="277"/>
      <c r="Q1245" s="277"/>
      <c r="R1245" s="277"/>
      <c r="S1245" s="291">
        <v>42791</v>
      </c>
      <c r="T1245" s="279">
        <v>1152</v>
      </c>
      <c r="U1245" s="277"/>
      <c r="V1245" s="277"/>
      <c r="W1245" s="277"/>
      <c r="X1245" s="277"/>
      <c r="Y1245" s="277"/>
      <c r="Z1245" s="277"/>
      <c r="AA1245" s="277"/>
      <c r="AB1245" s="277"/>
      <c r="AC1245" s="277"/>
      <c r="AD1245" s="277"/>
      <c r="AE1245" s="277"/>
      <c r="AF1245" s="277"/>
      <c r="AG1245" s="277"/>
      <c r="AH1245" s="277"/>
      <c r="AI1245" s="277"/>
    </row>
    <row r="1246" spans="16:35" s="185" customFormat="1">
      <c r="P1246" s="277"/>
      <c r="Q1246" s="277"/>
      <c r="R1246" s="277"/>
      <c r="S1246" s="291">
        <v>42792</v>
      </c>
      <c r="T1246" s="279">
        <v>1153</v>
      </c>
      <c r="U1246" s="277"/>
      <c r="V1246" s="277"/>
      <c r="W1246" s="277"/>
      <c r="X1246" s="277"/>
      <c r="Y1246" s="277"/>
      <c r="Z1246" s="277"/>
      <c r="AA1246" s="277"/>
      <c r="AB1246" s="277"/>
      <c r="AC1246" s="277"/>
      <c r="AD1246" s="277"/>
      <c r="AE1246" s="277"/>
      <c r="AF1246" s="277"/>
      <c r="AG1246" s="277"/>
      <c r="AH1246" s="277"/>
      <c r="AI1246" s="277"/>
    </row>
    <row r="1247" spans="16:35" s="185" customFormat="1">
      <c r="P1247" s="277"/>
      <c r="Q1247" s="277"/>
      <c r="R1247" s="277"/>
      <c r="S1247" s="291">
        <v>42793</v>
      </c>
      <c r="T1247" s="279">
        <v>1154</v>
      </c>
      <c r="U1247" s="277"/>
      <c r="V1247" s="277"/>
      <c r="W1247" s="277"/>
      <c r="X1247" s="277"/>
      <c r="Y1247" s="277"/>
      <c r="Z1247" s="277"/>
      <c r="AA1247" s="277"/>
      <c r="AB1247" s="277"/>
      <c r="AC1247" s="277"/>
      <c r="AD1247" s="277"/>
      <c r="AE1247" s="277"/>
      <c r="AF1247" s="277"/>
      <c r="AG1247" s="277"/>
      <c r="AH1247" s="277"/>
      <c r="AI1247" s="277"/>
    </row>
    <row r="1248" spans="16:35" s="185" customFormat="1">
      <c r="P1248" s="277"/>
      <c r="Q1248" s="277"/>
      <c r="R1248" s="277"/>
      <c r="S1248" s="291">
        <v>42794</v>
      </c>
      <c r="T1248" s="279">
        <v>1155</v>
      </c>
      <c r="U1248" s="277"/>
      <c r="V1248" s="277"/>
      <c r="W1248" s="277"/>
      <c r="X1248" s="277"/>
      <c r="Y1248" s="277"/>
      <c r="Z1248" s="277"/>
      <c r="AA1248" s="277"/>
      <c r="AB1248" s="277"/>
      <c r="AC1248" s="277"/>
      <c r="AD1248" s="277"/>
      <c r="AE1248" s="277"/>
      <c r="AF1248" s="277"/>
      <c r="AG1248" s="277"/>
      <c r="AH1248" s="277"/>
      <c r="AI1248" s="277"/>
    </row>
    <row r="1249" spans="16:35" s="185" customFormat="1">
      <c r="P1249" s="277"/>
      <c r="Q1249" s="277"/>
      <c r="R1249" s="277"/>
      <c r="S1249" s="291">
        <v>42795</v>
      </c>
      <c r="T1249" s="279">
        <v>1156</v>
      </c>
      <c r="U1249" s="277"/>
      <c r="V1249" s="277"/>
      <c r="W1249" s="277"/>
      <c r="X1249" s="277"/>
      <c r="Y1249" s="277"/>
      <c r="Z1249" s="277"/>
      <c r="AA1249" s="277"/>
      <c r="AB1249" s="277"/>
      <c r="AC1249" s="277"/>
      <c r="AD1249" s="277"/>
      <c r="AE1249" s="277"/>
      <c r="AF1249" s="277"/>
      <c r="AG1249" s="277"/>
      <c r="AH1249" s="277"/>
      <c r="AI1249" s="277"/>
    </row>
    <row r="1250" spans="16:35" s="185" customFormat="1">
      <c r="P1250" s="277"/>
      <c r="Q1250" s="277"/>
      <c r="R1250" s="277"/>
      <c r="S1250" s="291">
        <v>42796</v>
      </c>
      <c r="T1250" s="279">
        <v>1157</v>
      </c>
      <c r="U1250" s="277"/>
      <c r="V1250" s="277"/>
      <c r="W1250" s="277"/>
      <c r="X1250" s="277"/>
      <c r="Y1250" s="277"/>
      <c r="Z1250" s="277"/>
      <c r="AA1250" s="277"/>
      <c r="AB1250" s="277"/>
      <c r="AC1250" s="277"/>
      <c r="AD1250" s="277"/>
      <c r="AE1250" s="277"/>
      <c r="AF1250" s="277"/>
      <c r="AG1250" s="277"/>
      <c r="AH1250" s="277"/>
      <c r="AI1250" s="277"/>
    </row>
    <row r="1251" spans="16:35" s="185" customFormat="1">
      <c r="P1251" s="277"/>
      <c r="Q1251" s="277"/>
      <c r="R1251" s="277"/>
      <c r="S1251" s="291">
        <v>42797</v>
      </c>
      <c r="T1251" s="279">
        <v>1158</v>
      </c>
      <c r="U1251" s="277"/>
      <c r="V1251" s="277"/>
      <c r="W1251" s="277"/>
      <c r="X1251" s="277"/>
      <c r="Y1251" s="277"/>
      <c r="Z1251" s="277"/>
      <c r="AA1251" s="277"/>
      <c r="AB1251" s="277"/>
      <c r="AC1251" s="277"/>
      <c r="AD1251" s="277"/>
      <c r="AE1251" s="277"/>
      <c r="AF1251" s="277"/>
      <c r="AG1251" s="277"/>
      <c r="AH1251" s="277"/>
      <c r="AI1251" s="277"/>
    </row>
    <row r="1252" spans="16:35" s="185" customFormat="1">
      <c r="P1252" s="277"/>
      <c r="Q1252" s="277"/>
      <c r="R1252" s="277"/>
      <c r="S1252" s="291">
        <v>42798</v>
      </c>
      <c r="T1252" s="279">
        <v>1159</v>
      </c>
      <c r="U1252" s="277"/>
      <c r="V1252" s="277"/>
      <c r="W1252" s="277"/>
      <c r="X1252" s="277"/>
      <c r="Y1252" s="277"/>
      <c r="Z1252" s="277"/>
      <c r="AA1252" s="277"/>
      <c r="AB1252" s="277"/>
      <c r="AC1252" s="277"/>
      <c r="AD1252" s="277"/>
      <c r="AE1252" s="277"/>
      <c r="AF1252" s="277"/>
      <c r="AG1252" s="277"/>
      <c r="AH1252" s="277"/>
      <c r="AI1252" s="277"/>
    </row>
    <row r="1253" spans="16:35" s="185" customFormat="1">
      <c r="P1253" s="277"/>
      <c r="Q1253" s="277"/>
      <c r="R1253" s="277"/>
      <c r="S1253" s="291">
        <v>42799</v>
      </c>
      <c r="T1253" s="279">
        <v>1160</v>
      </c>
      <c r="U1253" s="277"/>
      <c r="V1253" s="277"/>
      <c r="W1253" s="277"/>
      <c r="X1253" s="277"/>
      <c r="Y1253" s="277"/>
      <c r="Z1253" s="277"/>
      <c r="AA1253" s="277"/>
      <c r="AB1253" s="277"/>
      <c r="AC1253" s="277"/>
      <c r="AD1253" s="277"/>
      <c r="AE1253" s="277"/>
      <c r="AF1253" s="277"/>
      <c r="AG1253" s="277"/>
      <c r="AH1253" s="277"/>
      <c r="AI1253" s="277"/>
    </row>
    <row r="1254" spans="16:35" s="185" customFormat="1">
      <c r="P1254" s="277"/>
      <c r="Q1254" s="277"/>
      <c r="R1254" s="277"/>
      <c r="S1254" s="291">
        <v>42800</v>
      </c>
      <c r="T1254" s="279">
        <v>1161</v>
      </c>
      <c r="U1254" s="277"/>
      <c r="V1254" s="277"/>
      <c r="W1254" s="277"/>
      <c r="X1254" s="277"/>
      <c r="Y1254" s="277"/>
      <c r="Z1254" s="277"/>
      <c r="AA1254" s="277"/>
      <c r="AB1254" s="277"/>
      <c r="AC1254" s="277"/>
      <c r="AD1254" s="277"/>
      <c r="AE1254" s="277"/>
      <c r="AF1254" s="277"/>
      <c r="AG1254" s="277"/>
      <c r="AH1254" s="277"/>
      <c r="AI1254" s="277"/>
    </row>
    <row r="1255" spans="16:35" s="185" customFormat="1">
      <c r="P1255" s="277"/>
      <c r="Q1255" s="277"/>
      <c r="R1255" s="277"/>
      <c r="S1255" s="291">
        <v>42801</v>
      </c>
      <c r="T1255" s="279">
        <v>1162</v>
      </c>
      <c r="U1255" s="277"/>
      <c r="V1255" s="277"/>
      <c r="W1255" s="277"/>
      <c r="X1255" s="277"/>
      <c r="Y1255" s="277"/>
      <c r="Z1255" s="277"/>
      <c r="AA1255" s="277"/>
      <c r="AB1255" s="277"/>
      <c r="AC1255" s="277"/>
      <c r="AD1255" s="277"/>
      <c r="AE1255" s="277"/>
      <c r="AF1255" s="277"/>
      <c r="AG1255" s="277"/>
      <c r="AH1255" s="277"/>
      <c r="AI1255" s="277"/>
    </row>
    <row r="1256" spans="16:35" s="185" customFormat="1">
      <c r="P1256" s="277"/>
      <c r="Q1256" s="277"/>
      <c r="R1256" s="277"/>
      <c r="S1256" s="291">
        <v>42802</v>
      </c>
      <c r="T1256" s="279">
        <v>1163</v>
      </c>
      <c r="U1256" s="277"/>
      <c r="V1256" s="277"/>
      <c r="W1256" s="277"/>
      <c r="X1256" s="277"/>
      <c r="Y1256" s="277"/>
      <c r="Z1256" s="277"/>
      <c r="AA1256" s="277"/>
      <c r="AB1256" s="277"/>
      <c r="AC1256" s="277"/>
      <c r="AD1256" s="277"/>
      <c r="AE1256" s="277"/>
      <c r="AF1256" s="277"/>
      <c r="AG1256" s="277"/>
      <c r="AH1256" s="277"/>
      <c r="AI1256" s="277"/>
    </row>
    <row r="1257" spans="16:35" s="185" customFormat="1">
      <c r="P1257" s="277"/>
      <c r="Q1257" s="277"/>
      <c r="R1257" s="277"/>
      <c r="S1257" s="291">
        <v>42803</v>
      </c>
      <c r="T1257" s="279">
        <v>1164</v>
      </c>
      <c r="U1257" s="277"/>
      <c r="V1257" s="277"/>
      <c r="W1257" s="277"/>
      <c r="X1257" s="277"/>
      <c r="Y1257" s="277"/>
      <c r="Z1257" s="277"/>
      <c r="AA1257" s="277"/>
      <c r="AB1257" s="277"/>
      <c r="AC1257" s="277"/>
      <c r="AD1257" s="277"/>
      <c r="AE1257" s="277"/>
      <c r="AF1257" s="277"/>
      <c r="AG1257" s="277"/>
      <c r="AH1257" s="277"/>
      <c r="AI1257" s="277"/>
    </row>
    <row r="1258" spans="16:35" s="185" customFormat="1">
      <c r="P1258" s="277"/>
      <c r="Q1258" s="277"/>
      <c r="R1258" s="277"/>
      <c r="S1258" s="291">
        <v>42804</v>
      </c>
      <c r="T1258" s="279">
        <v>1165</v>
      </c>
      <c r="U1258" s="277"/>
      <c r="V1258" s="277"/>
      <c r="W1258" s="277"/>
      <c r="X1258" s="277"/>
      <c r="Y1258" s="277"/>
      <c r="Z1258" s="277"/>
      <c r="AA1258" s="277"/>
      <c r="AB1258" s="277"/>
      <c r="AC1258" s="277"/>
      <c r="AD1258" s="277"/>
      <c r="AE1258" s="277"/>
      <c r="AF1258" s="277"/>
      <c r="AG1258" s="277"/>
      <c r="AH1258" s="277"/>
      <c r="AI1258" s="277"/>
    </row>
    <row r="1259" spans="16:35" s="185" customFormat="1">
      <c r="P1259" s="277"/>
      <c r="Q1259" s="277"/>
      <c r="R1259" s="277"/>
      <c r="S1259" s="291">
        <v>42805</v>
      </c>
      <c r="T1259" s="279">
        <v>1166</v>
      </c>
      <c r="U1259" s="277"/>
      <c r="V1259" s="277"/>
      <c r="W1259" s="277"/>
      <c r="X1259" s="277"/>
      <c r="Y1259" s="277"/>
      <c r="Z1259" s="277"/>
      <c r="AA1259" s="277"/>
      <c r="AB1259" s="277"/>
      <c r="AC1259" s="277"/>
      <c r="AD1259" s="277"/>
      <c r="AE1259" s="277"/>
      <c r="AF1259" s="277"/>
      <c r="AG1259" s="277"/>
      <c r="AH1259" s="277"/>
      <c r="AI1259" s="277"/>
    </row>
    <row r="1260" spans="16:35" s="185" customFormat="1">
      <c r="P1260" s="277"/>
      <c r="Q1260" s="277"/>
      <c r="R1260" s="277"/>
      <c r="S1260" s="291">
        <v>42806</v>
      </c>
      <c r="T1260" s="279">
        <v>1167</v>
      </c>
      <c r="U1260" s="277"/>
      <c r="V1260" s="277"/>
      <c r="W1260" s="277"/>
      <c r="X1260" s="277"/>
      <c r="Y1260" s="277"/>
      <c r="Z1260" s="277"/>
      <c r="AA1260" s="277"/>
      <c r="AB1260" s="277"/>
      <c r="AC1260" s="277"/>
      <c r="AD1260" s="277"/>
      <c r="AE1260" s="277"/>
      <c r="AF1260" s="277"/>
      <c r="AG1260" s="277"/>
      <c r="AH1260" s="277"/>
      <c r="AI1260" s="277"/>
    </row>
    <row r="1261" spans="16:35" s="185" customFormat="1">
      <c r="P1261" s="277"/>
      <c r="Q1261" s="277"/>
      <c r="R1261" s="277"/>
      <c r="S1261" s="291">
        <v>42807</v>
      </c>
      <c r="T1261" s="279">
        <v>1168</v>
      </c>
      <c r="U1261" s="277"/>
      <c r="V1261" s="277"/>
      <c r="W1261" s="277"/>
      <c r="X1261" s="277"/>
      <c r="Y1261" s="277"/>
      <c r="Z1261" s="277"/>
      <c r="AA1261" s="277"/>
      <c r="AB1261" s="277"/>
      <c r="AC1261" s="277"/>
      <c r="AD1261" s="277"/>
      <c r="AE1261" s="277"/>
      <c r="AF1261" s="277"/>
      <c r="AG1261" s="277"/>
      <c r="AH1261" s="277"/>
      <c r="AI1261" s="277"/>
    </row>
    <row r="1262" spans="16:35" s="185" customFormat="1">
      <c r="P1262" s="277"/>
      <c r="Q1262" s="277"/>
      <c r="R1262" s="277"/>
      <c r="S1262" s="291">
        <v>42808</v>
      </c>
      <c r="T1262" s="279">
        <v>1169</v>
      </c>
      <c r="U1262" s="277"/>
      <c r="V1262" s="277"/>
      <c r="W1262" s="277"/>
      <c r="X1262" s="277"/>
      <c r="Y1262" s="277"/>
      <c r="Z1262" s="277"/>
      <c r="AA1262" s="277"/>
      <c r="AB1262" s="277"/>
      <c r="AC1262" s="277"/>
      <c r="AD1262" s="277"/>
      <c r="AE1262" s="277"/>
      <c r="AF1262" s="277"/>
      <c r="AG1262" s="277"/>
      <c r="AH1262" s="277"/>
      <c r="AI1262" s="277"/>
    </row>
    <row r="1263" spans="16:35" s="185" customFormat="1">
      <c r="P1263" s="277"/>
      <c r="Q1263" s="277"/>
      <c r="R1263" s="277"/>
      <c r="S1263" s="291">
        <v>42809</v>
      </c>
      <c r="T1263" s="279">
        <v>1170</v>
      </c>
      <c r="U1263" s="277"/>
      <c r="V1263" s="277"/>
      <c r="W1263" s="277"/>
      <c r="X1263" s="277"/>
      <c r="Y1263" s="277"/>
      <c r="Z1263" s="277"/>
      <c r="AA1263" s="277"/>
      <c r="AB1263" s="277"/>
      <c r="AC1263" s="277"/>
      <c r="AD1263" s="277"/>
      <c r="AE1263" s="277"/>
      <c r="AF1263" s="277"/>
      <c r="AG1263" s="277"/>
      <c r="AH1263" s="277"/>
      <c r="AI1263" s="277"/>
    </row>
    <row r="1264" spans="16:35" s="185" customFormat="1">
      <c r="P1264" s="277"/>
      <c r="Q1264" s="277"/>
      <c r="R1264" s="277"/>
      <c r="S1264" s="291">
        <v>42810</v>
      </c>
      <c r="T1264" s="279">
        <v>1171</v>
      </c>
      <c r="U1264" s="277"/>
      <c r="V1264" s="277"/>
      <c r="W1264" s="277"/>
      <c r="X1264" s="277"/>
      <c r="Y1264" s="277"/>
      <c r="Z1264" s="277"/>
      <c r="AA1264" s="277"/>
      <c r="AB1264" s="277"/>
      <c r="AC1264" s="277"/>
      <c r="AD1264" s="277"/>
      <c r="AE1264" s="277"/>
      <c r="AF1264" s="277"/>
      <c r="AG1264" s="277"/>
      <c r="AH1264" s="277"/>
      <c r="AI1264" s="277"/>
    </row>
    <row r="1265" spans="16:35" s="185" customFormat="1">
      <c r="P1265" s="277"/>
      <c r="Q1265" s="277"/>
      <c r="R1265" s="277"/>
      <c r="S1265" s="291">
        <v>42811</v>
      </c>
      <c r="T1265" s="279">
        <v>1172</v>
      </c>
      <c r="U1265" s="277"/>
      <c r="V1265" s="277"/>
      <c r="W1265" s="277"/>
      <c r="X1265" s="277"/>
      <c r="Y1265" s="277"/>
      <c r="Z1265" s="277"/>
      <c r="AA1265" s="277"/>
      <c r="AB1265" s="277"/>
      <c r="AC1265" s="277"/>
      <c r="AD1265" s="277"/>
      <c r="AE1265" s="277"/>
      <c r="AF1265" s="277"/>
      <c r="AG1265" s="277"/>
      <c r="AH1265" s="277"/>
      <c r="AI1265" s="277"/>
    </row>
    <row r="1266" spans="16:35" s="185" customFormat="1">
      <c r="P1266" s="277"/>
      <c r="Q1266" s="277"/>
      <c r="R1266" s="277"/>
      <c r="S1266" s="291">
        <v>42812</v>
      </c>
      <c r="T1266" s="279">
        <v>1173</v>
      </c>
      <c r="U1266" s="277"/>
      <c r="V1266" s="277"/>
      <c r="W1266" s="277"/>
      <c r="X1266" s="277"/>
      <c r="Y1266" s="277"/>
      <c r="Z1266" s="277"/>
      <c r="AA1266" s="277"/>
      <c r="AB1266" s="277"/>
      <c r="AC1266" s="277"/>
      <c r="AD1266" s="277"/>
      <c r="AE1266" s="277"/>
      <c r="AF1266" s="277"/>
      <c r="AG1266" s="277"/>
      <c r="AH1266" s="277"/>
      <c r="AI1266" s="277"/>
    </row>
    <row r="1267" spans="16:35" s="185" customFormat="1">
      <c r="P1267" s="277"/>
      <c r="Q1267" s="277"/>
      <c r="R1267" s="277"/>
      <c r="S1267" s="291">
        <v>42813</v>
      </c>
      <c r="T1267" s="279">
        <v>1174</v>
      </c>
      <c r="U1267" s="277"/>
      <c r="V1267" s="277"/>
      <c r="W1267" s="277"/>
      <c r="X1267" s="277"/>
      <c r="Y1267" s="277"/>
      <c r="Z1267" s="277"/>
      <c r="AA1267" s="277"/>
      <c r="AB1267" s="277"/>
      <c r="AC1267" s="277"/>
      <c r="AD1267" s="277"/>
      <c r="AE1267" s="277"/>
      <c r="AF1267" s="277"/>
      <c r="AG1267" s="277"/>
      <c r="AH1267" s="277"/>
      <c r="AI1267" s="277"/>
    </row>
    <row r="1268" spans="16:35" s="185" customFormat="1">
      <c r="P1268" s="277"/>
      <c r="Q1268" s="277"/>
      <c r="R1268" s="277"/>
      <c r="S1268" s="291">
        <v>42814</v>
      </c>
      <c r="T1268" s="279">
        <v>1175</v>
      </c>
      <c r="U1268" s="277"/>
      <c r="V1268" s="277"/>
      <c r="W1268" s="277"/>
      <c r="X1268" s="277"/>
      <c r="Y1268" s="277"/>
      <c r="Z1268" s="277"/>
      <c r="AA1268" s="277"/>
      <c r="AB1268" s="277"/>
      <c r="AC1268" s="277"/>
      <c r="AD1268" s="277"/>
      <c r="AE1268" s="277"/>
      <c r="AF1268" s="277"/>
      <c r="AG1268" s="277"/>
      <c r="AH1268" s="277"/>
      <c r="AI1268" s="277"/>
    </row>
    <row r="1269" spans="16:35" s="185" customFormat="1">
      <c r="P1269" s="277"/>
      <c r="Q1269" s="277"/>
      <c r="R1269" s="277"/>
      <c r="S1269" s="291">
        <v>42815</v>
      </c>
      <c r="T1269" s="279">
        <v>1176</v>
      </c>
      <c r="U1269" s="277"/>
      <c r="V1269" s="277"/>
      <c r="W1269" s="277"/>
      <c r="X1269" s="277"/>
      <c r="Y1269" s="277"/>
      <c r="Z1269" s="277"/>
      <c r="AA1269" s="277"/>
      <c r="AB1269" s="277"/>
      <c r="AC1269" s="277"/>
      <c r="AD1269" s="277"/>
      <c r="AE1269" s="277"/>
      <c r="AF1269" s="277"/>
      <c r="AG1269" s="277"/>
      <c r="AH1269" s="277"/>
      <c r="AI1269" s="277"/>
    </row>
    <row r="1270" spans="16:35" s="185" customFormat="1">
      <c r="P1270" s="277"/>
      <c r="Q1270" s="277"/>
      <c r="R1270" s="277"/>
      <c r="S1270" s="291">
        <v>42816</v>
      </c>
      <c r="T1270" s="279">
        <v>1177</v>
      </c>
      <c r="U1270" s="277"/>
      <c r="V1270" s="277"/>
      <c r="W1270" s="277"/>
      <c r="X1270" s="277"/>
      <c r="Y1270" s="277"/>
      <c r="Z1270" s="277"/>
      <c r="AA1270" s="277"/>
      <c r="AB1270" s="277"/>
      <c r="AC1270" s="277"/>
      <c r="AD1270" s="277"/>
      <c r="AE1270" s="277"/>
      <c r="AF1270" s="277"/>
      <c r="AG1270" s="277"/>
      <c r="AH1270" s="277"/>
      <c r="AI1270" s="277"/>
    </row>
    <row r="1271" spans="16:35" s="185" customFormat="1">
      <c r="P1271" s="277"/>
      <c r="Q1271" s="277"/>
      <c r="R1271" s="277"/>
      <c r="S1271" s="291">
        <v>42817</v>
      </c>
      <c r="T1271" s="279">
        <v>1178</v>
      </c>
      <c r="U1271" s="277"/>
      <c r="V1271" s="277"/>
      <c r="W1271" s="277"/>
      <c r="X1271" s="277"/>
      <c r="Y1271" s="277"/>
      <c r="Z1271" s="277"/>
      <c r="AA1271" s="277"/>
      <c r="AB1271" s="277"/>
      <c r="AC1271" s="277"/>
      <c r="AD1271" s="277"/>
      <c r="AE1271" s="277"/>
      <c r="AF1271" s="277"/>
      <c r="AG1271" s="277"/>
      <c r="AH1271" s="277"/>
      <c r="AI1271" s="277"/>
    </row>
    <row r="1272" spans="16:35" s="185" customFormat="1">
      <c r="P1272" s="277"/>
      <c r="Q1272" s="277"/>
      <c r="R1272" s="277"/>
      <c r="S1272" s="291">
        <v>42818</v>
      </c>
      <c r="T1272" s="279">
        <v>1179</v>
      </c>
      <c r="U1272" s="277"/>
      <c r="V1272" s="277"/>
      <c r="W1272" s="277"/>
      <c r="X1272" s="277"/>
      <c r="Y1272" s="277"/>
      <c r="Z1272" s="277"/>
      <c r="AA1272" s="277"/>
      <c r="AB1272" s="277"/>
      <c r="AC1272" s="277"/>
      <c r="AD1272" s="277"/>
      <c r="AE1272" s="277"/>
      <c r="AF1272" s="277"/>
      <c r="AG1272" s="277"/>
      <c r="AH1272" s="277"/>
      <c r="AI1272" s="277"/>
    </row>
    <row r="1273" spans="16:35" s="185" customFormat="1">
      <c r="P1273" s="277"/>
      <c r="Q1273" s="277"/>
      <c r="R1273" s="277"/>
      <c r="S1273" s="291">
        <v>42819</v>
      </c>
      <c r="T1273" s="279">
        <v>1180</v>
      </c>
      <c r="U1273" s="277"/>
      <c r="V1273" s="277"/>
      <c r="W1273" s="277"/>
      <c r="X1273" s="277"/>
      <c r="Y1273" s="277"/>
      <c r="Z1273" s="277"/>
      <c r="AA1273" s="277"/>
      <c r="AB1273" s="277"/>
      <c r="AC1273" s="277"/>
      <c r="AD1273" s="277"/>
      <c r="AE1273" s="277"/>
      <c r="AF1273" s="277"/>
      <c r="AG1273" s="277"/>
      <c r="AH1273" s="277"/>
      <c r="AI1273" s="277"/>
    </row>
    <row r="1274" spans="16:35" s="185" customFormat="1">
      <c r="P1274" s="277"/>
      <c r="Q1274" s="277"/>
      <c r="R1274" s="277"/>
      <c r="S1274" s="291">
        <v>42820</v>
      </c>
      <c r="T1274" s="279">
        <v>1181</v>
      </c>
      <c r="U1274" s="277"/>
      <c r="V1274" s="277"/>
      <c r="W1274" s="277"/>
      <c r="X1274" s="277"/>
      <c r="Y1274" s="277"/>
      <c r="Z1274" s="277"/>
      <c r="AA1274" s="277"/>
      <c r="AB1274" s="277"/>
      <c r="AC1274" s="277"/>
      <c r="AD1274" s="277"/>
      <c r="AE1274" s="277"/>
      <c r="AF1274" s="277"/>
      <c r="AG1274" s="277"/>
      <c r="AH1274" s="277"/>
      <c r="AI1274" s="277"/>
    </row>
    <row r="1275" spans="16:35" s="185" customFormat="1">
      <c r="P1275" s="277"/>
      <c r="Q1275" s="277"/>
      <c r="R1275" s="277"/>
      <c r="S1275" s="291">
        <v>42821</v>
      </c>
      <c r="T1275" s="279">
        <v>1182</v>
      </c>
      <c r="U1275" s="277"/>
      <c r="V1275" s="277"/>
      <c r="W1275" s="277"/>
      <c r="X1275" s="277"/>
      <c r="Y1275" s="277"/>
      <c r="Z1275" s="277"/>
      <c r="AA1275" s="277"/>
      <c r="AB1275" s="277"/>
      <c r="AC1275" s="277"/>
      <c r="AD1275" s="277"/>
      <c r="AE1275" s="277"/>
      <c r="AF1275" s="277"/>
      <c r="AG1275" s="277"/>
      <c r="AH1275" s="277"/>
      <c r="AI1275" s="277"/>
    </row>
    <row r="1276" spans="16:35" s="185" customFormat="1">
      <c r="P1276" s="277"/>
      <c r="Q1276" s="277"/>
      <c r="R1276" s="277"/>
      <c r="S1276" s="291">
        <v>42822</v>
      </c>
      <c r="T1276" s="279">
        <v>1183</v>
      </c>
      <c r="U1276" s="277"/>
      <c r="V1276" s="277"/>
      <c r="W1276" s="277"/>
      <c r="X1276" s="277"/>
      <c r="Y1276" s="277"/>
      <c r="Z1276" s="277"/>
      <c r="AA1276" s="277"/>
      <c r="AB1276" s="277"/>
      <c r="AC1276" s="277"/>
      <c r="AD1276" s="277"/>
      <c r="AE1276" s="277"/>
      <c r="AF1276" s="277"/>
      <c r="AG1276" s="277"/>
      <c r="AH1276" s="277"/>
      <c r="AI1276" s="277"/>
    </row>
    <row r="1277" spans="16:35" s="185" customFormat="1">
      <c r="P1277" s="277"/>
      <c r="Q1277" s="277"/>
      <c r="R1277" s="277"/>
      <c r="S1277" s="291">
        <v>42823</v>
      </c>
      <c r="T1277" s="279">
        <v>1184</v>
      </c>
      <c r="U1277" s="277"/>
      <c r="V1277" s="277"/>
      <c r="W1277" s="277"/>
      <c r="X1277" s="277"/>
      <c r="Y1277" s="277"/>
      <c r="Z1277" s="277"/>
      <c r="AA1277" s="277"/>
      <c r="AB1277" s="277"/>
      <c r="AC1277" s="277"/>
      <c r="AD1277" s="277"/>
      <c r="AE1277" s="277"/>
      <c r="AF1277" s="277"/>
      <c r="AG1277" s="277"/>
      <c r="AH1277" s="277"/>
      <c r="AI1277" s="277"/>
    </row>
    <row r="1278" spans="16:35" s="185" customFormat="1">
      <c r="P1278" s="277"/>
      <c r="Q1278" s="277"/>
      <c r="R1278" s="277"/>
      <c r="S1278" s="291">
        <v>42824</v>
      </c>
      <c r="T1278" s="279">
        <v>1185</v>
      </c>
      <c r="U1278" s="277"/>
      <c r="V1278" s="277"/>
      <c r="W1278" s="277"/>
      <c r="X1278" s="277"/>
      <c r="Y1278" s="277"/>
      <c r="Z1278" s="277"/>
      <c r="AA1278" s="277"/>
      <c r="AB1278" s="277"/>
      <c r="AC1278" s="277"/>
      <c r="AD1278" s="277"/>
      <c r="AE1278" s="277"/>
      <c r="AF1278" s="277"/>
      <c r="AG1278" s="277"/>
      <c r="AH1278" s="277"/>
      <c r="AI1278" s="277"/>
    </row>
    <row r="1279" spans="16:35" s="185" customFormat="1">
      <c r="P1279" s="277"/>
      <c r="Q1279" s="277"/>
      <c r="R1279" s="277"/>
      <c r="S1279" s="291">
        <v>42825</v>
      </c>
      <c r="T1279" s="279">
        <v>1186</v>
      </c>
      <c r="U1279" s="277"/>
      <c r="V1279" s="277"/>
      <c r="W1279" s="277"/>
      <c r="X1279" s="277"/>
      <c r="Y1279" s="277"/>
      <c r="Z1279" s="277"/>
      <c r="AA1279" s="277"/>
      <c r="AB1279" s="277"/>
      <c r="AC1279" s="277"/>
      <c r="AD1279" s="277"/>
      <c r="AE1279" s="277"/>
      <c r="AF1279" s="277"/>
      <c r="AG1279" s="277"/>
      <c r="AH1279" s="277"/>
      <c r="AI1279" s="277"/>
    </row>
    <row r="1280" spans="16:35" s="185" customFormat="1">
      <c r="P1280" s="277"/>
      <c r="Q1280" s="277"/>
      <c r="R1280" s="277"/>
      <c r="S1280" s="291">
        <v>42826</v>
      </c>
      <c r="T1280" s="279">
        <v>1187</v>
      </c>
      <c r="U1280" s="277"/>
      <c r="V1280" s="277"/>
      <c r="W1280" s="277"/>
      <c r="X1280" s="277"/>
      <c r="Y1280" s="277"/>
      <c r="Z1280" s="277"/>
      <c r="AA1280" s="277"/>
      <c r="AB1280" s="277"/>
      <c r="AC1280" s="277"/>
      <c r="AD1280" s="277"/>
      <c r="AE1280" s="277"/>
      <c r="AF1280" s="277"/>
      <c r="AG1280" s="277"/>
      <c r="AH1280" s="277"/>
      <c r="AI1280" s="277"/>
    </row>
    <row r="1281" spans="16:35" s="185" customFormat="1">
      <c r="P1281" s="277"/>
      <c r="Q1281" s="277"/>
      <c r="R1281" s="277"/>
      <c r="S1281" s="291">
        <v>42827</v>
      </c>
      <c r="T1281" s="279">
        <v>1188</v>
      </c>
      <c r="U1281" s="277"/>
      <c r="V1281" s="277"/>
      <c r="W1281" s="277"/>
      <c r="X1281" s="277"/>
      <c r="Y1281" s="277"/>
      <c r="Z1281" s="277"/>
      <c r="AA1281" s="277"/>
      <c r="AB1281" s="277"/>
      <c r="AC1281" s="277"/>
      <c r="AD1281" s="277"/>
      <c r="AE1281" s="277"/>
      <c r="AF1281" s="277"/>
      <c r="AG1281" s="277"/>
      <c r="AH1281" s="277"/>
      <c r="AI1281" s="277"/>
    </row>
    <row r="1282" spans="16:35" s="185" customFormat="1">
      <c r="P1282" s="277"/>
      <c r="Q1282" s="277"/>
      <c r="R1282" s="277"/>
      <c r="S1282" s="291">
        <v>42828</v>
      </c>
      <c r="T1282" s="279">
        <v>1189</v>
      </c>
      <c r="U1282" s="277"/>
      <c r="V1282" s="277"/>
      <c r="W1282" s="277"/>
      <c r="X1282" s="277"/>
      <c r="Y1282" s="277"/>
      <c r="Z1282" s="277"/>
      <c r="AA1282" s="277"/>
      <c r="AB1282" s="277"/>
      <c r="AC1282" s="277"/>
      <c r="AD1282" s="277"/>
      <c r="AE1282" s="277"/>
      <c r="AF1282" s="277"/>
      <c r="AG1282" s="277"/>
      <c r="AH1282" s="277"/>
      <c r="AI1282" s="277"/>
    </row>
    <row r="1283" spans="16:35" s="185" customFormat="1">
      <c r="P1283" s="277"/>
      <c r="Q1283" s="277"/>
      <c r="R1283" s="277"/>
      <c r="S1283" s="291">
        <v>42829</v>
      </c>
      <c r="T1283" s="279">
        <v>1190</v>
      </c>
      <c r="U1283" s="277"/>
      <c r="V1283" s="277"/>
      <c r="W1283" s="277"/>
      <c r="X1283" s="277"/>
      <c r="Y1283" s="277"/>
      <c r="Z1283" s="277"/>
      <c r="AA1283" s="277"/>
      <c r="AB1283" s="277"/>
      <c r="AC1283" s="277"/>
      <c r="AD1283" s="277"/>
      <c r="AE1283" s="277"/>
      <c r="AF1283" s="277"/>
      <c r="AG1283" s="277"/>
      <c r="AH1283" s="277"/>
      <c r="AI1283" s="277"/>
    </row>
    <row r="1284" spans="16:35" s="185" customFormat="1">
      <c r="P1284" s="277"/>
      <c r="Q1284" s="277"/>
      <c r="R1284" s="277"/>
      <c r="S1284" s="291">
        <v>42830</v>
      </c>
      <c r="T1284" s="279">
        <v>1191</v>
      </c>
      <c r="U1284" s="277"/>
      <c r="V1284" s="277"/>
      <c r="W1284" s="277"/>
      <c r="X1284" s="277"/>
      <c r="Y1284" s="277"/>
      <c r="Z1284" s="277"/>
      <c r="AA1284" s="277"/>
      <c r="AB1284" s="277"/>
      <c r="AC1284" s="277"/>
      <c r="AD1284" s="277"/>
      <c r="AE1284" s="277"/>
      <c r="AF1284" s="277"/>
      <c r="AG1284" s="277"/>
      <c r="AH1284" s="277"/>
      <c r="AI1284" s="277"/>
    </row>
    <row r="1285" spans="16:35" s="185" customFormat="1">
      <c r="P1285" s="277"/>
      <c r="Q1285" s="277"/>
      <c r="R1285" s="277"/>
      <c r="S1285" s="291">
        <v>42831</v>
      </c>
      <c r="T1285" s="279">
        <v>1192</v>
      </c>
      <c r="U1285" s="277"/>
      <c r="V1285" s="277"/>
      <c r="W1285" s="277"/>
      <c r="X1285" s="277"/>
      <c r="Y1285" s="277"/>
      <c r="Z1285" s="277"/>
      <c r="AA1285" s="277"/>
      <c r="AB1285" s="277"/>
      <c r="AC1285" s="277"/>
      <c r="AD1285" s="277"/>
      <c r="AE1285" s="277"/>
      <c r="AF1285" s="277"/>
      <c r="AG1285" s="277"/>
      <c r="AH1285" s="277"/>
      <c r="AI1285" s="277"/>
    </row>
    <row r="1286" spans="16:35" s="185" customFormat="1">
      <c r="P1286" s="277"/>
      <c r="Q1286" s="277"/>
      <c r="R1286" s="277"/>
      <c r="S1286" s="291">
        <v>42832</v>
      </c>
      <c r="T1286" s="279">
        <v>1193</v>
      </c>
      <c r="U1286" s="277"/>
      <c r="V1286" s="277"/>
      <c r="W1286" s="277"/>
      <c r="X1286" s="277"/>
      <c r="Y1286" s="277"/>
      <c r="Z1286" s="277"/>
      <c r="AA1286" s="277"/>
      <c r="AB1286" s="277"/>
      <c r="AC1286" s="277"/>
      <c r="AD1286" s="277"/>
      <c r="AE1286" s="277"/>
      <c r="AF1286" s="277"/>
      <c r="AG1286" s="277"/>
      <c r="AH1286" s="277"/>
      <c r="AI1286" s="277"/>
    </row>
    <row r="1287" spans="16:35" s="185" customFormat="1">
      <c r="P1287" s="277"/>
      <c r="Q1287" s="277"/>
      <c r="R1287" s="277"/>
      <c r="S1287" s="291">
        <v>42833</v>
      </c>
      <c r="T1287" s="279">
        <v>1194</v>
      </c>
      <c r="U1287" s="277"/>
      <c r="V1287" s="277"/>
      <c r="W1287" s="277"/>
      <c r="X1287" s="277"/>
      <c r="Y1287" s="277"/>
      <c r="Z1287" s="277"/>
      <c r="AA1287" s="277"/>
      <c r="AB1287" s="277"/>
      <c r="AC1287" s="277"/>
      <c r="AD1287" s="277"/>
      <c r="AE1287" s="277"/>
      <c r="AF1287" s="277"/>
      <c r="AG1287" s="277"/>
      <c r="AH1287" s="277"/>
      <c r="AI1287" s="277"/>
    </row>
    <row r="1288" spans="16:35" s="185" customFormat="1">
      <c r="P1288" s="277"/>
      <c r="Q1288" s="277"/>
      <c r="R1288" s="277"/>
      <c r="S1288" s="291">
        <v>42834</v>
      </c>
      <c r="T1288" s="279">
        <v>1195</v>
      </c>
      <c r="U1288" s="277"/>
      <c r="V1288" s="277"/>
      <c r="W1288" s="277"/>
      <c r="X1288" s="277"/>
      <c r="Y1288" s="277"/>
      <c r="Z1288" s="277"/>
      <c r="AA1288" s="277"/>
      <c r="AB1288" s="277"/>
      <c r="AC1288" s="277"/>
      <c r="AD1288" s="277"/>
      <c r="AE1288" s="277"/>
      <c r="AF1288" s="277"/>
      <c r="AG1288" s="277"/>
      <c r="AH1288" s="277"/>
      <c r="AI1288" s="277"/>
    </row>
    <row r="1289" spans="16:35" s="185" customFormat="1">
      <c r="P1289" s="277"/>
      <c r="Q1289" s="277"/>
      <c r="R1289" s="277"/>
      <c r="S1289" s="291">
        <v>42835</v>
      </c>
      <c r="T1289" s="279">
        <v>1196</v>
      </c>
      <c r="U1289" s="277"/>
      <c r="V1289" s="277"/>
      <c r="W1289" s="277"/>
      <c r="X1289" s="277"/>
      <c r="Y1289" s="277"/>
      <c r="Z1289" s="277"/>
      <c r="AA1289" s="277"/>
      <c r="AB1289" s="277"/>
      <c r="AC1289" s="277"/>
      <c r="AD1289" s="277"/>
      <c r="AE1289" s="277"/>
      <c r="AF1289" s="277"/>
      <c r="AG1289" s="277"/>
      <c r="AH1289" s="277"/>
      <c r="AI1289" s="277"/>
    </row>
    <row r="1290" spans="16:35" s="185" customFormat="1">
      <c r="P1290" s="277"/>
      <c r="Q1290" s="277"/>
      <c r="R1290" s="277"/>
      <c r="S1290" s="291">
        <v>42836</v>
      </c>
      <c r="T1290" s="279">
        <v>1197</v>
      </c>
      <c r="U1290" s="277"/>
      <c r="V1290" s="277"/>
      <c r="W1290" s="277"/>
      <c r="X1290" s="277"/>
      <c r="Y1290" s="277"/>
      <c r="Z1290" s="277"/>
      <c r="AA1290" s="277"/>
      <c r="AB1290" s="277"/>
      <c r="AC1290" s="277"/>
      <c r="AD1290" s="277"/>
      <c r="AE1290" s="277"/>
      <c r="AF1290" s="277"/>
      <c r="AG1290" s="277"/>
      <c r="AH1290" s="277"/>
      <c r="AI1290" s="277"/>
    </row>
    <row r="1291" spans="16:35" s="185" customFormat="1">
      <c r="P1291" s="277"/>
      <c r="Q1291" s="277"/>
      <c r="R1291" s="277"/>
      <c r="S1291" s="291">
        <v>42837</v>
      </c>
      <c r="T1291" s="279">
        <v>1198</v>
      </c>
      <c r="U1291" s="277"/>
      <c r="V1291" s="277"/>
      <c r="W1291" s="277"/>
      <c r="X1291" s="277"/>
      <c r="Y1291" s="277"/>
      <c r="Z1291" s="277"/>
      <c r="AA1291" s="277"/>
      <c r="AB1291" s="277"/>
      <c r="AC1291" s="277"/>
      <c r="AD1291" s="277"/>
      <c r="AE1291" s="277"/>
      <c r="AF1291" s="277"/>
      <c r="AG1291" s="277"/>
      <c r="AH1291" s="277"/>
      <c r="AI1291" s="277"/>
    </row>
    <row r="1292" spans="16:35" s="185" customFormat="1">
      <c r="P1292" s="277"/>
      <c r="Q1292" s="277"/>
      <c r="R1292" s="277"/>
      <c r="S1292" s="291">
        <v>42838</v>
      </c>
      <c r="T1292" s="279">
        <v>1199</v>
      </c>
      <c r="U1292" s="277"/>
      <c r="V1292" s="277"/>
      <c r="W1292" s="277"/>
      <c r="X1292" s="277"/>
      <c r="Y1292" s="277"/>
      <c r="Z1292" s="277"/>
      <c r="AA1292" s="277"/>
      <c r="AB1292" s="277"/>
      <c r="AC1292" s="277"/>
      <c r="AD1292" s="277"/>
      <c r="AE1292" s="277"/>
      <c r="AF1292" s="277"/>
      <c r="AG1292" s="277"/>
      <c r="AH1292" s="277"/>
      <c r="AI1292" s="277"/>
    </row>
    <row r="1293" spans="16:35" s="185" customFormat="1">
      <c r="P1293" s="277"/>
      <c r="Q1293" s="277"/>
      <c r="R1293" s="277"/>
      <c r="S1293" s="291">
        <v>42839</v>
      </c>
      <c r="T1293" s="279">
        <v>1200</v>
      </c>
      <c r="U1293" s="277"/>
      <c r="V1293" s="277"/>
      <c r="W1293" s="277"/>
      <c r="X1293" s="277"/>
      <c r="Y1293" s="277"/>
      <c r="Z1293" s="277"/>
      <c r="AA1293" s="277"/>
      <c r="AB1293" s="277"/>
      <c r="AC1293" s="277"/>
      <c r="AD1293" s="277"/>
      <c r="AE1293" s="277"/>
      <c r="AF1293" s="277"/>
      <c r="AG1293" s="277"/>
      <c r="AH1293" s="277"/>
      <c r="AI1293" s="277"/>
    </row>
    <row r="1294" spans="16:35" s="185" customFormat="1">
      <c r="P1294" s="277"/>
      <c r="Q1294" s="277"/>
      <c r="R1294" s="277"/>
      <c r="S1294" s="291">
        <v>42840</v>
      </c>
      <c r="T1294" s="279">
        <v>1201</v>
      </c>
      <c r="U1294" s="277"/>
      <c r="V1294" s="277"/>
      <c r="W1294" s="277"/>
      <c r="X1294" s="277"/>
      <c r="Y1294" s="277"/>
      <c r="Z1294" s="277"/>
      <c r="AA1294" s="277"/>
      <c r="AB1294" s="277"/>
      <c r="AC1294" s="277"/>
      <c r="AD1294" s="277"/>
      <c r="AE1294" s="277"/>
      <c r="AF1294" s="277"/>
      <c r="AG1294" s="277"/>
      <c r="AH1294" s="277"/>
      <c r="AI1294" s="277"/>
    </row>
    <row r="1295" spans="16:35" s="185" customFormat="1">
      <c r="P1295" s="277"/>
      <c r="Q1295" s="277"/>
      <c r="R1295" s="277"/>
      <c r="S1295" s="291">
        <v>42841</v>
      </c>
      <c r="T1295" s="279">
        <v>1202</v>
      </c>
      <c r="U1295" s="277"/>
      <c r="V1295" s="277"/>
      <c r="W1295" s="277"/>
      <c r="X1295" s="277"/>
      <c r="Y1295" s="277"/>
      <c r="Z1295" s="277"/>
      <c r="AA1295" s="277"/>
      <c r="AB1295" s="277"/>
      <c r="AC1295" s="277"/>
      <c r="AD1295" s="277"/>
      <c r="AE1295" s="277"/>
      <c r="AF1295" s="277"/>
      <c r="AG1295" s="277"/>
      <c r="AH1295" s="277"/>
      <c r="AI1295" s="277"/>
    </row>
    <row r="1296" spans="16:35" s="185" customFormat="1">
      <c r="P1296" s="277"/>
      <c r="Q1296" s="277"/>
      <c r="R1296" s="277"/>
      <c r="S1296" s="291">
        <v>42842</v>
      </c>
      <c r="T1296" s="279">
        <v>1203</v>
      </c>
      <c r="U1296" s="277"/>
      <c r="V1296" s="277"/>
      <c r="W1296" s="277"/>
      <c r="X1296" s="277"/>
      <c r="Y1296" s="277"/>
      <c r="Z1296" s="277"/>
      <c r="AA1296" s="277"/>
      <c r="AB1296" s="277"/>
      <c r="AC1296" s="277"/>
      <c r="AD1296" s="277"/>
      <c r="AE1296" s="277"/>
      <c r="AF1296" s="277"/>
      <c r="AG1296" s="277"/>
      <c r="AH1296" s="277"/>
      <c r="AI1296" s="277"/>
    </row>
    <row r="1297" spans="16:35" s="185" customFormat="1">
      <c r="P1297" s="277"/>
      <c r="Q1297" s="277"/>
      <c r="R1297" s="277"/>
      <c r="S1297" s="291">
        <v>42843</v>
      </c>
      <c r="T1297" s="279">
        <v>1204</v>
      </c>
      <c r="U1297" s="277"/>
      <c r="V1297" s="277"/>
      <c r="W1297" s="277"/>
      <c r="X1297" s="277"/>
      <c r="Y1297" s="277"/>
      <c r="Z1297" s="277"/>
      <c r="AA1297" s="277"/>
      <c r="AB1297" s="277"/>
      <c r="AC1297" s="277"/>
      <c r="AD1297" s="277"/>
      <c r="AE1297" s="277"/>
      <c r="AF1297" s="277"/>
      <c r="AG1297" s="277"/>
      <c r="AH1297" s="277"/>
      <c r="AI1297" s="277"/>
    </row>
    <row r="1298" spans="16:35" s="185" customFormat="1">
      <c r="P1298" s="277"/>
      <c r="Q1298" s="277"/>
      <c r="R1298" s="277"/>
      <c r="S1298" s="291">
        <v>42844</v>
      </c>
      <c r="T1298" s="279">
        <v>1205</v>
      </c>
      <c r="U1298" s="277"/>
      <c r="V1298" s="277"/>
      <c r="W1298" s="277"/>
      <c r="X1298" s="277"/>
      <c r="Y1298" s="277"/>
      <c r="Z1298" s="277"/>
      <c r="AA1298" s="277"/>
      <c r="AB1298" s="277"/>
      <c r="AC1298" s="277"/>
      <c r="AD1298" s="277"/>
      <c r="AE1298" s="277"/>
      <c r="AF1298" s="277"/>
      <c r="AG1298" s="277"/>
      <c r="AH1298" s="277"/>
      <c r="AI1298" s="277"/>
    </row>
    <row r="1299" spans="16:35" s="185" customFormat="1">
      <c r="P1299" s="277"/>
      <c r="Q1299" s="277"/>
      <c r="R1299" s="277"/>
      <c r="S1299" s="291">
        <v>42845</v>
      </c>
      <c r="T1299" s="279">
        <v>1206</v>
      </c>
      <c r="U1299" s="277"/>
      <c r="V1299" s="277"/>
      <c r="W1299" s="277"/>
      <c r="X1299" s="277"/>
      <c r="Y1299" s="277"/>
      <c r="Z1299" s="277"/>
      <c r="AA1299" s="277"/>
      <c r="AB1299" s="277"/>
      <c r="AC1299" s="277"/>
      <c r="AD1299" s="277"/>
      <c r="AE1299" s="277"/>
      <c r="AF1299" s="277"/>
      <c r="AG1299" s="277"/>
      <c r="AH1299" s="277"/>
      <c r="AI1299" s="277"/>
    </row>
    <row r="1300" spans="16:35" s="185" customFormat="1">
      <c r="P1300" s="277"/>
      <c r="Q1300" s="277"/>
      <c r="R1300" s="277"/>
      <c r="S1300" s="291">
        <v>42846</v>
      </c>
      <c r="T1300" s="279">
        <v>1207</v>
      </c>
      <c r="U1300" s="277"/>
      <c r="V1300" s="277"/>
      <c r="W1300" s="277"/>
      <c r="X1300" s="277"/>
      <c r="Y1300" s="277"/>
      <c r="Z1300" s="277"/>
      <c r="AA1300" s="277"/>
      <c r="AB1300" s="277"/>
      <c r="AC1300" s="277"/>
      <c r="AD1300" s="277"/>
      <c r="AE1300" s="277"/>
      <c r="AF1300" s="277"/>
      <c r="AG1300" s="277"/>
      <c r="AH1300" s="277"/>
      <c r="AI1300" s="277"/>
    </row>
    <row r="1301" spans="16:35" s="185" customFormat="1">
      <c r="P1301" s="277"/>
      <c r="Q1301" s="277"/>
      <c r="R1301" s="277"/>
      <c r="S1301" s="291">
        <v>42847</v>
      </c>
      <c r="T1301" s="279">
        <v>1208</v>
      </c>
      <c r="U1301" s="277"/>
      <c r="V1301" s="277"/>
      <c r="W1301" s="277"/>
      <c r="X1301" s="277"/>
      <c r="Y1301" s="277"/>
      <c r="Z1301" s="277"/>
      <c r="AA1301" s="277"/>
      <c r="AB1301" s="277"/>
      <c r="AC1301" s="277"/>
      <c r="AD1301" s="277"/>
      <c r="AE1301" s="277"/>
      <c r="AF1301" s="277"/>
      <c r="AG1301" s="277"/>
      <c r="AH1301" s="277"/>
      <c r="AI1301" s="277"/>
    </row>
    <row r="1302" spans="16:35" s="185" customFormat="1">
      <c r="P1302" s="277"/>
      <c r="Q1302" s="277"/>
      <c r="R1302" s="277"/>
      <c r="S1302" s="291">
        <v>42848</v>
      </c>
      <c r="T1302" s="279">
        <v>1209</v>
      </c>
      <c r="U1302" s="277"/>
      <c r="V1302" s="277"/>
      <c r="W1302" s="277"/>
      <c r="X1302" s="277"/>
      <c r="Y1302" s="277"/>
      <c r="Z1302" s="277"/>
      <c r="AA1302" s="277"/>
      <c r="AB1302" s="277"/>
      <c r="AC1302" s="277"/>
      <c r="AD1302" s="277"/>
      <c r="AE1302" s="277"/>
      <c r="AF1302" s="277"/>
      <c r="AG1302" s="277"/>
      <c r="AH1302" s="277"/>
      <c r="AI1302" s="277"/>
    </row>
    <row r="1303" spans="16:35" s="185" customFormat="1">
      <c r="P1303" s="277"/>
      <c r="Q1303" s="277"/>
      <c r="R1303" s="277"/>
      <c r="S1303" s="291">
        <v>42849</v>
      </c>
      <c r="T1303" s="279">
        <v>1210</v>
      </c>
      <c r="U1303" s="277"/>
      <c r="V1303" s="277"/>
      <c r="W1303" s="277"/>
      <c r="X1303" s="277"/>
      <c r="Y1303" s="277"/>
      <c r="Z1303" s="277"/>
      <c r="AA1303" s="277"/>
      <c r="AB1303" s="277"/>
      <c r="AC1303" s="277"/>
      <c r="AD1303" s="277"/>
      <c r="AE1303" s="277"/>
      <c r="AF1303" s="277"/>
      <c r="AG1303" s="277"/>
      <c r="AH1303" s="277"/>
      <c r="AI1303" s="277"/>
    </row>
    <row r="1304" spans="16:35" s="185" customFormat="1">
      <c r="P1304" s="277"/>
      <c r="Q1304" s="277"/>
      <c r="R1304" s="277"/>
      <c r="S1304" s="291">
        <v>42850</v>
      </c>
      <c r="T1304" s="279">
        <v>1211</v>
      </c>
      <c r="U1304" s="277"/>
      <c r="V1304" s="277"/>
      <c r="W1304" s="277"/>
      <c r="X1304" s="277"/>
      <c r="Y1304" s="277"/>
      <c r="Z1304" s="277"/>
      <c r="AA1304" s="277"/>
      <c r="AB1304" s="277"/>
      <c r="AC1304" s="277"/>
      <c r="AD1304" s="277"/>
      <c r="AE1304" s="277"/>
      <c r="AF1304" s="277"/>
      <c r="AG1304" s="277"/>
      <c r="AH1304" s="277"/>
      <c r="AI1304" s="277"/>
    </row>
    <row r="1305" spans="16:35" s="185" customFormat="1">
      <c r="P1305" s="277"/>
      <c r="Q1305" s="277"/>
      <c r="R1305" s="277"/>
      <c r="S1305" s="291">
        <v>42851</v>
      </c>
      <c r="T1305" s="279">
        <v>1212</v>
      </c>
      <c r="U1305" s="277"/>
      <c r="V1305" s="277"/>
      <c r="W1305" s="277"/>
      <c r="X1305" s="277"/>
      <c r="Y1305" s="277"/>
      <c r="Z1305" s="277"/>
      <c r="AA1305" s="277"/>
      <c r="AB1305" s="277"/>
      <c r="AC1305" s="277"/>
      <c r="AD1305" s="277"/>
      <c r="AE1305" s="277"/>
      <c r="AF1305" s="277"/>
      <c r="AG1305" s="277"/>
      <c r="AH1305" s="277"/>
      <c r="AI1305" s="277"/>
    </row>
    <row r="1306" spans="16:35" s="185" customFormat="1">
      <c r="P1306" s="277"/>
      <c r="Q1306" s="277"/>
      <c r="R1306" s="277"/>
      <c r="S1306" s="291">
        <v>42852</v>
      </c>
      <c r="T1306" s="279">
        <v>1213</v>
      </c>
      <c r="U1306" s="277"/>
      <c r="V1306" s="277"/>
      <c r="W1306" s="277"/>
      <c r="X1306" s="277"/>
      <c r="Y1306" s="277"/>
      <c r="Z1306" s="277"/>
      <c r="AA1306" s="277"/>
      <c r="AB1306" s="277"/>
      <c r="AC1306" s="277"/>
      <c r="AD1306" s="277"/>
      <c r="AE1306" s="277"/>
      <c r="AF1306" s="277"/>
      <c r="AG1306" s="277"/>
      <c r="AH1306" s="277"/>
      <c r="AI1306" s="277"/>
    </row>
    <row r="1307" spans="16:35" s="185" customFormat="1">
      <c r="P1307" s="277"/>
      <c r="Q1307" s="277"/>
      <c r="R1307" s="277"/>
      <c r="S1307" s="291">
        <v>42853</v>
      </c>
      <c r="T1307" s="279">
        <v>1214</v>
      </c>
      <c r="U1307" s="277"/>
      <c r="V1307" s="277"/>
      <c r="W1307" s="277"/>
      <c r="X1307" s="277"/>
      <c r="Y1307" s="277"/>
      <c r="Z1307" s="277"/>
      <c r="AA1307" s="277"/>
      <c r="AB1307" s="277"/>
      <c r="AC1307" s="277"/>
      <c r="AD1307" s="277"/>
      <c r="AE1307" s="277"/>
      <c r="AF1307" s="277"/>
      <c r="AG1307" s="277"/>
      <c r="AH1307" s="277"/>
      <c r="AI1307" s="277"/>
    </row>
    <row r="1308" spans="16:35" s="185" customFormat="1">
      <c r="P1308" s="277"/>
      <c r="Q1308" s="277"/>
      <c r="R1308" s="277"/>
      <c r="S1308" s="291">
        <v>42854</v>
      </c>
      <c r="T1308" s="279">
        <v>1215</v>
      </c>
      <c r="U1308" s="277"/>
      <c r="V1308" s="277"/>
      <c r="W1308" s="277"/>
      <c r="X1308" s="277"/>
      <c r="Y1308" s="277"/>
      <c r="Z1308" s="277"/>
      <c r="AA1308" s="277"/>
      <c r="AB1308" s="277"/>
      <c r="AC1308" s="277"/>
      <c r="AD1308" s="277"/>
      <c r="AE1308" s="277"/>
      <c r="AF1308" s="277"/>
      <c r="AG1308" s="277"/>
      <c r="AH1308" s="277"/>
      <c r="AI1308" s="277"/>
    </row>
    <row r="1309" spans="16:35" s="185" customFormat="1">
      <c r="P1309" s="277"/>
      <c r="Q1309" s="277"/>
      <c r="R1309" s="277"/>
      <c r="S1309" s="291">
        <v>42855</v>
      </c>
      <c r="T1309" s="279">
        <v>1216</v>
      </c>
      <c r="U1309" s="277"/>
      <c r="V1309" s="277"/>
      <c r="W1309" s="277"/>
      <c r="X1309" s="277"/>
      <c r="Y1309" s="277"/>
      <c r="Z1309" s="277"/>
      <c r="AA1309" s="277"/>
      <c r="AB1309" s="277"/>
      <c r="AC1309" s="277"/>
      <c r="AD1309" s="277"/>
      <c r="AE1309" s="277"/>
      <c r="AF1309" s="277"/>
      <c r="AG1309" s="277"/>
      <c r="AH1309" s="277"/>
      <c r="AI1309" s="277"/>
    </row>
    <row r="1310" spans="16:35" s="185" customFormat="1">
      <c r="P1310" s="277"/>
      <c r="Q1310" s="277"/>
      <c r="R1310" s="277"/>
      <c r="S1310" s="291">
        <v>42856</v>
      </c>
      <c r="T1310" s="279">
        <v>1217</v>
      </c>
      <c r="U1310" s="277"/>
      <c r="V1310" s="277"/>
      <c r="W1310" s="277"/>
      <c r="X1310" s="277"/>
      <c r="Y1310" s="277"/>
      <c r="Z1310" s="277"/>
      <c r="AA1310" s="277"/>
      <c r="AB1310" s="277"/>
      <c r="AC1310" s="277"/>
      <c r="AD1310" s="277"/>
      <c r="AE1310" s="277"/>
      <c r="AF1310" s="277"/>
      <c r="AG1310" s="277"/>
      <c r="AH1310" s="277"/>
      <c r="AI1310" s="277"/>
    </row>
    <row r="1311" spans="16:35" s="185" customFormat="1">
      <c r="P1311" s="277"/>
      <c r="Q1311" s="277"/>
      <c r="R1311" s="277"/>
      <c r="S1311" s="291">
        <v>42857</v>
      </c>
      <c r="T1311" s="279">
        <v>1218</v>
      </c>
      <c r="U1311" s="277"/>
      <c r="V1311" s="277"/>
      <c r="W1311" s="277"/>
      <c r="X1311" s="277"/>
      <c r="Y1311" s="277"/>
      <c r="Z1311" s="277"/>
      <c r="AA1311" s="277"/>
      <c r="AB1311" s="277"/>
      <c r="AC1311" s="277"/>
      <c r="AD1311" s="277"/>
      <c r="AE1311" s="277"/>
      <c r="AF1311" s="277"/>
      <c r="AG1311" s="277"/>
      <c r="AH1311" s="277"/>
      <c r="AI1311" s="277"/>
    </row>
    <row r="1312" spans="16:35" s="185" customFormat="1">
      <c r="P1312" s="277"/>
      <c r="Q1312" s="277"/>
      <c r="R1312" s="277"/>
      <c r="S1312" s="291">
        <v>42858</v>
      </c>
      <c r="T1312" s="279">
        <v>1219</v>
      </c>
      <c r="U1312" s="277"/>
      <c r="V1312" s="277"/>
      <c r="W1312" s="277"/>
      <c r="X1312" s="277"/>
      <c r="Y1312" s="277"/>
      <c r="Z1312" s="277"/>
      <c r="AA1312" s="277"/>
      <c r="AB1312" s="277"/>
      <c r="AC1312" s="277"/>
      <c r="AD1312" s="277"/>
      <c r="AE1312" s="277"/>
      <c r="AF1312" s="277"/>
      <c r="AG1312" s="277"/>
      <c r="AH1312" s="277"/>
      <c r="AI1312" s="277"/>
    </row>
    <row r="1313" spans="16:35" s="185" customFormat="1">
      <c r="P1313" s="277"/>
      <c r="Q1313" s="277"/>
      <c r="R1313" s="277"/>
      <c r="S1313" s="291">
        <v>42859</v>
      </c>
      <c r="T1313" s="279">
        <v>1220</v>
      </c>
      <c r="U1313" s="277"/>
      <c r="V1313" s="277"/>
      <c r="W1313" s="277"/>
      <c r="X1313" s="277"/>
      <c r="Y1313" s="277"/>
      <c r="Z1313" s="277"/>
      <c r="AA1313" s="277"/>
      <c r="AB1313" s="277"/>
      <c r="AC1313" s="277"/>
      <c r="AD1313" s="277"/>
      <c r="AE1313" s="277"/>
      <c r="AF1313" s="277"/>
      <c r="AG1313" s="277"/>
      <c r="AH1313" s="277"/>
      <c r="AI1313" s="277"/>
    </row>
    <row r="1314" spans="16:35" s="185" customFormat="1">
      <c r="P1314" s="277"/>
      <c r="Q1314" s="277"/>
      <c r="R1314" s="277"/>
      <c r="S1314" s="291">
        <v>42860</v>
      </c>
      <c r="T1314" s="279">
        <v>1221</v>
      </c>
      <c r="U1314" s="277"/>
      <c r="V1314" s="277"/>
      <c r="W1314" s="277"/>
      <c r="X1314" s="277"/>
      <c r="Y1314" s="277"/>
      <c r="Z1314" s="277"/>
      <c r="AA1314" s="277"/>
      <c r="AB1314" s="277"/>
      <c r="AC1314" s="277"/>
      <c r="AD1314" s="277"/>
      <c r="AE1314" s="277"/>
      <c r="AF1314" s="277"/>
      <c r="AG1314" s="277"/>
      <c r="AH1314" s="277"/>
      <c r="AI1314" s="277"/>
    </row>
    <row r="1315" spans="16:35" s="185" customFormat="1">
      <c r="P1315" s="277"/>
      <c r="Q1315" s="277"/>
      <c r="R1315" s="277"/>
      <c r="S1315" s="291">
        <v>42861</v>
      </c>
      <c r="T1315" s="279">
        <v>1222</v>
      </c>
      <c r="U1315" s="277"/>
      <c r="V1315" s="277"/>
      <c r="W1315" s="277"/>
      <c r="X1315" s="277"/>
      <c r="Y1315" s="277"/>
      <c r="Z1315" s="277"/>
      <c r="AA1315" s="277"/>
      <c r="AB1315" s="277"/>
      <c r="AC1315" s="277"/>
      <c r="AD1315" s="277"/>
      <c r="AE1315" s="277"/>
      <c r="AF1315" s="277"/>
      <c r="AG1315" s="277"/>
      <c r="AH1315" s="277"/>
      <c r="AI1315" s="277"/>
    </row>
    <row r="1316" spans="16:35" s="185" customFormat="1">
      <c r="P1316" s="277"/>
      <c r="Q1316" s="277"/>
      <c r="R1316" s="277"/>
      <c r="S1316" s="291">
        <v>42862</v>
      </c>
      <c r="T1316" s="279">
        <v>1223</v>
      </c>
      <c r="U1316" s="277"/>
      <c r="V1316" s="277"/>
      <c r="W1316" s="277"/>
      <c r="X1316" s="277"/>
      <c r="Y1316" s="277"/>
      <c r="Z1316" s="277"/>
      <c r="AA1316" s="277"/>
      <c r="AB1316" s="277"/>
      <c r="AC1316" s="277"/>
      <c r="AD1316" s="277"/>
      <c r="AE1316" s="277"/>
      <c r="AF1316" s="277"/>
      <c r="AG1316" s="277"/>
      <c r="AH1316" s="277"/>
      <c r="AI1316" s="277"/>
    </row>
    <row r="1317" spans="16:35" s="185" customFormat="1">
      <c r="P1317" s="277"/>
      <c r="Q1317" s="277"/>
      <c r="R1317" s="277"/>
      <c r="S1317" s="291">
        <v>42863</v>
      </c>
      <c r="T1317" s="279">
        <v>1224</v>
      </c>
      <c r="U1317" s="277"/>
      <c r="V1317" s="277"/>
      <c r="W1317" s="277"/>
      <c r="X1317" s="277"/>
      <c r="Y1317" s="277"/>
      <c r="Z1317" s="277"/>
      <c r="AA1317" s="277"/>
      <c r="AB1317" s="277"/>
      <c r="AC1317" s="277"/>
      <c r="AD1317" s="277"/>
      <c r="AE1317" s="277"/>
      <c r="AF1317" s="277"/>
      <c r="AG1317" s="277"/>
      <c r="AH1317" s="277"/>
      <c r="AI1317" s="277"/>
    </row>
    <row r="1318" spans="16:35" s="185" customFormat="1">
      <c r="P1318" s="277"/>
      <c r="Q1318" s="277"/>
      <c r="R1318" s="277"/>
      <c r="S1318" s="291">
        <v>42864</v>
      </c>
      <c r="T1318" s="279">
        <v>1225</v>
      </c>
      <c r="U1318" s="277"/>
      <c r="V1318" s="277"/>
      <c r="W1318" s="277"/>
      <c r="X1318" s="277"/>
      <c r="Y1318" s="277"/>
      <c r="Z1318" s="277"/>
      <c r="AA1318" s="277"/>
      <c r="AB1318" s="277"/>
      <c r="AC1318" s="277"/>
      <c r="AD1318" s="277"/>
      <c r="AE1318" s="277"/>
      <c r="AF1318" s="277"/>
      <c r="AG1318" s="277"/>
      <c r="AH1318" s="277"/>
      <c r="AI1318" s="277"/>
    </row>
    <row r="1319" spans="16:35" s="185" customFormat="1">
      <c r="P1319" s="277"/>
      <c r="Q1319" s="277"/>
      <c r="R1319" s="277"/>
      <c r="S1319" s="291">
        <v>42865</v>
      </c>
      <c r="T1319" s="279">
        <v>1226</v>
      </c>
      <c r="U1319" s="277"/>
      <c r="V1319" s="277"/>
      <c r="W1319" s="277"/>
      <c r="X1319" s="277"/>
      <c r="Y1319" s="277"/>
      <c r="Z1319" s="277"/>
      <c r="AA1319" s="277"/>
      <c r="AB1319" s="277"/>
      <c r="AC1319" s="277"/>
      <c r="AD1319" s="277"/>
      <c r="AE1319" s="277"/>
      <c r="AF1319" s="277"/>
      <c r="AG1319" s="277"/>
      <c r="AH1319" s="277"/>
      <c r="AI1319" s="277"/>
    </row>
    <row r="1320" spans="16:35" s="185" customFormat="1">
      <c r="P1320" s="277"/>
      <c r="Q1320" s="277"/>
      <c r="R1320" s="277"/>
      <c r="S1320" s="291">
        <v>42866</v>
      </c>
      <c r="T1320" s="279">
        <v>1227</v>
      </c>
      <c r="U1320" s="277"/>
      <c r="V1320" s="277"/>
      <c r="W1320" s="277"/>
      <c r="X1320" s="277"/>
      <c r="Y1320" s="277"/>
      <c r="Z1320" s="277"/>
      <c r="AA1320" s="277"/>
      <c r="AB1320" s="277"/>
      <c r="AC1320" s="277"/>
      <c r="AD1320" s="277"/>
      <c r="AE1320" s="277"/>
      <c r="AF1320" s="277"/>
      <c r="AG1320" s="277"/>
      <c r="AH1320" s="277"/>
      <c r="AI1320" s="277"/>
    </row>
    <row r="1321" spans="16:35" s="185" customFormat="1">
      <c r="P1321" s="277"/>
      <c r="Q1321" s="277"/>
      <c r="R1321" s="277"/>
      <c r="S1321" s="291">
        <v>42867</v>
      </c>
      <c r="T1321" s="279">
        <v>1228</v>
      </c>
      <c r="U1321" s="277"/>
      <c r="V1321" s="277"/>
      <c r="W1321" s="277"/>
      <c r="X1321" s="277"/>
      <c r="Y1321" s="277"/>
      <c r="Z1321" s="277"/>
      <c r="AA1321" s="277"/>
      <c r="AB1321" s="277"/>
      <c r="AC1321" s="277"/>
      <c r="AD1321" s="277"/>
      <c r="AE1321" s="277"/>
      <c r="AF1321" s="277"/>
      <c r="AG1321" s="277"/>
      <c r="AH1321" s="277"/>
      <c r="AI1321" s="277"/>
    </row>
    <row r="1322" spans="16:35" s="185" customFormat="1">
      <c r="P1322" s="277"/>
      <c r="Q1322" s="277"/>
      <c r="R1322" s="277"/>
      <c r="S1322" s="291">
        <v>42868</v>
      </c>
      <c r="T1322" s="279">
        <v>1229</v>
      </c>
      <c r="U1322" s="277"/>
      <c r="V1322" s="277"/>
      <c r="W1322" s="277"/>
      <c r="X1322" s="277"/>
      <c r="Y1322" s="277"/>
      <c r="Z1322" s="277"/>
      <c r="AA1322" s="277"/>
      <c r="AB1322" s="277"/>
      <c r="AC1322" s="277"/>
      <c r="AD1322" s="277"/>
      <c r="AE1322" s="277"/>
      <c r="AF1322" s="277"/>
      <c r="AG1322" s="277"/>
      <c r="AH1322" s="277"/>
      <c r="AI1322" s="277"/>
    </row>
    <row r="1323" spans="16:35" s="185" customFormat="1">
      <c r="P1323" s="277"/>
      <c r="Q1323" s="277"/>
      <c r="R1323" s="277"/>
      <c r="S1323" s="291">
        <v>42869</v>
      </c>
      <c r="T1323" s="279">
        <v>1230</v>
      </c>
      <c r="U1323" s="277"/>
      <c r="V1323" s="277"/>
      <c r="W1323" s="277"/>
      <c r="X1323" s="277"/>
      <c r="Y1323" s="277"/>
      <c r="Z1323" s="277"/>
      <c r="AA1323" s="277"/>
      <c r="AB1323" s="277"/>
      <c r="AC1323" s="277"/>
      <c r="AD1323" s="277"/>
      <c r="AE1323" s="277"/>
      <c r="AF1323" s="277"/>
      <c r="AG1323" s="277"/>
      <c r="AH1323" s="277"/>
      <c r="AI1323" s="277"/>
    </row>
    <row r="1324" spans="16:35" s="185" customFormat="1">
      <c r="P1324" s="277"/>
      <c r="Q1324" s="277"/>
      <c r="R1324" s="277"/>
      <c r="S1324" s="291">
        <v>42870</v>
      </c>
      <c r="T1324" s="279">
        <v>1231</v>
      </c>
      <c r="U1324" s="277"/>
      <c r="V1324" s="277"/>
      <c r="W1324" s="277"/>
      <c r="X1324" s="277"/>
      <c r="Y1324" s="277"/>
      <c r="Z1324" s="277"/>
      <c r="AA1324" s="277"/>
      <c r="AB1324" s="277"/>
      <c r="AC1324" s="277"/>
      <c r="AD1324" s="277"/>
      <c r="AE1324" s="277"/>
      <c r="AF1324" s="277"/>
      <c r="AG1324" s="277"/>
      <c r="AH1324" s="277"/>
      <c r="AI1324" s="277"/>
    </row>
    <row r="1325" spans="16:35" s="185" customFormat="1">
      <c r="P1325" s="277"/>
      <c r="Q1325" s="277"/>
      <c r="R1325" s="277"/>
      <c r="S1325" s="291">
        <v>42871</v>
      </c>
      <c r="T1325" s="279">
        <v>1232</v>
      </c>
      <c r="U1325" s="277"/>
      <c r="V1325" s="277"/>
      <c r="W1325" s="277"/>
      <c r="X1325" s="277"/>
      <c r="Y1325" s="277"/>
      <c r="Z1325" s="277"/>
      <c r="AA1325" s="277"/>
      <c r="AB1325" s="277"/>
      <c r="AC1325" s="277"/>
      <c r="AD1325" s="277"/>
      <c r="AE1325" s="277"/>
      <c r="AF1325" s="277"/>
      <c r="AG1325" s="277"/>
      <c r="AH1325" s="277"/>
      <c r="AI1325" s="277"/>
    </row>
    <row r="1326" spans="16:35" s="185" customFormat="1">
      <c r="P1326" s="277"/>
      <c r="Q1326" s="277"/>
      <c r="R1326" s="277"/>
      <c r="S1326" s="291">
        <v>42872</v>
      </c>
      <c r="T1326" s="279">
        <v>1233</v>
      </c>
      <c r="U1326" s="277"/>
      <c r="V1326" s="277"/>
      <c r="W1326" s="277"/>
      <c r="X1326" s="277"/>
      <c r="Y1326" s="277"/>
      <c r="Z1326" s="277"/>
      <c r="AA1326" s="277"/>
      <c r="AB1326" s="277"/>
      <c r="AC1326" s="277"/>
      <c r="AD1326" s="277"/>
      <c r="AE1326" s="277"/>
      <c r="AF1326" s="277"/>
      <c r="AG1326" s="277"/>
      <c r="AH1326" s="277"/>
      <c r="AI1326" s="277"/>
    </row>
    <row r="1327" spans="16:35" s="185" customFormat="1">
      <c r="P1327" s="277"/>
      <c r="Q1327" s="277"/>
      <c r="R1327" s="277"/>
      <c r="S1327" s="291">
        <v>42873</v>
      </c>
      <c r="T1327" s="279">
        <v>1234</v>
      </c>
      <c r="U1327" s="277"/>
      <c r="V1327" s="277"/>
      <c r="W1327" s="277"/>
      <c r="X1327" s="277"/>
      <c r="Y1327" s="277"/>
      <c r="Z1327" s="277"/>
      <c r="AA1327" s="277"/>
      <c r="AB1327" s="277"/>
      <c r="AC1327" s="277"/>
      <c r="AD1327" s="277"/>
      <c r="AE1327" s="277"/>
      <c r="AF1327" s="277"/>
      <c r="AG1327" s="277"/>
      <c r="AH1327" s="277"/>
      <c r="AI1327" s="277"/>
    </row>
    <row r="1328" spans="16:35" s="185" customFormat="1">
      <c r="P1328" s="277"/>
      <c r="Q1328" s="277"/>
      <c r="R1328" s="277"/>
      <c r="S1328" s="291">
        <v>42874</v>
      </c>
      <c r="T1328" s="279">
        <v>1235</v>
      </c>
      <c r="U1328" s="277"/>
      <c r="V1328" s="277"/>
      <c r="W1328" s="277"/>
      <c r="X1328" s="277"/>
      <c r="Y1328" s="277"/>
      <c r="Z1328" s="277"/>
      <c r="AA1328" s="277"/>
      <c r="AB1328" s="277"/>
      <c r="AC1328" s="277"/>
      <c r="AD1328" s="277"/>
      <c r="AE1328" s="277"/>
      <c r="AF1328" s="277"/>
      <c r="AG1328" s="277"/>
      <c r="AH1328" s="277"/>
      <c r="AI1328" s="277"/>
    </row>
    <row r="1329" spans="16:35" s="185" customFormat="1">
      <c r="P1329" s="277"/>
      <c r="Q1329" s="277"/>
      <c r="R1329" s="277"/>
      <c r="S1329" s="291">
        <v>42875</v>
      </c>
      <c r="T1329" s="279">
        <v>1236</v>
      </c>
      <c r="U1329" s="277"/>
      <c r="V1329" s="277"/>
      <c r="W1329" s="277"/>
      <c r="X1329" s="277"/>
      <c r="Y1329" s="277"/>
      <c r="Z1329" s="277"/>
      <c r="AA1329" s="277"/>
      <c r="AB1329" s="277"/>
      <c r="AC1329" s="277"/>
      <c r="AD1329" s="277"/>
      <c r="AE1329" s="277"/>
      <c r="AF1329" s="277"/>
      <c r="AG1329" s="277"/>
      <c r="AH1329" s="277"/>
      <c r="AI1329" s="277"/>
    </row>
    <row r="1330" spans="16:35" s="185" customFormat="1">
      <c r="P1330" s="277"/>
      <c r="Q1330" s="277"/>
      <c r="R1330" s="277"/>
      <c r="S1330" s="291">
        <v>42876</v>
      </c>
      <c r="T1330" s="279">
        <v>1237</v>
      </c>
      <c r="U1330" s="277"/>
      <c r="V1330" s="277"/>
      <c r="W1330" s="277"/>
      <c r="X1330" s="277"/>
      <c r="Y1330" s="277"/>
      <c r="Z1330" s="277"/>
      <c r="AA1330" s="277"/>
      <c r="AB1330" s="277"/>
      <c r="AC1330" s="277"/>
      <c r="AD1330" s="277"/>
      <c r="AE1330" s="277"/>
      <c r="AF1330" s="277"/>
      <c r="AG1330" s="277"/>
      <c r="AH1330" s="277"/>
      <c r="AI1330" s="277"/>
    </row>
    <row r="1331" spans="16:35" s="185" customFormat="1">
      <c r="P1331" s="277"/>
      <c r="Q1331" s="277"/>
      <c r="R1331" s="277"/>
      <c r="S1331" s="291">
        <v>42877</v>
      </c>
      <c r="T1331" s="279">
        <v>1238</v>
      </c>
      <c r="U1331" s="277"/>
      <c r="V1331" s="277"/>
      <c r="W1331" s="277"/>
      <c r="X1331" s="277"/>
      <c r="Y1331" s="277"/>
      <c r="Z1331" s="277"/>
      <c r="AA1331" s="277"/>
      <c r="AB1331" s="277"/>
      <c r="AC1331" s="277"/>
      <c r="AD1331" s="277"/>
      <c r="AE1331" s="277"/>
      <c r="AF1331" s="277"/>
      <c r="AG1331" s="277"/>
      <c r="AH1331" s="277"/>
      <c r="AI1331" s="277"/>
    </row>
    <row r="1332" spans="16:35" s="185" customFormat="1">
      <c r="P1332" s="277"/>
      <c r="Q1332" s="277"/>
      <c r="R1332" s="277"/>
      <c r="S1332" s="291">
        <v>42878</v>
      </c>
      <c r="T1332" s="279">
        <v>1239</v>
      </c>
      <c r="U1332" s="277"/>
      <c r="V1332" s="277"/>
      <c r="W1332" s="277"/>
      <c r="X1332" s="277"/>
      <c r="Y1332" s="277"/>
      <c r="Z1332" s="277"/>
      <c r="AA1332" s="277"/>
      <c r="AB1332" s="277"/>
      <c r="AC1332" s="277"/>
      <c r="AD1332" s="277"/>
      <c r="AE1332" s="277"/>
      <c r="AF1332" s="277"/>
      <c r="AG1332" s="277"/>
      <c r="AH1332" s="277"/>
      <c r="AI1332" s="277"/>
    </row>
    <row r="1333" spans="16:35" s="185" customFormat="1">
      <c r="P1333" s="277"/>
      <c r="Q1333" s="277"/>
      <c r="R1333" s="277"/>
      <c r="S1333" s="291">
        <v>42879</v>
      </c>
      <c r="T1333" s="279">
        <v>1240</v>
      </c>
      <c r="U1333" s="277"/>
      <c r="V1333" s="277"/>
      <c r="W1333" s="277"/>
      <c r="X1333" s="277"/>
      <c r="Y1333" s="277"/>
      <c r="Z1333" s="277"/>
      <c r="AA1333" s="277"/>
      <c r="AB1333" s="277"/>
      <c r="AC1333" s="277"/>
      <c r="AD1333" s="277"/>
      <c r="AE1333" s="277"/>
      <c r="AF1333" s="277"/>
      <c r="AG1333" s="277"/>
      <c r="AH1333" s="277"/>
      <c r="AI1333" s="277"/>
    </row>
    <row r="1334" spans="16:35" s="185" customFormat="1">
      <c r="P1334" s="277"/>
      <c r="Q1334" s="277"/>
      <c r="R1334" s="277"/>
      <c r="S1334" s="291">
        <v>42880</v>
      </c>
      <c r="T1334" s="279">
        <v>1241</v>
      </c>
      <c r="U1334" s="277"/>
      <c r="V1334" s="277"/>
      <c r="W1334" s="277"/>
      <c r="X1334" s="277"/>
      <c r="Y1334" s="277"/>
      <c r="Z1334" s="277"/>
      <c r="AA1334" s="277"/>
      <c r="AB1334" s="277"/>
      <c r="AC1334" s="277"/>
      <c r="AD1334" s="277"/>
      <c r="AE1334" s="277"/>
      <c r="AF1334" s="277"/>
      <c r="AG1334" s="277"/>
      <c r="AH1334" s="277"/>
      <c r="AI1334" s="277"/>
    </row>
    <row r="1335" spans="16:35" s="185" customFormat="1">
      <c r="P1335" s="277"/>
      <c r="Q1335" s="277"/>
      <c r="R1335" s="277"/>
      <c r="S1335" s="291">
        <v>42881</v>
      </c>
      <c r="T1335" s="279">
        <v>1242</v>
      </c>
      <c r="U1335" s="277"/>
      <c r="V1335" s="277"/>
      <c r="W1335" s="277"/>
      <c r="X1335" s="277"/>
      <c r="Y1335" s="277"/>
      <c r="Z1335" s="277"/>
      <c r="AA1335" s="277"/>
      <c r="AB1335" s="277"/>
      <c r="AC1335" s="277"/>
      <c r="AD1335" s="277"/>
      <c r="AE1335" s="277"/>
      <c r="AF1335" s="277"/>
      <c r="AG1335" s="277"/>
      <c r="AH1335" s="277"/>
      <c r="AI1335" s="277"/>
    </row>
    <row r="1336" spans="16:35" s="185" customFormat="1">
      <c r="P1336" s="277"/>
      <c r="Q1336" s="277"/>
      <c r="R1336" s="277"/>
      <c r="S1336" s="291">
        <v>42882</v>
      </c>
      <c r="T1336" s="279">
        <v>1243</v>
      </c>
      <c r="U1336" s="277"/>
      <c r="V1336" s="277"/>
      <c r="W1336" s="277"/>
      <c r="X1336" s="277"/>
      <c r="Y1336" s="277"/>
      <c r="Z1336" s="277"/>
      <c r="AA1336" s="277"/>
      <c r="AB1336" s="277"/>
      <c r="AC1336" s="277"/>
      <c r="AD1336" s="277"/>
      <c r="AE1336" s="277"/>
      <c r="AF1336" s="277"/>
      <c r="AG1336" s="277"/>
      <c r="AH1336" s="277"/>
      <c r="AI1336" s="277"/>
    </row>
    <row r="1337" spans="16:35" s="185" customFormat="1">
      <c r="P1337" s="277"/>
      <c r="Q1337" s="277"/>
      <c r="R1337" s="277"/>
      <c r="S1337" s="291">
        <v>42883</v>
      </c>
      <c r="T1337" s="279">
        <v>1244</v>
      </c>
      <c r="U1337" s="277"/>
      <c r="V1337" s="277"/>
      <c r="W1337" s="277"/>
      <c r="X1337" s="277"/>
      <c r="Y1337" s="277"/>
      <c r="Z1337" s="277"/>
      <c r="AA1337" s="277"/>
      <c r="AB1337" s="277"/>
      <c r="AC1337" s="277"/>
      <c r="AD1337" s="277"/>
      <c r="AE1337" s="277"/>
      <c r="AF1337" s="277"/>
      <c r="AG1337" s="277"/>
      <c r="AH1337" s="277"/>
      <c r="AI1337" s="277"/>
    </row>
    <row r="1338" spans="16:35" s="185" customFormat="1">
      <c r="P1338" s="277"/>
      <c r="Q1338" s="277"/>
      <c r="R1338" s="277"/>
      <c r="S1338" s="291">
        <v>42884</v>
      </c>
      <c r="T1338" s="279">
        <v>1245</v>
      </c>
      <c r="U1338" s="277"/>
      <c r="V1338" s="277"/>
      <c r="W1338" s="277"/>
      <c r="X1338" s="277"/>
      <c r="Y1338" s="277"/>
      <c r="Z1338" s="277"/>
      <c r="AA1338" s="277"/>
      <c r="AB1338" s="277"/>
      <c r="AC1338" s="277"/>
      <c r="AD1338" s="277"/>
      <c r="AE1338" s="277"/>
      <c r="AF1338" s="277"/>
      <c r="AG1338" s="277"/>
      <c r="AH1338" s="277"/>
      <c r="AI1338" s="277"/>
    </row>
    <row r="1339" spans="16:35" s="185" customFormat="1">
      <c r="P1339" s="277"/>
      <c r="Q1339" s="277"/>
      <c r="R1339" s="277"/>
      <c r="S1339" s="291">
        <v>42885</v>
      </c>
      <c r="T1339" s="279">
        <v>1246</v>
      </c>
      <c r="U1339" s="277"/>
      <c r="V1339" s="277"/>
      <c r="W1339" s="277"/>
      <c r="X1339" s="277"/>
      <c r="Y1339" s="277"/>
      <c r="Z1339" s="277"/>
      <c r="AA1339" s="277"/>
      <c r="AB1339" s="277"/>
      <c r="AC1339" s="277"/>
      <c r="AD1339" s="277"/>
      <c r="AE1339" s="277"/>
      <c r="AF1339" s="277"/>
      <c r="AG1339" s="277"/>
      <c r="AH1339" s="277"/>
      <c r="AI1339" s="277"/>
    </row>
    <row r="1340" spans="16:35" s="185" customFormat="1">
      <c r="P1340" s="277"/>
      <c r="Q1340" s="277"/>
      <c r="R1340" s="277"/>
      <c r="S1340" s="291">
        <v>42886</v>
      </c>
      <c r="T1340" s="279">
        <v>1247</v>
      </c>
      <c r="U1340" s="277"/>
      <c r="V1340" s="277"/>
      <c r="W1340" s="277"/>
      <c r="X1340" s="277"/>
      <c r="Y1340" s="277"/>
      <c r="Z1340" s="277"/>
      <c r="AA1340" s="277"/>
      <c r="AB1340" s="277"/>
      <c r="AC1340" s="277"/>
      <c r="AD1340" s="277"/>
      <c r="AE1340" s="277"/>
      <c r="AF1340" s="277"/>
      <c r="AG1340" s="277"/>
      <c r="AH1340" s="277"/>
      <c r="AI1340" s="277"/>
    </row>
    <row r="1341" spans="16:35" s="185" customFormat="1">
      <c r="P1341" s="277"/>
      <c r="Q1341" s="277"/>
      <c r="R1341" s="277"/>
      <c r="S1341" s="291">
        <v>42887</v>
      </c>
      <c r="T1341" s="279">
        <v>1248</v>
      </c>
      <c r="U1341" s="277"/>
      <c r="V1341" s="277"/>
      <c r="W1341" s="277"/>
      <c r="X1341" s="277"/>
      <c r="Y1341" s="277"/>
      <c r="Z1341" s="277"/>
      <c r="AA1341" s="277"/>
      <c r="AB1341" s="277"/>
      <c r="AC1341" s="277"/>
      <c r="AD1341" s="277"/>
      <c r="AE1341" s="277"/>
      <c r="AF1341" s="277"/>
      <c r="AG1341" s="277"/>
      <c r="AH1341" s="277"/>
      <c r="AI1341" s="277"/>
    </row>
    <row r="1342" spans="16:35" s="185" customFormat="1">
      <c r="P1342" s="277"/>
      <c r="Q1342" s="277"/>
      <c r="R1342" s="277"/>
      <c r="S1342" s="291">
        <v>42888</v>
      </c>
      <c r="T1342" s="279">
        <v>1249</v>
      </c>
      <c r="U1342" s="277"/>
      <c r="V1342" s="277"/>
      <c r="W1342" s="277"/>
      <c r="X1342" s="277"/>
      <c r="Y1342" s="277"/>
      <c r="Z1342" s="277"/>
      <c r="AA1342" s="277"/>
      <c r="AB1342" s="277"/>
      <c r="AC1342" s="277"/>
      <c r="AD1342" s="277"/>
      <c r="AE1342" s="277"/>
      <c r="AF1342" s="277"/>
      <c r="AG1342" s="277"/>
      <c r="AH1342" s="277"/>
      <c r="AI1342" s="277"/>
    </row>
    <row r="1343" spans="16:35" s="185" customFormat="1">
      <c r="P1343" s="277"/>
      <c r="Q1343" s="277"/>
      <c r="R1343" s="277"/>
      <c r="S1343" s="291">
        <v>42889</v>
      </c>
      <c r="T1343" s="279">
        <v>1250</v>
      </c>
      <c r="U1343" s="277"/>
      <c r="V1343" s="277"/>
      <c r="W1343" s="277"/>
      <c r="X1343" s="277"/>
      <c r="Y1343" s="277"/>
      <c r="Z1343" s="277"/>
      <c r="AA1343" s="277"/>
      <c r="AB1343" s="277"/>
      <c r="AC1343" s="277"/>
      <c r="AD1343" s="277"/>
      <c r="AE1343" s="277"/>
      <c r="AF1343" s="277"/>
      <c r="AG1343" s="277"/>
      <c r="AH1343" s="277"/>
      <c r="AI1343" s="277"/>
    </row>
    <row r="1344" spans="16:35" s="185" customFormat="1">
      <c r="P1344" s="277"/>
      <c r="Q1344" s="277"/>
      <c r="R1344" s="277"/>
      <c r="S1344" s="291">
        <v>42890</v>
      </c>
      <c r="T1344" s="279">
        <v>1251</v>
      </c>
      <c r="U1344" s="277"/>
      <c r="V1344" s="277"/>
      <c r="W1344" s="277"/>
      <c r="X1344" s="277"/>
      <c r="Y1344" s="277"/>
      <c r="Z1344" s="277"/>
      <c r="AA1344" s="277"/>
      <c r="AB1344" s="277"/>
      <c r="AC1344" s="277"/>
      <c r="AD1344" s="277"/>
      <c r="AE1344" s="277"/>
      <c r="AF1344" s="277"/>
      <c r="AG1344" s="277"/>
      <c r="AH1344" s="277"/>
      <c r="AI1344" s="277"/>
    </row>
    <row r="1345" spans="16:35" s="185" customFormat="1">
      <c r="P1345" s="277"/>
      <c r="Q1345" s="277"/>
      <c r="R1345" s="277"/>
      <c r="S1345" s="291">
        <v>42891</v>
      </c>
      <c r="T1345" s="279">
        <v>1252</v>
      </c>
      <c r="U1345" s="277"/>
      <c r="V1345" s="277"/>
      <c r="W1345" s="277"/>
      <c r="X1345" s="277"/>
      <c r="Y1345" s="277"/>
      <c r="Z1345" s="277"/>
      <c r="AA1345" s="277"/>
      <c r="AB1345" s="277"/>
      <c r="AC1345" s="277"/>
      <c r="AD1345" s="277"/>
      <c r="AE1345" s="277"/>
      <c r="AF1345" s="277"/>
      <c r="AG1345" s="277"/>
      <c r="AH1345" s="277"/>
      <c r="AI1345" s="277"/>
    </row>
    <row r="1346" spans="16:35" s="185" customFormat="1">
      <c r="P1346" s="277"/>
      <c r="Q1346" s="277"/>
      <c r="R1346" s="277"/>
      <c r="S1346" s="291">
        <v>42892</v>
      </c>
      <c r="T1346" s="279">
        <v>1253</v>
      </c>
      <c r="U1346" s="277"/>
      <c r="V1346" s="277"/>
      <c r="W1346" s="277"/>
      <c r="X1346" s="277"/>
      <c r="Y1346" s="277"/>
      <c r="Z1346" s="277"/>
      <c r="AA1346" s="277"/>
      <c r="AB1346" s="277"/>
      <c r="AC1346" s="277"/>
      <c r="AD1346" s="277"/>
      <c r="AE1346" s="277"/>
      <c r="AF1346" s="277"/>
      <c r="AG1346" s="277"/>
      <c r="AH1346" s="277"/>
      <c r="AI1346" s="277"/>
    </row>
    <row r="1347" spans="16:35" s="185" customFormat="1">
      <c r="P1347" s="277"/>
      <c r="Q1347" s="277"/>
      <c r="R1347" s="277"/>
      <c r="S1347" s="291">
        <v>42893</v>
      </c>
      <c r="T1347" s="279">
        <v>1254</v>
      </c>
      <c r="U1347" s="277"/>
      <c r="V1347" s="277"/>
      <c r="W1347" s="277"/>
      <c r="X1347" s="277"/>
      <c r="Y1347" s="277"/>
      <c r="Z1347" s="277"/>
      <c r="AA1347" s="277"/>
      <c r="AB1347" s="277"/>
      <c r="AC1347" s="277"/>
      <c r="AD1347" s="277"/>
      <c r="AE1347" s="277"/>
      <c r="AF1347" s="277"/>
      <c r="AG1347" s="277"/>
      <c r="AH1347" s="277"/>
      <c r="AI1347" s="277"/>
    </row>
    <row r="1348" spans="16:35" s="185" customFormat="1">
      <c r="P1348" s="277"/>
      <c r="Q1348" s="277"/>
      <c r="R1348" s="277"/>
      <c r="S1348" s="291">
        <v>42894</v>
      </c>
      <c r="T1348" s="279">
        <v>1255</v>
      </c>
      <c r="U1348" s="277"/>
      <c r="V1348" s="277"/>
      <c r="W1348" s="277"/>
      <c r="X1348" s="277"/>
      <c r="Y1348" s="277"/>
      <c r="Z1348" s="277"/>
      <c r="AA1348" s="277"/>
      <c r="AB1348" s="277"/>
      <c r="AC1348" s="277"/>
      <c r="AD1348" s="277"/>
      <c r="AE1348" s="277"/>
      <c r="AF1348" s="277"/>
      <c r="AG1348" s="277"/>
      <c r="AH1348" s="277"/>
      <c r="AI1348" s="277"/>
    </row>
    <row r="1349" spans="16:35" s="185" customFormat="1">
      <c r="P1349" s="277"/>
      <c r="Q1349" s="277"/>
      <c r="R1349" s="277"/>
      <c r="S1349" s="291">
        <v>42895</v>
      </c>
      <c r="T1349" s="279">
        <v>1256</v>
      </c>
      <c r="U1349" s="277"/>
      <c r="V1349" s="277"/>
      <c r="W1349" s="277"/>
      <c r="X1349" s="277"/>
      <c r="Y1349" s="277"/>
      <c r="Z1349" s="277"/>
      <c r="AA1349" s="277"/>
      <c r="AB1349" s="277"/>
      <c r="AC1349" s="277"/>
      <c r="AD1349" s="277"/>
      <c r="AE1349" s="277"/>
      <c r="AF1349" s="277"/>
      <c r="AG1349" s="277"/>
      <c r="AH1349" s="277"/>
      <c r="AI1349" s="277"/>
    </row>
    <row r="1350" spans="16:35" s="185" customFormat="1">
      <c r="P1350" s="277"/>
      <c r="Q1350" s="277"/>
      <c r="R1350" s="277"/>
      <c r="S1350" s="291">
        <v>42896</v>
      </c>
      <c r="T1350" s="279">
        <v>1257</v>
      </c>
      <c r="U1350" s="277"/>
      <c r="V1350" s="277"/>
      <c r="W1350" s="277"/>
      <c r="X1350" s="277"/>
      <c r="Y1350" s="277"/>
      <c r="Z1350" s="277"/>
      <c r="AA1350" s="277"/>
      <c r="AB1350" s="277"/>
      <c r="AC1350" s="277"/>
      <c r="AD1350" s="277"/>
      <c r="AE1350" s="277"/>
      <c r="AF1350" s="277"/>
      <c r="AG1350" s="277"/>
      <c r="AH1350" s="277"/>
      <c r="AI1350" s="277"/>
    </row>
    <row r="1351" spans="16:35" s="185" customFormat="1">
      <c r="P1351" s="277"/>
      <c r="Q1351" s="277"/>
      <c r="R1351" s="277"/>
      <c r="S1351" s="291">
        <v>42897</v>
      </c>
      <c r="T1351" s="279">
        <v>1258</v>
      </c>
      <c r="U1351" s="277"/>
      <c r="V1351" s="277"/>
      <c r="W1351" s="277"/>
      <c r="X1351" s="277"/>
      <c r="Y1351" s="277"/>
      <c r="Z1351" s="277"/>
      <c r="AA1351" s="277"/>
      <c r="AB1351" s="277"/>
      <c r="AC1351" s="277"/>
      <c r="AD1351" s="277"/>
      <c r="AE1351" s="277"/>
      <c r="AF1351" s="277"/>
      <c r="AG1351" s="277"/>
      <c r="AH1351" s="277"/>
      <c r="AI1351" s="277"/>
    </row>
    <row r="1352" spans="16:35" s="185" customFormat="1">
      <c r="P1352" s="277"/>
      <c r="Q1352" s="277"/>
      <c r="R1352" s="277"/>
      <c r="S1352" s="291">
        <v>42898</v>
      </c>
      <c r="T1352" s="279">
        <v>1259</v>
      </c>
      <c r="U1352" s="277"/>
      <c r="V1352" s="277"/>
      <c r="W1352" s="277"/>
      <c r="X1352" s="277"/>
      <c r="Y1352" s="277"/>
      <c r="Z1352" s="277"/>
      <c r="AA1352" s="277"/>
      <c r="AB1352" s="277"/>
      <c r="AC1352" s="277"/>
      <c r="AD1352" s="277"/>
      <c r="AE1352" s="277"/>
      <c r="AF1352" s="277"/>
      <c r="AG1352" s="277"/>
      <c r="AH1352" s="277"/>
      <c r="AI1352" s="277"/>
    </row>
    <row r="1353" spans="16:35" s="185" customFormat="1">
      <c r="P1353" s="277"/>
      <c r="Q1353" s="277"/>
      <c r="R1353" s="277"/>
      <c r="S1353" s="291">
        <v>42899</v>
      </c>
      <c r="T1353" s="279">
        <v>1260</v>
      </c>
      <c r="U1353" s="277"/>
      <c r="V1353" s="277"/>
      <c r="W1353" s="277"/>
      <c r="X1353" s="277"/>
      <c r="Y1353" s="277"/>
      <c r="Z1353" s="277"/>
      <c r="AA1353" s="277"/>
      <c r="AB1353" s="277"/>
      <c r="AC1353" s="277"/>
      <c r="AD1353" s="277"/>
      <c r="AE1353" s="277"/>
      <c r="AF1353" s="277"/>
      <c r="AG1353" s="277"/>
      <c r="AH1353" s="277"/>
      <c r="AI1353" s="277"/>
    </row>
    <row r="1354" spans="16:35" s="185" customFormat="1">
      <c r="P1354" s="277"/>
      <c r="Q1354" s="277"/>
      <c r="R1354" s="277"/>
      <c r="S1354" s="291">
        <v>42900</v>
      </c>
      <c r="T1354" s="279">
        <v>1261</v>
      </c>
      <c r="U1354" s="277"/>
      <c r="V1354" s="277"/>
      <c r="W1354" s="277"/>
      <c r="X1354" s="277"/>
      <c r="Y1354" s="277"/>
      <c r="Z1354" s="277"/>
      <c r="AA1354" s="277"/>
      <c r="AB1354" s="277"/>
      <c r="AC1354" s="277"/>
      <c r="AD1354" s="277"/>
      <c r="AE1354" s="277"/>
      <c r="AF1354" s="277"/>
      <c r="AG1354" s="277"/>
      <c r="AH1354" s="277"/>
      <c r="AI1354" s="277"/>
    </row>
    <row r="1355" spans="16:35" s="185" customFormat="1">
      <c r="P1355" s="277"/>
      <c r="Q1355" s="277"/>
      <c r="R1355" s="277"/>
      <c r="S1355" s="291">
        <v>42901</v>
      </c>
      <c r="T1355" s="279">
        <v>1262</v>
      </c>
      <c r="U1355" s="277"/>
      <c r="V1355" s="277"/>
      <c r="W1355" s="277"/>
      <c r="X1355" s="277"/>
      <c r="Y1355" s="277"/>
      <c r="Z1355" s="277"/>
      <c r="AA1355" s="277"/>
      <c r="AB1355" s="277"/>
      <c r="AC1355" s="277"/>
      <c r="AD1355" s="277"/>
      <c r="AE1355" s="277"/>
      <c r="AF1355" s="277"/>
      <c r="AG1355" s="277"/>
      <c r="AH1355" s="277"/>
      <c r="AI1355" s="277"/>
    </row>
    <row r="1356" spans="16:35" s="185" customFormat="1">
      <c r="P1356" s="277"/>
      <c r="Q1356" s="277"/>
      <c r="R1356" s="277"/>
      <c r="S1356" s="291">
        <v>42902</v>
      </c>
      <c r="T1356" s="279">
        <v>1263</v>
      </c>
      <c r="U1356" s="277"/>
      <c r="V1356" s="277"/>
      <c r="W1356" s="277"/>
      <c r="X1356" s="277"/>
      <c r="Y1356" s="277"/>
      <c r="Z1356" s="277"/>
      <c r="AA1356" s="277"/>
      <c r="AB1356" s="277"/>
      <c r="AC1356" s="277"/>
      <c r="AD1356" s="277"/>
      <c r="AE1356" s="277"/>
      <c r="AF1356" s="277"/>
      <c r="AG1356" s="277"/>
      <c r="AH1356" s="277"/>
      <c r="AI1356" s="277"/>
    </row>
    <row r="1357" spans="16:35" s="185" customFormat="1">
      <c r="P1357" s="277"/>
      <c r="Q1357" s="277"/>
      <c r="R1357" s="277"/>
      <c r="S1357" s="291">
        <v>42903</v>
      </c>
      <c r="T1357" s="279">
        <v>1264</v>
      </c>
      <c r="U1357" s="277"/>
      <c r="V1357" s="277"/>
      <c r="W1357" s="277"/>
      <c r="X1357" s="277"/>
      <c r="Y1357" s="277"/>
      <c r="Z1357" s="277"/>
      <c r="AA1357" s="277"/>
      <c r="AB1357" s="277"/>
      <c r="AC1357" s="277"/>
      <c r="AD1357" s="277"/>
      <c r="AE1357" s="277"/>
      <c r="AF1357" s="277"/>
      <c r="AG1357" s="277"/>
      <c r="AH1357" s="277"/>
      <c r="AI1357" s="277"/>
    </row>
    <row r="1358" spans="16:35" s="185" customFormat="1">
      <c r="P1358" s="277"/>
      <c r="Q1358" s="277"/>
      <c r="R1358" s="277"/>
      <c r="S1358" s="291">
        <v>42904</v>
      </c>
      <c r="T1358" s="279">
        <v>1265</v>
      </c>
      <c r="U1358" s="277"/>
      <c r="V1358" s="277"/>
      <c r="W1358" s="277"/>
      <c r="X1358" s="277"/>
      <c r="Y1358" s="277"/>
      <c r="Z1358" s="277"/>
      <c r="AA1358" s="277"/>
      <c r="AB1358" s="277"/>
      <c r="AC1358" s="277"/>
      <c r="AD1358" s="277"/>
      <c r="AE1358" s="277"/>
      <c r="AF1358" s="277"/>
      <c r="AG1358" s="277"/>
      <c r="AH1358" s="277"/>
      <c r="AI1358" s="277"/>
    </row>
    <row r="1359" spans="16:35" s="185" customFormat="1">
      <c r="P1359" s="277"/>
      <c r="Q1359" s="277"/>
      <c r="R1359" s="277"/>
      <c r="S1359" s="291">
        <v>42905</v>
      </c>
      <c r="T1359" s="279">
        <v>1266</v>
      </c>
      <c r="U1359" s="277"/>
      <c r="V1359" s="277"/>
      <c r="W1359" s="277"/>
      <c r="X1359" s="277"/>
      <c r="Y1359" s="277"/>
      <c r="Z1359" s="277"/>
      <c r="AA1359" s="277"/>
      <c r="AB1359" s="277"/>
      <c r="AC1359" s="277"/>
      <c r="AD1359" s="277"/>
      <c r="AE1359" s="277"/>
      <c r="AF1359" s="277"/>
      <c r="AG1359" s="277"/>
      <c r="AH1359" s="277"/>
      <c r="AI1359" s="277"/>
    </row>
    <row r="1360" spans="16:35" s="185" customFormat="1">
      <c r="P1360" s="277"/>
      <c r="Q1360" s="277"/>
      <c r="R1360" s="277"/>
      <c r="S1360" s="291">
        <v>42906</v>
      </c>
      <c r="T1360" s="279">
        <v>1267</v>
      </c>
      <c r="U1360" s="277"/>
      <c r="V1360" s="277"/>
      <c r="W1360" s="277"/>
      <c r="X1360" s="277"/>
      <c r="Y1360" s="277"/>
      <c r="Z1360" s="277"/>
      <c r="AA1360" s="277"/>
      <c r="AB1360" s="277"/>
      <c r="AC1360" s="277"/>
      <c r="AD1360" s="277"/>
      <c r="AE1360" s="277"/>
      <c r="AF1360" s="277"/>
      <c r="AG1360" s="277"/>
      <c r="AH1360" s="277"/>
      <c r="AI1360" s="277"/>
    </row>
    <row r="1361" spans="16:35" s="185" customFormat="1">
      <c r="P1361" s="277"/>
      <c r="Q1361" s="277"/>
      <c r="R1361" s="277"/>
      <c r="S1361" s="291">
        <v>42907</v>
      </c>
      <c r="T1361" s="279">
        <v>1268</v>
      </c>
      <c r="U1361" s="277"/>
      <c r="V1361" s="277"/>
      <c r="W1361" s="277"/>
      <c r="X1361" s="277"/>
      <c r="Y1361" s="277"/>
      <c r="Z1361" s="277"/>
      <c r="AA1361" s="277"/>
      <c r="AB1361" s="277"/>
      <c r="AC1361" s="277"/>
      <c r="AD1361" s="277"/>
      <c r="AE1361" s="277"/>
      <c r="AF1361" s="277"/>
      <c r="AG1361" s="277"/>
      <c r="AH1361" s="277"/>
      <c r="AI1361" s="277"/>
    </row>
    <row r="1362" spans="16:35" s="185" customFormat="1">
      <c r="P1362" s="277"/>
      <c r="Q1362" s="277"/>
      <c r="R1362" s="277"/>
      <c r="S1362" s="291">
        <v>42908</v>
      </c>
      <c r="T1362" s="279">
        <v>1269</v>
      </c>
      <c r="U1362" s="277"/>
      <c r="V1362" s="277"/>
      <c r="W1362" s="277"/>
      <c r="X1362" s="277"/>
      <c r="Y1362" s="277"/>
      <c r="Z1362" s="277"/>
      <c r="AA1362" s="277"/>
      <c r="AB1362" s="277"/>
      <c r="AC1362" s="277"/>
      <c r="AD1362" s="277"/>
      <c r="AE1362" s="277"/>
      <c r="AF1362" s="277"/>
      <c r="AG1362" s="277"/>
      <c r="AH1362" s="277"/>
      <c r="AI1362" s="277"/>
    </row>
    <row r="1363" spans="16:35" s="185" customFormat="1">
      <c r="P1363" s="277"/>
      <c r="Q1363" s="277"/>
      <c r="R1363" s="277"/>
      <c r="S1363" s="291">
        <v>42909</v>
      </c>
      <c r="T1363" s="279">
        <v>1270</v>
      </c>
      <c r="U1363" s="277"/>
      <c r="V1363" s="277"/>
      <c r="W1363" s="277"/>
      <c r="X1363" s="277"/>
      <c r="Y1363" s="277"/>
      <c r="Z1363" s="277"/>
      <c r="AA1363" s="277"/>
      <c r="AB1363" s="277"/>
      <c r="AC1363" s="277"/>
      <c r="AD1363" s="277"/>
      <c r="AE1363" s="277"/>
      <c r="AF1363" s="277"/>
      <c r="AG1363" s="277"/>
      <c r="AH1363" s="277"/>
      <c r="AI1363" s="277"/>
    </row>
    <row r="1364" spans="16:35" s="185" customFormat="1">
      <c r="P1364" s="277"/>
      <c r="Q1364" s="277"/>
      <c r="R1364" s="277"/>
      <c r="S1364" s="291">
        <v>42910</v>
      </c>
      <c r="T1364" s="279">
        <v>1271</v>
      </c>
      <c r="U1364" s="277"/>
      <c r="V1364" s="277"/>
      <c r="W1364" s="277"/>
      <c r="X1364" s="277"/>
      <c r="Y1364" s="277"/>
      <c r="Z1364" s="277"/>
      <c r="AA1364" s="277"/>
      <c r="AB1364" s="277"/>
      <c r="AC1364" s="277"/>
      <c r="AD1364" s="277"/>
      <c r="AE1364" s="277"/>
      <c r="AF1364" s="277"/>
      <c r="AG1364" s="277"/>
      <c r="AH1364" s="277"/>
      <c r="AI1364" s="277"/>
    </row>
    <row r="1365" spans="16:35" s="185" customFormat="1">
      <c r="P1365" s="277"/>
      <c r="Q1365" s="277"/>
      <c r="R1365" s="277"/>
      <c r="S1365" s="291">
        <v>42911</v>
      </c>
      <c r="T1365" s="279">
        <v>1272</v>
      </c>
      <c r="U1365" s="277"/>
      <c r="V1365" s="277"/>
      <c r="W1365" s="277"/>
      <c r="X1365" s="277"/>
      <c r="Y1365" s="277"/>
      <c r="Z1365" s="277"/>
      <c r="AA1365" s="277"/>
      <c r="AB1365" s="277"/>
      <c r="AC1365" s="277"/>
      <c r="AD1365" s="277"/>
      <c r="AE1365" s="277"/>
      <c r="AF1365" s="277"/>
      <c r="AG1365" s="277"/>
      <c r="AH1365" s="277"/>
      <c r="AI1365" s="277"/>
    </row>
    <row r="1366" spans="16:35" s="185" customFormat="1">
      <c r="P1366" s="277"/>
      <c r="Q1366" s="277"/>
      <c r="R1366" s="277"/>
      <c r="S1366" s="291">
        <v>42912</v>
      </c>
      <c r="T1366" s="279">
        <v>1273</v>
      </c>
      <c r="U1366" s="277"/>
      <c r="V1366" s="277"/>
      <c r="W1366" s="277"/>
      <c r="X1366" s="277"/>
      <c r="Y1366" s="277"/>
      <c r="Z1366" s="277"/>
      <c r="AA1366" s="277"/>
      <c r="AB1366" s="277"/>
      <c r="AC1366" s="277"/>
      <c r="AD1366" s="277"/>
      <c r="AE1366" s="277"/>
      <c r="AF1366" s="277"/>
      <c r="AG1366" s="277"/>
      <c r="AH1366" s="277"/>
      <c r="AI1366" s="277"/>
    </row>
    <row r="1367" spans="16:35" s="185" customFormat="1">
      <c r="P1367" s="277"/>
      <c r="Q1367" s="277"/>
      <c r="R1367" s="277"/>
      <c r="S1367" s="291">
        <v>42913</v>
      </c>
      <c r="T1367" s="279">
        <v>1274</v>
      </c>
      <c r="U1367" s="277"/>
      <c r="V1367" s="277"/>
      <c r="W1367" s="277"/>
      <c r="X1367" s="277"/>
      <c r="Y1367" s="277"/>
      <c r="Z1367" s="277"/>
      <c r="AA1367" s="277"/>
      <c r="AB1367" s="277"/>
      <c r="AC1367" s="277"/>
      <c r="AD1367" s="277"/>
      <c r="AE1367" s="277"/>
      <c r="AF1367" s="277"/>
      <c r="AG1367" s="277"/>
      <c r="AH1367" s="277"/>
      <c r="AI1367" s="277"/>
    </row>
    <row r="1368" spans="16:35" s="185" customFormat="1">
      <c r="P1368" s="277"/>
      <c r="Q1368" s="277"/>
      <c r="R1368" s="277"/>
      <c r="S1368" s="291">
        <v>42914</v>
      </c>
      <c r="T1368" s="279">
        <v>1275</v>
      </c>
      <c r="U1368" s="277"/>
      <c r="V1368" s="277"/>
      <c r="W1368" s="277"/>
      <c r="X1368" s="277"/>
      <c r="Y1368" s="277"/>
      <c r="Z1368" s="277"/>
      <c r="AA1368" s="277"/>
      <c r="AB1368" s="277"/>
      <c r="AC1368" s="277"/>
      <c r="AD1368" s="277"/>
      <c r="AE1368" s="277"/>
      <c r="AF1368" s="277"/>
      <c r="AG1368" s="277"/>
      <c r="AH1368" s="277"/>
      <c r="AI1368" s="277"/>
    </row>
    <row r="1369" spans="16:35" s="185" customFormat="1">
      <c r="P1369" s="277"/>
      <c r="Q1369" s="277"/>
      <c r="R1369" s="277"/>
      <c r="S1369" s="291">
        <v>42915</v>
      </c>
      <c r="T1369" s="279">
        <v>1276</v>
      </c>
      <c r="U1369" s="277"/>
      <c r="V1369" s="277"/>
      <c r="W1369" s="277"/>
      <c r="X1369" s="277"/>
      <c r="Y1369" s="277"/>
      <c r="Z1369" s="277"/>
      <c r="AA1369" s="277"/>
      <c r="AB1369" s="277"/>
      <c r="AC1369" s="277"/>
      <c r="AD1369" s="277"/>
      <c r="AE1369" s="277"/>
      <c r="AF1369" s="277"/>
      <c r="AG1369" s="277"/>
      <c r="AH1369" s="277"/>
      <c r="AI1369" s="277"/>
    </row>
    <row r="1370" spans="16:35" s="185" customFormat="1">
      <c r="P1370" s="277"/>
      <c r="Q1370" s="277"/>
      <c r="R1370" s="277"/>
      <c r="S1370" s="291">
        <v>42916</v>
      </c>
      <c r="T1370" s="279">
        <v>1277</v>
      </c>
      <c r="U1370" s="277"/>
      <c r="V1370" s="277"/>
      <c r="W1370" s="277"/>
      <c r="X1370" s="277"/>
      <c r="Y1370" s="277"/>
      <c r="Z1370" s="277"/>
      <c r="AA1370" s="277"/>
      <c r="AB1370" s="277"/>
      <c r="AC1370" s="277"/>
      <c r="AD1370" s="277"/>
      <c r="AE1370" s="277"/>
      <c r="AF1370" s="277"/>
      <c r="AG1370" s="277"/>
      <c r="AH1370" s="277"/>
      <c r="AI1370" s="277"/>
    </row>
    <row r="1371" spans="16:35" s="185" customFormat="1">
      <c r="P1371" s="277"/>
      <c r="Q1371" s="277"/>
      <c r="R1371" s="277"/>
      <c r="S1371" s="291">
        <v>42917</v>
      </c>
      <c r="T1371" s="279">
        <v>1278</v>
      </c>
      <c r="U1371" s="277"/>
      <c r="V1371" s="277"/>
      <c r="W1371" s="277"/>
      <c r="X1371" s="277"/>
      <c r="Y1371" s="277"/>
      <c r="Z1371" s="277"/>
      <c r="AA1371" s="277"/>
      <c r="AB1371" s="277"/>
      <c r="AC1371" s="277"/>
      <c r="AD1371" s="277"/>
      <c r="AE1371" s="277"/>
      <c r="AF1371" s="277"/>
      <c r="AG1371" s="277"/>
      <c r="AH1371" s="277"/>
      <c r="AI1371" s="277"/>
    </row>
    <row r="1372" spans="16:35" s="185" customFormat="1">
      <c r="P1372" s="277"/>
      <c r="Q1372" s="277"/>
      <c r="R1372" s="277"/>
      <c r="S1372" s="291">
        <v>42918</v>
      </c>
      <c r="T1372" s="279">
        <v>1279</v>
      </c>
      <c r="U1372" s="277"/>
      <c r="V1372" s="277"/>
      <c r="W1372" s="277"/>
      <c r="X1372" s="277"/>
      <c r="Y1372" s="277"/>
      <c r="Z1372" s="277"/>
      <c r="AA1372" s="277"/>
      <c r="AB1372" s="277"/>
      <c r="AC1372" s="277"/>
      <c r="AD1372" s="277"/>
      <c r="AE1372" s="277"/>
      <c r="AF1372" s="277"/>
      <c r="AG1372" s="277"/>
      <c r="AH1372" s="277"/>
      <c r="AI1372" s="277"/>
    </row>
    <row r="1373" spans="16:35" s="185" customFormat="1">
      <c r="P1373" s="277"/>
      <c r="Q1373" s="277"/>
      <c r="R1373" s="277"/>
      <c r="S1373" s="291">
        <v>42919</v>
      </c>
      <c r="T1373" s="279">
        <v>1280</v>
      </c>
      <c r="U1373" s="277"/>
      <c r="V1373" s="277"/>
      <c r="W1373" s="277"/>
      <c r="X1373" s="277"/>
      <c r="Y1373" s="277"/>
      <c r="Z1373" s="277"/>
      <c r="AA1373" s="277"/>
      <c r="AB1373" s="277"/>
      <c r="AC1373" s="277"/>
      <c r="AD1373" s="277"/>
      <c r="AE1373" s="277"/>
      <c r="AF1373" s="277"/>
      <c r="AG1373" s="277"/>
      <c r="AH1373" s="277"/>
      <c r="AI1373" s="277"/>
    </row>
    <row r="1374" spans="16:35" s="185" customFormat="1">
      <c r="P1374" s="277"/>
      <c r="Q1374" s="277"/>
      <c r="R1374" s="277"/>
      <c r="S1374" s="291">
        <v>42920</v>
      </c>
      <c r="T1374" s="279">
        <v>1281</v>
      </c>
      <c r="U1374" s="277"/>
      <c r="V1374" s="277"/>
      <c r="W1374" s="277"/>
      <c r="X1374" s="277"/>
      <c r="Y1374" s="277"/>
      <c r="Z1374" s="277"/>
      <c r="AA1374" s="277"/>
      <c r="AB1374" s="277"/>
      <c r="AC1374" s="277"/>
      <c r="AD1374" s="277"/>
      <c r="AE1374" s="277"/>
      <c r="AF1374" s="277"/>
      <c r="AG1374" s="277"/>
      <c r="AH1374" s="277"/>
      <c r="AI1374" s="277"/>
    </row>
    <row r="1375" spans="16:35" s="185" customFormat="1">
      <c r="P1375" s="277"/>
      <c r="Q1375" s="277"/>
      <c r="R1375" s="277"/>
      <c r="S1375" s="291">
        <v>42921</v>
      </c>
      <c r="T1375" s="279">
        <v>1282</v>
      </c>
      <c r="U1375" s="277"/>
      <c r="V1375" s="277"/>
      <c r="W1375" s="277"/>
      <c r="X1375" s="277"/>
      <c r="Y1375" s="277"/>
      <c r="Z1375" s="277"/>
      <c r="AA1375" s="277"/>
      <c r="AB1375" s="277"/>
      <c r="AC1375" s="277"/>
      <c r="AD1375" s="277"/>
      <c r="AE1375" s="277"/>
      <c r="AF1375" s="277"/>
      <c r="AG1375" s="277"/>
      <c r="AH1375" s="277"/>
      <c r="AI1375" s="277"/>
    </row>
    <row r="1376" spans="16:35" s="185" customFormat="1">
      <c r="P1376" s="277"/>
      <c r="Q1376" s="277"/>
      <c r="R1376" s="277"/>
      <c r="S1376" s="291">
        <v>42922</v>
      </c>
      <c r="T1376" s="279">
        <v>1283</v>
      </c>
      <c r="U1376" s="277"/>
      <c r="V1376" s="277"/>
      <c r="W1376" s="277"/>
      <c r="X1376" s="277"/>
      <c r="Y1376" s="277"/>
      <c r="Z1376" s="277"/>
      <c r="AA1376" s="277"/>
      <c r="AB1376" s="277"/>
      <c r="AC1376" s="277"/>
      <c r="AD1376" s="277"/>
      <c r="AE1376" s="277"/>
      <c r="AF1376" s="277"/>
      <c r="AG1376" s="277"/>
      <c r="AH1376" s="277"/>
      <c r="AI1376" s="277"/>
    </row>
    <row r="1377" spans="16:35" s="185" customFormat="1">
      <c r="P1377" s="277"/>
      <c r="Q1377" s="277"/>
      <c r="R1377" s="277"/>
      <c r="S1377" s="291">
        <v>42923</v>
      </c>
      <c r="T1377" s="279">
        <v>1284</v>
      </c>
      <c r="U1377" s="277"/>
      <c r="V1377" s="277"/>
      <c r="W1377" s="277"/>
      <c r="X1377" s="277"/>
      <c r="Y1377" s="277"/>
      <c r="Z1377" s="277"/>
      <c r="AA1377" s="277"/>
      <c r="AB1377" s="277"/>
      <c r="AC1377" s="277"/>
      <c r="AD1377" s="277"/>
      <c r="AE1377" s="277"/>
      <c r="AF1377" s="277"/>
      <c r="AG1377" s="277"/>
      <c r="AH1377" s="277"/>
      <c r="AI1377" s="277"/>
    </row>
    <row r="1378" spans="16:35" s="185" customFormat="1">
      <c r="P1378" s="277"/>
      <c r="Q1378" s="277"/>
      <c r="R1378" s="277"/>
      <c r="S1378" s="291">
        <v>42924</v>
      </c>
      <c r="T1378" s="279">
        <v>1285</v>
      </c>
      <c r="U1378" s="277"/>
      <c r="V1378" s="277"/>
      <c r="W1378" s="277"/>
      <c r="X1378" s="277"/>
      <c r="Y1378" s="277"/>
      <c r="Z1378" s="277"/>
      <c r="AA1378" s="277"/>
      <c r="AB1378" s="277"/>
      <c r="AC1378" s="277"/>
      <c r="AD1378" s="277"/>
      <c r="AE1378" s="277"/>
      <c r="AF1378" s="277"/>
      <c r="AG1378" s="277"/>
      <c r="AH1378" s="277"/>
      <c r="AI1378" s="277"/>
    </row>
    <row r="1379" spans="16:35" s="185" customFormat="1">
      <c r="P1379" s="277"/>
      <c r="Q1379" s="277"/>
      <c r="R1379" s="277"/>
      <c r="S1379" s="291">
        <v>42925</v>
      </c>
      <c r="T1379" s="279">
        <v>1286</v>
      </c>
      <c r="U1379" s="277"/>
      <c r="V1379" s="277"/>
      <c r="W1379" s="277"/>
      <c r="X1379" s="277"/>
      <c r="Y1379" s="277"/>
      <c r="Z1379" s="277"/>
      <c r="AA1379" s="277"/>
      <c r="AB1379" s="277"/>
      <c r="AC1379" s="277"/>
      <c r="AD1379" s="277"/>
      <c r="AE1379" s="277"/>
      <c r="AF1379" s="277"/>
      <c r="AG1379" s="277"/>
      <c r="AH1379" s="277"/>
      <c r="AI1379" s="277"/>
    </row>
    <row r="1380" spans="16:35" s="185" customFormat="1">
      <c r="P1380" s="277"/>
      <c r="Q1380" s="277"/>
      <c r="R1380" s="277"/>
      <c r="S1380" s="291">
        <v>42926</v>
      </c>
      <c r="T1380" s="279">
        <v>1287</v>
      </c>
      <c r="U1380" s="277"/>
      <c r="V1380" s="277"/>
      <c r="W1380" s="277"/>
      <c r="X1380" s="277"/>
      <c r="Y1380" s="277"/>
      <c r="Z1380" s="277"/>
      <c r="AA1380" s="277"/>
      <c r="AB1380" s="277"/>
      <c r="AC1380" s="277"/>
      <c r="AD1380" s="277"/>
      <c r="AE1380" s="277"/>
      <c r="AF1380" s="277"/>
      <c r="AG1380" s="277"/>
      <c r="AH1380" s="277"/>
      <c r="AI1380" s="277"/>
    </row>
    <row r="1381" spans="16:35" s="185" customFormat="1">
      <c r="P1381" s="277"/>
      <c r="Q1381" s="277"/>
      <c r="R1381" s="277"/>
      <c r="S1381" s="291">
        <v>42927</v>
      </c>
      <c r="T1381" s="279">
        <v>1288</v>
      </c>
      <c r="U1381" s="277"/>
      <c r="V1381" s="277"/>
      <c r="W1381" s="277"/>
      <c r="X1381" s="277"/>
      <c r="Y1381" s="277"/>
      <c r="Z1381" s="277"/>
      <c r="AA1381" s="277"/>
      <c r="AB1381" s="277"/>
      <c r="AC1381" s="277"/>
      <c r="AD1381" s="277"/>
      <c r="AE1381" s="277"/>
      <c r="AF1381" s="277"/>
      <c r="AG1381" s="277"/>
      <c r="AH1381" s="277"/>
      <c r="AI1381" s="277"/>
    </row>
    <row r="1382" spans="16:35" s="185" customFormat="1">
      <c r="P1382" s="277"/>
      <c r="Q1382" s="277"/>
      <c r="R1382" s="277"/>
      <c r="S1382" s="291">
        <v>42928</v>
      </c>
      <c r="T1382" s="279">
        <v>1289</v>
      </c>
      <c r="U1382" s="277"/>
      <c r="V1382" s="277"/>
      <c r="W1382" s="277"/>
      <c r="X1382" s="277"/>
      <c r="Y1382" s="277"/>
      <c r="Z1382" s="277"/>
      <c r="AA1382" s="277"/>
      <c r="AB1382" s="277"/>
      <c r="AC1382" s="277"/>
      <c r="AD1382" s="277"/>
      <c r="AE1382" s="277"/>
      <c r="AF1382" s="277"/>
      <c r="AG1382" s="277"/>
      <c r="AH1382" s="277"/>
      <c r="AI1382" s="277"/>
    </row>
    <row r="1383" spans="16:35" s="185" customFormat="1">
      <c r="P1383" s="277"/>
      <c r="Q1383" s="277"/>
      <c r="R1383" s="277"/>
      <c r="S1383" s="291">
        <v>42929</v>
      </c>
      <c r="T1383" s="279">
        <v>1290</v>
      </c>
      <c r="U1383" s="277"/>
      <c r="V1383" s="277"/>
      <c r="W1383" s="277"/>
      <c r="X1383" s="277"/>
      <c r="Y1383" s="277"/>
      <c r="Z1383" s="277"/>
      <c r="AA1383" s="277"/>
      <c r="AB1383" s="277"/>
      <c r="AC1383" s="277"/>
      <c r="AD1383" s="277"/>
      <c r="AE1383" s="277"/>
      <c r="AF1383" s="277"/>
      <c r="AG1383" s="277"/>
      <c r="AH1383" s="277"/>
      <c r="AI1383" s="277"/>
    </row>
    <row r="1384" spans="16:35" s="185" customFormat="1">
      <c r="P1384" s="277"/>
      <c r="Q1384" s="277"/>
      <c r="R1384" s="277"/>
      <c r="S1384" s="291">
        <v>42930</v>
      </c>
      <c r="T1384" s="279">
        <v>1291</v>
      </c>
      <c r="U1384" s="277"/>
      <c r="V1384" s="277"/>
      <c r="W1384" s="277"/>
      <c r="X1384" s="277"/>
      <c r="Y1384" s="277"/>
      <c r="Z1384" s="277"/>
      <c r="AA1384" s="277"/>
      <c r="AB1384" s="277"/>
      <c r="AC1384" s="277"/>
      <c r="AD1384" s="277"/>
      <c r="AE1384" s="277"/>
      <c r="AF1384" s="277"/>
      <c r="AG1384" s="277"/>
      <c r="AH1384" s="277"/>
      <c r="AI1384" s="277"/>
    </row>
    <row r="1385" spans="16:35" s="185" customFormat="1">
      <c r="P1385" s="277"/>
      <c r="Q1385" s="277"/>
      <c r="R1385" s="277"/>
      <c r="S1385" s="291">
        <v>42931</v>
      </c>
      <c r="T1385" s="279">
        <v>1292</v>
      </c>
      <c r="U1385" s="277"/>
      <c r="V1385" s="277"/>
      <c r="W1385" s="277"/>
      <c r="X1385" s="277"/>
      <c r="Y1385" s="277"/>
      <c r="Z1385" s="277"/>
      <c r="AA1385" s="277"/>
      <c r="AB1385" s="277"/>
      <c r="AC1385" s="277"/>
      <c r="AD1385" s="277"/>
      <c r="AE1385" s="277"/>
      <c r="AF1385" s="277"/>
      <c r="AG1385" s="277"/>
      <c r="AH1385" s="277"/>
      <c r="AI1385" s="277"/>
    </row>
    <row r="1386" spans="16:35" s="185" customFormat="1">
      <c r="P1386" s="277"/>
      <c r="Q1386" s="277"/>
      <c r="R1386" s="277"/>
      <c r="S1386" s="291">
        <v>42932</v>
      </c>
      <c r="T1386" s="279">
        <v>1293</v>
      </c>
      <c r="U1386" s="277"/>
      <c r="V1386" s="277"/>
      <c r="W1386" s="277"/>
      <c r="X1386" s="277"/>
      <c r="Y1386" s="277"/>
      <c r="Z1386" s="277"/>
      <c r="AA1386" s="277"/>
      <c r="AB1386" s="277"/>
      <c r="AC1386" s="277"/>
      <c r="AD1386" s="277"/>
      <c r="AE1386" s="277"/>
      <c r="AF1386" s="277"/>
      <c r="AG1386" s="277"/>
      <c r="AH1386" s="277"/>
      <c r="AI1386" s="277"/>
    </row>
    <row r="1387" spans="16:35" s="185" customFormat="1">
      <c r="P1387" s="277"/>
      <c r="Q1387" s="277"/>
      <c r="R1387" s="277"/>
      <c r="S1387" s="291">
        <v>42933</v>
      </c>
      <c r="T1387" s="279">
        <v>1294</v>
      </c>
      <c r="U1387" s="277"/>
      <c r="V1387" s="277"/>
      <c r="W1387" s="277"/>
      <c r="X1387" s="277"/>
      <c r="Y1387" s="277"/>
      <c r="Z1387" s="277"/>
      <c r="AA1387" s="277"/>
      <c r="AB1387" s="277"/>
      <c r="AC1387" s="277"/>
      <c r="AD1387" s="277"/>
      <c r="AE1387" s="277"/>
      <c r="AF1387" s="277"/>
      <c r="AG1387" s="277"/>
      <c r="AH1387" s="277"/>
      <c r="AI1387" s="277"/>
    </row>
    <row r="1388" spans="16:35" s="185" customFormat="1">
      <c r="P1388" s="277"/>
      <c r="Q1388" s="277"/>
      <c r="R1388" s="277"/>
      <c r="S1388" s="291">
        <v>42934</v>
      </c>
      <c r="T1388" s="279">
        <v>1295</v>
      </c>
      <c r="U1388" s="277"/>
      <c r="V1388" s="277"/>
      <c r="W1388" s="277"/>
      <c r="X1388" s="277"/>
      <c r="Y1388" s="277"/>
      <c r="Z1388" s="277"/>
      <c r="AA1388" s="277"/>
      <c r="AB1388" s="277"/>
      <c r="AC1388" s="277"/>
      <c r="AD1388" s="277"/>
      <c r="AE1388" s="277"/>
      <c r="AF1388" s="277"/>
      <c r="AG1388" s="277"/>
      <c r="AH1388" s="277"/>
      <c r="AI1388" s="277"/>
    </row>
    <row r="1389" spans="16:35" s="185" customFormat="1">
      <c r="P1389" s="277"/>
      <c r="Q1389" s="277"/>
      <c r="R1389" s="277"/>
      <c r="S1389" s="291">
        <v>42935</v>
      </c>
      <c r="T1389" s="279">
        <v>1296</v>
      </c>
      <c r="U1389" s="277"/>
      <c r="V1389" s="277"/>
      <c r="W1389" s="277"/>
      <c r="X1389" s="277"/>
      <c r="Y1389" s="277"/>
      <c r="Z1389" s="277"/>
      <c r="AA1389" s="277"/>
      <c r="AB1389" s="277"/>
      <c r="AC1389" s="277"/>
      <c r="AD1389" s="277"/>
      <c r="AE1389" s="277"/>
      <c r="AF1389" s="277"/>
      <c r="AG1389" s="277"/>
      <c r="AH1389" s="277"/>
      <c r="AI1389" s="277"/>
    </row>
    <row r="1390" spans="16:35" s="185" customFormat="1">
      <c r="P1390" s="277"/>
      <c r="Q1390" s="277"/>
      <c r="R1390" s="277"/>
      <c r="S1390" s="291">
        <v>42936</v>
      </c>
      <c r="T1390" s="279">
        <v>1297</v>
      </c>
      <c r="U1390" s="277"/>
      <c r="V1390" s="277"/>
      <c r="W1390" s="277"/>
      <c r="X1390" s="277"/>
      <c r="Y1390" s="277"/>
      <c r="Z1390" s="277"/>
      <c r="AA1390" s="277"/>
      <c r="AB1390" s="277"/>
      <c r="AC1390" s="277"/>
      <c r="AD1390" s="277"/>
      <c r="AE1390" s="277"/>
      <c r="AF1390" s="277"/>
      <c r="AG1390" s="277"/>
      <c r="AH1390" s="277"/>
      <c r="AI1390" s="277"/>
    </row>
    <row r="1391" spans="16:35" s="185" customFormat="1">
      <c r="P1391" s="277"/>
      <c r="Q1391" s="277"/>
      <c r="R1391" s="277"/>
      <c r="S1391" s="291">
        <v>42937</v>
      </c>
      <c r="T1391" s="279">
        <v>1298</v>
      </c>
      <c r="U1391" s="277"/>
      <c r="V1391" s="277"/>
      <c r="W1391" s="277"/>
      <c r="X1391" s="277"/>
      <c r="Y1391" s="277"/>
      <c r="Z1391" s="277"/>
      <c r="AA1391" s="277"/>
      <c r="AB1391" s="277"/>
      <c r="AC1391" s="277"/>
      <c r="AD1391" s="277"/>
      <c r="AE1391" s="277"/>
      <c r="AF1391" s="277"/>
      <c r="AG1391" s="277"/>
      <c r="AH1391" s="277"/>
      <c r="AI1391" s="277"/>
    </row>
    <row r="1392" spans="16:35" s="185" customFormat="1">
      <c r="P1392" s="277"/>
      <c r="Q1392" s="277"/>
      <c r="R1392" s="277"/>
      <c r="S1392" s="291">
        <v>42938</v>
      </c>
      <c r="T1392" s="279">
        <v>1299</v>
      </c>
      <c r="U1392" s="277"/>
      <c r="V1392" s="277"/>
      <c r="W1392" s="277"/>
      <c r="X1392" s="277"/>
      <c r="Y1392" s="277"/>
      <c r="Z1392" s="277"/>
      <c r="AA1392" s="277"/>
      <c r="AB1392" s="277"/>
      <c r="AC1392" s="277"/>
      <c r="AD1392" s="277"/>
      <c r="AE1392" s="277"/>
      <c r="AF1392" s="277"/>
      <c r="AG1392" s="277"/>
      <c r="AH1392" s="277"/>
      <c r="AI1392" s="277"/>
    </row>
    <row r="1393" spans="16:35" s="185" customFormat="1">
      <c r="P1393" s="277"/>
      <c r="Q1393" s="277"/>
      <c r="R1393" s="277"/>
      <c r="S1393" s="291">
        <v>42939</v>
      </c>
      <c r="T1393" s="279">
        <v>1300</v>
      </c>
      <c r="U1393" s="277"/>
      <c r="V1393" s="277"/>
      <c r="W1393" s="277"/>
      <c r="X1393" s="277"/>
      <c r="Y1393" s="277"/>
      <c r="Z1393" s="277"/>
      <c r="AA1393" s="277"/>
      <c r="AB1393" s="277"/>
      <c r="AC1393" s="277"/>
      <c r="AD1393" s="277"/>
      <c r="AE1393" s="277"/>
      <c r="AF1393" s="277"/>
      <c r="AG1393" s="277"/>
      <c r="AH1393" s="277"/>
      <c r="AI1393" s="277"/>
    </row>
    <row r="1394" spans="16:35" s="185" customFormat="1">
      <c r="P1394" s="277"/>
      <c r="Q1394" s="277"/>
      <c r="R1394" s="277"/>
      <c r="S1394" s="291">
        <v>42940</v>
      </c>
      <c r="T1394" s="279">
        <v>1301</v>
      </c>
      <c r="U1394" s="277"/>
      <c r="V1394" s="277"/>
      <c r="W1394" s="277"/>
      <c r="X1394" s="277"/>
      <c r="Y1394" s="277"/>
      <c r="Z1394" s="277"/>
      <c r="AA1394" s="277"/>
      <c r="AB1394" s="277"/>
      <c r="AC1394" s="277"/>
      <c r="AD1394" s="277"/>
      <c r="AE1394" s="277"/>
      <c r="AF1394" s="277"/>
      <c r="AG1394" s="277"/>
      <c r="AH1394" s="277"/>
      <c r="AI1394" s="277"/>
    </row>
    <row r="1395" spans="16:35" s="185" customFormat="1">
      <c r="P1395" s="277"/>
      <c r="Q1395" s="277"/>
      <c r="R1395" s="277"/>
      <c r="S1395" s="291">
        <v>42941</v>
      </c>
      <c r="T1395" s="279">
        <v>1302</v>
      </c>
      <c r="U1395" s="277"/>
      <c r="V1395" s="277"/>
      <c r="W1395" s="277"/>
      <c r="X1395" s="277"/>
      <c r="Y1395" s="277"/>
      <c r="Z1395" s="277"/>
      <c r="AA1395" s="277"/>
      <c r="AB1395" s="277"/>
      <c r="AC1395" s="277"/>
      <c r="AD1395" s="277"/>
      <c r="AE1395" s="277"/>
      <c r="AF1395" s="277"/>
      <c r="AG1395" s="277"/>
      <c r="AH1395" s="277"/>
      <c r="AI1395" s="277"/>
    </row>
    <row r="1396" spans="16:35" s="185" customFormat="1">
      <c r="P1396" s="277"/>
      <c r="Q1396" s="277"/>
      <c r="R1396" s="277"/>
      <c r="S1396" s="291">
        <v>42942</v>
      </c>
      <c r="T1396" s="279">
        <v>1303</v>
      </c>
      <c r="U1396" s="277"/>
      <c r="V1396" s="277"/>
      <c r="W1396" s="277"/>
      <c r="X1396" s="277"/>
      <c r="Y1396" s="277"/>
      <c r="Z1396" s="277"/>
      <c r="AA1396" s="277"/>
      <c r="AB1396" s="277"/>
      <c r="AC1396" s="277"/>
      <c r="AD1396" s="277"/>
      <c r="AE1396" s="277"/>
      <c r="AF1396" s="277"/>
      <c r="AG1396" s="277"/>
      <c r="AH1396" s="277"/>
      <c r="AI1396" s="277"/>
    </row>
    <row r="1397" spans="16:35" s="185" customFormat="1">
      <c r="P1397" s="277"/>
      <c r="Q1397" s="277"/>
      <c r="R1397" s="277"/>
      <c r="S1397" s="291">
        <v>42943</v>
      </c>
      <c r="T1397" s="279">
        <v>1304</v>
      </c>
      <c r="U1397" s="277"/>
      <c r="V1397" s="277"/>
      <c r="W1397" s="277"/>
      <c r="X1397" s="277"/>
      <c r="Y1397" s="277"/>
      <c r="Z1397" s="277"/>
      <c r="AA1397" s="277"/>
      <c r="AB1397" s="277"/>
      <c r="AC1397" s="277"/>
      <c r="AD1397" s="277"/>
      <c r="AE1397" s="277"/>
      <c r="AF1397" s="277"/>
      <c r="AG1397" s="277"/>
      <c r="AH1397" s="277"/>
      <c r="AI1397" s="277"/>
    </row>
    <row r="1398" spans="16:35" s="185" customFormat="1">
      <c r="P1398" s="277"/>
      <c r="Q1398" s="277"/>
      <c r="R1398" s="277"/>
      <c r="S1398" s="291">
        <v>42944</v>
      </c>
      <c r="T1398" s="279">
        <v>1305</v>
      </c>
      <c r="U1398" s="277"/>
      <c r="V1398" s="277"/>
      <c r="W1398" s="277"/>
      <c r="X1398" s="277"/>
      <c r="Y1398" s="277"/>
      <c r="Z1398" s="277"/>
      <c r="AA1398" s="277"/>
      <c r="AB1398" s="277"/>
      <c r="AC1398" s="277"/>
      <c r="AD1398" s="277"/>
      <c r="AE1398" s="277"/>
      <c r="AF1398" s="277"/>
      <c r="AG1398" s="277"/>
      <c r="AH1398" s="277"/>
      <c r="AI1398" s="277"/>
    </row>
    <row r="1399" spans="16:35" s="185" customFormat="1">
      <c r="P1399" s="277"/>
      <c r="Q1399" s="277"/>
      <c r="R1399" s="277"/>
      <c r="S1399" s="291">
        <v>42945</v>
      </c>
      <c r="T1399" s="279">
        <v>1306</v>
      </c>
      <c r="U1399" s="277"/>
      <c r="V1399" s="277"/>
      <c r="W1399" s="277"/>
      <c r="X1399" s="277"/>
      <c r="Y1399" s="277"/>
      <c r="Z1399" s="277"/>
      <c r="AA1399" s="277"/>
      <c r="AB1399" s="277"/>
      <c r="AC1399" s="277"/>
      <c r="AD1399" s="277"/>
      <c r="AE1399" s="277"/>
      <c r="AF1399" s="277"/>
      <c r="AG1399" s="277"/>
      <c r="AH1399" s="277"/>
      <c r="AI1399" s="277"/>
    </row>
    <row r="1400" spans="16:35" s="185" customFormat="1">
      <c r="P1400" s="277"/>
      <c r="Q1400" s="277"/>
      <c r="R1400" s="277"/>
      <c r="S1400" s="291">
        <v>42946</v>
      </c>
      <c r="T1400" s="279">
        <v>1307</v>
      </c>
      <c r="U1400" s="277"/>
      <c r="V1400" s="277"/>
      <c r="W1400" s="277"/>
      <c r="X1400" s="277"/>
      <c r="Y1400" s="277"/>
      <c r="Z1400" s="277"/>
      <c r="AA1400" s="277"/>
      <c r="AB1400" s="277"/>
      <c r="AC1400" s="277"/>
      <c r="AD1400" s="277"/>
      <c r="AE1400" s="277"/>
      <c r="AF1400" s="277"/>
      <c r="AG1400" s="277"/>
      <c r="AH1400" s="277"/>
      <c r="AI1400" s="277"/>
    </row>
    <row r="1401" spans="16:35" s="185" customFormat="1">
      <c r="P1401" s="277"/>
      <c r="Q1401" s="277"/>
      <c r="R1401" s="277"/>
      <c r="S1401" s="291">
        <v>42947</v>
      </c>
      <c r="T1401" s="279">
        <v>1308</v>
      </c>
      <c r="U1401" s="277"/>
      <c r="V1401" s="277"/>
      <c r="W1401" s="277"/>
      <c r="X1401" s="277"/>
      <c r="Y1401" s="277"/>
      <c r="Z1401" s="277"/>
      <c r="AA1401" s="277"/>
      <c r="AB1401" s="277"/>
      <c r="AC1401" s="277"/>
      <c r="AD1401" s="277"/>
      <c r="AE1401" s="277"/>
      <c r="AF1401" s="277"/>
      <c r="AG1401" s="277"/>
      <c r="AH1401" s="277"/>
      <c r="AI1401" s="277"/>
    </row>
    <row r="1402" spans="16:35" s="185" customFormat="1">
      <c r="P1402" s="277"/>
      <c r="Q1402" s="277"/>
      <c r="R1402" s="277"/>
      <c r="S1402" s="291">
        <v>42948</v>
      </c>
      <c r="T1402" s="279">
        <v>1309</v>
      </c>
      <c r="U1402" s="277"/>
      <c r="V1402" s="277"/>
      <c r="W1402" s="277"/>
      <c r="X1402" s="277"/>
      <c r="Y1402" s="277"/>
      <c r="Z1402" s="277"/>
      <c r="AA1402" s="277"/>
      <c r="AB1402" s="277"/>
      <c r="AC1402" s="277"/>
      <c r="AD1402" s="277"/>
      <c r="AE1402" s="277"/>
      <c r="AF1402" s="277"/>
      <c r="AG1402" s="277"/>
      <c r="AH1402" s="277"/>
      <c r="AI1402" s="277"/>
    </row>
    <row r="1403" spans="16:35" s="185" customFormat="1">
      <c r="P1403" s="277"/>
      <c r="Q1403" s="277"/>
      <c r="R1403" s="277"/>
      <c r="S1403" s="291">
        <v>42949</v>
      </c>
      <c r="T1403" s="279">
        <v>1310</v>
      </c>
      <c r="U1403" s="277"/>
      <c r="V1403" s="277"/>
      <c r="W1403" s="277"/>
      <c r="X1403" s="277"/>
      <c r="Y1403" s="277"/>
      <c r="Z1403" s="277"/>
      <c r="AA1403" s="277"/>
      <c r="AB1403" s="277"/>
      <c r="AC1403" s="277"/>
      <c r="AD1403" s="277"/>
      <c r="AE1403" s="277"/>
      <c r="AF1403" s="277"/>
      <c r="AG1403" s="277"/>
      <c r="AH1403" s="277"/>
      <c r="AI1403" s="277"/>
    </row>
    <row r="1404" spans="16:35" s="185" customFormat="1">
      <c r="P1404" s="277"/>
      <c r="Q1404" s="277"/>
      <c r="R1404" s="277"/>
      <c r="S1404" s="291">
        <v>42950</v>
      </c>
      <c r="T1404" s="279">
        <v>1311</v>
      </c>
      <c r="U1404" s="277"/>
      <c r="V1404" s="277"/>
      <c r="W1404" s="277"/>
      <c r="X1404" s="277"/>
      <c r="Y1404" s="277"/>
      <c r="Z1404" s="277"/>
      <c r="AA1404" s="277"/>
      <c r="AB1404" s="277"/>
      <c r="AC1404" s="277"/>
      <c r="AD1404" s="277"/>
      <c r="AE1404" s="277"/>
      <c r="AF1404" s="277"/>
      <c r="AG1404" s="277"/>
      <c r="AH1404" s="277"/>
      <c r="AI1404" s="277"/>
    </row>
    <row r="1405" spans="16:35" s="185" customFormat="1">
      <c r="P1405" s="277"/>
      <c r="Q1405" s="277"/>
      <c r="R1405" s="277"/>
      <c r="S1405" s="291">
        <v>42951</v>
      </c>
      <c r="T1405" s="279">
        <v>1312</v>
      </c>
      <c r="U1405" s="277"/>
      <c r="V1405" s="277"/>
      <c r="W1405" s="277"/>
      <c r="X1405" s="277"/>
      <c r="Y1405" s="277"/>
      <c r="Z1405" s="277"/>
      <c r="AA1405" s="277"/>
      <c r="AB1405" s="277"/>
      <c r="AC1405" s="277"/>
      <c r="AD1405" s="277"/>
      <c r="AE1405" s="277"/>
      <c r="AF1405" s="277"/>
      <c r="AG1405" s="277"/>
      <c r="AH1405" s="277"/>
      <c r="AI1405" s="277"/>
    </row>
    <row r="1406" spans="16:35" s="185" customFormat="1">
      <c r="P1406" s="277"/>
      <c r="Q1406" s="277"/>
      <c r="R1406" s="277"/>
      <c r="S1406" s="291">
        <v>42952</v>
      </c>
      <c r="T1406" s="279">
        <v>1313</v>
      </c>
      <c r="U1406" s="277"/>
      <c r="V1406" s="277"/>
      <c r="W1406" s="277"/>
      <c r="X1406" s="277"/>
      <c r="Y1406" s="277"/>
      <c r="Z1406" s="277"/>
      <c r="AA1406" s="277"/>
      <c r="AB1406" s="277"/>
      <c r="AC1406" s="277"/>
      <c r="AD1406" s="277"/>
      <c r="AE1406" s="277"/>
      <c r="AF1406" s="277"/>
      <c r="AG1406" s="277"/>
      <c r="AH1406" s="277"/>
      <c r="AI1406" s="277"/>
    </row>
    <row r="1407" spans="16:35" s="185" customFormat="1">
      <c r="P1407" s="277"/>
      <c r="Q1407" s="277"/>
      <c r="R1407" s="277"/>
      <c r="S1407" s="291">
        <v>42953</v>
      </c>
      <c r="T1407" s="279">
        <v>1314</v>
      </c>
      <c r="U1407" s="277"/>
      <c r="V1407" s="277"/>
      <c r="W1407" s="277"/>
      <c r="X1407" s="277"/>
      <c r="Y1407" s="277"/>
      <c r="Z1407" s="277"/>
      <c r="AA1407" s="277"/>
      <c r="AB1407" s="277"/>
      <c r="AC1407" s="277"/>
      <c r="AD1407" s="277"/>
      <c r="AE1407" s="277"/>
      <c r="AF1407" s="277"/>
      <c r="AG1407" s="277"/>
      <c r="AH1407" s="277"/>
      <c r="AI1407" s="277"/>
    </row>
    <row r="1408" spans="16:35" s="185" customFormat="1">
      <c r="P1408" s="277"/>
      <c r="Q1408" s="277"/>
      <c r="R1408" s="277"/>
      <c r="S1408" s="291">
        <v>42954</v>
      </c>
      <c r="T1408" s="279">
        <v>1315</v>
      </c>
      <c r="U1408" s="277"/>
      <c r="V1408" s="277"/>
      <c r="W1408" s="277"/>
      <c r="X1408" s="277"/>
      <c r="Y1408" s="277"/>
      <c r="Z1408" s="277"/>
      <c r="AA1408" s="277"/>
      <c r="AB1408" s="277"/>
      <c r="AC1408" s="277"/>
      <c r="AD1408" s="277"/>
      <c r="AE1408" s="277"/>
      <c r="AF1408" s="277"/>
      <c r="AG1408" s="277"/>
      <c r="AH1408" s="277"/>
      <c r="AI1408" s="277"/>
    </row>
    <row r="1409" spans="16:35" s="185" customFormat="1">
      <c r="P1409" s="277"/>
      <c r="Q1409" s="277"/>
      <c r="R1409" s="277"/>
      <c r="S1409" s="291">
        <v>42955</v>
      </c>
      <c r="T1409" s="279">
        <v>1316</v>
      </c>
      <c r="U1409" s="277"/>
      <c r="V1409" s="277"/>
      <c r="W1409" s="277"/>
      <c r="X1409" s="277"/>
      <c r="Y1409" s="277"/>
      <c r="Z1409" s="277"/>
      <c r="AA1409" s="277"/>
      <c r="AB1409" s="277"/>
      <c r="AC1409" s="277"/>
      <c r="AD1409" s="277"/>
      <c r="AE1409" s="277"/>
      <c r="AF1409" s="277"/>
      <c r="AG1409" s="277"/>
      <c r="AH1409" s="277"/>
      <c r="AI1409" s="277"/>
    </row>
    <row r="1410" spans="16:35" s="185" customFormat="1">
      <c r="P1410" s="277"/>
      <c r="Q1410" s="277"/>
      <c r="R1410" s="277"/>
      <c r="S1410" s="291">
        <v>42956</v>
      </c>
      <c r="T1410" s="279">
        <v>1317</v>
      </c>
      <c r="U1410" s="277"/>
      <c r="V1410" s="277"/>
      <c r="W1410" s="277"/>
      <c r="X1410" s="277"/>
      <c r="Y1410" s="277"/>
      <c r="Z1410" s="277"/>
      <c r="AA1410" s="277"/>
      <c r="AB1410" s="277"/>
      <c r="AC1410" s="277"/>
      <c r="AD1410" s="277"/>
      <c r="AE1410" s="277"/>
      <c r="AF1410" s="277"/>
      <c r="AG1410" s="277"/>
      <c r="AH1410" s="277"/>
      <c r="AI1410" s="277"/>
    </row>
    <row r="1411" spans="16:35" s="185" customFormat="1">
      <c r="P1411" s="277"/>
      <c r="Q1411" s="277"/>
      <c r="R1411" s="277"/>
      <c r="S1411" s="291">
        <v>42957</v>
      </c>
      <c r="T1411" s="279">
        <v>1318</v>
      </c>
      <c r="U1411" s="277"/>
      <c r="V1411" s="277"/>
      <c r="W1411" s="277"/>
      <c r="X1411" s="277"/>
      <c r="Y1411" s="277"/>
      <c r="Z1411" s="277"/>
      <c r="AA1411" s="277"/>
      <c r="AB1411" s="277"/>
      <c r="AC1411" s="277"/>
      <c r="AD1411" s="277"/>
      <c r="AE1411" s="277"/>
      <c r="AF1411" s="277"/>
      <c r="AG1411" s="277"/>
      <c r="AH1411" s="277"/>
      <c r="AI1411" s="277"/>
    </row>
    <row r="1412" spans="16:35" s="185" customFormat="1">
      <c r="P1412" s="277"/>
      <c r="Q1412" s="277"/>
      <c r="R1412" s="277"/>
      <c r="S1412" s="291">
        <v>42958</v>
      </c>
      <c r="T1412" s="279">
        <v>1319</v>
      </c>
      <c r="U1412" s="277"/>
      <c r="V1412" s="277"/>
      <c r="W1412" s="277"/>
      <c r="X1412" s="277"/>
      <c r="Y1412" s="277"/>
      <c r="Z1412" s="277"/>
      <c r="AA1412" s="277"/>
      <c r="AB1412" s="277"/>
      <c r="AC1412" s="277"/>
      <c r="AD1412" s="277"/>
      <c r="AE1412" s="277"/>
      <c r="AF1412" s="277"/>
      <c r="AG1412" s="277"/>
      <c r="AH1412" s="277"/>
      <c r="AI1412" s="277"/>
    </row>
    <row r="1413" spans="16:35" s="185" customFormat="1">
      <c r="P1413" s="277"/>
      <c r="Q1413" s="277"/>
      <c r="R1413" s="277"/>
      <c r="S1413" s="291">
        <v>42959</v>
      </c>
      <c r="T1413" s="279">
        <v>1320</v>
      </c>
      <c r="U1413" s="277"/>
      <c r="V1413" s="277"/>
      <c r="W1413" s="277"/>
      <c r="X1413" s="277"/>
      <c r="Y1413" s="277"/>
      <c r="Z1413" s="277"/>
      <c r="AA1413" s="277"/>
      <c r="AB1413" s="277"/>
      <c r="AC1413" s="277"/>
      <c r="AD1413" s="277"/>
      <c r="AE1413" s="277"/>
      <c r="AF1413" s="277"/>
      <c r="AG1413" s="277"/>
      <c r="AH1413" s="277"/>
      <c r="AI1413" s="277"/>
    </row>
    <row r="1414" spans="16:35" s="185" customFormat="1">
      <c r="P1414" s="277"/>
      <c r="Q1414" s="277"/>
      <c r="R1414" s="277"/>
      <c r="S1414" s="291">
        <v>42960</v>
      </c>
      <c r="T1414" s="279">
        <v>1321</v>
      </c>
      <c r="U1414" s="277"/>
      <c r="V1414" s="277"/>
      <c r="W1414" s="277"/>
      <c r="X1414" s="277"/>
      <c r="Y1414" s="277"/>
      <c r="Z1414" s="277"/>
      <c r="AA1414" s="277"/>
      <c r="AB1414" s="277"/>
      <c r="AC1414" s="277"/>
      <c r="AD1414" s="277"/>
      <c r="AE1414" s="277"/>
      <c r="AF1414" s="277"/>
      <c r="AG1414" s="277"/>
      <c r="AH1414" s="277"/>
      <c r="AI1414" s="277"/>
    </row>
    <row r="1415" spans="16:35" s="185" customFormat="1">
      <c r="P1415" s="277"/>
      <c r="Q1415" s="277"/>
      <c r="R1415" s="277"/>
      <c r="S1415" s="291">
        <v>42961</v>
      </c>
      <c r="T1415" s="279">
        <v>1322</v>
      </c>
      <c r="U1415" s="277"/>
      <c r="V1415" s="277"/>
      <c r="W1415" s="277"/>
      <c r="X1415" s="277"/>
      <c r="Y1415" s="277"/>
      <c r="Z1415" s="277"/>
      <c r="AA1415" s="277"/>
      <c r="AB1415" s="277"/>
      <c r="AC1415" s="277"/>
      <c r="AD1415" s="277"/>
      <c r="AE1415" s="277"/>
      <c r="AF1415" s="277"/>
      <c r="AG1415" s="277"/>
      <c r="AH1415" s="277"/>
      <c r="AI1415" s="277"/>
    </row>
    <row r="1416" spans="16:35" s="185" customFormat="1">
      <c r="P1416" s="277"/>
      <c r="Q1416" s="277"/>
      <c r="R1416" s="277"/>
      <c r="S1416" s="291">
        <v>42962</v>
      </c>
      <c r="T1416" s="279">
        <v>1323</v>
      </c>
      <c r="U1416" s="277"/>
      <c r="V1416" s="277"/>
      <c r="W1416" s="277"/>
      <c r="X1416" s="277"/>
      <c r="Y1416" s="277"/>
      <c r="Z1416" s="277"/>
      <c r="AA1416" s="277"/>
      <c r="AB1416" s="277"/>
      <c r="AC1416" s="277"/>
      <c r="AD1416" s="277"/>
      <c r="AE1416" s="277"/>
      <c r="AF1416" s="277"/>
      <c r="AG1416" s="277"/>
      <c r="AH1416" s="277"/>
      <c r="AI1416" s="277"/>
    </row>
    <row r="1417" spans="16:35" s="185" customFormat="1">
      <c r="P1417" s="277"/>
      <c r="Q1417" s="277"/>
      <c r="R1417" s="277"/>
      <c r="S1417" s="291">
        <v>42963</v>
      </c>
      <c r="T1417" s="279">
        <v>1324</v>
      </c>
      <c r="U1417" s="277"/>
      <c r="V1417" s="277"/>
      <c r="W1417" s="277"/>
      <c r="X1417" s="277"/>
      <c r="Y1417" s="277"/>
      <c r="Z1417" s="277"/>
      <c r="AA1417" s="277"/>
      <c r="AB1417" s="277"/>
      <c r="AC1417" s="277"/>
      <c r="AD1417" s="277"/>
      <c r="AE1417" s="277"/>
      <c r="AF1417" s="277"/>
      <c r="AG1417" s="277"/>
      <c r="AH1417" s="277"/>
      <c r="AI1417" s="277"/>
    </row>
    <row r="1418" spans="16:35" s="185" customFormat="1">
      <c r="P1418" s="277"/>
      <c r="Q1418" s="277"/>
      <c r="R1418" s="277"/>
      <c r="S1418" s="291">
        <v>42964</v>
      </c>
      <c r="T1418" s="279">
        <v>1325</v>
      </c>
      <c r="U1418" s="277"/>
      <c r="V1418" s="277"/>
      <c r="W1418" s="277"/>
      <c r="X1418" s="277"/>
      <c r="Y1418" s="277"/>
      <c r="Z1418" s="277"/>
      <c r="AA1418" s="277"/>
      <c r="AB1418" s="277"/>
      <c r="AC1418" s="277"/>
      <c r="AD1418" s="277"/>
      <c r="AE1418" s="277"/>
      <c r="AF1418" s="277"/>
      <c r="AG1418" s="277"/>
      <c r="AH1418" s="277"/>
      <c r="AI1418" s="277"/>
    </row>
    <row r="1419" spans="16:35" s="185" customFormat="1">
      <c r="P1419" s="277"/>
      <c r="Q1419" s="277"/>
      <c r="R1419" s="277"/>
      <c r="S1419" s="291">
        <v>42965</v>
      </c>
      <c r="T1419" s="279">
        <v>1326</v>
      </c>
      <c r="U1419" s="277"/>
      <c r="V1419" s="277"/>
      <c r="W1419" s="277"/>
      <c r="X1419" s="277"/>
      <c r="Y1419" s="277"/>
      <c r="Z1419" s="277"/>
      <c r="AA1419" s="277"/>
      <c r="AB1419" s="277"/>
      <c r="AC1419" s="277"/>
      <c r="AD1419" s="277"/>
      <c r="AE1419" s="277"/>
      <c r="AF1419" s="277"/>
      <c r="AG1419" s="277"/>
      <c r="AH1419" s="277"/>
      <c r="AI1419" s="277"/>
    </row>
    <row r="1420" spans="16:35" s="185" customFormat="1">
      <c r="P1420" s="277"/>
      <c r="Q1420" s="277"/>
      <c r="R1420" s="277"/>
      <c r="S1420" s="291">
        <v>42966</v>
      </c>
      <c r="T1420" s="279">
        <v>1327</v>
      </c>
      <c r="U1420" s="277"/>
      <c r="V1420" s="277"/>
      <c r="W1420" s="277"/>
      <c r="X1420" s="277"/>
      <c r="Y1420" s="277"/>
      <c r="Z1420" s="277"/>
      <c r="AA1420" s="277"/>
      <c r="AB1420" s="277"/>
      <c r="AC1420" s="277"/>
      <c r="AD1420" s="277"/>
      <c r="AE1420" s="277"/>
      <c r="AF1420" s="277"/>
      <c r="AG1420" s="277"/>
      <c r="AH1420" s="277"/>
      <c r="AI1420" s="277"/>
    </row>
    <row r="1421" spans="16:35" s="185" customFormat="1">
      <c r="P1421" s="277"/>
      <c r="Q1421" s="277"/>
      <c r="R1421" s="277"/>
      <c r="S1421" s="291">
        <v>42967</v>
      </c>
      <c r="T1421" s="279">
        <v>1328</v>
      </c>
      <c r="U1421" s="277"/>
      <c r="V1421" s="277"/>
      <c r="W1421" s="277"/>
      <c r="X1421" s="277"/>
      <c r="Y1421" s="277"/>
      <c r="Z1421" s="277"/>
      <c r="AA1421" s="277"/>
      <c r="AB1421" s="277"/>
      <c r="AC1421" s="277"/>
      <c r="AD1421" s="277"/>
      <c r="AE1421" s="277"/>
      <c r="AF1421" s="277"/>
      <c r="AG1421" s="277"/>
      <c r="AH1421" s="277"/>
      <c r="AI1421" s="277"/>
    </row>
    <row r="1422" spans="16:35" s="185" customFormat="1">
      <c r="P1422" s="277"/>
      <c r="Q1422" s="277"/>
      <c r="R1422" s="277"/>
      <c r="S1422" s="291">
        <v>42968</v>
      </c>
      <c r="T1422" s="279">
        <v>1329</v>
      </c>
      <c r="U1422" s="277"/>
      <c r="V1422" s="277"/>
      <c r="W1422" s="277"/>
      <c r="X1422" s="277"/>
      <c r="Y1422" s="277"/>
      <c r="Z1422" s="277"/>
      <c r="AA1422" s="277"/>
      <c r="AB1422" s="277"/>
      <c r="AC1422" s="277"/>
      <c r="AD1422" s="277"/>
      <c r="AE1422" s="277"/>
      <c r="AF1422" s="277"/>
      <c r="AG1422" s="277"/>
      <c r="AH1422" s="277"/>
      <c r="AI1422" s="277"/>
    </row>
    <row r="1423" spans="16:35" s="185" customFormat="1">
      <c r="P1423" s="277"/>
      <c r="Q1423" s="277"/>
      <c r="R1423" s="277"/>
      <c r="S1423" s="291">
        <v>42969</v>
      </c>
      <c r="T1423" s="279">
        <v>1330</v>
      </c>
      <c r="U1423" s="277"/>
      <c r="V1423" s="277"/>
      <c r="W1423" s="277"/>
      <c r="X1423" s="277"/>
      <c r="Y1423" s="277"/>
      <c r="Z1423" s="277"/>
      <c r="AA1423" s="277"/>
      <c r="AB1423" s="277"/>
      <c r="AC1423" s="277"/>
      <c r="AD1423" s="277"/>
      <c r="AE1423" s="277"/>
      <c r="AF1423" s="277"/>
      <c r="AG1423" s="277"/>
      <c r="AH1423" s="277"/>
      <c r="AI1423" s="277"/>
    </row>
    <row r="1424" spans="16:35" s="185" customFormat="1">
      <c r="P1424" s="277"/>
      <c r="Q1424" s="277"/>
      <c r="R1424" s="277"/>
      <c r="S1424" s="291">
        <v>42970</v>
      </c>
      <c r="T1424" s="279">
        <v>1331</v>
      </c>
      <c r="U1424" s="277"/>
      <c r="V1424" s="277"/>
      <c r="W1424" s="277"/>
      <c r="X1424" s="277"/>
      <c r="Y1424" s="277"/>
      <c r="Z1424" s="277"/>
      <c r="AA1424" s="277"/>
      <c r="AB1424" s="277"/>
      <c r="AC1424" s="277"/>
      <c r="AD1424" s="277"/>
      <c r="AE1424" s="277"/>
      <c r="AF1424" s="277"/>
      <c r="AG1424" s="277"/>
      <c r="AH1424" s="277"/>
      <c r="AI1424" s="277"/>
    </row>
    <row r="1425" spans="16:35" s="185" customFormat="1">
      <c r="P1425" s="277"/>
      <c r="Q1425" s="277"/>
      <c r="R1425" s="277"/>
      <c r="S1425" s="291">
        <v>42971</v>
      </c>
      <c r="T1425" s="279">
        <v>1332</v>
      </c>
      <c r="U1425" s="277"/>
      <c r="V1425" s="277"/>
      <c r="W1425" s="277"/>
      <c r="X1425" s="277"/>
      <c r="Y1425" s="277"/>
      <c r="Z1425" s="277"/>
      <c r="AA1425" s="277"/>
      <c r="AB1425" s="277"/>
      <c r="AC1425" s="277"/>
      <c r="AD1425" s="277"/>
      <c r="AE1425" s="277"/>
      <c r="AF1425" s="277"/>
      <c r="AG1425" s="277"/>
      <c r="AH1425" s="277"/>
      <c r="AI1425" s="277"/>
    </row>
    <row r="1426" spans="16:35" s="185" customFormat="1">
      <c r="P1426" s="277"/>
      <c r="Q1426" s="277"/>
      <c r="R1426" s="277"/>
      <c r="S1426" s="291">
        <v>42972</v>
      </c>
      <c r="T1426" s="279">
        <v>1333</v>
      </c>
      <c r="U1426" s="277"/>
      <c r="V1426" s="277"/>
      <c r="W1426" s="277"/>
      <c r="X1426" s="277"/>
      <c r="Y1426" s="277"/>
      <c r="Z1426" s="277"/>
      <c r="AA1426" s="277"/>
      <c r="AB1426" s="277"/>
      <c r="AC1426" s="277"/>
      <c r="AD1426" s="277"/>
      <c r="AE1426" s="277"/>
      <c r="AF1426" s="277"/>
      <c r="AG1426" s="277"/>
      <c r="AH1426" s="277"/>
      <c r="AI1426" s="277"/>
    </row>
    <row r="1427" spans="16:35" s="185" customFormat="1">
      <c r="P1427" s="277"/>
      <c r="Q1427" s="277"/>
      <c r="R1427" s="277"/>
      <c r="S1427" s="291">
        <v>42973</v>
      </c>
      <c r="T1427" s="279">
        <v>1334</v>
      </c>
      <c r="U1427" s="277"/>
      <c r="V1427" s="277"/>
      <c r="W1427" s="277"/>
      <c r="X1427" s="277"/>
      <c r="Y1427" s="277"/>
      <c r="Z1427" s="277"/>
      <c r="AA1427" s="277"/>
      <c r="AB1427" s="277"/>
      <c r="AC1427" s="277"/>
      <c r="AD1427" s="277"/>
      <c r="AE1427" s="277"/>
      <c r="AF1427" s="277"/>
      <c r="AG1427" s="277"/>
      <c r="AH1427" s="277"/>
      <c r="AI1427" s="277"/>
    </row>
    <row r="1428" spans="16:35" s="185" customFormat="1">
      <c r="P1428" s="277"/>
      <c r="Q1428" s="277"/>
      <c r="R1428" s="277"/>
      <c r="S1428" s="291">
        <v>42974</v>
      </c>
      <c r="T1428" s="279">
        <v>1335</v>
      </c>
      <c r="U1428" s="277"/>
      <c r="V1428" s="277"/>
      <c r="W1428" s="277"/>
      <c r="X1428" s="277"/>
      <c r="Y1428" s="277"/>
      <c r="Z1428" s="277"/>
      <c r="AA1428" s="277"/>
      <c r="AB1428" s="277"/>
      <c r="AC1428" s="277"/>
      <c r="AD1428" s="277"/>
      <c r="AE1428" s="277"/>
      <c r="AF1428" s="277"/>
      <c r="AG1428" s="277"/>
      <c r="AH1428" s="277"/>
      <c r="AI1428" s="277"/>
    </row>
    <row r="1429" spans="16:35" s="185" customFormat="1">
      <c r="P1429" s="277"/>
      <c r="Q1429" s="277"/>
      <c r="R1429" s="277"/>
      <c r="S1429" s="291">
        <v>42975</v>
      </c>
      <c r="T1429" s="279">
        <v>1336</v>
      </c>
      <c r="U1429" s="277"/>
      <c r="V1429" s="277"/>
      <c r="W1429" s="277"/>
      <c r="X1429" s="277"/>
      <c r="Y1429" s="277"/>
      <c r="Z1429" s="277"/>
      <c r="AA1429" s="277"/>
      <c r="AB1429" s="277"/>
      <c r="AC1429" s="277"/>
      <c r="AD1429" s="277"/>
      <c r="AE1429" s="277"/>
      <c r="AF1429" s="277"/>
      <c r="AG1429" s="277"/>
      <c r="AH1429" s="277"/>
      <c r="AI1429" s="277"/>
    </row>
    <row r="1430" spans="16:35" s="185" customFormat="1">
      <c r="P1430" s="277"/>
      <c r="Q1430" s="277"/>
      <c r="R1430" s="277"/>
      <c r="S1430" s="291">
        <v>42976</v>
      </c>
      <c r="T1430" s="279">
        <v>1337</v>
      </c>
      <c r="U1430" s="277"/>
      <c r="V1430" s="277"/>
      <c r="W1430" s="277"/>
      <c r="X1430" s="277"/>
      <c r="Y1430" s="277"/>
      <c r="Z1430" s="277"/>
      <c r="AA1430" s="277"/>
      <c r="AB1430" s="277"/>
      <c r="AC1430" s="277"/>
      <c r="AD1430" s="277"/>
      <c r="AE1430" s="277"/>
      <c r="AF1430" s="277"/>
      <c r="AG1430" s="277"/>
      <c r="AH1430" s="277"/>
      <c r="AI1430" s="277"/>
    </row>
    <row r="1431" spans="16:35" s="185" customFormat="1">
      <c r="P1431" s="277"/>
      <c r="Q1431" s="277"/>
      <c r="R1431" s="277"/>
      <c r="S1431" s="291">
        <v>42977</v>
      </c>
      <c r="T1431" s="279">
        <v>1338</v>
      </c>
      <c r="U1431" s="277"/>
      <c r="V1431" s="277"/>
      <c r="W1431" s="277"/>
      <c r="X1431" s="277"/>
      <c r="Y1431" s="277"/>
      <c r="Z1431" s="277"/>
      <c r="AA1431" s="277"/>
      <c r="AB1431" s="277"/>
      <c r="AC1431" s="277"/>
      <c r="AD1431" s="277"/>
      <c r="AE1431" s="277"/>
      <c r="AF1431" s="277"/>
      <c r="AG1431" s="277"/>
      <c r="AH1431" s="277"/>
      <c r="AI1431" s="277"/>
    </row>
    <row r="1432" spans="16:35" s="185" customFormat="1">
      <c r="P1432" s="277"/>
      <c r="Q1432" s="277"/>
      <c r="R1432" s="277"/>
      <c r="S1432" s="291">
        <v>42978</v>
      </c>
      <c r="T1432" s="279">
        <v>1339</v>
      </c>
      <c r="U1432" s="277"/>
      <c r="V1432" s="277"/>
      <c r="W1432" s="277"/>
      <c r="X1432" s="277"/>
      <c r="Y1432" s="277"/>
      <c r="Z1432" s="277"/>
      <c r="AA1432" s="277"/>
      <c r="AB1432" s="277"/>
      <c r="AC1432" s="277"/>
      <c r="AD1432" s="277"/>
      <c r="AE1432" s="277"/>
      <c r="AF1432" s="277"/>
      <c r="AG1432" s="277"/>
      <c r="AH1432" s="277"/>
      <c r="AI1432" s="277"/>
    </row>
    <row r="1433" spans="16:35" s="185" customFormat="1">
      <c r="P1433" s="277"/>
      <c r="Q1433" s="277"/>
      <c r="R1433" s="277"/>
      <c r="S1433" s="291">
        <v>42979</v>
      </c>
      <c r="T1433" s="279">
        <v>1340</v>
      </c>
      <c r="U1433" s="277"/>
      <c r="V1433" s="277"/>
      <c r="W1433" s="277"/>
      <c r="X1433" s="277"/>
      <c r="Y1433" s="277"/>
      <c r="Z1433" s="277"/>
      <c r="AA1433" s="277"/>
      <c r="AB1433" s="277"/>
      <c r="AC1433" s="277"/>
      <c r="AD1433" s="277"/>
      <c r="AE1433" s="277"/>
      <c r="AF1433" s="277"/>
      <c r="AG1433" s="277"/>
      <c r="AH1433" s="277"/>
      <c r="AI1433" s="277"/>
    </row>
    <row r="1434" spans="16:35" s="185" customFormat="1">
      <c r="P1434" s="277"/>
      <c r="Q1434" s="277"/>
      <c r="R1434" s="277"/>
      <c r="S1434" s="291">
        <v>42980</v>
      </c>
      <c r="T1434" s="279">
        <v>1341</v>
      </c>
      <c r="U1434" s="277"/>
      <c r="V1434" s="277"/>
      <c r="W1434" s="277"/>
      <c r="X1434" s="277"/>
      <c r="Y1434" s="277"/>
      <c r="Z1434" s="277"/>
      <c r="AA1434" s="277"/>
      <c r="AB1434" s="277"/>
      <c r="AC1434" s="277"/>
      <c r="AD1434" s="277"/>
      <c r="AE1434" s="277"/>
      <c r="AF1434" s="277"/>
      <c r="AG1434" s="277"/>
      <c r="AH1434" s="277"/>
      <c r="AI1434" s="277"/>
    </row>
    <row r="1435" spans="16:35" s="185" customFormat="1">
      <c r="P1435" s="277"/>
      <c r="Q1435" s="277"/>
      <c r="R1435" s="277"/>
      <c r="S1435" s="291">
        <v>42981</v>
      </c>
      <c r="T1435" s="279">
        <v>1342</v>
      </c>
      <c r="U1435" s="277"/>
      <c r="V1435" s="277"/>
      <c r="W1435" s="277"/>
      <c r="X1435" s="277"/>
      <c r="Y1435" s="277"/>
      <c r="Z1435" s="277"/>
      <c r="AA1435" s="277"/>
      <c r="AB1435" s="277"/>
      <c r="AC1435" s="277"/>
      <c r="AD1435" s="277"/>
      <c r="AE1435" s="277"/>
      <c r="AF1435" s="277"/>
      <c r="AG1435" s="277"/>
      <c r="AH1435" s="277"/>
      <c r="AI1435" s="277"/>
    </row>
    <row r="1436" spans="16:35" s="185" customFormat="1">
      <c r="P1436" s="277"/>
      <c r="Q1436" s="277"/>
      <c r="R1436" s="277"/>
      <c r="S1436" s="291">
        <v>42982</v>
      </c>
      <c r="T1436" s="279">
        <v>1343</v>
      </c>
      <c r="U1436" s="277"/>
      <c r="V1436" s="277"/>
      <c r="W1436" s="277"/>
      <c r="X1436" s="277"/>
      <c r="Y1436" s="277"/>
      <c r="Z1436" s="277"/>
      <c r="AA1436" s="277"/>
      <c r="AB1436" s="277"/>
      <c r="AC1436" s="277"/>
      <c r="AD1436" s="277"/>
      <c r="AE1436" s="277"/>
      <c r="AF1436" s="277"/>
      <c r="AG1436" s="277"/>
      <c r="AH1436" s="277"/>
      <c r="AI1436" s="277"/>
    </row>
    <row r="1437" spans="16:35" s="185" customFormat="1">
      <c r="P1437" s="277"/>
      <c r="Q1437" s="277"/>
      <c r="R1437" s="277"/>
      <c r="S1437" s="291">
        <v>42983</v>
      </c>
      <c r="T1437" s="279">
        <v>1344</v>
      </c>
      <c r="U1437" s="277"/>
      <c r="V1437" s="277"/>
      <c r="W1437" s="277"/>
      <c r="X1437" s="277"/>
      <c r="Y1437" s="277"/>
      <c r="Z1437" s="277"/>
      <c r="AA1437" s="277"/>
      <c r="AB1437" s="277"/>
      <c r="AC1437" s="277"/>
      <c r="AD1437" s="277"/>
      <c r="AE1437" s="277"/>
      <c r="AF1437" s="277"/>
      <c r="AG1437" s="277"/>
      <c r="AH1437" s="277"/>
      <c r="AI1437" s="277"/>
    </row>
    <row r="1438" spans="16:35" s="185" customFormat="1">
      <c r="P1438" s="277"/>
      <c r="Q1438" s="277"/>
      <c r="R1438" s="277"/>
      <c r="S1438" s="291">
        <v>42984</v>
      </c>
      <c r="T1438" s="279">
        <v>1345</v>
      </c>
      <c r="U1438" s="277"/>
      <c r="V1438" s="277"/>
      <c r="W1438" s="277"/>
      <c r="X1438" s="277"/>
      <c r="Y1438" s="277"/>
      <c r="Z1438" s="277"/>
      <c r="AA1438" s="277"/>
      <c r="AB1438" s="277"/>
      <c r="AC1438" s="277"/>
      <c r="AD1438" s="277"/>
      <c r="AE1438" s="277"/>
      <c r="AF1438" s="277"/>
      <c r="AG1438" s="277"/>
      <c r="AH1438" s="277"/>
      <c r="AI1438" s="277"/>
    </row>
    <row r="1439" spans="16:35" s="185" customFormat="1">
      <c r="P1439" s="277"/>
      <c r="Q1439" s="277"/>
      <c r="R1439" s="277"/>
      <c r="S1439" s="291">
        <v>42985</v>
      </c>
      <c r="T1439" s="279">
        <v>1346</v>
      </c>
      <c r="U1439" s="277"/>
      <c r="V1439" s="277"/>
      <c r="W1439" s="277"/>
      <c r="X1439" s="277"/>
      <c r="Y1439" s="277"/>
      <c r="Z1439" s="277"/>
      <c r="AA1439" s="277"/>
      <c r="AB1439" s="277"/>
      <c r="AC1439" s="277"/>
      <c r="AD1439" s="277"/>
      <c r="AE1439" s="277"/>
      <c r="AF1439" s="277"/>
      <c r="AG1439" s="277"/>
      <c r="AH1439" s="277"/>
      <c r="AI1439" s="277"/>
    </row>
    <row r="1440" spans="16:35" s="185" customFormat="1">
      <c r="P1440" s="277"/>
      <c r="Q1440" s="277"/>
      <c r="R1440" s="277"/>
      <c r="S1440" s="291">
        <v>42986</v>
      </c>
      <c r="T1440" s="279">
        <v>1347</v>
      </c>
      <c r="U1440" s="277"/>
      <c r="V1440" s="277"/>
      <c r="W1440" s="277"/>
      <c r="X1440" s="277"/>
      <c r="Y1440" s="277"/>
      <c r="Z1440" s="277"/>
      <c r="AA1440" s="277"/>
      <c r="AB1440" s="277"/>
      <c r="AC1440" s="277"/>
      <c r="AD1440" s="277"/>
      <c r="AE1440" s="277"/>
      <c r="AF1440" s="277"/>
      <c r="AG1440" s="277"/>
      <c r="AH1440" s="277"/>
      <c r="AI1440" s="277"/>
    </row>
    <row r="1441" spans="16:35" s="185" customFormat="1">
      <c r="P1441" s="277"/>
      <c r="Q1441" s="277"/>
      <c r="R1441" s="277"/>
      <c r="S1441" s="291">
        <v>42987</v>
      </c>
      <c r="T1441" s="279">
        <v>1348</v>
      </c>
      <c r="U1441" s="277"/>
      <c r="V1441" s="277"/>
      <c r="W1441" s="277"/>
      <c r="X1441" s="277"/>
      <c r="Y1441" s="277"/>
      <c r="Z1441" s="277"/>
      <c r="AA1441" s="277"/>
      <c r="AB1441" s="277"/>
      <c r="AC1441" s="277"/>
      <c r="AD1441" s="277"/>
      <c r="AE1441" s="277"/>
      <c r="AF1441" s="277"/>
      <c r="AG1441" s="277"/>
      <c r="AH1441" s="277"/>
      <c r="AI1441" s="277"/>
    </row>
    <row r="1442" spans="16:35" s="185" customFormat="1">
      <c r="P1442" s="277"/>
      <c r="Q1442" s="277"/>
      <c r="R1442" s="277"/>
      <c r="S1442" s="291">
        <v>42988</v>
      </c>
      <c r="T1442" s="279">
        <v>1349</v>
      </c>
      <c r="U1442" s="277"/>
      <c r="V1442" s="277"/>
      <c r="W1442" s="277"/>
      <c r="X1442" s="277"/>
      <c r="Y1442" s="277"/>
      <c r="Z1442" s="277"/>
      <c r="AA1442" s="277"/>
      <c r="AB1442" s="277"/>
      <c r="AC1442" s="277"/>
      <c r="AD1442" s="277"/>
      <c r="AE1442" s="277"/>
      <c r="AF1442" s="277"/>
      <c r="AG1442" s="277"/>
      <c r="AH1442" s="277"/>
      <c r="AI1442" s="277"/>
    </row>
    <row r="1443" spans="16:35" s="185" customFormat="1">
      <c r="P1443" s="277"/>
      <c r="Q1443" s="277"/>
      <c r="R1443" s="277"/>
      <c r="S1443" s="291">
        <v>42989</v>
      </c>
      <c r="T1443" s="279">
        <v>1350</v>
      </c>
      <c r="U1443" s="277"/>
      <c r="V1443" s="277"/>
      <c r="W1443" s="277"/>
      <c r="X1443" s="277"/>
      <c r="Y1443" s="277"/>
      <c r="Z1443" s="277"/>
      <c r="AA1443" s="277"/>
      <c r="AB1443" s="277"/>
      <c r="AC1443" s="277"/>
      <c r="AD1443" s="277"/>
      <c r="AE1443" s="277"/>
      <c r="AF1443" s="277"/>
      <c r="AG1443" s="277"/>
      <c r="AH1443" s="277"/>
      <c r="AI1443" s="277"/>
    </row>
    <row r="1444" spans="16:35" s="185" customFormat="1">
      <c r="P1444" s="277"/>
      <c r="Q1444" s="277"/>
      <c r="R1444" s="277"/>
      <c r="S1444" s="291">
        <v>42990</v>
      </c>
      <c r="T1444" s="279">
        <v>1351</v>
      </c>
      <c r="U1444" s="277"/>
      <c r="V1444" s="277"/>
      <c r="W1444" s="277"/>
      <c r="X1444" s="277"/>
      <c r="Y1444" s="277"/>
      <c r="Z1444" s="277"/>
      <c r="AA1444" s="277"/>
      <c r="AB1444" s="277"/>
      <c r="AC1444" s="277"/>
      <c r="AD1444" s="277"/>
      <c r="AE1444" s="277"/>
      <c r="AF1444" s="277"/>
      <c r="AG1444" s="277"/>
      <c r="AH1444" s="277"/>
      <c r="AI1444" s="277"/>
    </row>
    <row r="1445" spans="16:35" s="185" customFormat="1">
      <c r="P1445" s="277"/>
      <c r="Q1445" s="277"/>
      <c r="R1445" s="277"/>
      <c r="S1445" s="291">
        <v>42991</v>
      </c>
      <c r="T1445" s="279">
        <v>1352</v>
      </c>
      <c r="U1445" s="277"/>
      <c r="V1445" s="277"/>
      <c r="W1445" s="277"/>
      <c r="X1445" s="277"/>
      <c r="Y1445" s="277"/>
      <c r="Z1445" s="277"/>
      <c r="AA1445" s="277"/>
      <c r="AB1445" s="277"/>
      <c r="AC1445" s="277"/>
      <c r="AD1445" s="277"/>
      <c r="AE1445" s="277"/>
      <c r="AF1445" s="277"/>
      <c r="AG1445" s="277"/>
      <c r="AH1445" s="277"/>
      <c r="AI1445" s="277"/>
    </row>
    <row r="1446" spans="16:35" s="185" customFormat="1">
      <c r="P1446" s="277"/>
      <c r="Q1446" s="277"/>
      <c r="R1446" s="277"/>
      <c r="S1446" s="291">
        <v>42992</v>
      </c>
      <c r="T1446" s="279">
        <v>1353</v>
      </c>
      <c r="U1446" s="277"/>
      <c r="V1446" s="277"/>
      <c r="W1446" s="277"/>
      <c r="X1446" s="277"/>
      <c r="Y1446" s="277"/>
      <c r="Z1446" s="277"/>
      <c r="AA1446" s="277"/>
      <c r="AB1446" s="277"/>
      <c r="AC1446" s="277"/>
      <c r="AD1446" s="277"/>
      <c r="AE1446" s="277"/>
      <c r="AF1446" s="277"/>
      <c r="AG1446" s="277"/>
      <c r="AH1446" s="277"/>
      <c r="AI1446" s="277"/>
    </row>
    <row r="1447" spans="16:35" s="185" customFormat="1">
      <c r="P1447" s="277"/>
      <c r="Q1447" s="277"/>
      <c r="R1447" s="277"/>
      <c r="S1447" s="291">
        <v>42993</v>
      </c>
      <c r="T1447" s="279">
        <v>1354</v>
      </c>
      <c r="U1447" s="277"/>
      <c r="V1447" s="277"/>
      <c r="W1447" s="277"/>
      <c r="X1447" s="277"/>
      <c r="Y1447" s="277"/>
      <c r="Z1447" s="277"/>
      <c r="AA1447" s="277"/>
      <c r="AB1447" s="277"/>
      <c r="AC1447" s="277"/>
      <c r="AD1447" s="277"/>
      <c r="AE1447" s="277"/>
      <c r="AF1447" s="277"/>
      <c r="AG1447" s="277"/>
      <c r="AH1447" s="277"/>
      <c r="AI1447" s="277"/>
    </row>
    <row r="1448" spans="16:35" s="185" customFormat="1">
      <c r="P1448" s="277"/>
      <c r="Q1448" s="277"/>
      <c r="R1448" s="277"/>
      <c r="S1448" s="291">
        <v>42994</v>
      </c>
      <c r="T1448" s="279">
        <v>1355</v>
      </c>
      <c r="U1448" s="277"/>
      <c r="V1448" s="277"/>
      <c r="W1448" s="277"/>
      <c r="X1448" s="277"/>
      <c r="Y1448" s="277"/>
      <c r="Z1448" s="277"/>
      <c r="AA1448" s="277"/>
      <c r="AB1448" s="277"/>
      <c r="AC1448" s="277"/>
      <c r="AD1448" s="277"/>
      <c r="AE1448" s="277"/>
      <c r="AF1448" s="277"/>
      <c r="AG1448" s="277"/>
      <c r="AH1448" s="277"/>
      <c r="AI1448" s="277"/>
    </row>
    <row r="1449" spans="16:35" s="185" customFormat="1">
      <c r="P1449" s="277"/>
      <c r="Q1449" s="277"/>
      <c r="R1449" s="277"/>
      <c r="S1449" s="291">
        <v>42995</v>
      </c>
      <c r="T1449" s="279">
        <v>1356</v>
      </c>
      <c r="U1449" s="277"/>
      <c r="V1449" s="277"/>
      <c r="W1449" s="277"/>
      <c r="X1449" s="277"/>
      <c r="Y1449" s="277"/>
      <c r="Z1449" s="277"/>
      <c r="AA1449" s="277"/>
      <c r="AB1449" s="277"/>
      <c r="AC1449" s="277"/>
      <c r="AD1449" s="277"/>
      <c r="AE1449" s="277"/>
      <c r="AF1449" s="277"/>
      <c r="AG1449" s="277"/>
      <c r="AH1449" s="277"/>
      <c r="AI1449" s="277"/>
    </row>
    <row r="1450" spans="16:35" s="185" customFormat="1">
      <c r="P1450" s="277"/>
      <c r="Q1450" s="277"/>
      <c r="R1450" s="277"/>
      <c r="S1450" s="291">
        <v>42996</v>
      </c>
      <c r="T1450" s="279">
        <v>1357</v>
      </c>
      <c r="U1450" s="277"/>
      <c r="V1450" s="277"/>
      <c r="W1450" s="277"/>
      <c r="X1450" s="277"/>
      <c r="Y1450" s="277"/>
      <c r="Z1450" s="277"/>
      <c r="AA1450" s="277"/>
      <c r="AB1450" s="277"/>
      <c r="AC1450" s="277"/>
      <c r="AD1450" s="277"/>
      <c r="AE1450" s="277"/>
      <c r="AF1450" s="277"/>
      <c r="AG1450" s="277"/>
      <c r="AH1450" s="277"/>
      <c r="AI1450" s="277"/>
    </row>
    <row r="1451" spans="16:35" s="185" customFormat="1">
      <c r="P1451" s="277"/>
      <c r="Q1451" s="277"/>
      <c r="R1451" s="277"/>
      <c r="S1451" s="291">
        <v>42997</v>
      </c>
      <c r="T1451" s="279">
        <v>1358</v>
      </c>
      <c r="U1451" s="277"/>
      <c r="V1451" s="277"/>
      <c r="W1451" s="277"/>
      <c r="X1451" s="277"/>
      <c r="Y1451" s="277"/>
      <c r="Z1451" s="277"/>
      <c r="AA1451" s="277"/>
      <c r="AB1451" s="277"/>
      <c r="AC1451" s="277"/>
      <c r="AD1451" s="277"/>
      <c r="AE1451" s="277"/>
      <c r="AF1451" s="277"/>
      <c r="AG1451" s="277"/>
      <c r="AH1451" s="277"/>
      <c r="AI1451" s="277"/>
    </row>
    <row r="1452" spans="16:35" s="185" customFormat="1">
      <c r="P1452" s="277"/>
      <c r="Q1452" s="277"/>
      <c r="R1452" s="277"/>
      <c r="S1452" s="291">
        <v>42998</v>
      </c>
      <c r="T1452" s="279">
        <v>1359</v>
      </c>
      <c r="U1452" s="277"/>
      <c r="V1452" s="277"/>
      <c r="W1452" s="277"/>
      <c r="X1452" s="277"/>
      <c r="Y1452" s="277"/>
      <c r="Z1452" s="277"/>
      <c r="AA1452" s="277"/>
      <c r="AB1452" s="277"/>
      <c r="AC1452" s="277"/>
      <c r="AD1452" s="277"/>
      <c r="AE1452" s="277"/>
      <c r="AF1452" s="277"/>
      <c r="AG1452" s="277"/>
      <c r="AH1452" s="277"/>
      <c r="AI1452" s="277"/>
    </row>
    <row r="1453" spans="16:35" s="185" customFormat="1">
      <c r="P1453" s="277"/>
      <c r="Q1453" s="277"/>
      <c r="R1453" s="277"/>
      <c r="S1453" s="291">
        <v>42999</v>
      </c>
      <c r="T1453" s="279">
        <v>1360</v>
      </c>
      <c r="U1453" s="277"/>
      <c r="V1453" s="277"/>
      <c r="W1453" s="277"/>
      <c r="X1453" s="277"/>
      <c r="Y1453" s="277"/>
      <c r="Z1453" s="277"/>
      <c r="AA1453" s="277"/>
      <c r="AB1453" s="277"/>
      <c r="AC1453" s="277"/>
      <c r="AD1453" s="277"/>
      <c r="AE1453" s="277"/>
      <c r="AF1453" s="277"/>
      <c r="AG1453" s="277"/>
      <c r="AH1453" s="277"/>
      <c r="AI1453" s="277"/>
    </row>
    <row r="1454" spans="16:35" s="185" customFormat="1">
      <c r="P1454" s="277"/>
      <c r="Q1454" s="277"/>
      <c r="R1454" s="277"/>
      <c r="S1454" s="291">
        <v>43000</v>
      </c>
      <c r="T1454" s="279">
        <v>1361</v>
      </c>
      <c r="U1454" s="277"/>
      <c r="V1454" s="277"/>
      <c r="W1454" s="277"/>
      <c r="X1454" s="277"/>
      <c r="Y1454" s="277"/>
      <c r="Z1454" s="277"/>
      <c r="AA1454" s="277"/>
      <c r="AB1454" s="277"/>
      <c r="AC1454" s="277"/>
      <c r="AD1454" s="277"/>
      <c r="AE1454" s="277"/>
      <c r="AF1454" s="277"/>
      <c r="AG1454" s="277"/>
      <c r="AH1454" s="277"/>
      <c r="AI1454" s="277"/>
    </row>
    <row r="1455" spans="16:35" s="185" customFormat="1">
      <c r="P1455" s="277"/>
      <c r="Q1455" s="277"/>
      <c r="R1455" s="277"/>
      <c r="S1455" s="291">
        <v>43001</v>
      </c>
      <c r="T1455" s="279">
        <v>1362</v>
      </c>
      <c r="U1455" s="277"/>
      <c r="V1455" s="277"/>
      <c r="W1455" s="277"/>
      <c r="X1455" s="277"/>
      <c r="Y1455" s="277"/>
      <c r="Z1455" s="277"/>
      <c r="AA1455" s="277"/>
      <c r="AB1455" s="277"/>
      <c r="AC1455" s="277"/>
      <c r="AD1455" s="277"/>
      <c r="AE1455" s="277"/>
      <c r="AF1455" s="277"/>
      <c r="AG1455" s="277"/>
      <c r="AH1455" s="277"/>
      <c r="AI1455" s="277"/>
    </row>
    <row r="1456" spans="16:35" s="185" customFormat="1">
      <c r="P1456" s="277"/>
      <c r="Q1456" s="277"/>
      <c r="R1456" s="277"/>
      <c r="S1456" s="291">
        <v>43002</v>
      </c>
      <c r="T1456" s="279">
        <v>1363</v>
      </c>
      <c r="U1456" s="277"/>
      <c r="V1456" s="277"/>
      <c r="W1456" s="277"/>
      <c r="X1456" s="277"/>
      <c r="Y1456" s="277"/>
      <c r="Z1456" s="277"/>
      <c r="AA1456" s="277"/>
      <c r="AB1456" s="277"/>
      <c r="AC1456" s="277"/>
      <c r="AD1456" s="277"/>
      <c r="AE1456" s="277"/>
      <c r="AF1456" s="277"/>
      <c r="AG1456" s="277"/>
      <c r="AH1456" s="277"/>
      <c r="AI1456" s="277"/>
    </row>
    <row r="1457" spans="16:35" s="185" customFormat="1">
      <c r="P1457" s="277"/>
      <c r="Q1457" s="277"/>
      <c r="R1457" s="277"/>
      <c r="S1457" s="291">
        <v>43003</v>
      </c>
      <c r="T1457" s="279">
        <v>1364</v>
      </c>
      <c r="U1457" s="277"/>
      <c r="V1457" s="277"/>
      <c r="W1457" s="277"/>
      <c r="X1457" s="277"/>
      <c r="Y1457" s="277"/>
      <c r="Z1457" s="277"/>
      <c r="AA1457" s="277"/>
      <c r="AB1457" s="277"/>
      <c r="AC1457" s="277"/>
      <c r="AD1457" s="277"/>
      <c r="AE1457" s="277"/>
      <c r="AF1457" s="277"/>
      <c r="AG1457" s="277"/>
      <c r="AH1457" s="277"/>
      <c r="AI1457" s="277"/>
    </row>
    <row r="1458" spans="16:35" s="185" customFormat="1">
      <c r="P1458" s="277"/>
      <c r="Q1458" s="277"/>
      <c r="R1458" s="277"/>
      <c r="S1458" s="291">
        <v>43004</v>
      </c>
      <c r="T1458" s="279">
        <v>1365</v>
      </c>
      <c r="U1458" s="277"/>
      <c r="V1458" s="277"/>
      <c r="W1458" s="277"/>
      <c r="X1458" s="277"/>
      <c r="Y1458" s="277"/>
      <c r="Z1458" s="277"/>
      <c r="AA1458" s="277"/>
      <c r="AB1458" s="277"/>
      <c r="AC1458" s="277"/>
      <c r="AD1458" s="277"/>
      <c r="AE1458" s="277"/>
      <c r="AF1458" s="277"/>
      <c r="AG1458" s="277"/>
      <c r="AH1458" s="277"/>
      <c r="AI1458" s="277"/>
    </row>
    <row r="1459" spans="16:35" s="185" customFormat="1">
      <c r="P1459" s="277"/>
      <c r="Q1459" s="277"/>
      <c r="R1459" s="277"/>
      <c r="S1459" s="291">
        <v>43005</v>
      </c>
      <c r="T1459" s="279">
        <v>1366</v>
      </c>
      <c r="U1459" s="277"/>
      <c r="V1459" s="277"/>
      <c r="W1459" s="277"/>
      <c r="X1459" s="277"/>
      <c r="Y1459" s="277"/>
      <c r="Z1459" s="277"/>
      <c r="AA1459" s="277"/>
      <c r="AB1459" s="277"/>
      <c r="AC1459" s="277"/>
      <c r="AD1459" s="277"/>
      <c r="AE1459" s="277"/>
      <c r="AF1459" s="277"/>
      <c r="AG1459" s="277"/>
      <c r="AH1459" s="277"/>
      <c r="AI1459" s="277"/>
    </row>
    <row r="1460" spans="16:35" s="185" customFormat="1">
      <c r="P1460" s="277"/>
      <c r="Q1460" s="277"/>
      <c r="R1460" s="277"/>
      <c r="S1460" s="291">
        <v>43006</v>
      </c>
      <c r="T1460" s="279">
        <v>1367</v>
      </c>
      <c r="U1460" s="277"/>
      <c r="V1460" s="277"/>
      <c r="W1460" s="277"/>
      <c r="X1460" s="277"/>
      <c r="Y1460" s="277"/>
      <c r="Z1460" s="277"/>
      <c r="AA1460" s="277"/>
      <c r="AB1460" s="277"/>
      <c r="AC1460" s="277"/>
      <c r="AD1460" s="277"/>
      <c r="AE1460" s="277"/>
      <c r="AF1460" s="277"/>
      <c r="AG1460" s="277"/>
      <c r="AH1460" s="277"/>
      <c r="AI1460" s="277"/>
    </row>
    <row r="1461" spans="16:35" s="185" customFormat="1">
      <c r="P1461" s="277"/>
      <c r="Q1461" s="277"/>
      <c r="R1461" s="277"/>
      <c r="S1461" s="291">
        <v>43007</v>
      </c>
      <c r="T1461" s="279">
        <v>1368</v>
      </c>
      <c r="U1461" s="277"/>
      <c r="V1461" s="277"/>
      <c r="W1461" s="277"/>
      <c r="X1461" s="277"/>
      <c r="Y1461" s="277"/>
      <c r="Z1461" s="277"/>
      <c r="AA1461" s="277"/>
      <c r="AB1461" s="277"/>
      <c r="AC1461" s="277"/>
      <c r="AD1461" s="277"/>
      <c r="AE1461" s="277"/>
      <c r="AF1461" s="277"/>
      <c r="AG1461" s="277"/>
      <c r="AH1461" s="277"/>
      <c r="AI1461" s="277"/>
    </row>
    <row r="1462" spans="16:35" s="185" customFormat="1">
      <c r="P1462" s="277"/>
      <c r="Q1462" s="277"/>
      <c r="R1462" s="277"/>
      <c r="S1462" s="291">
        <v>43008</v>
      </c>
      <c r="T1462" s="279">
        <v>1369</v>
      </c>
      <c r="U1462" s="277"/>
      <c r="V1462" s="277"/>
      <c r="W1462" s="277"/>
      <c r="X1462" s="277"/>
      <c r="Y1462" s="277"/>
      <c r="Z1462" s="277"/>
      <c r="AA1462" s="277"/>
      <c r="AB1462" s="277"/>
      <c r="AC1462" s="277"/>
      <c r="AD1462" s="277"/>
      <c r="AE1462" s="277"/>
      <c r="AF1462" s="277"/>
      <c r="AG1462" s="277"/>
      <c r="AH1462" s="277"/>
      <c r="AI1462" s="277"/>
    </row>
    <row r="1463" spans="16:35" s="185" customFormat="1">
      <c r="P1463" s="277"/>
      <c r="Q1463" s="277"/>
      <c r="R1463" s="277"/>
      <c r="S1463" s="291">
        <v>43009</v>
      </c>
      <c r="T1463" s="279">
        <v>1370</v>
      </c>
      <c r="U1463" s="277"/>
      <c r="V1463" s="277"/>
      <c r="W1463" s="277"/>
      <c r="X1463" s="277"/>
      <c r="Y1463" s="277"/>
      <c r="Z1463" s="277"/>
      <c r="AA1463" s="277"/>
      <c r="AB1463" s="277"/>
      <c r="AC1463" s="277"/>
      <c r="AD1463" s="277"/>
      <c r="AE1463" s="277"/>
      <c r="AF1463" s="277"/>
      <c r="AG1463" s="277"/>
      <c r="AH1463" s="277"/>
      <c r="AI1463" s="277"/>
    </row>
    <row r="1464" spans="16:35" s="185" customFormat="1">
      <c r="P1464" s="277"/>
      <c r="Q1464" s="277"/>
      <c r="R1464" s="277"/>
      <c r="S1464" s="291">
        <v>43010</v>
      </c>
      <c r="T1464" s="279">
        <v>1371</v>
      </c>
      <c r="U1464" s="277"/>
      <c r="V1464" s="277"/>
      <c r="W1464" s="277"/>
      <c r="X1464" s="277"/>
      <c r="Y1464" s="277"/>
      <c r="Z1464" s="277"/>
      <c r="AA1464" s="277"/>
      <c r="AB1464" s="277"/>
      <c r="AC1464" s="277"/>
      <c r="AD1464" s="277"/>
      <c r="AE1464" s="277"/>
      <c r="AF1464" s="277"/>
      <c r="AG1464" s="277"/>
      <c r="AH1464" s="277"/>
      <c r="AI1464" s="277"/>
    </row>
    <row r="1465" spans="16:35" s="185" customFormat="1">
      <c r="P1465" s="277"/>
      <c r="Q1465" s="277"/>
      <c r="R1465" s="277"/>
      <c r="S1465" s="291">
        <v>43011</v>
      </c>
      <c r="T1465" s="279">
        <v>1372</v>
      </c>
      <c r="U1465" s="277"/>
      <c r="V1465" s="277"/>
      <c r="W1465" s="277"/>
      <c r="X1465" s="277"/>
      <c r="Y1465" s="277"/>
      <c r="Z1465" s="277"/>
      <c r="AA1465" s="277"/>
      <c r="AB1465" s="277"/>
      <c r="AC1465" s="277"/>
      <c r="AD1465" s="277"/>
      <c r="AE1465" s="277"/>
      <c r="AF1465" s="277"/>
      <c r="AG1465" s="277"/>
      <c r="AH1465" s="277"/>
      <c r="AI1465" s="277"/>
    </row>
    <row r="1466" spans="16:35" s="185" customFormat="1">
      <c r="P1466" s="277"/>
      <c r="Q1466" s="277"/>
      <c r="R1466" s="277"/>
      <c r="S1466" s="291">
        <v>43012</v>
      </c>
      <c r="T1466" s="279">
        <v>1373</v>
      </c>
      <c r="U1466" s="277"/>
      <c r="V1466" s="277"/>
      <c r="W1466" s="277"/>
      <c r="X1466" s="277"/>
      <c r="Y1466" s="277"/>
      <c r="Z1466" s="277"/>
      <c r="AA1466" s="277"/>
      <c r="AB1466" s="277"/>
      <c r="AC1466" s="277"/>
      <c r="AD1466" s="277"/>
      <c r="AE1466" s="277"/>
      <c r="AF1466" s="277"/>
      <c r="AG1466" s="277"/>
      <c r="AH1466" s="277"/>
      <c r="AI1466" s="277"/>
    </row>
    <row r="1467" spans="16:35" s="185" customFormat="1">
      <c r="P1467" s="277"/>
      <c r="Q1467" s="277"/>
      <c r="R1467" s="277"/>
      <c r="S1467" s="291">
        <v>43013</v>
      </c>
      <c r="T1467" s="279">
        <v>1374</v>
      </c>
      <c r="U1467" s="277"/>
      <c r="V1467" s="277"/>
      <c r="W1467" s="277"/>
      <c r="X1467" s="277"/>
      <c r="Y1467" s="277"/>
      <c r="Z1467" s="277"/>
      <c r="AA1467" s="277"/>
      <c r="AB1467" s="277"/>
      <c r="AC1467" s="277"/>
      <c r="AD1467" s="277"/>
      <c r="AE1467" s="277"/>
      <c r="AF1467" s="277"/>
      <c r="AG1467" s="277"/>
      <c r="AH1467" s="277"/>
      <c r="AI1467" s="277"/>
    </row>
    <row r="1468" spans="16:35" s="185" customFormat="1">
      <c r="P1468" s="277"/>
      <c r="Q1468" s="277"/>
      <c r="R1468" s="277"/>
      <c r="S1468" s="291">
        <v>43014</v>
      </c>
      <c r="T1468" s="279">
        <v>1375</v>
      </c>
      <c r="U1468" s="277"/>
      <c r="V1468" s="277"/>
      <c r="W1468" s="277"/>
      <c r="X1468" s="277"/>
      <c r="Y1468" s="277"/>
      <c r="Z1468" s="277"/>
      <c r="AA1468" s="277"/>
      <c r="AB1468" s="277"/>
      <c r="AC1468" s="277"/>
      <c r="AD1468" s="277"/>
      <c r="AE1468" s="277"/>
      <c r="AF1468" s="277"/>
      <c r="AG1468" s="277"/>
      <c r="AH1468" s="277"/>
      <c r="AI1468" s="277"/>
    </row>
    <row r="1469" spans="16:35" s="185" customFormat="1">
      <c r="P1469" s="277"/>
      <c r="Q1469" s="277"/>
      <c r="R1469" s="277"/>
      <c r="S1469" s="291">
        <v>43015</v>
      </c>
      <c r="T1469" s="279">
        <v>1376</v>
      </c>
      <c r="U1469" s="277"/>
      <c r="V1469" s="277"/>
      <c r="W1469" s="277"/>
      <c r="X1469" s="277"/>
      <c r="Y1469" s="277"/>
      <c r="Z1469" s="277"/>
      <c r="AA1469" s="277"/>
      <c r="AB1469" s="277"/>
      <c r="AC1469" s="277"/>
      <c r="AD1469" s="277"/>
      <c r="AE1469" s="277"/>
      <c r="AF1469" s="277"/>
      <c r="AG1469" s="277"/>
      <c r="AH1469" s="277"/>
      <c r="AI1469" s="277"/>
    </row>
    <row r="1470" spans="16:35" s="185" customFormat="1">
      <c r="P1470" s="277"/>
      <c r="Q1470" s="277"/>
      <c r="R1470" s="277"/>
      <c r="S1470" s="291">
        <v>43016</v>
      </c>
      <c r="T1470" s="279">
        <v>1377</v>
      </c>
      <c r="U1470" s="277"/>
      <c r="V1470" s="277"/>
      <c r="W1470" s="277"/>
      <c r="X1470" s="277"/>
      <c r="Y1470" s="277"/>
      <c r="Z1470" s="277"/>
      <c r="AA1470" s="277"/>
      <c r="AB1470" s="277"/>
      <c r="AC1470" s="277"/>
      <c r="AD1470" s="277"/>
      <c r="AE1470" s="277"/>
      <c r="AF1470" s="277"/>
      <c r="AG1470" s="277"/>
      <c r="AH1470" s="277"/>
      <c r="AI1470" s="277"/>
    </row>
    <row r="1471" spans="16:35" s="185" customFormat="1">
      <c r="P1471" s="277"/>
      <c r="Q1471" s="277"/>
      <c r="R1471" s="277"/>
      <c r="S1471" s="291">
        <v>43017</v>
      </c>
      <c r="T1471" s="279">
        <v>1378</v>
      </c>
      <c r="U1471" s="277"/>
      <c r="V1471" s="277"/>
      <c r="W1471" s="277"/>
      <c r="X1471" s="277"/>
      <c r="Y1471" s="277"/>
      <c r="Z1471" s="277"/>
      <c r="AA1471" s="277"/>
      <c r="AB1471" s="277"/>
      <c r="AC1471" s="277"/>
      <c r="AD1471" s="277"/>
      <c r="AE1471" s="277"/>
      <c r="AF1471" s="277"/>
      <c r="AG1471" s="277"/>
      <c r="AH1471" s="277"/>
      <c r="AI1471" s="277"/>
    </row>
    <row r="1472" spans="16:35" s="185" customFormat="1">
      <c r="P1472" s="277"/>
      <c r="Q1472" s="277"/>
      <c r="R1472" s="277"/>
      <c r="S1472" s="291">
        <v>43018</v>
      </c>
      <c r="T1472" s="279">
        <v>1379</v>
      </c>
      <c r="U1472" s="277"/>
      <c r="V1472" s="277"/>
      <c r="W1472" s="277"/>
      <c r="X1472" s="277"/>
      <c r="Y1472" s="277"/>
      <c r="Z1472" s="277"/>
      <c r="AA1472" s="277"/>
      <c r="AB1472" s="277"/>
      <c r="AC1472" s="277"/>
      <c r="AD1472" s="277"/>
      <c r="AE1472" s="277"/>
      <c r="AF1472" s="277"/>
      <c r="AG1472" s="277"/>
      <c r="AH1472" s="277"/>
      <c r="AI1472" s="277"/>
    </row>
    <row r="1473" spans="16:35" s="185" customFormat="1">
      <c r="P1473" s="277"/>
      <c r="Q1473" s="277"/>
      <c r="R1473" s="277"/>
      <c r="S1473" s="291">
        <v>43019</v>
      </c>
      <c r="T1473" s="279">
        <v>1380</v>
      </c>
      <c r="U1473" s="277"/>
      <c r="V1473" s="277"/>
      <c r="W1473" s="277"/>
      <c r="X1473" s="277"/>
      <c r="Y1473" s="277"/>
      <c r="Z1473" s="277"/>
      <c r="AA1473" s="277"/>
      <c r="AB1473" s="277"/>
      <c r="AC1473" s="277"/>
      <c r="AD1473" s="277"/>
      <c r="AE1473" s="277"/>
      <c r="AF1473" s="277"/>
      <c r="AG1473" s="277"/>
      <c r="AH1473" s="277"/>
      <c r="AI1473" s="277"/>
    </row>
    <row r="1474" spans="16:35" s="185" customFormat="1">
      <c r="P1474" s="277"/>
      <c r="Q1474" s="277"/>
      <c r="R1474" s="277"/>
      <c r="S1474" s="291">
        <v>43020</v>
      </c>
      <c r="T1474" s="279">
        <v>1381</v>
      </c>
      <c r="U1474" s="277"/>
      <c r="V1474" s="277"/>
      <c r="W1474" s="277"/>
      <c r="X1474" s="277"/>
      <c r="Y1474" s="277"/>
      <c r="Z1474" s="277"/>
      <c r="AA1474" s="277"/>
      <c r="AB1474" s="277"/>
      <c r="AC1474" s="277"/>
      <c r="AD1474" s="277"/>
      <c r="AE1474" s="277"/>
      <c r="AF1474" s="277"/>
      <c r="AG1474" s="277"/>
      <c r="AH1474" s="277"/>
      <c r="AI1474" s="277"/>
    </row>
    <row r="1475" spans="16:35" s="185" customFormat="1">
      <c r="P1475" s="277"/>
      <c r="Q1475" s="277"/>
      <c r="R1475" s="277"/>
      <c r="S1475" s="291">
        <v>43021</v>
      </c>
      <c r="T1475" s="279">
        <v>1382</v>
      </c>
      <c r="U1475" s="277"/>
      <c r="V1475" s="277"/>
      <c r="W1475" s="277"/>
      <c r="X1475" s="277"/>
      <c r="Y1475" s="277"/>
      <c r="Z1475" s="277"/>
      <c r="AA1475" s="277"/>
      <c r="AB1475" s="277"/>
      <c r="AC1475" s="277"/>
      <c r="AD1475" s="277"/>
      <c r="AE1475" s="277"/>
      <c r="AF1475" s="277"/>
      <c r="AG1475" s="277"/>
      <c r="AH1475" s="277"/>
      <c r="AI1475" s="277"/>
    </row>
    <row r="1476" spans="16:35" s="185" customFormat="1">
      <c r="P1476" s="277"/>
      <c r="Q1476" s="277"/>
      <c r="R1476" s="277"/>
      <c r="S1476" s="291">
        <v>43022</v>
      </c>
      <c r="T1476" s="279">
        <v>1383</v>
      </c>
      <c r="U1476" s="277"/>
      <c r="V1476" s="277"/>
      <c r="W1476" s="277"/>
      <c r="X1476" s="277"/>
      <c r="Y1476" s="277"/>
      <c r="Z1476" s="277"/>
      <c r="AA1476" s="277"/>
      <c r="AB1476" s="277"/>
      <c r="AC1476" s="277"/>
      <c r="AD1476" s="277"/>
      <c r="AE1476" s="277"/>
      <c r="AF1476" s="277"/>
      <c r="AG1476" s="277"/>
      <c r="AH1476" s="277"/>
      <c r="AI1476" s="277"/>
    </row>
    <row r="1477" spans="16:35" s="185" customFormat="1">
      <c r="P1477" s="277"/>
      <c r="Q1477" s="277"/>
      <c r="R1477" s="277"/>
      <c r="S1477" s="291">
        <v>43023</v>
      </c>
      <c r="T1477" s="279">
        <v>1384</v>
      </c>
      <c r="U1477" s="277"/>
      <c r="V1477" s="277"/>
      <c r="W1477" s="277"/>
      <c r="X1477" s="277"/>
      <c r="Y1477" s="277"/>
      <c r="Z1477" s="277"/>
      <c r="AA1477" s="277"/>
      <c r="AB1477" s="277"/>
      <c r="AC1477" s="277"/>
      <c r="AD1477" s="277"/>
      <c r="AE1477" s="277"/>
      <c r="AF1477" s="277"/>
      <c r="AG1477" s="277"/>
      <c r="AH1477" s="277"/>
      <c r="AI1477" s="277"/>
    </row>
    <row r="1478" spans="16:35" s="185" customFormat="1">
      <c r="P1478" s="277"/>
      <c r="Q1478" s="277"/>
      <c r="R1478" s="277"/>
      <c r="S1478" s="291">
        <v>43024</v>
      </c>
      <c r="T1478" s="279">
        <v>1385</v>
      </c>
      <c r="U1478" s="277"/>
      <c r="V1478" s="277"/>
      <c r="W1478" s="277"/>
      <c r="X1478" s="277"/>
      <c r="Y1478" s="277"/>
      <c r="Z1478" s="277"/>
      <c r="AA1478" s="277"/>
      <c r="AB1478" s="277"/>
      <c r="AC1478" s="277"/>
      <c r="AD1478" s="277"/>
      <c r="AE1478" s="277"/>
      <c r="AF1478" s="277"/>
      <c r="AG1478" s="277"/>
      <c r="AH1478" s="277"/>
      <c r="AI1478" s="277"/>
    </row>
    <row r="1479" spans="16:35" s="185" customFormat="1">
      <c r="P1479" s="277"/>
      <c r="Q1479" s="277"/>
      <c r="R1479" s="277"/>
      <c r="S1479" s="291">
        <v>43025</v>
      </c>
      <c r="T1479" s="279">
        <v>1386</v>
      </c>
      <c r="U1479" s="277"/>
      <c r="V1479" s="277"/>
      <c r="W1479" s="277"/>
      <c r="X1479" s="277"/>
      <c r="Y1479" s="277"/>
      <c r="Z1479" s="277"/>
      <c r="AA1479" s="277"/>
      <c r="AB1479" s="277"/>
      <c r="AC1479" s="277"/>
      <c r="AD1479" s="277"/>
      <c r="AE1479" s="277"/>
      <c r="AF1479" s="277"/>
      <c r="AG1479" s="277"/>
      <c r="AH1479" s="277"/>
      <c r="AI1479" s="277"/>
    </row>
    <row r="1480" spans="16:35" s="185" customFormat="1">
      <c r="P1480" s="277"/>
      <c r="Q1480" s="277"/>
      <c r="R1480" s="277"/>
      <c r="S1480" s="291">
        <v>43026</v>
      </c>
      <c r="T1480" s="279">
        <v>1387</v>
      </c>
      <c r="U1480" s="277"/>
      <c r="V1480" s="277"/>
      <c r="W1480" s="277"/>
      <c r="X1480" s="277"/>
      <c r="Y1480" s="277"/>
      <c r="Z1480" s="277"/>
      <c r="AA1480" s="277"/>
      <c r="AB1480" s="277"/>
      <c r="AC1480" s="277"/>
      <c r="AD1480" s="277"/>
      <c r="AE1480" s="277"/>
      <c r="AF1480" s="277"/>
      <c r="AG1480" s="277"/>
      <c r="AH1480" s="277"/>
      <c r="AI1480" s="277"/>
    </row>
    <row r="1481" spans="16:35" s="185" customFormat="1">
      <c r="P1481" s="277"/>
      <c r="Q1481" s="277"/>
      <c r="R1481" s="277"/>
      <c r="S1481" s="291">
        <v>43027</v>
      </c>
      <c r="T1481" s="279">
        <v>1388</v>
      </c>
      <c r="U1481" s="277"/>
      <c r="V1481" s="277"/>
      <c r="W1481" s="277"/>
      <c r="X1481" s="277"/>
      <c r="Y1481" s="277"/>
      <c r="Z1481" s="277"/>
      <c r="AA1481" s="277"/>
      <c r="AB1481" s="277"/>
      <c r="AC1481" s="277"/>
      <c r="AD1481" s="277"/>
      <c r="AE1481" s="277"/>
      <c r="AF1481" s="277"/>
      <c r="AG1481" s="277"/>
      <c r="AH1481" s="277"/>
      <c r="AI1481" s="277"/>
    </row>
    <row r="1482" spans="16:35" s="185" customFormat="1">
      <c r="P1482" s="277"/>
      <c r="Q1482" s="277"/>
      <c r="R1482" s="277"/>
      <c r="S1482" s="291">
        <v>43028</v>
      </c>
      <c r="T1482" s="279">
        <v>1389</v>
      </c>
      <c r="U1482" s="277"/>
      <c r="V1482" s="277"/>
      <c r="W1482" s="277"/>
      <c r="X1482" s="277"/>
      <c r="Y1482" s="277"/>
      <c r="Z1482" s="277"/>
      <c r="AA1482" s="277"/>
      <c r="AB1482" s="277"/>
      <c r="AC1482" s="277"/>
      <c r="AD1482" s="277"/>
      <c r="AE1482" s="277"/>
      <c r="AF1482" s="277"/>
      <c r="AG1482" s="277"/>
      <c r="AH1482" s="277"/>
      <c r="AI1482" s="277"/>
    </row>
    <row r="1483" spans="16:35" s="185" customFormat="1">
      <c r="P1483" s="277"/>
      <c r="Q1483" s="277"/>
      <c r="R1483" s="277"/>
      <c r="S1483" s="291">
        <v>43029</v>
      </c>
      <c r="T1483" s="279">
        <v>1390</v>
      </c>
      <c r="U1483" s="277"/>
      <c r="V1483" s="277"/>
      <c r="W1483" s="277"/>
      <c r="X1483" s="277"/>
      <c r="Y1483" s="277"/>
      <c r="Z1483" s="277"/>
      <c r="AA1483" s="277"/>
      <c r="AB1483" s="277"/>
      <c r="AC1483" s="277"/>
      <c r="AD1483" s="277"/>
      <c r="AE1483" s="277"/>
      <c r="AF1483" s="277"/>
      <c r="AG1483" s="277"/>
      <c r="AH1483" s="277"/>
      <c r="AI1483" s="277"/>
    </row>
    <row r="1484" spans="16:35" s="185" customFormat="1">
      <c r="P1484" s="277"/>
      <c r="Q1484" s="277"/>
      <c r="R1484" s="277"/>
      <c r="S1484" s="291">
        <v>43030</v>
      </c>
      <c r="T1484" s="279">
        <v>1391</v>
      </c>
      <c r="U1484" s="277"/>
      <c r="V1484" s="277"/>
      <c r="W1484" s="277"/>
      <c r="X1484" s="277"/>
      <c r="Y1484" s="277"/>
      <c r="Z1484" s="277"/>
      <c r="AA1484" s="277"/>
      <c r="AB1484" s="277"/>
      <c r="AC1484" s="277"/>
      <c r="AD1484" s="277"/>
      <c r="AE1484" s="277"/>
      <c r="AF1484" s="277"/>
      <c r="AG1484" s="277"/>
      <c r="AH1484" s="277"/>
      <c r="AI1484" s="277"/>
    </row>
    <row r="1485" spans="16:35" s="185" customFormat="1">
      <c r="P1485" s="277"/>
      <c r="Q1485" s="277"/>
      <c r="R1485" s="277"/>
      <c r="S1485" s="291">
        <v>43031</v>
      </c>
      <c r="T1485" s="279">
        <v>1392</v>
      </c>
      <c r="U1485" s="277"/>
      <c r="V1485" s="277"/>
      <c r="W1485" s="277"/>
      <c r="X1485" s="277"/>
      <c r="Y1485" s="277"/>
      <c r="Z1485" s="277"/>
      <c r="AA1485" s="277"/>
      <c r="AB1485" s="277"/>
      <c r="AC1485" s="277"/>
      <c r="AD1485" s="277"/>
      <c r="AE1485" s="277"/>
      <c r="AF1485" s="277"/>
      <c r="AG1485" s="277"/>
      <c r="AH1485" s="277"/>
      <c r="AI1485" s="277"/>
    </row>
    <row r="1486" spans="16:35" s="185" customFormat="1">
      <c r="P1486" s="277"/>
      <c r="Q1486" s="277"/>
      <c r="R1486" s="277"/>
      <c r="S1486" s="291">
        <v>43032</v>
      </c>
      <c r="T1486" s="279">
        <v>1393</v>
      </c>
      <c r="U1486" s="277"/>
      <c r="V1486" s="277"/>
      <c r="W1486" s="277"/>
      <c r="X1486" s="277"/>
      <c r="Y1486" s="277"/>
      <c r="Z1486" s="277"/>
      <c r="AA1486" s="277"/>
      <c r="AB1486" s="277"/>
      <c r="AC1486" s="277"/>
      <c r="AD1486" s="277"/>
      <c r="AE1486" s="277"/>
      <c r="AF1486" s="277"/>
      <c r="AG1486" s="277"/>
      <c r="AH1486" s="277"/>
      <c r="AI1486" s="277"/>
    </row>
    <row r="1487" spans="16:35" s="185" customFormat="1">
      <c r="P1487" s="277"/>
      <c r="Q1487" s="277"/>
      <c r="R1487" s="277"/>
      <c r="S1487" s="291">
        <v>43033</v>
      </c>
      <c r="T1487" s="279">
        <v>1394</v>
      </c>
      <c r="U1487" s="277"/>
      <c r="V1487" s="277"/>
      <c r="W1487" s="277"/>
      <c r="X1487" s="277"/>
      <c r="Y1487" s="277"/>
      <c r="Z1487" s="277"/>
      <c r="AA1487" s="277"/>
      <c r="AB1487" s="277"/>
      <c r="AC1487" s="277"/>
      <c r="AD1487" s="277"/>
      <c r="AE1487" s="277"/>
      <c r="AF1487" s="277"/>
      <c r="AG1487" s="277"/>
      <c r="AH1487" s="277"/>
      <c r="AI1487" s="277"/>
    </row>
    <row r="1488" spans="16:35" s="185" customFormat="1">
      <c r="P1488" s="277"/>
      <c r="Q1488" s="277"/>
      <c r="R1488" s="277"/>
      <c r="S1488" s="291">
        <v>43034</v>
      </c>
      <c r="T1488" s="279">
        <v>1395</v>
      </c>
      <c r="U1488" s="277"/>
      <c r="V1488" s="277"/>
      <c r="W1488" s="277"/>
      <c r="X1488" s="277"/>
      <c r="Y1488" s="277"/>
      <c r="Z1488" s="277"/>
      <c r="AA1488" s="277"/>
      <c r="AB1488" s="277"/>
      <c r="AC1488" s="277"/>
      <c r="AD1488" s="277"/>
      <c r="AE1488" s="277"/>
      <c r="AF1488" s="277"/>
      <c r="AG1488" s="277"/>
      <c r="AH1488" s="277"/>
      <c r="AI1488" s="277"/>
    </row>
    <row r="1489" spans="16:35" s="185" customFormat="1">
      <c r="P1489" s="277"/>
      <c r="Q1489" s="277"/>
      <c r="R1489" s="277"/>
      <c r="S1489" s="291">
        <v>43035</v>
      </c>
      <c r="T1489" s="279">
        <v>1396</v>
      </c>
      <c r="U1489" s="277"/>
      <c r="V1489" s="277"/>
      <c r="W1489" s="277"/>
      <c r="X1489" s="277"/>
      <c r="Y1489" s="277"/>
      <c r="Z1489" s="277"/>
      <c r="AA1489" s="277"/>
      <c r="AB1489" s="277"/>
      <c r="AC1489" s="277"/>
      <c r="AD1489" s="277"/>
      <c r="AE1489" s="277"/>
      <c r="AF1489" s="277"/>
      <c r="AG1489" s="277"/>
      <c r="AH1489" s="277"/>
      <c r="AI1489" s="277"/>
    </row>
    <row r="1490" spans="16:35" s="185" customFormat="1">
      <c r="P1490" s="277"/>
      <c r="Q1490" s="277"/>
      <c r="R1490" s="277"/>
      <c r="S1490" s="291">
        <v>43036</v>
      </c>
      <c r="T1490" s="279">
        <v>1397</v>
      </c>
      <c r="U1490" s="277"/>
      <c r="V1490" s="277"/>
      <c r="W1490" s="277"/>
      <c r="X1490" s="277"/>
      <c r="Y1490" s="277"/>
      <c r="Z1490" s="277"/>
      <c r="AA1490" s="277"/>
      <c r="AB1490" s="277"/>
      <c r="AC1490" s="277"/>
      <c r="AD1490" s="277"/>
      <c r="AE1490" s="277"/>
      <c r="AF1490" s="277"/>
      <c r="AG1490" s="277"/>
      <c r="AH1490" s="277"/>
      <c r="AI1490" s="277"/>
    </row>
    <row r="1491" spans="16:35" s="185" customFormat="1">
      <c r="P1491" s="277"/>
      <c r="Q1491" s="277"/>
      <c r="R1491" s="277"/>
      <c r="S1491" s="291">
        <v>43037</v>
      </c>
      <c r="T1491" s="279">
        <v>1398</v>
      </c>
      <c r="U1491" s="277"/>
      <c r="V1491" s="277"/>
      <c r="W1491" s="277"/>
      <c r="X1491" s="277"/>
      <c r="Y1491" s="277"/>
      <c r="Z1491" s="277"/>
      <c r="AA1491" s="277"/>
      <c r="AB1491" s="277"/>
      <c r="AC1491" s="277"/>
      <c r="AD1491" s="277"/>
      <c r="AE1491" s="277"/>
      <c r="AF1491" s="277"/>
      <c r="AG1491" s="277"/>
      <c r="AH1491" s="277"/>
      <c r="AI1491" s="277"/>
    </row>
    <row r="1492" spans="16:35" s="185" customFormat="1">
      <c r="P1492" s="277"/>
      <c r="Q1492" s="277"/>
      <c r="R1492" s="277"/>
      <c r="S1492" s="291">
        <v>43038</v>
      </c>
      <c r="T1492" s="279">
        <v>1399</v>
      </c>
      <c r="U1492" s="277"/>
      <c r="V1492" s="277"/>
      <c r="W1492" s="277"/>
      <c r="X1492" s="277"/>
      <c r="Y1492" s="277"/>
      <c r="Z1492" s="277"/>
      <c r="AA1492" s="277"/>
      <c r="AB1492" s="277"/>
      <c r="AC1492" s="277"/>
      <c r="AD1492" s="277"/>
      <c r="AE1492" s="277"/>
      <c r="AF1492" s="277"/>
      <c r="AG1492" s="277"/>
      <c r="AH1492" s="277"/>
      <c r="AI1492" s="277"/>
    </row>
    <row r="1493" spans="16:35" s="185" customFormat="1">
      <c r="P1493" s="277"/>
      <c r="Q1493" s="277"/>
      <c r="R1493" s="277"/>
      <c r="S1493" s="291">
        <v>43039</v>
      </c>
      <c r="T1493" s="279">
        <v>1400</v>
      </c>
      <c r="U1493" s="277"/>
      <c r="V1493" s="277"/>
      <c r="W1493" s="277"/>
      <c r="X1493" s="277"/>
      <c r="Y1493" s="277"/>
      <c r="Z1493" s="277"/>
      <c r="AA1493" s="277"/>
      <c r="AB1493" s="277"/>
      <c r="AC1493" s="277"/>
      <c r="AD1493" s="277"/>
      <c r="AE1493" s="277"/>
      <c r="AF1493" s="277"/>
      <c r="AG1493" s="277"/>
      <c r="AH1493" s="277"/>
      <c r="AI1493" s="277"/>
    </row>
    <row r="1494" spans="16:35" s="185" customFormat="1">
      <c r="P1494" s="277"/>
      <c r="Q1494" s="277"/>
      <c r="R1494" s="277"/>
      <c r="S1494" s="291">
        <v>43040</v>
      </c>
      <c r="T1494" s="279">
        <v>1401</v>
      </c>
      <c r="U1494" s="277"/>
      <c r="V1494" s="277"/>
      <c r="W1494" s="277"/>
      <c r="X1494" s="277"/>
      <c r="Y1494" s="277"/>
      <c r="Z1494" s="277"/>
      <c r="AA1494" s="277"/>
      <c r="AB1494" s="277"/>
      <c r="AC1494" s="277"/>
      <c r="AD1494" s="277"/>
      <c r="AE1494" s="277"/>
      <c r="AF1494" s="277"/>
      <c r="AG1494" s="277"/>
      <c r="AH1494" s="277"/>
      <c r="AI1494" s="277"/>
    </row>
    <row r="1495" spans="16:35" s="185" customFormat="1">
      <c r="P1495" s="277"/>
      <c r="Q1495" s="277"/>
      <c r="R1495" s="277"/>
      <c r="S1495" s="291">
        <v>43041</v>
      </c>
      <c r="T1495" s="279">
        <v>1402</v>
      </c>
      <c r="U1495" s="277"/>
      <c r="V1495" s="277"/>
      <c r="W1495" s="277"/>
      <c r="X1495" s="277"/>
      <c r="Y1495" s="277"/>
      <c r="Z1495" s="277"/>
      <c r="AA1495" s="277"/>
      <c r="AB1495" s="277"/>
      <c r="AC1495" s="277"/>
      <c r="AD1495" s="277"/>
      <c r="AE1495" s="277"/>
      <c r="AF1495" s="277"/>
      <c r="AG1495" s="277"/>
      <c r="AH1495" s="277"/>
      <c r="AI1495" s="277"/>
    </row>
    <row r="1496" spans="16:35" s="185" customFormat="1">
      <c r="P1496" s="277"/>
      <c r="Q1496" s="277"/>
      <c r="R1496" s="277"/>
      <c r="S1496" s="291">
        <v>43042</v>
      </c>
      <c r="T1496" s="279">
        <v>1403</v>
      </c>
      <c r="U1496" s="277"/>
      <c r="V1496" s="277"/>
      <c r="W1496" s="277"/>
      <c r="X1496" s="277"/>
      <c r="Y1496" s="277"/>
      <c r="Z1496" s="277"/>
      <c r="AA1496" s="277"/>
      <c r="AB1496" s="277"/>
      <c r="AC1496" s="277"/>
      <c r="AD1496" s="277"/>
      <c r="AE1496" s="277"/>
      <c r="AF1496" s="277"/>
      <c r="AG1496" s="277"/>
      <c r="AH1496" s="277"/>
      <c r="AI1496" s="277"/>
    </row>
    <row r="1497" spans="16:35" s="185" customFormat="1">
      <c r="P1497" s="277"/>
      <c r="Q1497" s="277"/>
      <c r="R1497" s="277"/>
      <c r="S1497" s="291">
        <v>43043</v>
      </c>
      <c r="T1497" s="279">
        <v>1404</v>
      </c>
      <c r="U1497" s="277"/>
      <c r="V1497" s="277"/>
      <c r="W1497" s="277"/>
      <c r="X1497" s="277"/>
      <c r="Y1497" s="277"/>
      <c r="Z1497" s="277"/>
      <c r="AA1497" s="277"/>
      <c r="AB1497" s="277"/>
      <c r="AC1497" s="277"/>
      <c r="AD1497" s="277"/>
      <c r="AE1497" s="277"/>
      <c r="AF1497" s="277"/>
      <c r="AG1497" s="277"/>
      <c r="AH1497" s="277"/>
      <c r="AI1497" s="277"/>
    </row>
    <row r="1498" spans="16:35" s="185" customFormat="1">
      <c r="P1498" s="277"/>
      <c r="Q1498" s="277"/>
      <c r="R1498" s="277"/>
      <c r="S1498" s="291">
        <v>43044</v>
      </c>
      <c r="T1498" s="279">
        <v>1405</v>
      </c>
      <c r="U1498" s="277"/>
      <c r="V1498" s="277"/>
      <c r="W1498" s="277"/>
      <c r="X1498" s="277"/>
      <c r="Y1498" s="277"/>
      <c r="Z1498" s="277"/>
      <c r="AA1498" s="277"/>
      <c r="AB1498" s="277"/>
      <c r="AC1498" s="277"/>
      <c r="AD1498" s="277"/>
      <c r="AE1498" s="277"/>
      <c r="AF1498" s="277"/>
      <c r="AG1498" s="277"/>
      <c r="AH1498" s="277"/>
      <c r="AI1498" s="277"/>
    </row>
    <row r="1499" spans="16:35" s="185" customFormat="1">
      <c r="P1499" s="277"/>
      <c r="Q1499" s="277"/>
      <c r="R1499" s="277"/>
      <c r="S1499" s="291">
        <v>43045</v>
      </c>
      <c r="T1499" s="279">
        <v>1406</v>
      </c>
      <c r="U1499" s="277"/>
      <c r="V1499" s="277"/>
      <c r="W1499" s="277"/>
      <c r="X1499" s="277"/>
      <c r="Y1499" s="277"/>
      <c r="Z1499" s="277"/>
      <c r="AA1499" s="277"/>
      <c r="AB1499" s="277"/>
      <c r="AC1499" s="277"/>
      <c r="AD1499" s="277"/>
      <c r="AE1499" s="277"/>
      <c r="AF1499" s="277"/>
      <c r="AG1499" s="277"/>
      <c r="AH1499" s="277"/>
      <c r="AI1499" s="277"/>
    </row>
    <row r="1500" spans="16:35" s="185" customFormat="1">
      <c r="P1500" s="277"/>
      <c r="Q1500" s="277"/>
      <c r="R1500" s="277"/>
      <c r="S1500" s="291">
        <v>43046</v>
      </c>
      <c r="T1500" s="279">
        <v>1407</v>
      </c>
      <c r="U1500" s="277"/>
      <c r="V1500" s="277"/>
      <c r="W1500" s="277"/>
      <c r="X1500" s="277"/>
      <c r="Y1500" s="277"/>
      <c r="Z1500" s="277"/>
      <c r="AA1500" s="277"/>
      <c r="AB1500" s="277"/>
      <c r="AC1500" s="277"/>
      <c r="AD1500" s="277"/>
      <c r="AE1500" s="277"/>
      <c r="AF1500" s="277"/>
      <c r="AG1500" s="277"/>
      <c r="AH1500" s="277"/>
      <c r="AI1500" s="277"/>
    </row>
    <row r="1501" spans="16:35" s="185" customFormat="1">
      <c r="P1501" s="277"/>
      <c r="Q1501" s="277"/>
      <c r="R1501" s="277"/>
      <c r="S1501" s="291">
        <v>43047</v>
      </c>
      <c r="T1501" s="279">
        <v>1408</v>
      </c>
      <c r="U1501" s="277"/>
      <c r="V1501" s="277"/>
      <c r="W1501" s="277"/>
      <c r="X1501" s="277"/>
      <c r="Y1501" s="277"/>
      <c r="Z1501" s="277"/>
      <c r="AA1501" s="277"/>
      <c r="AB1501" s="277"/>
      <c r="AC1501" s="277"/>
      <c r="AD1501" s="277"/>
      <c r="AE1501" s="277"/>
      <c r="AF1501" s="277"/>
      <c r="AG1501" s="277"/>
      <c r="AH1501" s="277"/>
      <c r="AI1501" s="277"/>
    </row>
    <row r="1502" spans="16:35" s="185" customFormat="1">
      <c r="P1502" s="277"/>
      <c r="Q1502" s="277"/>
      <c r="R1502" s="277"/>
      <c r="S1502" s="291">
        <v>43048</v>
      </c>
      <c r="T1502" s="279">
        <v>1409</v>
      </c>
      <c r="U1502" s="277"/>
      <c r="V1502" s="277"/>
      <c r="W1502" s="277"/>
      <c r="X1502" s="277"/>
      <c r="Y1502" s="277"/>
      <c r="Z1502" s="277"/>
      <c r="AA1502" s="277"/>
      <c r="AB1502" s="277"/>
      <c r="AC1502" s="277"/>
      <c r="AD1502" s="277"/>
      <c r="AE1502" s="277"/>
      <c r="AF1502" s="277"/>
      <c r="AG1502" s="277"/>
      <c r="AH1502" s="277"/>
      <c r="AI1502" s="277"/>
    </row>
    <row r="1503" spans="16:35" s="185" customFormat="1">
      <c r="P1503" s="277"/>
      <c r="Q1503" s="277"/>
      <c r="R1503" s="277"/>
      <c r="S1503" s="291">
        <v>43049</v>
      </c>
      <c r="T1503" s="279">
        <v>1410</v>
      </c>
      <c r="U1503" s="277"/>
      <c r="V1503" s="277"/>
      <c r="W1503" s="277"/>
      <c r="X1503" s="277"/>
      <c r="Y1503" s="277"/>
      <c r="Z1503" s="277"/>
      <c r="AA1503" s="277"/>
      <c r="AB1503" s="277"/>
      <c r="AC1503" s="277"/>
      <c r="AD1503" s="277"/>
      <c r="AE1503" s="277"/>
      <c r="AF1503" s="277"/>
      <c r="AG1503" s="277"/>
      <c r="AH1503" s="277"/>
      <c r="AI1503" s="277"/>
    </row>
    <row r="1504" spans="16:35" s="185" customFormat="1">
      <c r="P1504" s="277"/>
      <c r="Q1504" s="277"/>
      <c r="R1504" s="277"/>
      <c r="S1504" s="291">
        <v>43050</v>
      </c>
      <c r="T1504" s="279">
        <v>1411</v>
      </c>
      <c r="U1504" s="277"/>
      <c r="V1504" s="277"/>
      <c r="W1504" s="277"/>
      <c r="X1504" s="277"/>
      <c r="Y1504" s="277"/>
      <c r="Z1504" s="277"/>
      <c r="AA1504" s="277"/>
      <c r="AB1504" s="277"/>
      <c r="AC1504" s="277"/>
      <c r="AD1504" s="277"/>
      <c r="AE1504" s="277"/>
      <c r="AF1504" s="277"/>
      <c r="AG1504" s="277"/>
      <c r="AH1504" s="277"/>
      <c r="AI1504" s="277"/>
    </row>
    <row r="1505" spans="16:35" s="185" customFormat="1">
      <c r="P1505" s="277"/>
      <c r="Q1505" s="277"/>
      <c r="R1505" s="277"/>
      <c r="S1505" s="291">
        <v>43051</v>
      </c>
      <c r="T1505" s="279">
        <v>1412</v>
      </c>
      <c r="U1505" s="277"/>
      <c r="V1505" s="277"/>
      <c r="W1505" s="277"/>
      <c r="X1505" s="277"/>
      <c r="Y1505" s="277"/>
      <c r="Z1505" s="277"/>
      <c r="AA1505" s="277"/>
      <c r="AB1505" s="277"/>
      <c r="AC1505" s="277"/>
      <c r="AD1505" s="277"/>
      <c r="AE1505" s="277"/>
      <c r="AF1505" s="277"/>
      <c r="AG1505" s="277"/>
      <c r="AH1505" s="277"/>
      <c r="AI1505" s="277"/>
    </row>
    <row r="1506" spans="16:35" s="185" customFormat="1">
      <c r="P1506" s="277"/>
      <c r="Q1506" s="277"/>
      <c r="R1506" s="277"/>
      <c r="S1506" s="291">
        <v>43052</v>
      </c>
      <c r="T1506" s="279">
        <v>1413</v>
      </c>
      <c r="U1506" s="277"/>
      <c r="V1506" s="277"/>
      <c r="W1506" s="277"/>
      <c r="X1506" s="277"/>
      <c r="Y1506" s="277"/>
      <c r="Z1506" s="277"/>
      <c r="AA1506" s="277"/>
      <c r="AB1506" s="277"/>
      <c r="AC1506" s="277"/>
      <c r="AD1506" s="277"/>
      <c r="AE1506" s="277"/>
      <c r="AF1506" s="277"/>
      <c r="AG1506" s="277"/>
      <c r="AH1506" s="277"/>
      <c r="AI1506" s="277"/>
    </row>
    <row r="1507" spans="16:35" s="185" customFormat="1">
      <c r="P1507" s="277"/>
      <c r="Q1507" s="277"/>
      <c r="R1507" s="277"/>
      <c r="S1507" s="291">
        <v>43053</v>
      </c>
      <c r="T1507" s="279">
        <v>1414</v>
      </c>
      <c r="U1507" s="277"/>
      <c r="V1507" s="277"/>
      <c r="W1507" s="277"/>
      <c r="X1507" s="277"/>
      <c r="Y1507" s="277"/>
      <c r="Z1507" s="277"/>
      <c r="AA1507" s="277"/>
      <c r="AB1507" s="277"/>
      <c r="AC1507" s="277"/>
      <c r="AD1507" s="277"/>
      <c r="AE1507" s="277"/>
      <c r="AF1507" s="277"/>
      <c r="AG1507" s="277"/>
      <c r="AH1507" s="277"/>
      <c r="AI1507" s="277"/>
    </row>
    <row r="1508" spans="16:35" s="185" customFormat="1">
      <c r="P1508" s="277"/>
      <c r="Q1508" s="277"/>
      <c r="R1508" s="277"/>
      <c r="S1508" s="291">
        <v>43054</v>
      </c>
      <c r="T1508" s="279">
        <v>1415</v>
      </c>
      <c r="U1508" s="277"/>
      <c r="V1508" s="277"/>
      <c r="W1508" s="277"/>
      <c r="X1508" s="277"/>
      <c r="Y1508" s="277"/>
      <c r="Z1508" s="277"/>
      <c r="AA1508" s="277"/>
      <c r="AB1508" s="277"/>
      <c r="AC1508" s="277"/>
      <c r="AD1508" s="277"/>
      <c r="AE1508" s="277"/>
      <c r="AF1508" s="277"/>
      <c r="AG1508" s="277"/>
      <c r="AH1508" s="277"/>
      <c r="AI1508" s="277"/>
    </row>
    <row r="1509" spans="16:35" s="185" customFormat="1">
      <c r="P1509" s="277"/>
      <c r="Q1509" s="277"/>
      <c r="R1509" s="277"/>
      <c r="S1509" s="291">
        <v>43055</v>
      </c>
      <c r="T1509" s="279">
        <v>1416</v>
      </c>
      <c r="U1509" s="277"/>
      <c r="V1509" s="277"/>
      <c r="W1509" s="277"/>
      <c r="X1509" s="277"/>
      <c r="Y1509" s="277"/>
      <c r="Z1509" s="277"/>
      <c r="AA1509" s="277"/>
      <c r="AB1509" s="277"/>
      <c r="AC1509" s="277"/>
      <c r="AD1509" s="277"/>
      <c r="AE1509" s="277"/>
      <c r="AF1509" s="277"/>
      <c r="AG1509" s="277"/>
      <c r="AH1509" s="277"/>
      <c r="AI1509" s="277"/>
    </row>
    <row r="1510" spans="16:35" s="185" customFormat="1">
      <c r="P1510" s="277"/>
      <c r="Q1510" s="277"/>
      <c r="R1510" s="277"/>
      <c r="S1510" s="291">
        <v>43056</v>
      </c>
      <c r="T1510" s="279">
        <v>1417</v>
      </c>
      <c r="U1510" s="277"/>
      <c r="V1510" s="277"/>
      <c r="W1510" s="277"/>
      <c r="X1510" s="277"/>
      <c r="Y1510" s="277"/>
      <c r="Z1510" s="277"/>
      <c r="AA1510" s="277"/>
      <c r="AB1510" s="277"/>
      <c r="AC1510" s="277"/>
      <c r="AD1510" s="277"/>
      <c r="AE1510" s="277"/>
      <c r="AF1510" s="277"/>
      <c r="AG1510" s="277"/>
      <c r="AH1510" s="277"/>
      <c r="AI1510" s="277"/>
    </row>
    <row r="1511" spans="16:35" s="185" customFormat="1">
      <c r="P1511" s="277"/>
      <c r="Q1511" s="277"/>
      <c r="R1511" s="277"/>
      <c r="S1511" s="291">
        <v>43057</v>
      </c>
      <c r="T1511" s="279">
        <v>1418</v>
      </c>
      <c r="U1511" s="277"/>
      <c r="V1511" s="277"/>
      <c r="W1511" s="277"/>
      <c r="X1511" s="277"/>
      <c r="Y1511" s="277"/>
      <c r="Z1511" s="277"/>
      <c r="AA1511" s="277"/>
      <c r="AB1511" s="277"/>
      <c r="AC1511" s="277"/>
      <c r="AD1511" s="277"/>
      <c r="AE1511" s="277"/>
      <c r="AF1511" s="277"/>
      <c r="AG1511" s="277"/>
      <c r="AH1511" s="277"/>
      <c r="AI1511" s="277"/>
    </row>
    <row r="1512" spans="16:35" s="185" customFormat="1">
      <c r="P1512" s="277"/>
      <c r="Q1512" s="277"/>
      <c r="R1512" s="277"/>
      <c r="S1512" s="291">
        <v>43058</v>
      </c>
      <c r="T1512" s="279">
        <v>1419</v>
      </c>
      <c r="U1512" s="277"/>
      <c r="V1512" s="277"/>
      <c r="W1512" s="277"/>
      <c r="X1512" s="277"/>
      <c r="Y1512" s="277"/>
      <c r="Z1512" s="277"/>
      <c r="AA1512" s="277"/>
      <c r="AB1512" s="277"/>
      <c r="AC1512" s="277"/>
      <c r="AD1512" s="277"/>
      <c r="AE1512" s="277"/>
      <c r="AF1512" s="277"/>
      <c r="AG1512" s="277"/>
      <c r="AH1512" s="277"/>
      <c r="AI1512" s="277"/>
    </row>
    <row r="1513" spans="16:35" s="185" customFormat="1">
      <c r="P1513" s="277"/>
      <c r="Q1513" s="277"/>
      <c r="R1513" s="277"/>
      <c r="S1513" s="291">
        <v>43059</v>
      </c>
      <c r="T1513" s="279">
        <v>1420</v>
      </c>
      <c r="U1513" s="277"/>
      <c r="V1513" s="277"/>
      <c r="W1513" s="277"/>
      <c r="X1513" s="277"/>
      <c r="Y1513" s="277"/>
      <c r="Z1513" s="277"/>
      <c r="AA1513" s="277"/>
      <c r="AB1513" s="277"/>
      <c r="AC1513" s="277"/>
      <c r="AD1513" s="277"/>
      <c r="AE1513" s="277"/>
      <c r="AF1513" s="277"/>
      <c r="AG1513" s="277"/>
      <c r="AH1513" s="277"/>
      <c r="AI1513" s="277"/>
    </row>
    <row r="1514" spans="16:35" s="185" customFormat="1">
      <c r="P1514" s="277"/>
      <c r="Q1514" s="277"/>
      <c r="R1514" s="277"/>
      <c r="S1514" s="291">
        <v>43060</v>
      </c>
      <c r="T1514" s="279">
        <v>1421</v>
      </c>
      <c r="U1514" s="277"/>
      <c r="V1514" s="277"/>
      <c r="W1514" s="277"/>
      <c r="X1514" s="277"/>
      <c r="Y1514" s="277"/>
      <c r="Z1514" s="277"/>
      <c r="AA1514" s="277"/>
      <c r="AB1514" s="277"/>
      <c r="AC1514" s="277"/>
      <c r="AD1514" s="277"/>
      <c r="AE1514" s="277"/>
      <c r="AF1514" s="277"/>
      <c r="AG1514" s="277"/>
      <c r="AH1514" s="277"/>
      <c r="AI1514" s="277"/>
    </row>
    <row r="1515" spans="16:35" s="185" customFormat="1">
      <c r="P1515" s="277"/>
      <c r="Q1515" s="277"/>
      <c r="R1515" s="277"/>
      <c r="S1515" s="291">
        <v>43061</v>
      </c>
      <c r="T1515" s="279">
        <v>1422</v>
      </c>
      <c r="U1515" s="277"/>
      <c r="V1515" s="277"/>
      <c r="W1515" s="277"/>
      <c r="X1515" s="277"/>
      <c r="Y1515" s="277"/>
      <c r="Z1515" s="277"/>
      <c r="AA1515" s="277"/>
      <c r="AB1515" s="277"/>
      <c r="AC1515" s="277"/>
      <c r="AD1515" s="277"/>
      <c r="AE1515" s="277"/>
      <c r="AF1515" s="277"/>
      <c r="AG1515" s="277"/>
      <c r="AH1515" s="277"/>
      <c r="AI1515" s="277"/>
    </row>
    <row r="1516" spans="16:35" s="185" customFormat="1">
      <c r="P1516" s="277"/>
      <c r="Q1516" s="277"/>
      <c r="R1516" s="277"/>
      <c r="S1516" s="291">
        <v>43062</v>
      </c>
      <c r="T1516" s="279">
        <v>1423</v>
      </c>
      <c r="U1516" s="277"/>
      <c r="V1516" s="277"/>
      <c r="W1516" s="277"/>
      <c r="X1516" s="277"/>
      <c r="Y1516" s="277"/>
      <c r="Z1516" s="277"/>
      <c r="AA1516" s="277"/>
      <c r="AB1516" s="277"/>
      <c r="AC1516" s="277"/>
      <c r="AD1516" s="277"/>
      <c r="AE1516" s="277"/>
      <c r="AF1516" s="277"/>
      <c r="AG1516" s="277"/>
      <c r="AH1516" s="277"/>
      <c r="AI1516" s="277"/>
    </row>
    <row r="1517" spans="16:35" s="185" customFormat="1">
      <c r="P1517" s="277"/>
      <c r="Q1517" s="277"/>
      <c r="R1517" s="277"/>
      <c r="S1517" s="291">
        <v>43063</v>
      </c>
      <c r="T1517" s="279">
        <v>1424</v>
      </c>
      <c r="U1517" s="277"/>
      <c r="V1517" s="277"/>
      <c r="W1517" s="277"/>
      <c r="X1517" s="277"/>
      <c r="Y1517" s="277"/>
      <c r="Z1517" s="277"/>
      <c r="AA1517" s="277"/>
      <c r="AB1517" s="277"/>
      <c r="AC1517" s="277"/>
      <c r="AD1517" s="277"/>
      <c r="AE1517" s="277"/>
      <c r="AF1517" s="277"/>
      <c r="AG1517" s="277"/>
      <c r="AH1517" s="277"/>
      <c r="AI1517" s="277"/>
    </row>
    <row r="1518" spans="16:35" s="185" customFormat="1">
      <c r="P1518" s="277"/>
      <c r="Q1518" s="277"/>
      <c r="R1518" s="277"/>
      <c r="S1518" s="291">
        <v>43064</v>
      </c>
      <c r="T1518" s="279">
        <v>1425</v>
      </c>
      <c r="U1518" s="277"/>
      <c r="V1518" s="277"/>
      <c r="W1518" s="277"/>
      <c r="X1518" s="277"/>
      <c r="Y1518" s="277"/>
      <c r="Z1518" s="277"/>
      <c r="AA1518" s="277"/>
      <c r="AB1518" s="277"/>
      <c r="AC1518" s="277"/>
      <c r="AD1518" s="277"/>
      <c r="AE1518" s="277"/>
      <c r="AF1518" s="277"/>
      <c r="AG1518" s="277"/>
      <c r="AH1518" s="277"/>
      <c r="AI1518" s="277"/>
    </row>
    <row r="1519" spans="16:35" s="185" customFormat="1">
      <c r="P1519" s="277"/>
      <c r="Q1519" s="277"/>
      <c r="R1519" s="277"/>
      <c r="S1519" s="291">
        <v>43065</v>
      </c>
      <c r="T1519" s="279">
        <v>1426</v>
      </c>
      <c r="U1519" s="277"/>
      <c r="V1519" s="277"/>
      <c r="W1519" s="277"/>
      <c r="X1519" s="277"/>
      <c r="Y1519" s="277"/>
      <c r="Z1519" s="277"/>
      <c r="AA1519" s="277"/>
      <c r="AB1519" s="277"/>
      <c r="AC1519" s="277"/>
      <c r="AD1519" s="277"/>
      <c r="AE1519" s="277"/>
      <c r="AF1519" s="277"/>
      <c r="AG1519" s="277"/>
      <c r="AH1519" s="277"/>
      <c r="AI1519" s="277"/>
    </row>
    <row r="1520" spans="16:35" s="185" customFormat="1">
      <c r="P1520" s="277"/>
      <c r="Q1520" s="277"/>
      <c r="R1520" s="277"/>
      <c r="S1520" s="291">
        <v>43066</v>
      </c>
      <c r="T1520" s="279">
        <v>1427</v>
      </c>
      <c r="U1520" s="277"/>
      <c r="V1520" s="277"/>
      <c r="W1520" s="277"/>
      <c r="X1520" s="277"/>
      <c r="Y1520" s="277"/>
      <c r="Z1520" s="277"/>
      <c r="AA1520" s="277"/>
      <c r="AB1520" s="277"/>
      <c r="AC1520" s="277"/>
      <c r="AD1520" s="277"/>
      <c r="AE1520" s="277"/>
      <c r="AF1520" s="277"/>
      <c r="AG1520" s="277"/>
      <c r="AH1520" s="277"/>
      <c r="AI1520" s="277"/>
    </row>
    <row r="1521" spans="16:35" s="185" customFormat="1">
      <c r="P1521" s="277"/>
      <c r="Q1521" s="277"/>
      <c r="R1521" s="277"/>
      <c r="S1521" s="291">
        <v>43067</v>
      </c>
      <c r="T1521" s="279">
        <v>1428</v>
      </c>
      <c r="U1521" s="277"/>
      <c r="V1521" s="277"/>
      <c r="W1521" s="277"/>
      <c r="X1521" s="277"/>
      <c r="Y1521" s="277"/>
      <c r="Z1521" s="277"/>
      <c r="AA1521" s="277"/>
      <c r="AB1521" s="277"/>
      <c r="AC1521" s="277"/>
      <c r="AD1521" s="277"/>
      <c r="AE1521" s="277"/>
      <c r="AF1521" s="277"/>
      <c r="AG1521" s="277"/>
      <c r="AH1521" s="277"/>
      <c r="AI1521" s="277"/>
    </row>
    <row r="1522" spans="16:35" s="185" customFormat="1">
      <c r="P1522" s="277"/>
      <c r="Q1522" s="277"/>
      <c r="R1522" s="277"/>
      <c r="S1522" s="291">
        <v>43068</v>
      </c>
      <c r="T1522" s="279">
        <v>1429</v>
      </c>
      <c r="U1522" s="277"/>
      <c r="V1522" s="277"/>
      <c r="W1522" s="277"/>
      <c r="X1522" s="277"/>
      <c r="Y1522" s="277"/>
      <c r="Z1522" s="277"/>
      <c r="AA1522" s="277"/>
      <c r="AB1522" s="277"/>
      <c r="AC1522" s="277"/>
      <c r="AD1522" s="277"/>
      <c r="AE1522" s="277"/>
      <c r="AF1522" s="277"/>
      <c r="AG1522" s="277"/>
      <c r="AH1522" s="277"/>
      <c r="AI1522" s="277"/>
    </row>
    <row r="1523" spans="16:35" s="185" customFormat="1">
      <c r="P1523" s="277"/>
      <c r="Q1523" s="277"/>
      <c r="R1523" s="277"/>
      <c r="S1523" s="291">
        <v>43069</v>
      </c>
      <c r="T1523" s="279">
        <v>1430</v>
      </c>
      <c r="U1523" s="277"/>
      <c r="V1523" s="277"/>
      <c r="W1523" s="277"/>
      <c r="X1523" s="277"/>
      <c r="Y1523" s="277"/>
      <c r="Z1523" s="277"/>
      <c r="AA1523" s="277"/>
      <c r="AB1523" s="277"/>
      <c r="AC1523" s="277"/>
      <c r="AD1523" s="277"/>
      <c r="AE1523" s="277"/>
      <c r="AF1523" s="277"/>
      <c r="AG1523" s="277"/>
      <c r="AH1523" s="277"/>
      <c r="AI1523" s="277"/>
    </row>
    <row r="1524" spans="16:35" s="185" customFormat="1">
      <c r="P1524" s="277"/>
      <c r="Q1524" s="277"/>
      <c r="R1524" s="277"/>
      <c r="S1524" s="291">
        <v>43070</v>
      </c>
      <c r="T1524" s="279">
        <v>1431</v>
      </c>
      <c r="U1524" s="277"/>
      <c r="V1524" s="277"/>
      <c r="W1524" s="277"/>
      <c r="X1524" s="277"/>
      <c r="Y1524" s="277"/>
      <c r="Z1524" s="277"/>
      <c r="AA1524" s="277"/>
      <c r="AB1524" s="277"/>
      <c r="AC1524" s="277"/>
      <c r="AD1524" s="277"/>
      <c r="AE1524" s="277"/>
      <c r="AF1524" s="277"/>
      <c r="AG1524" s="277"/>
      <c r="AH1524" s="277"/>
      <c r="AI1524" s="277"/>
    </row>
    <row r="1525" spans="16:35" s="185" customFormat="1">
      <c r="P1525" s="277"/>
      <c r="Q1525" s="277"/>
      <c r="R1525" s="277"/>
      <c r="S1525" s="291">
        <v>43071</v>
      </c>
      <c r="T1525" s="279">
        <v>1432</v>
      </c>
      <c r="U1525" s="277"/>
      <c r="V1525" s="277"/>
      <c r="W1525" s="277"/>
      <c r="X1525" s="277"/>
      <c r="Y1525" s="277"/>
      <c r="Z1525" s="277"/>
      <c r="AA1525" s="277"/>
      <c r="AB1525" s="277"/>
      <c r="AC1525" s="277"/>
      <c r="AD1525" s="277"/>
      <c r="AE1525" s="277"/>
      <c r="AF1525" s="277"/>
      <c r="AG1525" s="277"/>
      <c r="AH1525" s="277"/>
      <c r="AI1525" s="277"/>
    </row>
    <row r="1526" spans="16:35" s="185" customFormat="1">
      <c r="P1526" s="277"/>
      <c r="Q1526" s="277"/>
      <c r="R1526" s="277"/>
      <c r="S1526" s="291">
        <v>43072</v>
      </c>
      <c r="T1526" s="279">
        <v>1433</v>
      </c>
      <c r="U1526" s="277"/>
      <c r="V1526" s="277"/>
      <c r="W1526" s="277"/>
      <c r="X1526" s="277"/>
      <c r="Y1526" s="277"/>
      <c r="Z1526" s="277"/>
      <c r="AA1526" s="277"/>
      <c r="AB1526" s="277"/>
      <c r="AC1526" s="277"/>
      <c r="AD1526" s="277"/>
      <c r="AE1526" s="277"/>
      <c r="AF1526" s="277"/>
      <c r="AG1526" s="277"/>
      <c r="AH1526" s="277"/>
      <c r="AI1526" s="277"/>
    </row>
    <row r="1527" spans="16:35" s="185" customFormat="1">
      <c r="P1527" s="277"/>
      <c r="Q1527" s="277"/>
      <c r="R1527" s="277"/>
      <c r="S1527" s="291">
        <v>43073</v>
      </c>
      <c r="T1527" s="279">
        <v>1434</v>
      </c>
      <c r="U1527" s="277"/>
      <c r="V1527" s="277"/>
      <c r="W1527" s="277"/>
      <c r="X1527" s="277"/>
      <c r="Y1527" s="277"/>
      <c r="Z1527" s="277"/>
      <c r="AA1527" s="277"/>
      <c r="AB1527" s="277"/>
      <c r="AC1527" s="277"/>
      <c r="AD1527" s="277"/>
      <c r="AE1527" s="277"/>
      <c r="AF1527" s="277"/>
      <c r="AG1527" s="277"/>
      <c r="AH1527" s="277"/>
      <c r="AI1527" s="277"/>
    </row>
    <row r="1528" spans="16:35" s="185" customFormat="1">
      <c r="P1528" s="277"/>
      <c r="Q1528" s="277"/>
      <c r="R1528" s="277"/>
      <c r="S1528" s="291">
        <v>43074</v>
      </c>
      <c r="T1528" s="279">
        <v>1435</v>
      </c>
      <c r="U1528" s="277"/>
      <c r="V1528" s="277"/>
      <c r="W1528" s="277"/>
      <c r="X1528" s="277"/>
      <c r="Y1528" s="277"/>
      <c r="Z1528" s="277"/>
      <c r="AA1528" s="277"/>
      <c r="AB1528" s="277"/>
      <c r="AC1528" s="277"/>
      <c r="AD1528" s="277"/>
      <c r="AE1528" s="277"/>
      <c r="AF1528" s="277"/>
      <c r="AG1528" s="277"/>
      <c r="AH1528" s="277"/>
      <c r="AI1528" s="277"/>
    </row>
    <row r="1529" spans="16:35" s="185" customFormat="1">
      <c r="P1529" s="277"/>
      <c r="Q1529" s="277"/>
      <c r="R1529" s="277"/>
      <c r="S1529" s="291">
        <v>43075</v>
      </c>
      <c r="T1529" s="279">
        <v>1436</v>
      </c>
      <c r="U1529" s="277"/>
      <c r="V1529" s="277"/>
      <c r="W1529" s="277"/>
      <c r="X1529" s="277"/>
      <c r="Y1529" s="277"/>
      <c r="Z1529" s="277"/>
      <c r="AA1529" s="277"/>
      <c r="AB1529" s="277"/>
      <c r="AC1529" s="277"/>
      <c r="AD1529" s="277"/>
      <c r="AE1529" s="277"/>
      <c r="AF1529" s="277"/>
      <c r="AG1529" s="277"/>
      <c r="AH1529" s="277"/>
      <c r="AI1529" s="277"/>
    </row>
    <row r="1530" spans="16:35" s="185" customFormat="1">
      <c r="P1530" s="277"/>
      <c r="Q1530" s="277"/>
      <c r="R1530" s="277"/>
      <c r="S1530" s="291">
        <v>43076</v>
      </c>
      <c r="T1530" s="279">
        <v>1437</v>
      </c>
      <c r="U1530" s="277"/>
      <c r="V1530" s="277"/>
      <c r="W1530" s="277"/>
      <c r="X1530" s="277"/>
      <c r="Y1530" s="277"/>
      <c r="Z1530" s="277"/>
      <c r="AA1530" s="277"/>
      <c r="AB1530" s="277"/>
      <c r="AC1530" s="277"/>
      <c r="AD1530" s="277"/>
      <c r="AE1530" s="277"/>
      <c r="AF1530" s="277"/>
      <c r="AG1530" s="277"/>
      <c r="AH1530" s="277"/>
      <c r="AI1530" s="277"/>
    </row>
    <row r="1531" spans="16:35" s="185" customFormat="1">
      <c r="P1531" s="277"/>
      <c r="Q1531" s="277"/>
      <c r="R1531" s="277"/>
      <c r="S1531" s="291">
        <v>43077</v>
      </c>
      <c r="T1531" s="279">
        <v>1438</v>
      </c>
      <c r="U1531" s="277"/>
      <c r="V1531" s="277"/>
      <c r="W1531" s="277"/>
      <c r="X1531" s="277"/>
      <c r="Y1531" s="277"/>
      <c r="Z1531" s="277"/>
      <c r="AA1531" s="277"/>
      <c r="AB1531" s="277"/>
      <c r="AC1531" s="277"/>
      <c r="AD1531" s="277"/>
      <c r="AE1531" s="277"/>
      <c r="AF1531" s="277"/>
      <c r="AG1531" s="277"/>
      <c r="AH1531" s="277"/>
      <c r="AI1531" s="277"/>
    </row>
    <row r="1532" spans="16:35" s="185" customFormat="1">
      <c r="P1532" s="277"/>
      <c r="Q1532" s="277"/>
      <c r="R1532" s="277"/>
      <c r="S1532" s="291">
        <v>43078</v>
      </c>
      <c r="T1532" s="279">
        <v>1439</v>
      </c>
      <c r="U1532" s="277"/>
      <c r="V1532" s="277"/>
      <c r="W1532" s="277"/>
      <c r="X1532" s="277"/>
      <c r="Y1532" s="277"/>
      <c r="Z1532" s="277"/>
      <c r="AA1532" s="277"/>
      <c r="AB1532" s="277"/>
      <c r="AC1532" s="277"/>
      <c r="AD1532" s="277"/>
      <c r="AE1532" s="277"/>
      <c r="AF1532" s="277"/>
      <c r="AG1532" s="277"/>
      <c r="AH1532" s="277"/>
      <c r="AI1532" s="277"/>
    </row>
    <row r="1533" spans="16:35" s="185" customFormat="1">
      <c r="P1533" s="277"/>
      <c r="Q1533" s="277"/>
      <c r="R1533" s="277"/>
      <c r="S1533" s="291">
        <v>43079</v>
      </c>
      <c r="T1533" s="279">
        <v>1440</v>
      </c>
      <c r="U1533" s="277"/>
      <c r="V1533" s="277"/>
      <c r="W1533" s="277"/>
      <c r="X1533" s="277"/>
      <c r="Y1533" s="277"/>
      <c r="Z1533" s="277"/>
      <c r="AA1533" s="277"/>
      <c r="AB1533" s="277"/>
      <c r="AC1533" s="277"/>
      <c r="AD1533" s="277"/>
      <c r="AE1533" s="277"/>
      <c r="AF1533" s="277"/>
      <c r="AG1533" s="277"/>
      <c r="AH1533" s="277"/>
      <c r="AI1533" s="277"/>
    </row>
    <row r="1534" spans="16:35" s="185" customFormat="1">
      <c r="P1534" s="277"/>
      <c r="Q1534" s="277"/>
      <c r="R1534" s="277"/>
      <c r="S1534" s="291">
        <v>43080</v>
      </c>
      <c r="T1534" s="279">
        <v>1441</v>
      </c>
      <c r="U1534" s="277"/>
      <c r="V1534" s="277"/>
      <c r="W1534" s="277"/>
      <c r="X1534" s="277"/>
      <c r="Y1534" s="277"/>
      <c r="Z1534" s="277"/>
      <c r="AA1534" s="277"/>
      <c r="AB1534" s="277"/>
      <c r="AC1534" s="277"/>
      <c r="AD1534" s="277"/>
      <c r="AE1534" s="277"/>
      <c r="AF1534" s="277"/>
      <c r="AG1534" s="277"/>
      <c r="AH1534" s="277"/>
      <c r="AI1534" s="277"/>
    </row>
    <row r="1535" spans="16:35" s="185" customFormat="1">
      <c r="P1535" s="277"/>
      <c r="Q1535" s="277"/>
      <c r="R1535" s="277"/>
      <c r="S1535" s="291">
        <v>43081</v>
      </c>
      <c r="T1535" s="279">
        <v>1442</v>
      </c>
      <c r="U1535" s="277"/>
      <c r="V1535" s="277"/>
      <c r="W1535" s="277"/>
      <c r="X1535" s="277"/>
      <c r="Y1535" s="277"/>
      <c r="Z1535" s="277"/>
      <c r="AA1535" s="277"/>
      <c r="AB1535" s="277"/>
      <c r="AC1535" s="277"/>
      <c r="AD1535" s="277"/>
      <c r="AE1535" s="277"/>
      <c r="AF1535" s="277"/>
      <c r="AG1535" s="277"/>
      <c r="AH1535" s="277"/>
      <c r="AI1535" s="277"/>
    </row>
    <row r="1536" spans="16:35" s="185" customFormat="1">
      <c r="P1536" s="277"/>
      <c r="Q1536" s="277"/>
      <c r="R1536" s="277"/>
      <c r="S1536" s="291">
        <v>43082</v>
      </c>
      <c r="T1536" s="279">
        <v>1443</v>
      </c>
      <c r="U1536" s="277"/>
      <c r="V1536" s="277"/>
      <c r="W1536" s="277"/>
      <c r="X1536" s="277"/>
      <c r="Y1536" s="277"/>
      <c r="Z1536" s="277"/>
      <c r="AA1536" s="277"/>
      <c r="AB1536" s="277"/>
      <c r="AC1536" s="277"/>
      <c r="AD1536" s="277"/>
      <c r="AE1536" s="277"/>
      <c r="AF1536" s="277"/>
      <c r="AG1536" s="277"/>
      <c r="AH1536" s="277"/>
      <c r="AI1536" s="277"/>
    </row>
    <row r="1537" spans="16:35" s="185" customFormat="1">
      <c r="P1537" s="277"/>
      <c r="Q1537" s="277"/>
      <c r="R1537" s="277"/>
      <c r="S1537" s="291">
        <v>43083</v>
      </c>
      <c r="T1537" s="279">
        <v>1444</v>
      </c>
      <c r="U1537" s="277"/>
      <c r="V1537" s="277"/>
      <c r="W1537" s="277"/>
      <c r="X1537" s="277"/>
      <c r="Y1537" s="277"/>
      <c r="Z1537" s="277"/>
      <c r="AA1537" s="277"/>
      <c r="AB1537" s="277"/>
      <c r="AC1537" s="277"/>
      <c r="AD1537" s="277"/>
      <c r="AE1537" s="277"/>
      <c r="AF1537" s="277"/>
      <c r="AG1537" s="277"/>
      <c r="AH1537" s="277"/>
      <c r="AI1537" s="277"/>
    </row>
    <row r="1538" spans="16:35" s="185" customFormat="1">
      <c r="P1538" s="277"/>
      <c r="Q1538" s="277"/>
      <c r="R1538" s="277"/>
      <c r="S1538" s="291">
        <v>43084</v>
      </c>
      <c r="T1538" s="279">
        <v>1445</v>
      </c>
      <c r="U1538" s="277"/>
      <c r="V1538" s="277"/>
      <c r="W1538" s="277"/>
      <c r="X1538" s="277"/>
      <c r="Y1538" s="277"/>
      <c r="Z1538" s="277"/>
      <c r="AA1538" s="277"/>
      <c r="AB1538" s="277"/>
      <c r="AC1538" s="277"/>
      <c r="AD1538" s="277"/>
      <c r="AE1538" s="277"/>
      <c r="AF1538" s="277"/>
      <c r="AG1538" s="277"/>
      <c r="AH1538" s="277"/>
      <c r="AI1538" s="277"/>
    </row>
    <row r="1539" spans="16:35" s="185" customFormat="1">
      <c r="P1539" s="277"/>
      <c r="Q1539" s="277"/>
      <c r="R1539" s="277"/>
      <c r="S1539" s="291">
        <v>43085</v>
      </c>
      <c r="T1539" s="279">
        <v>1446</v>
      </c>
      <c r="U1539" s="277"/>
      <c r="V1539" s="277"/>
      <c r="W1539" s="277"/>
      <c r="X1539" s="277"/>
      <c r="Y1539" s="277"/>
      <c r="Z1539" s="277"/>
      <c r="AA1539" s="277"/>
      <c r="AB1539" s="277"/>
      <c r="AC1539" s="277"/>
      <c r="AD1539" s="277"/>
      <c r="AE1539" s="277"/>
      <c r="AF1539" s="277"/>
      <c r="AG1539" s="277"/>
      <c r="AH1539" s="277"/>
      <c r="AI1539" s="277"/>
    </row>
    <row r="1540" spans="16:35" s="185" customFormat="1">
      <c r="P1540" s="277"/>
      <c r="Q1540" s="277"/>
      <c r="R1540" s="277"/>
      <c r="S1540" s="291">
        <v>43086</v>
      </c>
      <c r="T1540" s="279">
        <v>1447</v>
      </c>
      <c r="U1540" s="277"/>
      <c r="V1540" s="277"/>
      <c r="W1540" s="277"/>
      <c r="X1540" s="277"/>
      <c r="Y1540" s="277"/>
      <c r="Z1540" s="277"/>
      <c r="AA1540" s="277"/>
      <c r="AB1540" s="277"/>
      <c r="AC1540" s="277"/>
      <c r="AD1540" s="277"/>
      <c r="AE1540" s="277"/>
      <c r="AF1540" s="277"/>
      <c r="AG1540" s="277"/>
      <c r="AH1540" s="277"/>
      <c r="AI1540" s="277"/>
    </row>
    <row r="1541" spans="16:35" s="185" customFormat="1">
      <c r="P1541" s="277"/>
      <c r="Q1541" s="277"/>
      <c r="R1541" s="277"/>
      <c r="S1541" s="291">
        <v>43087</v>
      </c>
      <c r="T1541" s="279">
        <v>1448</v>
      </c>
      <c r="U1541" s="277"/>
      <c r="V1541" s="277"/>
      <c r="W1541" s="277"/>
      <c r="X1541" s="277"/>
      <c r="Y1541" s="277"/>
      <c r="Z1541" s="277"/>
      <c r="AA1541" s="277"/>
      <c r="AB1541" s="277"/>
      <c r="AC1541" s="277"/>
      <c r="AD1541" s="277"/>
      <c r="AE1541" s="277"/>
      <c r="AF1541" s="277"/>
      <c r="AG1541" s="277"/>
      <c r="AH1541" s="277"/>
      <c r="AI1541" s="277"/>
    </row>
    <row r="1542" spans="16:35" s="185" customFormat="1">
      <c r="P1542" s="277"/>
      <c r="Q1542" s="277"/>
      <c r="R1542" s="277"/>
      <c r="S1542" s="291">
        <v>43088</v>
      </c>
      <c r="T1542" s="279">
        <v>1449</v>
      </c>
      <c r="U1542" s="277"/>
      <c r="V1542" s="277"/>
      <c r="W1542" s="277"/>
      <c r="X1542" s="277"/>
      <c r="Y1542" s="277"/>
      <c r="Z1542" s="277"/>
      <c r="AA1542" s="277"/>
      <c r="AB1542" s="277"/>
      <c r="AC1542" s="277"/>
      <c r="AD1542" s="277"/>
      <c r="AE1542" s="277"/>
      <c r="AF1542" s="277"/>
      <c r="AG1542" s="277"/>
      <c r="AH1542" s="277"/>
      <c r="AI1542" s="277"/>
    </row>
    <row r="1543" spans="16:35" s="185" customFormat="1">
      <c r="P1543" s="277"/>
      <c r="Q1543" s="277"/>
      <c r="R1543" s="277"/>
      <c r="S1543" s="291">
        <v>43089</v>
      </c>
      <c r="T1543" s="279">
        <v>1450</v>
      </c>
      <c r="U1543" s="277"/>
      <c r="V1543" s="277"/>
      <c r="W1543" s="277"/>
      <c r="X1543" s="277"/>
      <c r="Y1543" s="277"/>
      <c r="Z1543" s="277"/>
      <c r="AA1543" s="277"/>
      <c r="AB1543" s="277"/>
      <c r="AC1543" s="277"/>
      <c r="AD1543" s="277"/>
      <c r="AE1543" s="277"/>
      <c r="AF1543" s="277"/>
      <c r="AG1543" s="277"/>
      <c r="AH1543" s="277"/>
      <c r="AI1543" s="277"/>
    </row>
    <row r="1544" spans="16:35" s="185" customFormat="1">
      <c r="P1544" s="277"/>
      <c r="Q1544" s="277"/>
      <c r="R1544" s="277"/>
      <c r="S1544" s="291">
        <v>43090</v>
      </c>
      <c r="T1544" s="279">
        <v>1451</v>
      </c>
      <c r="U1544" s="277"/>
      <c r="V1544" s="277"/>
      <c r="W1544" s="277"/>
      <c r="X1544" s="277"/>
      <c r="Y1544" s="277"/>
      <c r="Z1544" s="277"/>
      <c r="AA1544" s="277"/>
      <c r="AB1544" s="277"/>
      <c r="AC1544" s="277"/>
      <c r="AD1544" s="277"/>
      <c r="AE1544" s="277"/>
      <c r="AF1544" s="277"/>
      <c r="AG1544" s="277"/>
      <c r="AH1544" s="277"/>
      <c r="AI1544" s="277"/>
    </row>
    <row r="1545" spans="16:35" s="185" customFormat="1">
      <c r="P1545" s="277"/>
      <c r="Q1545" s="277"/>
      <c r="R1545" s="277"/>
      <c r="S1545" s="291">
        <v>43091</v>
      </c>
      <c r="T1545" s="279">
        <v>1452</v>
      </c>
      <c r="U1545" s="277"/>
      <c r="V1545" s="277"/>
      <c r="W1545" s="277"/>
      <c r="X1545" s="277"/>
      <c r="Y1545" s="277"/>
      <c r="Z1545" s="277"/>
      <c r="AA1545" s="277"/>
      <c r="AB1545" s="277"/>
      <c r="AC1545" s="277"/>
      <c r="AD1545" s="277"/>
      <c r="AE1545" s="277"/>
      <c r="AF1545" s="277"/>
      <c r="AG1545" s="277"/>
      <c r="AH1545" s="277"/>
      <c r="AI1545" s="277"/>
    </row>
    <row r="1546" spans="16:35" s="185" customFormat="1">
      <c r="P1546" s="277"/>
      <c r="Q1546" s="277"/>
      <c r="R1546" s="277"/>
      <c r="S1546" s="291">
        <v>43092</v>
      </c>
      <c r="T1546" s="279">
        <v>1453</v>
      </c>
      <c r="U1546" s="277"/>
      <c r="V1546" s="277"/>
      <c r="W1546" s="277"/>
      <c r="X1546" s="277"/>
      <c r="Y1546" s="277"/>
      <c r="Z1546" s="277"/>
      <c r="AA1546" s="277"/>
      <c r="AB1546" s="277"/>
      <c r="AC1546" s="277"/>
      <c r="AD1546" s="277"/>
      <c r="AE1546" s="277"/>
      <c r="AF1546" s="277"/>
      <c r="AG1546" s="277"/>
      <c r="AH1546" s="277"/>
      <c r="AI1546" s="277"/>
    </row>
    <row r="1547" spans="16:35" s="185" customFormat="1">
      <c r="P1547" s="277"/>
      <c r="Q1547" s="277"/>
      <c r="R1547" s="277"/>
      <c r="S1547" s="291">
        <v>43093</v>
      </c>
      <c r="T1547" s="279">
        <v>1454</v>
      </c>
      <c r="U1547" s="277"/>
      <c r="V1547" s="277"/>
      <c r="W1547" s="277"/>
      <c r="X1547" s="277"/>
      <c r="Y1547" s="277"/>
      <c r="Z1547" s="277"/>
      <c r="AA1547" s="277"/>
      <c r="AB1547" s="277"/>
      <c r="AC1547" s="277"/>
      <c r="AD1547" s="277"/>
      <c r="AE1547" s="277"/>
      <c r="AF1547" s="277"/>
      <c r="AG1547" s="277"/>
      <c r="AH1547" s="277"/>
      <c r="AI1547" s="277"/>
    </row>
    <row r="1548" spans="16:35" s="185" customFormat="1">
      <c r="P1548" s="277"/>
      <c r="Q1548" s="277"/>
      <c r="R1548" s="277"/>
      <c r="S1548" s="291">
        <v>43094</v>
      </c>
      <c r="T1548" s="279">
        <v>1455</v>
      </c>
      <c r="U1548" s="277"/>
      <c r="V1548" s="277"/>
      <c r="W1548" s="277"/>
      <c r="X1548" s="277"/>
      <c r="Y1548" s="277"/>
      <c r="Z1548" s="277"/>
      <c r="AA1548" s="277"/>
      <c r="AB1548" s="277"/>
      <c r="AC1548" s="277"/>
      <c r="AD1548" s="277"/>
      <c r="AE1548" s="277"/>
      <c r="AF1548" s="277"/>
      <c r="AG1548" s="277"/>
      <c r="AH1548" s="277"/>
      <c r="AI1548" s="277"/>
    </row>
    <row r="1549" spans="16:35" s="185" customFormat="1">
      <c r="P1549" s="277"/>
      <c r="Q1549" s="277"/>
      <c r="R1549" s="277"/>
      <c r="S1549" s="291">
        <v>43095</v>
      </c>
      <c r="T1549" s="279">
        <v>1456</v>
      </c>
      <c r="U1549" s="277"/>
      <c r="V1549" s="277"/>
      <c r="W1549" s="277"/>
      <c r="X1549" s="277"/>
      <c r="Y1549" s="277"/>
      <c r="Z1549" s="277"/>
      <c r="AA1549" s="277"/>
      <c r="AB1549" s="277"/>
      <c r="AC1549" s="277"/>
      <c r="AD1549" s="277"/>
      <c r="AE1549" s="277"/>
      <c r="AF1549" s="277"/>
      <c r="AG1549" s="277"/>
      <c r="AH1549" s="277"/>
      <c r="AI1549" s="277"/>
    </row>
    <row r="1550" spans="16:35" s="185" customFormat="1">
      <c r="P1550" s="277"/>
      <c r="Q1550" s="277"/>
      <c r="R1550" s="277"/>
      <c r="S1550" s="291">
        <v>43096</v>
      </c>
      <c r="T1550" s="279">
        <v>1457</v>
      </c>
      <c r="U1550" s="277"/>
      <c r="V1550" s="277"/>
      <c r="W1550" s="277"/>
      <c r="X1550" s="277"/>
      <c r="Y1550" s="277"/>
      <c r="Z1550" s="277"/>
      <c r="AA1550" s="277"/>
      <c r="AB1550" s="277"/>
      <c r="AC1550" s="277"/>
      <c r="AD1550" s="277"/>
      <c r="AE1550" s="277"/>
      <c r="AF1550" s="277"/>
      <c r="AG1550" s="277"/>
      <c r="AH1550" s="277"/>
      <c r="AI1550" s="277"/>
    </row>
    <row r="1551" spans="16:35" s="185" customFormat="1">
      <c r="P1551" s="277"/>
      <c r="Q1551" s="277"/>
      <c r="R1551" s="277"/>
      <c r="S1551" s="291">
        <v>43097</v>
      </c>
      <c r="T1551" s="279">
        <v>1458</v>
      </c>
      <c r="U1551" s="277"/>
      <c r="V1551" s="277"/>
      <c r="W1551" s="277"/>
      <c r="X1551" s="277"/>
      <c r="Y1551" s="277"/>
      <c r="Z1551" s="277"/>
      <c r="AA1551" s="277"/>
      <c r="AB1551" s="277"/>
      <c r="AC1551" s="277"/>
      <c r="AD1551" s="277"/>
      <c r="AE1551" s="277"/>
      <c r="AF1551" s="277"/>
      <c r="AG1551" s="277"/>
      <c r="AH1551" s="277"/>
      <c r="AI1551" s="277"/>
    </row>
    <row r="1552" spans="16:35" s="185" customFormat="1">
      <c r="P1552" s="277"/>
      <c r="Q1552" s="277"/>
      <c r="R1552" s="277"/>
      <c r="S1552" s="291">
        <v>43098</v>
      </c>
      <c r="T1552" s="279">
        <v>1459</v>
      </c>
      <c r="U1552" s="277"/>
      <c r="V1552" s="277"/>
      <c r="W1552" s="277"/>
      <c r="X1552" s="277"/>
      <c r="Y1552" s="277"/>
      <c r="Z1552" s="277"/>
      <c r="AA1552" s="277"/>
      <c r="AB1552" s="277"/>
      <c r="AC1552" s="277"/>
      <c r="AD1552" s="277"/>
      <c r="AE1552" s="277"/>
      <c r="AF1552" s="277"/>
      <c r="AG1552" s="277"/>
      <c r="AH1552" s="277"/>
      <c r="AI1552" s="277"/>
    </row>
    <row r="1553" spans="16:35" s="185" customFormat="1">
      <c r="P1553" s="277"/>
      <c r="Q1553" s="277"/>
      <c r="R1553" s="277"/>
      <c r="S1553" s="291">
        <v>43099</v>
      </c>
      <c r="T1553" s="279">
        <v>1460</v>
      </c>
      <c r="U1553" s="277"/>
      <c r="V1553" s="277"/>
      <c r="W1553" s="277"/>
      <c r="X1553" s="277"/>
      <c r="Y1553" s="277"/>
      <c r="Z1553" s="277"/>
      <c r="AA1553" s="277"/>
      <c r="AB1553" s="277"/>
      <c r="AC1553" s="277"/>
      <c r="AD1553" s="277"/>
      <c r="AE1553" s="277"/>
      <c r="AF1553" s="277"/>
      <c r="AG1553" s="277"/>
      <c r="AH1553" s="277"/>
      <c r="AI1553" s="277"/>
    </row>
    <row r="1554" spans="16:35" s="185" customFormat="1">
      <c r="P1554" s="277"/>
      <c r="Q1554" s="277"/>
      <c r="R1554" s="277"/>
      <c r="S1554" s="291">
        <v>43100</v>
      </c>
      <c r="T1554" s="279">
        <v>1461</v>
      </c>
      <c r="U1554" s="277"/>
      <c r="V1554" s="277"/>
      <c r="W1554" s="277"/>
      <c r="X1554" s="277"/>
      <c r="Y1554" s="277"/>
      <c r="Z1554" s="277"/>
      <c r="AA1554" s="277"/>
      <c r="AB1554" s="277"/>
      <c r="AC1554" s="277"/>
      <c r="AD1554" s="277"/>
      <c r="AE1554" s="277"/>
      <c r="AF1554" s="277"/>
      <c r="AG1554" s="277"/>
      <c r="AH1554" s="277"/>
      <c r="AI1554" s="277"/>
    </row>
    <row r="1555" spans="16:35" s="185" customFormat="1">
      <c r="P1555" s="277"/>
      <c r="Q1555" s="277"/>
      <c r="R1555" s="277"/>
      <c r="S1555" s="291">
        <v>43101</v>
      </c>
      <c r="T1555" s="279">
        <v>1462</v>
      </c>
      <c r="U1555" s="277"/>
      <c r="V1555" s="277"/>
      <c r="W1555" s="277"/>
      <c r="X1555" s="277"/>
      <c r="Y1555" s="277"/>
      <c r="Z1555" s="277"/>
      <c r="AA1555" s="277"/>
      <c r="AB1555" s="277"/>
      <c r="AC1555" s="277"/>
      <c r="AD1555" s="277"/>
      <c r="AE1555" s="277"/>
      <c r="AF1555" s="277"/>
      <c r="AG1555" s="277"/>
      <c r="AH1555" s="277"/>
      <c r="AI1555" s="277"/>
    </row>
    <row r="1556" spans="16:35" s="185" customFormat="1">
      <c r="P1556" s="277"/>
      <c r="Q1556" s="277"/>
      <c r="R1556" s="277"/>
      <c r="S1556" s="291">
        <v>43102</v>
      </c>
      <c r="T1556" s="279">
        <v>1463</v>
      </c>
      <c r="U1556" s="277"/>
      <c r="V1556" s="277"/>
      <c r="W1556" s="277"/>
      <c r="X1556" s="277"/>
      <c r="Y1556" s="277"/>
      <c r="Z1556" s="277"/>
      <c r="AA1556" s="277"/>
      <c r="AB1556" s="277"/>
      <c r="AC1556" s="277"/>
      <c r="AD1556" s="277"/>
      <c r="AE1556" s="277"/>
      <c r="AF1556" s="277"/>
      <c r="AG1556" s="277"/>
      <c r="AH1556" s="277"/>
      <c r="AI1556" s="277"/>
    </row>
    <row r="1557" spans="16:35" s="185" customFormat="1">
      <c r="P1557" s="277"/>
      <c r="Q1557" s="277"/>
      <c r="R1557" s="277"/>
      <c r="S1557" s="291">
        <v>43103</v>
      </c>
      <c r="T1557" s="279">
        <v>1464</v>
      </c>
      <c r="U1557" s="277"/>
      <c r="V1557" s="277"/>
      <c r="W1557" s="277"/>
      <c r="X1557" s="277"/>
      <c r="Y1557" s="277"/>
      <c r="Z1557" s="277"/>
      <c r="AA1557" s="277"/>
      <c r="AB1557" s="277"/>
      <c r="AC1557" s="277"/>
      <c r="AD1557" s="277"/>
      <c r="AE1557" s="277"/>
      <c r="AF1557" s="277"/>
      <c r="AG1557" s="277"/>
      <c r="AH1557" s="277"/>
      <c r="AI1557" s="277"/>
    </row>
    <row r="1558" spans="16:35" s="185" customFormat="1">
      <c r="P1558" s="277"/>
      <c r="Q1558" s="277"/>
      <c r="R1558" s="277"/>
      <c r="S1558" s="291">
        <v>43104</v>
      </c>
      <c r="T1558" s="279">
        <v>1465</v>
      </c>
      <c r="U1558" s="277"/>
      <c r="V1558" s="277"/>
      <c r="W1558" s="277"/>
      <c r="X1558" s="277"/>
      <c r="Y1558" s="277"/>
      <c r="Z1558" s="277"/>
      <c r="AA1558" s="277"/>
      <c r="AB1558" s="277"/>
      <c r="AC1558" s="277"/>
      <c r="AD1558" s="277"/>
      <c r="AE1558" s="277"/>
      <c r="AF1558" s="277"/>
      <c r="AG1558" s="277"/>
      <c r="AH1558" s="277"/>
      <c r="AI1558" s="277"/>
    </row>
    <row r="1559" spans="16:35" s="185" customFormat="1">
      <c r="P1559" s="277"/>
      <c r="Q1559" s="277"/>
      <c r="R1559" s="277"/>
      <c r="S1559" s="291">
        <v>43105</v>
      </c>
      <c r="T1559" s="279">
        <v>1466</v>
      </c>
      <c r="U1559" s="277"/>
      <c r="V1559" s="277"/>
      <c r="W1559" s="277"/>
      <c r="X1559" s="277"/>
      <c r="Y1559" s="277"/>
      <c r="Z1559" s="277"/>
      <c r="AA1559" s="277"/>
      <c r="AB1559" s="277"/>
      <c r="AC1559" s="277"/>
      <c r="AD1559" s="277"/>
      <c r="AE1559" s="277"/>
      <c r="AF1559" s="277"/>
      <c r="AG1559" s="277"/>
      <c r="AH1559" s="277"/>
      <c r="AI1559" s="277"/>
    </row>
    <row r="1560" spans="16:35" s="185" customFormat="1">
      <c r="P1560" s="277"/>
      <c r="Q1560" s="277"/>
      <c r="R1560" s="277"/>
      <c r="S1560" s="291">
        <v>43106</v>
      </c>
      <c r="T1560" s="279">
        <v>1467</v>
      </c>
      <c r="U1560" s="277"/>
      <c r="V1560" s="277"/>
      <c r="W1560" s="277"/>
      <c r="X1560" s="277"/>
      <c r="Y1560" s="277"/>
      <c r="Z1560" s="277"/>
      <c r="AA1560" s="277"/>
      <c r="AB1560" s="277"/>
      <c r="AC1560" s="277"/>
      <c r="AD1560" s="277"/>
      <c r="AE1560" s="277"/>
      <c r="AF1560" s="277"/>
      <c r="AG1560" s="277"/>
      <c r="AH1560" s="277"/>
      <c r="AI1560" s="277"/>
    </row>
    <row r="1561" spans="16:35" s="185" customFormat="1">
      <c r="P1561" s="277"/>
      <c r="Q1561" s="277"/>
      <c r="R1561" s="277"/>
      <c r="S1561" s="291">
        <v>43107</v>
      </c>
      <c r="T1561" s="279">
        <v>1468</v>
      </c>
      <c r="U1561" s="277"/>
      <c r="V1561" s="277"/>
      <c r="W1561" s="277"/>
      <c r="X1561" s="277"/>
      <c r="Y1561" s="277"/>
      <c r="Z1561" s="277"/>
      <c r="AA1561" s="277"/>
      <c r="AB1561" s="277"/>
      <c r="AC1561" s="277"/>
      <c r="AD1561" s="277"/>
      <c r="AE1561" s="277"/>
      <c r="AF1561" s="277"/>
      <c r="AG1561" s="277"/>
      <c r="AH1561" s="277"/>
      <c r="AI1561" s="277"/>
    </row>
    <row r="1562" spans="16:35" s="185" customFormat="1">
      <c r="P1562" s="277"/>
      <c r="Q1562" s="277"/>
      <c r="R1562" s="277"/>
      <c r="S1562" s="291">
        <v>43108</v>
      </c>
      <c r="T1562" s="279">
        <v>1469</v>
      </c>
      <c r="U1562" s="277"/>
      <c r="V1562" s="277"/>
      <c r="W1562" s="277"/>
      <c r="X1562" s="277"/>
      <c r="Y1562" s="277"/>
      <c r="Z1562" s="277"/>
      <c r="AA1562" s="277"/>
      <c r="AB1562" s="277"/>
      <c r="AC1562" s="277"/>
      <c r="AD1562" s="277"/>
      <c r="AE1562" s="277"/>
      <c r="AF1562" s="277"/>
      <c r="AG1562" s="277"/>
      <c r="AH1562" s="277"/>
      <c r="AI1562" s="277"/>
    </row>
    <row r="1563" spans="16:35" s="185" customFormat="1">
      <c r="P1563" s="277"/>
      <c r="Q1563" s="277"/>
      <c r="R1563" s="277"/>
      <c r="S1563" s="291">
        <v>43109</v>
      </c>
      <c r="T1563" s="279">
        <v>1470</v>
      </c>
      <c r="U1563" s="277"/>
      <c r="V1563" s="277"/>
      <c r="W1563" s="277"/>
      <c r="X1563" s="277"/>
      <c r="Y1563" s="277"/>
      <c r="Z1563" s="277"/>
      <c r="AA1563" s="277"/>
      <c r="AB1563" s="277"/>
      <c r="AC1563" s="277"/>
      <c r="AD1563" s="277"/>
      <c r="AE1563" s="277"/>
      <c r="AF1563" s="277"/>
      <c r="AG1563" s="277"/>
      <c r="AH1563" s="277"/>
      <c r="AI1563" s="277"/>
    </row>
    <row r="1564" spans="16:35" s="185" customFormat="1">
      <c r="P1564" s="277"/>
      <c r="Q1564" s="277"/>
      <c r="R1564" s="277"/>
      <c r="S1564" s="291">
        <v>43110</v>
      </c>
      <c r="T1564" s="279">
        <v>1471</v>
      </c>
      <c r="U1564" s="277"/>
      <c r="V1564" s="277"/>
      <c r="W1564" s="277"/>
      <c r="X1564" s="277"/>
      <c r="Y1564" s="277"/>
      <c r="Z1564" s="277"/>
      <c r="AA1564" s="277"/>
      <c r="AB1564" s="277"/>
      <c r="AC1564" s="277"/>
      <c r="AD1564" s="277"/>
      <c r="AE1564" s="277"/>
      <c r="AF1564" s="277"/>
      <c r="AG1564" s="277"/>
      <c r="AH1564" s="277"/>
      <c r="AI1564" s="277"/>
    </row>
    <row r="1565" spans="16:35" s="185" customFormat="1">
      <c r="P1565" s="277"/>
      <c r="Q1565" s="277"/>
      <c r="R1565" s="277"/>
      <c r="S1565" s="291">
        <v>43111</v>
      </c>
      <c r="T1565" s="279">
        <v>1472</v>
      </c>
      <c r="U1565" s="277"/>
      <c r="V1565" s="277"/>
      <c r="W1565" s="277"/>
      <c r="X1565" s="277"/>
      <c r="Y1565" s="277"/>
      <c r="Z1565" s="277"/>
      <c r="AA1565" s="277"/>
      <c r="AB1565" s="277"/>
      <c r="AC1565" s="277"/>
      <c r="AD1565" s="277"/>
      <c r="AE1565" s="277"/>
      <c r="AF1565" s="277"/>
      <c r="AG1565" s="277"/>
      <c r="AH1565" s="277"/>
      <c r="AI1565" s="277"/>
    </row>
    <row r="1566" spans="16:35" s="185" customFormat="1">
      <c r="P1566" s="277"/>
      <c r="Q1566" s="277"/>
      <c r="R1566" s="277"/>
      <c r="S1566" s="291">
        <v>43112</v>
      </c>
      <c r="T1566" s="279">
        <v>1473</v>
      </c>
      <c r="U1566" s="277"/>
      <c r="V1566" s="277"/>
      <c r="W1566" s="277"/>
      <c r="X1566" s="277"/>
      <c r="Y1566" s="277"/>
      <c r="Z1566" s="277"/>
      <c r="AA1566" s="277"/>
      <c r="AB1566" s="277"/>
      <c r="AC1566" s="277"/>
      <c r="AD1566" s="277"/>
      <c r="AE1566" s="277"/>
      <c r="AF1566" s="277"/>
      <c r="AG1566" s="277"/>
      <c r="AH1566" s="277"/>
      <c r="AI1566" s="277"/>
    </row>
    <row r="1567" spans="16:35" s="185" customFormat="1">
      <c r="P1567" s="277"/>
      <c r="Q1567" s="277"/>
      <c r="R1567" s="277"/>
      <c r="S1567" s="291">
        <v>43113</v>
      </c>
      <c r="T1567" s="279">
        <v>1474</v>
      </c>
      <c r="U1567" s="277"/>
      <c r="V1567" s="277"/>
      <c r="W1567" s="277"/>
      <c r="X1567" s="277"/>
      <c r="Y1567" s="277"/>
      <c r="Z1567" s="277"/>
      <c r="AA1567" s="277"/>
      <c r="AB1567" s="277"/>
      <c r="AC1567" s="277"/>
      <c r="AD1567" s="277"/>
      <c r="AE1567" s="277"/>
      <c r="AF1567" s="277"/>
      <c r="AG1567" s="277"/>
      <c r="AH1567" s="277"/>
      <c r="AI1567" s="277"/>
    </row>
    <row r="1568" spans="16:35" s="185" customFormat="1">
      <c r="P1568" s="277"/>
      <c r="Q1568" s="277"/>
      <c r="R1568" s="277"/>
      <c r="S1568" s="291">
        <v>43114</v>
      </c>
      <c r="T1568" s="279">
        <v>1475</v>
      </c>
      <c r="U1568" s="277"/>
      <c r="V1568" s="277"/>
      <c r="W1568" s="277"/>
      <c r="X1568" s="277"/>
      <c r="Y1568" s="277"/>
      <c r="Z1568" s="277"/>
      <c r="AA1568" s="277"/>
      <c r="AB1568" s="277"/>
      <c r="AC1568" s="277"/>
      <c r="AD1568" s="277"/>
      <c r="AE1568" s="277"/>
      <c r="AF1568" s="277"/>
      <c r="AG1568" s="277"/>
      <c r="AH1568" s="277"/>
      <c r="AI1568" s="277"/>
    </row>
    <row r="1569" spans="16:35" s="185" customFormat="1">
      <c r="P1569" s="277"/>
      <c r="Q1569" s="277"/>
      <c r="R1569" s="277"/>
      <c r="S1569" s="291">
        <v>43115</v>
      </c>
      <c r="T1569" s="279">
        <v>1476</v>
      </c>
      <c r="U1569" s="277"/>
      <c r="V1569" s="277"/>
      <c r="W1569" s="277"/>
      <c r="X1569" s="277"/>
      <c r="Y1569" s="277"/>
      <c r="Z1569" s="277"/>
      <c r="AA1569" s="277"/>
      <c r="AB1569" s="277"/>
      <c r="AC1569" s="277"/>
      <c r="AD1569" s="277"/>
      <c r="AE1569" s="277"/>
      <c r="AF1569" s="277"/>
      <c r="AG1569" s="277"/>
      <c r="AH1569" s="277"/>
      <c r="AI1569" s="277"/>
    </row>
    <row r="1570" spans="16:35" s="185" customFormat="1">
      <c r="P1570" s="277"/>
      <c r="Q1570" s="277"/>
      <c r="R1570" s="277"/>
      <c r="S1570" s="291">
        <v>43116</v>
      </c>
      <c r="T1570" s="279">
        <v>1477</v>
      </c>
      <c r="U1570" s="277"/>
      <c r="V1570" s="277"/>
      <c r="W1570" s="277"/>
      <c r="X1570" s="277"/>
      <c r="Y1570" s="277"/>
      <c r="Z1570" s="277"/>
      <c r="AA1570" s="277"/>
      <c r="AB1570" s="277"/>
      <c r="AC1570" s="277"/>
      <c r="AD1570" s="277"/>
      <c r="AE1570" s="277"/>
      <c r="AF1570" s="277"/>
      <c r="AG1570" s="277"/>
      <c r="AH1570" s="277"/>
      <c r="AI1570" s="277"/>
    </row>
    <row r="1571" spans="16:35" s="185" customFormat="1">
      <c r="P1571" s="277"/>
      <c r="Q1571" s="277"/>
      <c r="R1571" s="277"/>
      <c r="S1571" s="291">
        <v>43117</v>
      </c>
      <c r="T1571" s="279">
        <v>1478</v>
      </c>
      <c r="U1571" s="277"/>
      <c r="V1571" s="277"/>
      <c r="W1571" s="277"/>
      <c r="X1571" s="277"/>
      <c r="Y1571" s="277"/>
      <c r="Z1571" s="277"/>
      <c r="AA1571" s="277"/>
      <c r="AB1571" s="277"/>
      <c r="AC1571" s="277"/>
      <c r="AD1571" s="277"/>
      <c r="AE1571" s="277"/>
      <c r="AF1571" s="277"/>
      <c r="AG1571" s="277"/>
      <c r="AH1571" s="277"/>
      <c r="AI1571" s="277"/>
    </row>
    <row r="1572" spans="16:35" s="185" customFormat="1">
      <c r="P1572" s="277"/>
      <c r="Q1572" s="277"/>
      <c r="R1572" s="277"/>
      <c r="S1572" s="291">
        <v>43118</v>
      </c>
      <c r="T1572" s="279">
        <v>1479</v>
      </c>
      <c r="U1572" s="277"/>
      <c r="V1572" s="277"/>
      <c r="W1572" s="277"/>
      <c r="X1572" s="277"/>
      <c r="Y1572" s="277"/>
      <c r="Z1572" s="277"/>
      <c r="AA1572" s="277"/>
      <c r="AB1572" s="277"/>
      <c r="AC1572" s="277"/>
      <c r="AD1572" s="277"/>
      <c r="AE1572" s="277"/>
      <c r="AF1572" s="277"/>
      <c r="AG1572" s="277"/>
      <c r="AH1572" s="277"/>
      <c r="AI1572" s="277"/>
    </row>
    <row r="1573" spans="16:35" s="185" customFormat="1">
      <c r="P1573" s="277"/>
      <c r="Q1573" s="277"/>
      <c r="R1573" s="277"/>
      <c r="S1573" s="291">
        <v>43119</v>
      </c>
      <c r="T1573" s="279">
        <v>1480</v>
      </c>
      <c r="U1573" s="277"/>
      <c r="V1573" s="277"/>
      <c r="W1573" s="277"/>
      <c r="X1573" s="277"/>
      <c r="Y1573" s="277"/>
      <c r="Z1573" s="277"/>
      <c r="AA1573" s="277"/>
      <c r="AB1573" s="277"/>
      <c r="AC1573" s="277"/>
      <c r="AD1573" s="277"/>
      <c r="AE1573" s="277"/>
      <c r="AF1573" s="277"/>
      <c r="AG1573" s="277"/>
      <c r="AH1573" s="277"/>
      <c r="AI1573" s="277"/>
    </row>
    <row r="1574" spans="16:35" s="185" customFormat="1">
      <c r="P1574" s="277"/>
      <c r="Q1574" s="277"/>
      <c r="R1574" s="277"/>
      <c r="S1574" s="291">
        <v>43120</v>
      </c>
      <c r="T1574" s="279">
        <v>1481</v>
      </c>
      <c r="U1574" s="277"/>
      <c r="V1574" s="277"/>
      <c r="W1574" s="277"/>
      <c r="X1574" s="277"/>
      <c r="Y1574" s="277"/>
      <c r="Z1574" s="277"/>
      <c r="AA1574" s="277"/>
      <c r="AB1574" s="277"/>
      <c r="AC1574" s="277"/>
      <c r="AD1574" s="277"/>
      <c r="AE1574" s="277"/>
      <c r="AF1574" s="277"/>
      <c r="AG1574" s="277"/>
      <c r="AH1574" s="277"/>
      <c r="AI1574" s="277"/>
    </row>
    <row r="1575" spans="16:35" s="185" customFormat="1">
      <c r="P1575" s="277"/>
      <c r="Q1575" s="277"/>
      <c r="R1575" s="277"/>
      <c r="S1575" s="291">
        <v>43121</v>
      </c>
      <c r="T1575" s="279">
        <v>1482</v>
      </c>
      <c r="U1575" s="277"/>
      <c r="V1575" s="277"/>
      <c r="W1575" s="277"/>
      <c r="X1575" s="277"/>
      <c r="Y1575" s="277"/>
      <c r="Z1575" s="277"/>
      <c r="AA1575" s="277"/>
      <c r="AB1575" s="277"/>
      <c r="AC1575" s="277"/>
      <c r="AD1575" s="277"/>
      <c r="AE1575" s="277"/>
      <c r="AF1575" s="277"/>
      <c r="AG1575" s="277"/>
      <c r="AH1575" s="277"/>
      <c r="AI1575" s="277"/>
    </row>
    <row r="1576" spans="16:35" s="185" customFormat="1">
      <c r="P1576" s="277"/>
      <c r="Q1576" s="277"/>
      <c r="R1576" s="277"/>
      <c r="S1576" s="291">
        <v>43122</v>
      </c>
      <c r="T1576" s="279">
        <v>1483</v>
      </c>
      <c r="U1576" s="277"/>
      <c r="V1576" s="277"/>
      <c r="W1576" s="277"/>
      <c r="X1576" s="277"/>
      <c r="Y1576" s="277"/>
      <c r="Z1576" s="277"/>
      <c r="AA1576" s="277"/>
      <c r="AB1576" s="277"/>
      <c r="AC1576" s="277"/>
      <c r="AD1576" s="277"/>
      <c r="AE1576" s="277"/>
      <c r="AF1576" s="277"/>
      <c r="AG1576" s="277"/>
      <c r="AH1576" s="277"/>
      <c r="AI1576" s="277"/>
    </row>
    <row r="1577" spans="16:35" s="185" customFormat="1">
      <c r="P1577" s="277"/>
      <c r="Q1577" s="277"/>
      <c r="R1577" s="277"/>
      <c r="S1577" s="291">
        <v>43123</v>
      </c>
      <c r="T1577" s="279">
        <v>1484</v>
      </c>
      <c r="U1577" s="277"/>
      <c r="V1577" s="277"/>
      <c r="W1577" s="277"/>
      <c r="X1577" s="277"/>
      <c r="Y1577" s="277"/>
      <c r="Z1577" s="277"/>
      <c r="AA1577" s="277"/>
      <c r="AB1577" s="277"/>
      <c r="AC1577" s="277"/>
      <c r="AD1577" s="277"/>
      <c r="AE1577" s="277"/>
      <c r="AF1577" s="277"/>
      <c r="AG1577" s="277"/>
      <c r="AH1577" s="277"/>
      <c r="AI1577" s="277"/>
    </row>
    <row r="1578" spans="16:35" s="185" customFormat="1">
      <c r="P1578" s="277"/>
      <c r="Q1578" s="277"/>
      <c r="R1578" s="277"/>
      <c r="S1578" s="291">
        <v>43124</v>
      </c>
      <c r="T1578" s="279">
        <v>1485</v>
      </c>
      <c r="U1578" s="277"/>
      <c r="V1578" s="277"/>
      <c r="W1578" s="277"/>
      <c r="X1578" s="277"/>
      <c r="Y1578" s="277"/>
      <c r="Z1578" s="277"/>
      <c r="AA1578" s="277"/>
      <c r="AB1578" s="277"/>
      <c r="AC1578" s="277"/>
      <c r="AD1578" s="277"/>
      <c r="AE1578" s="277"/>
      <c r="AF1578" s="277"/>
      <c r="AG1578" s="277"/>
      <c r="AH1578" s="277"/>
      <c r="AI1578" s="277"/>
    </row>
    <row r="1579" spans="16:35" s="185" customFormat="1">
      <c r="P1579" s="277"/>
      <c r="Q1579" s="277"/>
      <c r="R1579" s="277"/>
      <c r="S1579" s="291">
        <v>43125</v>
      </c>
      <c r="T1579" s="279">
        <v>1486</v>
      </c>
      <c r="U1579" s="277"/>
      <c r="V1579" s="277"/>
      <c r="W1579" s="277"/>
      <c r="X1579" s="277"/>
      <c r="Y1579" s="277"/>
      <c r="Z1579" s="277"/>
      <c r="AA1579" s="277"/>
      <c r="AB1579" s="277"/>
      <c r="AC1579" s="277"/>
      <c r="AD1579" s="277"/>
      <c r="AE1579" s="277"/>
      <c r="AF1579" s="277"/>
      <c r="AG1579" s="277"/>
      <c r="AH1579" s="277"/>
      <c r="AI1579" s="277"/>
    </row>
    <row r="1580" spans="16:35" s="185" customFormat="1">
      <c r="P1580" s="277"/>
      <c r="Q1580" s="277"/>
      <c r="R1580" s="277"/>
      <c r="S1580" s="291">
        <v>43126</v>
      </c>
      <c r="T1580" s="279">
        <v>1487</v>
      </c>
      <c r="U1580" s="277"/>
      <c r="V1580" s="277"/>
      <c r="W1580" s="277"/>
      <c r="X1580" s="277"/>
      <c r="Y1580" s="277"/>
      <c r="Z1580" s="277"/>
      <c r="AA1580" s="277"/>
      <c r="AB1580" s="277"/>
      <c r="AC1580" s="277"/>
      <c r="AD1580" s="277"/>
      <c r="AE1580" s="277"/>
      <c r="AF1580" s="277"/>
      <c r="AG1580" s="277"/>
      <c r="AH1580" s="277"/>
      <c r="AI1580" s="277"/>
    </row>
    <row r="1581" spans="16:35" s="185" customFormat="1">
      <c r="P1581" s="277"/>
      <c r="Q1581" s="277"/>
      <c r="R1581" s="277"/>
      <c r="S1581" s="291">
        <v>43127</v>
      </c>
      <c r="T1581" s="279">
        <v>1488</v>
      </c>
      <c r="U1581" s="277"/>
      <c r="V1581" s="277"/>
      <c r="W1581" s="277"/>
      <c r="X1581" s="277"/>
      <c r="Y1581" s="277"/>
      <c r="Z1581" s="277"/>
      <c r="AA1581" s="277"/>
      <c r="AB1581" s="277"/>
      <c r="AC1581" s="277"/>
      <c r="AD1581" s="277"/>
      <c r="AE1581" s="277"/>
      <c r="AF1581" s="277"/>
      <c r="AG1581" s="277"/>
      <c r="AH1581" s="277"/>
      <c r="AI1581" s="277"/>
    </row>
    <row r="1582" spans="16:35" s="185" customFormat="1">
      <c r="P1582" s="277"/>
      <c r="Q1582" s="277"/>
      <c r="R1582" s="277"/>
      <c r="S1582" s="291">
        <v>43128</v>
      </c>
      <c r="T1582" s="279">
        <v>1489</v>
      </c>
      <c r="U1582" s="277"/>
      <c r="V1582" s="277"/>
      <c r="W1582" s="277"/>
      <c r="X1582" s="277"/>
      <c r="Y1582" s="277"/>
      <c r="Z1582" s="277"/>
      <c r="AA1582" s="277"/>
      <c r="AB1582" s="277"/>
      <c r="AC1582" s="277"/>
      <c r="AD1582" s="277"/>
      <c r="AE1582" s="277"/>
      <c r="AF1582" s="277"/>
      <c r="AG1582" s="277"/>
      <c r="AH1582" s="277"/>
      <c r="AI1582" s="277"/>
    </row>
    <row r="1583" spans="16:35" s="185" customFormat="1">
      <c r="P1583" s="277"/>
      <c r="Q1583" s="277"/>
      <c r="R1583" s="277"/>
      <c r="S1583" s="291">
        <v>43129</v>
      </c>
      <c r="T1583" s="279">
        <v>1490</v>
      </c>
      <c r="U1583" s="277"/>
      <c r="V1583" s="277"/>
      <c r="W1583" s="277"/>
      <c r="X1583" s="277"/>
      <c r="Y1583" s="277"/>
      <c r="Z1583" s="277"/>
      <c r="AA1583" s="277"/>
      <c r="AB1583" s="277"/>
      <c r="AC1583" s="277"/>
      <c r="AD1583" s="277"/>
      <c r="AE1583" s="277"/>
      <c r="AF1583" s="277"/>
      <c r="AG1583" s="277"/>
      <c r="AH1583" s="277"/>
      <c r="AI1583" s="277"/>
    </row>
    <row r="1584" spans="16:35" s="185" customFormat="1">
      <c r="P1584" s="277"/>
      <c r="Q1584" s="277"/>
      <c r="R1584" s="277"/>
      <c r="S1584" s="291">
        <v>43130</v>
      </c>
      <c r="T1584" s="279">
        <v>1491</v>
      </c>
      <c r="U1584" s="277"/>
      <c r="V1584" s="277"/>
      <c r="W1584" s="277"/>
      <c r="X1584" s="277"/>
      <c r="Y1584" s="277"/>
      <c r="Z1584" s="277"/>
      <c r="AA1584" s="277"/>
      <c r="AB1584" s="277"/>
      <c r="AC1584" s="277"/>
      <c r="AD1584" s="277"/>
      <c r="AE1584" s="277"/>
      <c r="AF1584" s="277"/>
      <c r="AG1584" s="277"/>
      <c r="AH1584" s="277"/>
      <c r="AI1584" s="277"/>
    </row>
    <row r="1585" spans="16:35" s="185" customFormat="1">
      <c r="P1585" s="277"/>
      <c r="Q1585" s="277"/>
      <c r="R1585" s="277"/>
      <c r="S1585" s="291">
        <v>43131</v>
      </c>
      <c r="T1585" s="279">
        <v>1492</v>
      </c>
      <c r="U1585" s="277"/>
      <c r="V1585" s="277"/>
      <c r="W1585" s="277"/>
      <c r="X1585" s="277"/>
      <c r="Y1585" s="277"/>
      <c r="Z1585" s="277"/>
      <c r="AA1585" s="277"/>
      <c r="AB1585" s="277"/>
      <c r="AC1585" s="277"/>
      <c r="AD1585" s="277"/>
      <c r="AE1585" s="277"/>
      <c r="AF1585" s="277"/>
      <c r="AG1585" s="277"/>
      <c r="AH1585" s="277"/>
      <c r="AI1585" s="277"/>
    </row>
    <row r="1586" spans="16:35" s="185" customFormat="1">
      <c r="P1586" s="277"/>
      <c r="Q1586" s="277"/>
      <c r="R1586" s="277"/>
      <c r="S1586" s="291">
        <v>43132</v>
      </c>
      <c r="T1586" s="279">
        <v>1493</v>
      </c>
      <c r="U1586" s="277"/>
      <c r="V1586" s="277"/>
      <c r="W1586" s="277"/>
      <c r="X1586" s="277"/>
      <c r="Y1586" s="277"/>
      <c r="Z1586" s="277"/>
      <c r="AA1586" s="277"/>
      <c r="AB1586" s="277"/>
      <c r="AC1586" s="277"/>
      <c r="AD1586" s="277"/>
      <c r="AE1586" s="277"/>
      <c r="AF1586" s="277"/>
      <c r="AG1586" s="277"/>
      <c r="AH1586" s="277"/>
      <c r="AI1586" s="277"/>
    </row>
    <row r="1587" spans="16:35" s="185" customFormat="1">
      <c r="P1587" s="277"/>
      <c r="Q1587" s="277"/>
      <c r="R1587" s="277"/>
      <c r="S1587" s="291">
        <v>43133</v>
      </c>
      <c r="T1587" s="279">
        <v>1494</v>
      </c>
      <c r="U1587" s="277"/>
      <c r="V1587" s="277"/>
      <c r="W1587" s="277"/>
      <c r="X1587" s="277"/>
      <c r="Y1587" s="277"/>
      <c r="Z1587" s="277"/>
      <c r="AA1587" s="277"/>
      <c r="AB1587" s="277"/>
      <c r="AC1587" s="277"/>
      <c r="AD1587" s="277"/>
      <c r="AE1587" s="277"/>
      <c r="AF1587" s="277"/>
      <c r="AG1587" s="277"/>
      <c r="AH1587" s="277"/>
      <c r="AI1587" s="277"/>
    </row>
    <row r="1588" spans="16:35" s="185" customFormat="1">
      <c r="P1588" s="277"/>
      <c r="Q1588" s="277"/>
      <c r="R1588" s="277"/>
      <c r="S1588" s="291">
        <v>43134</v>
      </c>
      <c r="T1588" s="279">
        <v>1495</v>
      </c>
      <c r="U1588" s="277"/>
      <c r="V1588" s="277"/>
      <c r="W1588" s="277"/>
      <c r="X1588" s="277"/>
      <c r="Y1588" s="277"/>
      <c r="Z1588" s="277"/>
      <c r="AA1588" s="277"/>
      <c r="AB1588" s="277"/>
      <c r="AC1588" s="277"/>
      <c r="AD1588" s="277"/>
      <c r="AE1588" s="277"/>
      <c r="AF1588" s="277"/>
      <c r="AG1588" s="277"/>
      <c r="AH1588" s="277"/>
      <c r="AI1588" s="277"/>
    </row>
    <row r="1589" spans="16:35" s="185" customFormat="1">
      <c r="P1589" s="277"/>
      <c r="Q1589" s="277"/>
      <c r="R1589" s="277"/>
      <c r="S1589" s="291">
        <v>43135</v>
      </c>
      <c r="T1589" s="279">
        <v>1496</v>
      </c>
      <c r="U1589" s="277"/>
      <c r="V1589" s="277"/>
      <c r="W1589" s="277"/>
      <c r="X1589" s="277"/>
      <c r="Y1589" s="277"/>
      <c r="Z1589" s="277"/>
      <c r="AA1589" s="277"/>
      <c r="AB1589" s="277"/>
      <c r="AC1589" s="277"/>
      <c r="AD1589" s="277"/>
      <c r="AE1589" s="277"/>
      <c r="AF1589" s="277"/>
      <c r="AG1589" s="277"/>
      <c r="AH1589" s="277"/>
      <c r="AI1589" s="277"/>
    </row>
    <row r="1590" spans="16:35" s="185" customFormat="1">
      <c r="P1590" s="277"/>
      <c r="Q1590" s="277"/>
      <c r="R1590" s="277"/>
      <c r="S1590" s="291">
        <v>43136</v>
      </c>
      <c r="T1590" s="279">
        <v>1497</v>
      </c>
      <c r="U1590" s="277"/>
      <c r="V1590" s="277"/>
      <c r="W1590" s="277"/>
      <c r="X1590" s="277"/>
      <c r="Y1590" s="277"/>
      <c r="Z1590" s="277"/>
      <c r="AA1590" s="277"/>
      <c r="AB1590" s="277"/>
      <c r="AC1590" s="277"/>
      <c r="AD1590" s="277"/>
      <c r="AE1590" s="277"/>
      <c r="AF1590" s="277"/>
      <c r="AG1590" s="277"/>
      <c r="AH1590" s="277"/>
      <c r="AI1590" s="277"/>
    </row>
    <row r="1591" spans="16:35" s="185" customFormat="1">
      <c r="P1591" s="277"/>
      <c r="Q1591" s="277"/>
      <c r="R1591" s="277"/>
      <c r="S1591" s="291">
        <v>43137</v>
      </c>
      <c r="T1591" s="279">
        <v>1498</v>
      </c>
      <c r="U1591" s="277"/>
      <c r="V1591" s="277"/>
      <c r="W1591" s="277"/>
      <c r="X1591" s="277"/>
      <c r="Y1591" s="277"/>
      <c r="Z1591" s="277"/>
      <c r="AA1591" s="277"/>
      <c r="AB1591" s="277"/>
      <c r="AC1591" s="277"/>
      <c r="AD1591" s="277"/>
      <c r="AE1591" s="277"/>
      <c r="AF1591" s="277"/>
      <c r="AG1591" s="277"/>
      <c r="AH1591" s="277"/>
      <c r="AI1591" s="277"/>
    </row>
    <row r="1592" spans="16:35" s="185" customFormat="1">
      <c r="P1592" s="277"/>
      <c r="Q1592" s="277"/>
      <c r="R1592" s="277"/>
      <c r="S1592" s="291">
        <v>43138</v>
      </c>
      <c r="T1592" s="279">
        <v>1499</v>
      </c>
      <c r="U1592" s="277"/>
      <c r="V1592" s="277"/>
      <c r="W1592" s="277"/>
      <c r="X1592" s="277"/>
      <c r="Y1592" s="277"/>
      <c r="Z1592" s="277"/>
      <c r="AA1592" s="277"/>
      <c r="AB1592" s="277"/>
      <c r="AC1592" s="277"/>
      <c r="AD1592" s="277"/>
      <c r="AE1592" s="277"/>
      <c r="AF1592" s="277"/>
      <c r="AG1592" s="277"/>
      <c r="AH1592" s="277"/>
      <c r="AI1592" s="277"/>
    </row>
    <row r="1593" spans="16:35" s="185" customFormat="1">
      <c r="P1593" s="277"/>
      <c r="Q1593" s="277"/>
      <c r="R1593" s="277"/>
      <c r="S1593" s="291">
        <v>43139</v>
      </c>
      <c r="T1593" s="279">
        <v>1500</v>
      </c>
      <c r="U1593" s="277"/>
      <c r="V1593" s="277"/>
      <c r="W1593" s="277"/>
      <c r="X1593" s="277"/>
      <c r="Y1593" s="277"/>
      <c r="Z1593" s="277"/>
      <c r="AA1593" s="277"/>
      <c r="AB1593" s="277"/>
      <c r="AC1593" s="277"/>
      <c r="AD1593" s="277"/>
      <c r="AE1593" s="277"/>
      <c r="AF1593" s="277"/>
      <c r="AG1593" s="277"/>
      <c r="AH1593" s="277"/>
      <c r="AI1593" s="277"/>
    </row>
    <row r="1594" spans="16:35" s="185" customFormat="1">
      <c r="P1594" s="277"/>
      <c r="Q1594" s="277"/>
      <c r="R1594" s="277"/>
      <c r="S1594" s="291">
        <v>43140</v>
      </c>
      <c r="T1594" s="279">
        <v>1501</v>
      </c>
      <c r="U1594" s="277"/>
      <c r="V1594" s="277"/>
      <c r="W1594" s="277"/>
      <c r="X1594" s="277"/>
      <c r="Y1594" s="277"/>
      <c r="Z1594" s="277"/>
      <c r="AA1594" s="277"/>
      <c r="AB1594" s="277"/>
      <c r="AC1594" s="277"/>
      <c r="AD1594" s="277"/>
      <c r="AE1594" s="277"/>
      <c r="AF1594" s="277"/>
      <c r="AG1594" s="277"/>
      <c r="AH1594" s="277"/>
      <c r="AI1594" s="277"/>
    </row>
    <row r="1595" spans="16:35" s="185" customFormat="1">
      <c r="P1595" s="277"/>
      <c r="Q1595" s="277"/>
      <c r="R1595" s="277"/>
      <c r="S1595" s="291">
        <v>43141</v>
      </c>
      <c r="T1595" s="279">
        <v>1502</v>
      </c>
      <c r="U1595" s="277"/>
      <c r="V1595" s="277"/>
      <c r="W1595" s="277"/>
      <c r="X1595" s="277"/>
      <c r="Y1595" s="277"/>
      <c r="Z1595" s="277"/>
      <c r="AA1595" s="277"/>
      <c r="AB1595" s="277"/>
      <c r="AC1595" s="277"/>
      <c r="AD1595" s="277"/>
      <c r="AE1595" s="277"/>
      <c r="AF1595" s="277"/>
      <c r="AG1595" s="277"/>
      <c r="AH1595" s="277"/>
      <c r="AI1595" s="277"/>
    </row>
    <row r="1596" spans="16:35" s="185" customFormat="1">
      <c r="P1596" s="277"/>
      <c r="Q1596" s="277"/>
      <c r="R1596" s="277"/>
      <c r="S1596" s="291">
        <v>43142</v>
      </c>
      <c r="T1596" s="279">
        <v>1503</v>
      </c>
      <c r="U1596" s="277"/>
      <c r="V1596" s="277"/>
      <c r="W1596" s="277"/>
      <c r="X1596" s="277"/>
      <c r="Y1596" s="277"/>
      <c r="Z1596" s="277"/>
      <c r="AA1596" s="277"/>
      <c r="AB1596" s="277"/>
      <c r="AC1596" s="277"/>
      <c r="AD1596" s="277"/>
      <c r="AE1596" s="277"/>
      <c r="AF1596" s="277"/>
      <c r="AG1596" s="277"/>
      <c r="AH1596" s="277"/>
      <c r="AI1596" s="277"/>
    </row>
    <row r="1597" spans="16:35" s="185" customFormat="1">
      <c r="P1597" s="277"/>
      <c r="Q1597" s="277"/>
      <c r="R1597" s="277"/>
      <c r="S1597" s="291">
        <v>43143</v>
      </c>
      <c r="T1597" s="279">
        <v>1504</v>
      </c>
      <c r="U1597" s="277"/>
      <c r="V1597" s="277"/>
      <c r="W1597" s="277"/>
      <c r="X1597" s="277"/>
      <c r="Y1597" s="277"/>
      <c r="Z1597" s="277"/>
      <c r="AA1597" s="277"/>
      <c r="AB1597" s="277"/>
      <c r="AC1597" s="277"/>
      <c r="AD1597" s="277"/>
      <c r="AE1597" s="277"/>
      <c r="AF1597" s="277"/>
      <c r="AG1597" s="277"/>
      <c r="AH1597" s="277"/>
      <c r="AI1597" s="277"/>
    </row>
    <row r="1598" spans="16:35" s="185" customFormat="1">
      <c r="P1598" s="277"/>
      <c r="Q1598" s="277"/>
      <c r="R1598" s="277"/>
      <c r="S1598" s="291">
        <v>43144</v>
      </c>
      <c r="T1598" s="279">
        <v>1505</v>
      </c>
      <c r="U1598" s="277"/>
      <c r="V1598" s="277"/>
      <c r="W1598" s="277"/>
      <c r="X1598" s="277"/>
      <c r="Y1598" s="277"/>
      <c r="Z1598" s="277"/>
      <c r="AA1598" s="277"/>
      <c r="AB1598" s="277"/>
      <c r="AC1598" s="277"/>
      <c r="AD1598" s="277"/>
      <c r="AE1598" s="277"/>
      <c r="AF1598" s="277"/>
      <c r="AG1598" s="277"/>
      <c r="AH1598" s="277"/>
      <c r="AI1598" s="277"/>
    </row>
    <row r="1599" spans="16:35" s="185" customFormat="1">
      <c r="P1599" s="277"/>
      <c r="Q1599" s="277"/>
      <c r="R1599" s="277"/>
      <c r="S1599" s="291">
        <v>43145</v>
      </c>
      <c r="T1599" s="279">
        <v>1506</v>
      </c>
      <c r="U1599" s="277"/>
      <c r="V1599" s="277"/>
      <c r="W1599" s="277"/>
      <c r="X1599" s="277"/>
      <c r="Y1599" s="277"/>
      <c r="Z1599" s="277"/>
      <c r="AA1599" s="277"/>
      <c r="AB1599" s="277"/>
      <c r="AC1599" s="277"/>
      <c r="AD1599" s="277"/>
      <c r="AE1599" s="277"/>
      <c r="AF1599" s="277"/>
      <c r="AG1599" s="277"/>
      <c r="AH1599" s="277"/>
      <c r="AI1599" s="277"/>
    </row>
    <row r="1600" spans="16:35" s="185" customFormat="1">
      <c r="P1600" s="277"/>
      <c r="Q1600" s="277"/>
      <c r="R1600" s="277"/>
      <c r="S1600" s="291">
        <v>43146</v>
      </c>
      <c r="T1600" s="279">
        <v>1507</v>
      </c>
      <c r="U1600" s="277"/>
      <c r="V1600" s="277"/>
      <c r="W1600" s="277"/>
      <c r="X1600" s="277"/>
      <c r="Y1600" s="277"/>
      <c r="Z1600" s="277"/>
      <c r="AA1600" s="277"/>
      <c r="AB1600" s="277"/>
      <c r="AC1600" s="277"/>
      <c r="AD1600" s="277"/>
      <c r="AE1600" s="277"/>
      <c r="AF1600" s="277"/>
      <c r="AG1600" s="277"/>
      <c r="AH1600" s="277"/>
      <c r="AI1600" s="277"/>
    </row>
    <row r="1601" spans="16:35" s="185" customFormat="1">
      <c r="P1601" s="277"/>
      <c r="Q1601" s="277"/>
      <c r="R1601" s="277"/>
      <c r="S1601" s="291">
        <v>43147</v>
      </c>
      <c r="T1601" s="279">
        <v>1508</v>
      </c>
      <c r="U1601" s="277"/>
      <c r="V1601" s="277"/>
      <c r="W1601" s="277"/>
      <c r="X1601" s="277"/>
      <c r="Y1601" s="277"/>
      <c r="Z1601" s="277"/>
      <c r="AA1601" s="277"/>
      <c r="AB1601" s="277"/>
      <c r="AC1601" s="277"/>
      <c r="AD1601" s="277"/>
      <c r="AE1601" s="277"/>
      <c r="AF1601" s="277"/>
      <c r="AG1601" s="277"/>
      <c r="AH1601" s="277"/>
      <c r="AI1601" s="277"/>
    </row>
    <row r="1602" spans="16:35" s="185" customFormat="1">
      <c r="P1602" s="277"/>
      <c r="Q1602" s="277"/>
      <c r="R1602" s="277"/>
      <c r="S1602" s="291">
        <v>43148</v>
      </c>
      <c r="T1602" s="279">
        <v>1509</v>
      </c>
      <c r="U1602" s="277"/>
      <c r="V1602" s="277"/>
      <c r="W1602" s="277"/>
      <c r="X1602" s="277"/>
      <c r="Y1602" s="277"/>
      <c r="Z1602" s="277"/>
      <c r="AA1602" s="277"/>
      <c r="AB1602" s="277"/>
      <c r="AC1602" s="277"/>
      <c r="AD1602" s="277"/>
      <c r="AE1602" s="277"/>
      <c r="AF1602" s="277"/>
      <c r="AG1602" s="277"/>
      <c r="AH1602" s="277"/>
      <c r="AI1602" s="277"/>
    </row>
    <row r="1603" spans="16:35" s="185" customFormat="1">
      <c r="P1603" s="277"/>
      <c r="Q1603" s="277"/>
      <c r="R1603" s="277"/>
      <c r="S1603" s="291">
        <v>43149</v>
      </c>
      <c r="T1603" s="279">
        <v>1510</v>
      </c>
      <c r="U1603" s="277"/>
      <c r="V1603" s="277"/>
      <c r="W1603" s="277"/>
      <c r="X1603" s="277"/>
      <c r="Y1603" s="277"/>
      <c r="Z1603" s="277"/>
      <c r="AA1603" s="277"/>
      <c r="AB1603" s="277"/>
      <c r="AC1603" s="277"/>
      <c r="AD1603" s="277"/>
      <c r="AE1603" s="277"/>
      <c r="AF1603" s="277"/>
      <c r="AG1603" s="277"/>
      <c r="AH1603" s="277"/>
      <c r="AI1603" s="277"/>
    </row>
    <row r="1604" spans="16:35" s="185" customFormat="1">
      <c r="P1604" s="277"/>
      <c r="Q1604" s="277"/>
      <c r="R1604" s="277"/>
      <c r="S1604" s="291">
        <v>43150</v>
      </c>
      <c r="T1604" s="279">
        <v>1511</v>
      </c>
      <c r="U1604" s="277"/>
      <c r="V1604" s="277"/>
      <c r="W1604" s="277"/>
      <c r="X1604" s="277"/>
      <c r="Y1604" s="277"/>
      <c r="Z1604" s="277"/>
      <c r="AA1604" s="277"/>
      <c r="AB1604" s="277"/>
      <c r="AC1604" s="277"/>
      <c r="AD1604" s="277"/>
      <c r="AE1604" s="277"/>
      <c r="AF1604" s="277"/>
      <c r="AG1604" s="277"/>
      <c r="AH1604" s="277"/>
      <c r="AI1604" s="277"/>
    </row>
    <row r="1605" spans="16:35" s="185" customFormat="1">
      <c r="P1605" s="277"/>
      <c r="Q1605" s="277"/>
      <c r="R1605" s="277"/>
      <c r="S1605" s="291">
        <v>43151</v>
      </c>
      <c r="T1605" s="279">
        <v>1512</v>
      </c>
      <c r="U1605" s="277"/>
      <c r="V1605" s="277"/>
      <c r="W1605" s="277"/>
      <c r="X1605" s="277"/>
      <c r="Y1605" s="277"/>
      <c r="Z1605" s="277"/>
      <c r="AA1605" s="277"/>
      <c r="AB1605" s="277"/>
      <c r="AC1605" s="277"/>
      <c r="AD1605" s="277"/>
      <c r="AE1605" s="277"/>
      <c r="AF1605" s="277"/>
      <c r="AG1605" s="277"/>
      <c r="AH1605" s="277"/>
      <c r="AI1605" s="277"/>
    </row>
    <row r="1606" spans="16:35" s="185" customFormat="1">
      <c r="P1606" s="277"/>
      <c r="Q1606" s="277"/>
      <c r="R1606" s="277"/>
      <c r="S1606" s="291">
        <v>43152</v>
      </c>
      <c r="T1606" s="279">
        <v>1513</v>
      </c>
      <c r="U1606" s="277"/>
      <c r="V1606" s="277"/>
      <c r="W1606" s="277"/>
      <c r="X1606" s="277"/>
      <c r="Y1606" s="277"/>
      <c r="Z1606" s="277"/>
      <c r="AA1606" s="277"/>
      <c r="AB1606" s="277"/>
      <c r="AC1606" s="277"/>
      <c r="AD1606" s="277"/>
      <c r="AE1606" s="277"/>
      <c r="AF1606" s="277"/>
      <c r="AG1606" s="277"/>
      <c r="AH1606" s="277"/>
      <c r="AI1606" s="277"/>
    </row>
    <row r="1607" spans="16:35" s="185" customFormat="1">
      <c r="P1607" s="277"/>
      <c r="Q1607" s="277"/>
      <c r="R1607" s="277"/>
      <c r="S1607" s="291">
        <v>43153</v>
      </c>
      <c r="T1607" s="279">
        <v>1514</v>
      </c>
      <c r="U1607" s="277"/>
      <c r="V1607" s="277"/>
      <c r="W1607" s="277"/>
      <c r="X1607" s="277"/>
      <c r="Y1607" s="277"/>
      <c r="Z1607" s="277"/>
      <c r="AA1607" s="277"/>
      <c r="AB1607" s="277"/>
      <c r="AC1607" s="277"/>
      <c r="AD1607" s="277"/>
      <c r="AE1607" s="277"/>
      <c r="AF1607" s="277"/>
      <c r="AG1607" s="277"/>
      <c r="AH1607" s="277"/>
      <c r="AI1607" s="277"/>
    </row>
    <row r="1608" spans="16:35" s="185" customFormat="1">
      <c r="P1608" s="277"/>
      <c r="Q1608" s="277"/>
      <c r="R1608" s="277"/>
      <c r="S1608" s="291">
        <v>43154</v>
      </c>
      <c r="T1608" s="279">
        <v>1515</v>
      </c>
      <c r="U1608" s="277"/>
      <c r="V1608" s="277"/>
      <c r="W1608" s="277"/>
      <c r="X1608" s="277"/>
      <c r="Y1608" s="277"/>
      <c r="Z1608" s="277"/>
      <c r="AA1608" s="277"/>
      <c r="AB1608" s="277"/>
      <c r="AC1608" s="277"/>
      <c r="AD1608" s="277"/>
      <c r="AE1608" s="277"/>
      <c r="AF1608" s="277"/>
      <c r="AG1608" s="277"/>
      <c r="AH1608" s="277"/>
      <c r="AI1608" s="277"/>
    </row>
    <row r="1609" spans="16:35" s="185" customFormat="1">
      <c r="P1609" s="277"/>
      <c r="Q1609" s="277"/>
      <c r="R1609" s="277"/>
      <c r="S1609" s="291">
        <v>43155</v>
      </c>
      <c r="T1609" s="279">
        <v>1516</v>
      </c>
      <c r="U1609" s="277"/>
      <c r="V1609" s="277"/>
      <c r="W1609" s="277"/>
      <c r="X1609" s="277"/>
      <c r="Y1609" s="277"/>
      <c r="Z1609" s="277"/>
      <c r="AA1609" s="277"/>
      <c r="AB1609" s="277"/>
      <c r="AC1609" s="277"/>
      <c r="AD1609" s="277"/>
      <c r="AE1609" s="277"/>
      <c r="AF1609" s="277"/>
      <c r="AG1609" s="277"/>
      <c r="AH1609" s="277"/>
      <c r="AI1609" s="277"/>
    </row>
    <row r="1610" spans="16:35" s="185" customFormat="1">
      <c r="P1610" s="277"/>
      <c r="Q1610" s="277"/>
      <c r="R1610" s="277"/>
      <c r="S1610" s="291">
        <v>43156</v>
      </c>
      <c r="T1610" s="279">
        <v>1517</v>
      </c>
      <c r="U1610" s="277"/>
      <c r="V1610" s="277"/>
      <c r="W1610" s="277"/>
      <c r="X1610" s="277"/>
      <c r="Y1610" s="277"/>
      <c r="Z1610" s="277"/>
      <c r="AA1610" s="277"/>
      <c r="AB1610" s="277"/>
      <c r="AC1610" s="277"/>
      <c r="AD1610" s="277"/>
      <c r="AE1610" s="277"/>
      <c r="AF1610" s="277"/>
      <c r="AG1610" s="277"/>
      <c r="AH1610" s="277"/>
      <c r="AI1610" s="277"/>
    </row>
    <row r="1611" spans="16:35" s="185" customFormat="1">
      <c r="P1611" s="277"/>
      <c r="Q1611" s="277"/>
      <c r="R1611" s="277"/>
      <c r="S1611" s="291">
        <v>43157</v>
      </c>
      <c r="T1611" s="279">
        <v>1518</v>
      </c>
      <c r="U1611" s="277"/>
      <c r="V1611" s="277"/>
      <c r="W1611" s="277"/>
      <c r="X1611" s="277"/>
      <c r="Y1611" s="277"/>
      <c r="Z1611" s="277"/>
      <c r="AA1611" s="277"/>
      <c r="AB1611" s="277"/>
      <c r="AC1611" s="277"/>
      <c r="AD1611" s="277"/>
      <c r="AE1611" s="277"/>
      <c r="AF1611" s="277"/>
      <c r="AG1611" s="277"/>
      <c r="AH1611" s="277"/>
      <c r="AI1611" s="277"/>
    </row>
    <row r="1612" spans="16:35" s="185" customFormat="1">
      <c r="P1612" s="277"/>
      <c r="Q1612" s="277"/>
      <c r="R1612" s="277"/>
      <c r="S1612" s="291">
        <v>43158</v>
      </c>
      <c r="T1612" s="279">
        <v>1519</v>
      </c>
      <c r="U1612" s="277"/>
      <c r="V1612" s="277"/>
      <c r="W1612" s="277"/>
      <c r="X1612" s="277"/>
      <c r="Y1612" s="277"/>
      <c r="Z1612" s="277"/>
      <c r="AA1612" s="277"/>
      <c r="AB1612" s="277"/>
      <c r="AC1612" s="277"/>
      <c r="AD1612" s="277"/>
      <c r="AE1612" s="277"/>
      <c r="AF1612" s="277"/>
      <c r="AG1612" s="277"/>
      <c r="AH1612" s="277"/>
      <c r="AI1612" s="277"/>
    </row>
    <row r="1613" spans="16:35" s="185" customFormat="1">
      <c r="P1613" s="277"/>
      <c r="Q1613" s="277"/>
      <c r="R1613" s="277"/>
      <c r="S1613" s="291">
        <v>43159</v>
      </c>
      <c r="T1613" s="279">
        <v>1520</v>
      </c>
      <c r="U1613" s="277"/>
      <c r="V1613" s="277"/>
      <c r="W1613" s="277"/>
      <c r="X1613" s="277"/>
      <c r="Y1613" s="277"/>
      <c r="Z1613" s="277"/>
      <c r="AA1613" s="277"/>
      <c r="AB1613" s="277"/>
      <c r="AC1613" s="277"/>
      <c r="AD1613" s="277"/>
      <c r="AE1613" s="277"/>
      <c r="AF1613" s="277"/>
      <c r="AG1613" s="277"/>
      <c r="AH1613" s="277"/>
      <c r="AI1613" s="277"/>
    </row>
    <row r="1614" spans="16:35" s="185" customFormat="1">
      <c r="P1614" s="277"/>
      <c r="Q1614" s="277"/>
      <c r="R1614" s="277"/>
      <c r="S1614" s="291">
        <v>43160</v>
      </c>
      <c r="T1614" s="279">
        <v>1521</v>
      </c>
      <c r="U1614" s="277"/>
      <c r="V1614" s="277"/>
      <c r="W1614" s="277"/>
      <c r="X1614" s="277"/>
      <c r="Y1614" s="277"/>
      <c r="Z1614" s="277"/>
      <c r="AA1614" s="277"/>
      <c r="AB1614" s="277"/>
      <c r="AC1614" s="277"/>
      <c r="AD1614" s="277"/>
      <c r="AE1614" s="277"/>
      <c r="AF1614" s="277"/>
      <c r="AG1614" s="277"/>
      <c r="AH1614" s="277"/>
      <c r="AI1614" s="277"/>
    </row>
    <row r="1615" spans="16:35" s="185" customFormat="1">
      <c r="P1615" s="277"/>
      <c r="Q1615" s="277"/>
      <c r="R1615" s="277"/>
      <c r="S1615" s="291">
        <v>43161</v>
      </c>
      <c r="T1615" s="279">
        <v>1522</v>
      </c>
      <c r="U1615" s="277"/>
      <c r="V1615" s="277"/>
      <c r="W1615" s="277"/>
      <c r="X1615" s="277"/>
      <c r="Y1615" s="277"/>
      <c r="Z1615" s="277"/>
      <c r="AA1615" s="277"/>
      <c r="AB1615" s="277"/>
      <c r="AC1615" s="277"/>
      <c r="AD1615" s="277"/>
      <c r="AE1615" s="277"/>
      <c r="AF1615" s="277"/>
      <c r="AG1615" s="277"/>
      <c r="AH1615" s="277"/>
      <c r="AI1615" s="277"/>
    </row>
    <row r="1616" spans="16:35" s="185" customFormat="1">
      <c r="P1616" s="277"/>
      <c r="Q1616" s="277"/>
      <c r="R1616" s="277"/>
      <c r="S1616" s="291">
        <v>43162</v>
      </c>
      <c r="T1616" s="279">
        <v>1523</v>
      </c>
      <c r="U1616" s="277"/>
      <c r="V1616" s="277"/>
      <c r="W1616" s="277"/>
      <c r="X1616" s="277"/>
      <c r="Y1616" s="277"/>
      <c r="Z1616" s="277"/>
      <c r="AA1616" s="277"/>
      <c r="AB1616" s="277"/>
      <c r="AC1616" s="277"/>
      <c r="AD1616" s="277"/>
      <c r="AE1616" s="277"/>
      <c r="AF1616" s="277"/>
      <c r="AG1616" s="277"/>
      <c r="AH1616" s="277"/>
      <c r="AI1616" s="277"/>
    </row>
    <row r="1617" spans="16:35" s="185" customFormat="1">
      <c r="P1617" s="277"/>
      <c r="Q1617" s="277"/>
      <c r="R1617" s="277"/>
      <c r="S1617" s="291">
        <v>43163</v>
      </c>
      <c r="T1617" s="279">
        <v>1524</v>
      </c>
      <c r="U1617" s="277"/>
      <c r="V1617" s="277"/>
      <c r="W1617" s="277"/>
      <c r="X1617" s="277"/>
      <c r="Y1617" s="277"/>
      <c r="Z1617" s="277"/>
      <c r="AA1617" s="277"/>
      <c r="AB1617" s="277"/>
      <c r="AC1617" s="277"/>
      <c r="AD1617" s="277"/>
      <c r="AE1617" s="277"/>
      <c r="AF1617" s="277"/>
      <c r="AG1617" s="277"/>
      <c r="AH1617" s="277"/>
      <c r="AI1617" s="277"/>
    </row>
    <row r="1618" spans="16:35" s="185" customFormat="1">
      <c r="P1618" s="277"/>
      <c r="Q1618" s="277"/>
      <c r="R1618" s="277"/>
      <c r="S1618" s="291">
        <v>43164</v>
      </c>
      <c r="T1618" s="279">
        <v>1525</v>
      </c>
      <c r="U1618" s="277"/>
      <c r="V1618" s="277"/>
      <c r="W1618" s="277"/>
      <c r="X1618" s="277"/>
      <c r="Y1618" s="277"/>
      <c r="Z1618" s="277"/>
      <c r="AA1618" s="277"/>
      <c r="AB1618" s="277"/>
      <c r="AC1618" s="277"/>
      <c r="AD1618" s="277"/>
      <c r="AE1618" s="277"/>
      <c r="AF1618" s="277"/>
      <c r="AG1618" s="277"/>
      <c r="AH1618" s="277"/>
      <c r="AI1618" s="277"/>
    </row>
    <row r="1619" spans="16:35" s="185" customFormat="1">
      <c r="P1619" s="277"/>
      <c r="Q1619" s="277"/>
      <c r="R1619" s="277"/>
      <c r="S1619" s="291">
        <v>43165</v>
      </c>
      <c r="T1619" s="279">
        <v>1526</v>
      </c>
      <c r="U1619" s="277"/>
      <c r="V1619" s="277"/>
      <c r="W1619" s="277"/>
      <c r="X1619" s="277"/>
      <c r="Y1619" s="277"/>
      <c r="Z1619" s="277"/>
      <c r="AA1619" s="277"/>
      <c r="AB1619" s="277"/>
      <c r="AC1619" s="277"/>
      <c r="AD1619" s="277"/>
      <c r="AE1619" s="277"/>
      <c r="AF1619" s="277"/>
      <c r="AG1619" s="277"/>
      <c r="AH1619" s="277"/>
      <c r="AI1619" s="277"/>
    </row>
    <row r="1620" spans="16:35" s="185" customFormat="1">
      <c r="P1620" s="277"/>
      <c r="Q1620" s="277"/>
      <c r="R1620" s="277"/>
      <c r="S1620" s="291">
        <v>43166</v>
      </c>
      <c r="T1620" s="279">
        <v>1527</v>
      </c>
      <c r="U1620" s="277"/>
      <c r="V1620" s="277"/>
      <c r="W1620" s="277"/>
      <c r="X1620" s="277"/>
      <c r="Y1620" s="277"/>
      <c r="Z1620" s="277"/>
      <c r="AA1620" s="277"/>
      <c r="AB1620" s="277"/>
      <c r="AC1620" s="277"/>
      <c r="AD1620" s="277"/>
      <c r="AE1620" s="277"/>
      <c r="AF1620" s="277"/>
      <c r="AG1620" s="277"/>
      <c r="AH1620" s="277"/>
      <c r="AI1620" s="277"/>
    </row>
    <row r="1621" spans="16:35" s="185" customFormat="1">
      <c r="P1621" s="277"/>
      <c r="Q1621" s="277"/>
      <c r="R1621" s="277"/>
      <c r="S1621" s="291">
        <v>43167</v>
      </c>
      <c r="T1621" s="279">
        <v>1528</v>
      </c>
      <c r="U1621" s="277"/>
      <c r="V1621" s="277"/>
      <c r="W1621" s="277"/>
      <c r="X1621" s="277"/>
      <c r="Y1621" s="277"/>
      <c r="Z1621" s="277"/>
      <c r="AA1621" s="277"/>
      <c r="AB1621" s="277"/>
      <c r="AC1621" s="277"/>
      <c r="AD1621" s="277"/>
      <c r="AE1621" s="277"/>
      <c r="AF1621" s="277"/>
      <c r="AG1621" s="277"/>
      <c r="AH1621" s="277"/>
      <c r="AI1621" s="277"/>
    </row>
    <row r="1622" spans="16:35" s="185" customFormat="1">
      <c r="P1622" s="277"/>
      <c r="Q1622" s="277"/>
      <c r="R1622" s="277"/>
      <c r="S1622" s="291">
        <v>43168</v>
      </c>
      <c r="T1622" s="279">
        <v>1529</v>
      </c>
      <c r="U1622" s="277"/>
      <c r="V1622" s="277"/>
      <c r="W1622" s="277"/>
      <c r="X1622" s="277"/>
      <c r="Y1622" s="277"/>
      <c r="Z1622" s="277"/>
      <c r="AA1622" s="277"/>
      <c r="AB1622" s="277"/>
      <c r="AC1622" s="277"/>
      <c r="AD1622" s="277"/>
      <c r="AE1622" s="277"/>
      <c r="AF1622" s="277"/>
      <c r="AG1622" s="277"/>
      <c r="AH1622" s="277"/>
      <c r="AI1622" s="277"/>
    </row>
    <row r="1623" spans="16:35" s="185" customFormat="1">
      <c r="P1623" s="277"/>
      <c r="Q1623" s="277"/>
      <c r="R1623" s="277"/>
      <c r="S1623" s="291">
        <v>43169</v>
      </c>
      <c r="T1623" s="279">
        <v>1530</v>
      </c>
      <c r="U1623" s="277"/>
      <c r="V1623" s="277"/>
      <c r="W1623" s="277"/>
      <c r="X1623" s="277"/>
      <c r="Y1623" s="277"/>
      <c r="Z1623" s="277"/>
      <c r="AA1623" s="277"/>
      <c r="AB1623" s="277"/>
      <c r="AC1623" s="277"/>
      <c r="AD1623" s="277"/>
      <c r="AE1623" s="277"/>
      <c r="AF1623" s="277"/>
      <c r="AG1623" s="277"/>
      <c r="AH1623" s="277"/>
      <c r="AI1623" s="277"/>
    </row>
    <row r="1624" spans="16:35" s="185" customFormat="1">
      <c r="P1624" s="277"/>
      <c r="Q1624" s="277"/>
      <c r="R1624" s="277"/>
      <c r="S1624" s="291">
        <v>43170</v>
      </c>
      <c r="T1624" s="279">
        <v>1531</v>
      </c>
      <c r="U1624" s="277"/>
      <c r="V1624" s="277"/>
      <c r="W1624" s="277"/>
      <c r="X1624" s="277"/>
      <c r="Y1624" s="277"/>
      <c r="Z1624" s="277"/>
      <c r="AA1624" s="277"/>
      <c r="AB1624" s="277"/>
      <c r="AC1624" s="277"/>
      <c r="AD1624" s="277"/>
      <c r="AE1624" s="277"/>
      <c r="AF1624" s="277"/>
      <c r="AG1624" s="277"/>
      <c r="AH1624" s="277"/>
      <c r="AI1624" s="277"/>
    </row>
    <row r="1625" spans="16:35" s="185" customFormat="1">
      <c r="P1625" s="277"/>
      <c r="Q1625" s="277"/>
      <c r="R1625" s="277"/>
      <c r="S1625" s="291">
        <v>43171</v>
      </c>
      <c r="T1625" s="279">
        <v>1532</v>
      </c>
      <c r="U1625" s="277"/>
      <c r="V1625" s="277"/>
      <c r="W1625" s="277"/>
      <c r="X1625" s="277"/>
      <c r="Y1625" s="277"/>
      <c r="Z1625" s="277"/>
      <c r="AA1625" s="277"/>
      <c r="AB1625" s="277"/>
      <c r="AC1625" s="277"/>
      <c r="AD1625" s="277"/>
      <c r="AE1625" s="277"/>
      <c r="AF1625" s="277"/>
      <c r="AG1625" s="277"/>
      <c r="AH1625" s="277"/>
      <c r="AI1625" s="277"/>
    </row>
    <row r="1626" spans="16:35" s="185" customFormat="1">
      <c r="P1626" s="277"/>
      <c r="Q1626" s="277"/>
      <c r="R1626" s="277"/>
      <c r="S1626" s="291">
        <v>43172</v>
      </c>
      <c r="T1626" s="279">
        <v>1533</v>
      </c>
      <c r="U1626" s="277"/>
      <c r="V1626" s="277"/>
      <c r="W1626" s="277"/>
      <c r="X1626" s="277"/>
      <c r="Y1626" s="277"/>
      <c r="Z1626" s="277"/>
      <c r="AA1626" s="277"/>
      <c r="AB1626" s="277"/>
      <c r="AC1626" s="277"/>
      <c r="AD1626" s="277"/>
      <c r="AE1626" s="277"/>
      <c r="AF1626" s="277"/>
      <c r="AG1626" s="277"/>
      <c r="AH1626" s="277"/>
      <c r="AI1626" s="277"/>
    </row>
    <row r="1627" spans="16:35" s="185" customFormat="1">
      <c r="P1627" s="277"/>
      <c r="Q1627" s="277"/>
      <c r="R1627" s="277"/>
      <c r="S1627" s="291">
        <v>43173</v>
      </c>
      <c r="T1627" s="279">
        <v>1534</v>
      </c>
      <c r="U1627" s="277"/>
      <c r="V1627" s="277"/>
      <c r="W1627" s="277"/>
      <c r="X1627" s="277"/>
      <c r="Y1627" s="277"/>
      <c r="Z1627" s="277"/>
      <c r="AA1627" s="277"/>
      <c r="AB1627" s="277"/>
      <c r="AC1627" s="277"/>
      <c r="AD1627" s="277"/>
      <c r="AE1627" s="277"/>
      <c r="AF1627" s="277"/>
      <c r="AG1627" s="277"/>
      <c r="AH1627" s="277"/>
      <c r="AI1627" s="277"/>
    </row>
    <row r="1628" spans="16:35" s="185" customFormat="1">
      <c r="P1628" s="277"/>
      <c r="Q1628" s="277"/>
      <c r="R1628" s="277"/>
      <c r="S1628" s="291">
        <v>43174</v>
      </c>
      <c r="T1628" s="279">
        <v>1535</v>
      </c>
      <c r="U1628" s="277"/>
      <c r="V1628" s="277"/>
      <c r="W1628" s="277"/>
      <c r="X1628" s="277"/>
      <c r="Y1628" s="277"/>
      <c r="Z1628" s="277"/>
      <c r="AA1628" s="277"/>
      <c r="AB1628" s="277"/>
      <c r="AC1628" s="277"/>
      <c r="AD1628" s="277"/>
      <c r="AE1628" s="277"/>
      <c r="AF1628" s="277"/>
      <c r="AG1628" s="277"/>
      <c r="AH1628" s="277"/>
      <c r="AI1628" s="277"/>
    </row>
    <row r="1629" spans="16:35" s="185" customFormat="1">
      <c r="P1629" s="277"/>
      <c r="Q1629" s="277"/>
      <c r="R1629" s="277"/>
      <c r="S1629" s="291">
        <v>43175</v>
      </c>
      <c r="T1629" s="279">
        <v>1536</v>
      </c>
      <c r="U1629" s="277"/>
      <c r="V1629" s="277"/>
      <c r="W1629" s="277"/>
      <c r="X1629" s="277"/>
      <c r="Y1629" s="277"/>
      <c r="Z1629" s="277"/>
      <c r="AA1629" s="277"/>
      <c r="AB1629" s="277"/>
      <c r="AC1629" s="277"/>
      <c r="AD1629" s="277"/>
      <c r="AE1629" s="277"/>
      <c r="AF1629" s="277"/>
      <c r="AG1629" s="277"/>
      <c r="AH1629" s="277"/>
      <c r="AI1629" s="277"/>
    </row>
    <row r="1630" spans="16:35" s="185" customFormat="1">
      <c r="P1630" s="277"/>
      <c r="Q1630" s="277"/>
      <c r="R1630" s="277"/>
      <c r="S1630" s="291">
        <v>43176</v>
      </c>
      <c r="T1630" s="279">
        <v>1537</v>
      </c>
      <c r="U1630" s="277"/>
      <c r="V1630" s="277"/>
      <c r="W1630" s="277"/>
      <c r="X1630" s="277"/>
      <c r="Y1630" s="277"/>
      <c r="Z1630" s="277"/>
      <c r="AA1630" s="277"/>
      <c r="AB1630" s="277"/>
      <c r="AC1630" s="277"/>
      <c r="AD1630" s="277"/>
      <c r="AE1630" s="277"/>
      <c r="AF1630" s="277"/>
      <c r="AG1630" s="277"/>
      <c r="AH1630" s="277"/>
      <c r="AI1630" s="277"/>
    </row>
    <row r="1631" spans="16:35" s="185" customFormat="1">
      <c r="P1631" s="277"/>
      <c r="Q1631" s="277"/>
      <c r="R1631" s="277"/>
      <c r="S1631" s="291">
        <v>43177</v>
      </c>
      <c r="T1631" s="279">
        <v>1538</v>
      </c>
      <c r="U1631" s="277"/>
      <c r="V1631" s="277"/>
      <c r="W1631" s="277"/>
      <c r="X1631" s="277"/>
      <c r="Y1631" s="277"/>
      <c r="Z1631" s="277"/>
      <c r="AA1631" s="277"/>
      <c r="AB1631" s="277"/>
      <c r="AC1631" s="277"/>
      <c r="AD1631" s="277"/>
      <c r="AE1631" s="277"/>
      <c r="AF1631" s="277"/>
      <c r="AG1631" s="277"/>
      <c r="AH1631" s="277"/>
      <c r="AI1631" s="277"/>
    </row>
    <row r="1632" spans="16:35" s="185" customFormat="1">
      <c r="P1632" s="277"/>
      <c r="Q1632" s="277"/>
      <c r="R1632" s="277"/>
      <c r="S1632" s="291">
        <v>43178</v>
      </c>
      <c r="T1632" s="279">
        <v>1539</v>
      </c>
      <c r="U1632" s="277"/>
      <c r="V1632" s="277"/>
      <c r="W1632" s="277"/>
      <c r="X1632" s="277"/>
      <c r="Y1632" s="277"/>
      <c r="Z1632" s="277"/>
      <c r="AA1632" s="277"/>
      <c r="AB1632" s="277"/>
      <c r="AC1632" s="277"/>
      <c r="AD1632" s="277"/>
      <c r="AE1632" s="277"/>
      <c r="AF1632" s="277"/>
      <c r="AG1632" s="277"/>
      <c r="AH1632" s="277"/>
      <c r="AI1632" s="277"/>
    </row>
    <row r="1633" spans="16:35" s="185" customFormat="1">
      <c r="P1633" s="277"/>
      <c r="Q1633" s="277"/>
      <c r="R1633" s="277"/>
      <c r="S1633" s="291">
        <v>43179</v>
      </c>
      <c r="T1633" s="279">
        <v>1540</v>
      </c>
      <c r="U1633" s="277"/>
      <c r="V1633" s="277"/>
      <c r="W1633" s="277"/>
      <c r="X1633" s="277"/>
      <c r="Y1633" s="277"/>
      <c r="Z1633" s="277"/>
      <c r="AA1633" s="277"/>
      <c r="AB1633" s="277"/>
      <c r="AC1633" s="277"/>
      <c r="AD1633" s="277"/>
      <c r="AE1633" s="277"/>
      <c r="AF1633" s="277"/>
      <c r="AG1633" s="277"/>
      <c r="AH1633" s="277"/>
      <c r="AI1633" s="277"/>
    </row>
    <row r="1634" spans="16:35" s="185" customFormat="1">
      <c r="P1634" s="277"/>
      <c r="Q1634" s="277"/>
      <c r="R1634" s="277"/>
      <c r="S1634" s="291">
        <v>43180</v>
      </c>
      <c r="T1634" s="279">
        <v>1541</v>
      </c>
      <c r="U1634" s="277"/>
      <c r="V1634" s="277"/>
      <c r="W1634" s="277"/>
      <c r="X1634" s="277"/>
      <c r="Y1634" s="277"/>
      <c r="Z1634" s="277"/>
      <c r="AA1634" s="277"/>
      <c r="AB1634" s="277"/>
      <c r="AC1634" s="277"/>
      <c r="AD1634" s="277"/>
      <c r="AE1634" s="277"/>
      <c r="AF1634" s="277"/>
      <c r="AG1634" s="277"/>
      <c r="AH1634" s="277"/>
      <c r="AI1634" s="277"/>
    </row>
    <row r="1635" spans="16:35" s="185" customFormat="1">
      <c r="P1635" s="277"/>
      <c r="Q1635" s="277"/>
      <c r="R1635" s="277"/>
      <c r="S1635" s="291">
        <v>43181</v>
      </c>
      <c r="T1635" s="279">
        <v>1542</v>
      </c>
      <c r="U1635" s="277"/>
      <c r="V1635" s="277"/>
      <c r="W1635" s="277"/>
      <c r="X1635" s="277"/>
      <c r="Y1635" s="277"/>
      <c r="Z1635" s="277"/>
      <c r="AA1635" s="277"/>
      <c r="AB1635" s="277"/>
      <c r="AC1635" s="277"/>
      <c r="AD1635" s="277"/>
      <c r="AE1635" s="277"/>
      <c r="AF1635" s="277"/>
      <c r="AG1635" s="277"/>
      <c r="AH1635" s="277"/>
      <c r="AI1635" s="277"/>
    </row>
    <row r="1636" spans="16:35" s="185" customFormat="1">
      <c r="P1636" s="277"/>
      <c r="Q1636" s="277"/>
      <c r="R1636" s="277"/>
      <c r="S1636" s="291">
        <v>43182</v>
      </c>
      <c r="T1636" s="279">
        <v>1543</v>
      </c>
      <c r="U1636" s="277"/>
      <c r="V1636" s="277"/>
      <c r="W1636" s="277"/>
      <c r="X1636" s="277"/>
      <c r="Y1636" s="277"/>
      <c r="Z1636" s="277"/>
      <c r="AA1636" s="277"/>
      <c r="AB1636" s="277"/>
      <c r="AC1636" s="277"/>
      <c r="AD1636" s="277"/>
      <c r="AE1636" s="277"/>
      <c r="AF1636" s="277"/>
      <c r="AG1636" s="277"/>
      <c r="AH1636" s="277"/>
      <c r="AI1636" s="277"/>
    </row>
    <row r="1637" spans="16:35" s="185" customFormat="1">
      <c r="P1637" s="277"/>
      <c r="Q1637" s="277"/>
      <c r="R1637" s="277"/>
      <c r="S1637" s="291">
        <v>43183</v>
      </c>
      <c r="T1637" s="279">
        <v>1544</v>
      </c>
      <c r="U1637" s="277"/>
      <c r="V1637" s="277"/>
      <c r="W1637" s="277"/>
      <c r="X1637" s="277"/>
      <c r="Y1637" s="277"/>
      <c r="Z1637" s="277"/>
      <c r="AA1637" s="277"/>
      <c r="AB1637" s="277"/>
      <c r="AC1637" s="277"/>
      <c r="AD1637" s="277"/>
      <c r="AE1637" s="277"/>
      <c r="AF1637" s="277"/>
      <c r="AG1637" s="277"/>
      <c r="AH1637" s="277"/>
      <c r="AI1637" s="277"/>
    </row>
    <row r="1638" spans="16:35" s="185" customFormat="1">
      <c r="P1638" s="277"/>
      <c r="Q1638" s="277"/>
      <c r="R1638" s="277"/>
      <c r="S1638" s="291">
        <v>43184</v>
      </c>
      <c r="T1638" s="279">
        <v>1545</v>
      </c>
      <c r="U1638" s="277"/>
      <c r="V1638" s="277"/>
      <c r="W1638" s="277"/>
      <c r="X1638" s="277"/>
      <c r="Y1638" s="277"/>
      <c r="Z1638" s="277"/>
      <c r="AA1638" s="277"/>
      <c r="AB1638" s="277"/>
      <c r="AC1638" s="277"/>
      <c r="AD1638" s="277"/>
      <c r="AE1638" s="277"/>
      <c r="AF1638" s="277"/>
      <c r="AG1638" s="277"/>
      <c r="AH1638" s="277"/>
      <c r="AI1638" s="277"/>
    </row>
    <row r="1639" spans="16:35" s="185" customFormat="1">
      <c r="P1639" s="277"/>
      <c r="Q1639" s="277"/>
      <c r="R1639" s="277"/>
      <c r="S1639" s="291">
        <v>43185</v>
      </c>
      <c r="T1639" s="279">
        <v>1546</v>
      </c>
      <c r="U1639" s="277"/>
      <c r="V1639" s="277"/>
      <c r="W1639" s="277"/>
      <c r="X1639" s="277"/>
      <c r="Y1639" s="277"/>
      <c r="Z1639" s="277"/>
      <c r="AA1639" s="277"/>
      <c r="AB1639" s="277"/>
      <c r="AC1639" s="277"/>
      <c r="AD1639" s="277"/>
      <c r="AE1639" s="277"/>
      <c r="AF1639" s="277"/>
      <c r="AG1639" s="277"/>
      <c r="AH1639" s="277"/>
      <c r="AI1639" s="277"/>
    </row>
    <row r="1640" spans="16:35" s="185" customFormat="1">
      <c r="P1640" s="277"/>
      <c r="Q1640" s="277"/>
      <c r="R1640" s="277"/>
      <c r="S1640" s="291">
        <v>43186</v>
      </c>
      <c r="T1640" s="279">
        <v>1547</v>
      </c>
      <c r="U1640" s="277"/>
      <c r="V1640" s="277"/>
      <c r="W1640" s="277"/>
      <c r="X1640" s="277"/>
      <c r="Y1640" s="277"/>
      <c r="Z1640" s="277"/>
      <c r="AA1640" s="277"/>
      <c r="AB1640" s="277"/>
      <c r="AC1640" s="277"/>
      <c r="AD1640" s="277"/>
      <c r="AE1640" s="277"/>
      <c r="AF1640" s="277"/>
      <c r="AG1640" s="277"/>
      <c r="AH1640" s="277"/>
      <c r="AI1640" s="277"/>
    </row>
    <row r="1641" spans="16:35" s="185" customFormat="1">
      <c r="P1641" s="277"/>
      <c r="Q1641" s="277"/>
      <c r="R1641" s="277"/>
      <c r="S1641" s="291">
        <v>43187</v>
      </c>
      <c r="T1641" s="279">
        <v>1548</v>
      </c>
      <c r="U1641" s="277"/>
      <c r="V1641" s="277"/>
      <c r="W1641" s="277"/>
      <c r="X1641" s="277"/>
      <c r="Y1641" s="277"/>
      <c r="Z1641" s="277"/>
      <c r="AA1641" s="277"/>
      <c r="AB1641" s="277"/>
      <c r="AC1641" s="277"/>
      <c r="AD1641" s="277"/>
      <c r="AE1641" s="277"/>
      <c r="AF1641" s="277"/>
      <c r="AG1641" s="277"/>
      <c r="AH1641" s="277"/>
      <c r="AI1641" s="277"/>
    </row>
    <row r="1642" spans="16:35" s="185" customFormat="1">
      <c r="P1642" s="277"/>
      <c r="Q1642" s="277"/>
      <c r="R1642" s="277"/>
      <c r="S1642" s="291">
        <v>43188</v>
      </c>
      <c r="T1642" s="279">
        <v>1549</v>
      </c>
      <c r="U1642" s="277"/>
      <c r="V1642" s="277"/>
      <c r="W1642" s="277"/>
      <c r="X1642" s="277"/>
      <c r="Y1642" s="277"/>
      <c r="Z1642" s="277"/>
      <c r="AA1642" s="277"/>
      <c r="AB1642" s="277"/>
      <c r="AC1642" s="277"/>
      <c r="AD1642" s="277"/>
      <c r="AE1642" s="277"/>
      <c r="AF1642" s="277"/>
      <c r="AG1642" s="277"/>
      <c r="AH1642" s="277"/>
      <c r="AI1642" s="277"/>
    </row>
    <row r="1643" spans="16:35" s="185" customFormat="1">
      <c r="P1643" s="277"/>
      <c r="Q1643" s="277"/>
      <c r="R1643" s="277"/>
      <c r="S1643" s="291">
        <v>43189</v>
      </c>
      <c r="T1643" s="279">
        <v>1550</v>
      </c>
      <c r="U1643" s="277"/>
      <c r="V1643" s="277"/>
      <c r="W1643" s="277"/>
      <c r="X1643" s="277"/>
      <c r="Y1643" s="277"/>
      <c r="Z1643" s="277"/>
      <c r="AA1643" s="277"/>
      <c r="AB1643" s="277"/>
      <c r="AC1643" s="277"/>
      <c r="AD1643" s="277"/>
      <c r="AE1643" s="277"/>
      <c r="AF1643" s="277"/>
      <c r="AG1643" s="277"/>
      <c r="AH1643" s="277"/>
      <c r="AI1643" s="277"/>
    </row>
    <row r="1644" spans="16:35" s="185" customFormat="1">
      <c r="P1644" s="277"/>
      <c r="Q1644" s="277"/>
      <c r="R1644" s="277"/>
      <c r="S1644" s="291">
        <v>43190</v>
      </c>
      <c r="T1644" s="279">
        <v>1551</v>
      </c>
      <c r="U1644" s="277"/>
      <c r="V1644" s="277"/>
      <c r="W1644" s="277"/>
      <c r="X1644" s="277"/>
      <c r="Y1644" s="277"/>
      <c r="Z1644" s="277"/>
      <c r="AA1644" s="277"/>
      <c r="AB1644" s="277"/>
      <c r="AC1644" s="277"/>
      <c r="AD1644" s="277"/>
      <c r="AE1644" s="277"/>
      <c r="AF1644" s="277"/>
      <c r="AG1644" s="277"/>
      <c r="AH1644" s="277"/>
      <c r="AI1644" s="277"/>
    </row>
    <row r="1645" spans="16:35" s="185" customFormat="1">
      <c r="P1645" s="277"/>
      <c r="Q1645" s="277"/>
      <c r="R1645" s="277"/>
      <c r="S1645" s="291">
        <v>43191</v>
      </c>
      <c r="T1645" s="279">
        <v>1552</v>
      </c>
      <c r="U1645" s="277"/>
      <c r="V1645" s="277"/>
      <c r="W1645" s="277"/>
      <c r="X1645" s="277"/>
      <c r="Y1645" s="277"/>
      <c r="Z1645" s="277"/>
      <c r="AA1645" s="277"/>
      <c r="AB1645" s="277"/>
      <c r="AC1645" s="277"/>
      <c r="AD1645" s="277"/>
      <c r="AE1645" s="277"/>
      <c r="AF1645" s="277"/>
      <c r="AG1645" s="277"/>
      <c r="AH1645" s="277"/>
      <c r="AI1645" s="277"/>
    </row>
    <row r="1646" spans="16:35" s="185" customFormat="1">
      <c r="P1646" s="277"/>
      <c r="Q1646" s="277"/>
      <c r="R1646" s="277"/>
      <c r="S1646" s="291">
        <v>43192</v>
      </c>
      <c r="T1646" s="279">
        <v>1553</v>
      </c>
      <c r="U1646" s="277"/>
      <c r="V1646" s="277"/>
      <c r="W1646" s="277"/>
      <c r="X1646" s="277"/>
      <c r="Y1646" s="277"/>
      <c r="Z1646" s="277"/>
      <c r="AA1646" s="277"/>
      <c r="AB1646" s="277"/>
      <c r="AC1646" s="277"/>
      <c r="AD1646" s="277"/>
      <c r="AE1646" s="277"/>
      <c r="AF1646" s="277"/>
      <c r="AG1646" s="277"/>
      <c r="AH1646" s="277"/>
      <c r="AI1646" s="277"/>
    </row>
    <row r="1647" spans="16:35" s="185" customFormat="1">
      <c r="P1647" s="277"/>
      <c r="Q1647" s="277"/>
      <c r="R1647" s="277"/>
      <c r="S1647" s="291">
        <v>43193</v>
      </c>
      <c r="T1647" s="279">
        <v>1554</v>
      </c>
      <c r="U1647" s="277"/>
      <c r="V1647" s="277"/>
      <c r="W1647" s="277"/>
      <c r="X1647" s="277"/>
      <c r="Y1647" s="277"/>
      <c r="Z1647" s="277"/>
      <c r="AA1647" s="277"/>
      <c r="AB1647" s="277"/>
      <c r="AC1647" s="277"/>
      <c r="AD1647" s="277"/>
      <c r="AE1647" s="277"/>
      <c r="AF1647" s="277"/>
      <c r="AG1647" s="277"/>
      <c r="AH1647" s="277"/>
      <c r="AI1647" s="277"/>
    </row>
    <row r="1648" spans="16:35" s="185" customFormat="1">
      <c r="P1648" s="277"/>
      <c r="Q1648" s="277"/>
      <c r="R1648" s="277"/>
      <c r="S1648" s="291">
        <v>43194</v>
      </c>
      <c r="T1648" s="279">
        <v>1555</v>
      </c>
      <c r="U1648" s="277"/>
      <c r="V1648" s="277"/>
      <c r="W1648" s="277"/>
      <c r="X1648" s="277"/>
      <c r="Y1648" s="277"/>
      <c r="Z1648" s="277"/>
      <c r="AA1648" s="277"/>
      <c r="AB1648" s="277"/>
      <c r="AC1648" s="277"/>
      <c r="AD1648" s="277"/>
      <c r="AE1648" s="277"/>
      <c r="AF1648" s="277"/>
      <c r="AG1648" s="277"/>
      <c r="AH1648" s="277"/>
      <c r="AI1648" s="277"/>
    </row>
    <row r="1649" spans="16:35" s="185" customFormat="1">
      <c r="P1649" s="277"/>
      <c r="Q1649" s="277"/>
      <c r="R1649" s="277"/>
      <c r="S1649" s="291">
        <v>43195</v>
      </c>
      <c r="T1649" s="279">
        <v>1556</v>
      </c>
      <c r="U1649" s="277"/>
      <c r="V1649" s="277"/>
      <c r="W1649" s="277"/>
      <c r="X1649" s="277"/>
      <c r="Y1649" s="277"/>
      <c r="Z1649" s="277"/>
      <c r="AA1649" s="277"/>
      <c r="AB1649" s="277"/>
      <c r="AC1649" s="277"/>
      <c r="AD1649" s="277"/>
      <c r="AE1649" s="277"/>
      <c r="AF1649" s="277"/>
      <c r="AG1649" s="277"/>
      <c r="AH1649" s="277"/>
      <c r="AI1649" s="277"/>
    </row>
    <row r="1650" spans="16:35" s="185" customFormat="1">
      <c r="P1650" s="277"/>
      <c r="Q1650" s="277"/>
      <c r="R1650" s="277"/>
      <c r="S1650" s="291">
        <v>43196</v>
      </c>
      <c r="T1650" s="279">
        <v>1557</v>
      </c>
      <c r="U1650" s="277"/>
      <c r="V1650" s="277"/>
      <c r="W1650" s="277"/>
      <c r="X1650" s="277"/>
      <c r="Y1650" s="277"/>
      <c r="Z1650" s="277"/>
      <c r="AA1650" s="277"/>
      <c r="AB1650" s="277"/>
      <c r="AC1650" s="277"/>
      <c r="AD1650" s="277"/>
      <c r="AE1650" s="277"/>
      <c r="AF1650" s="277"/>
      <c r="AG1650" s="277"/>
      <c r="AH1650" s="277"/>
      <c r="AI1650" s="277"/>
    </row>
    <row r="1651" spans="16:35" s="185" customFormat="1">
      <c r="P1651" s="277"/>
      <c r="Q1651" s="277"/>
      <c r="R1651" s="277"/>
      <c r="S1651" s="291">
        <v>43197</v>
      </c>
      <c r="T1651" s="279">
        <v>1558</v>
      </c>
      <c r="U1651" s="277"/>
      <c r="V1651" s="277"/>
      <c r="W1651" s="277"/>
      <c r="X1651" s="277"/>
      <c r="Y1651" s="277"/>
      <c r="Z1651" s="277"/>
      <c r="AA1651" s="277"/>
      <c r="AB1651" s="277"/>
      <c r="AC1651" s="277"/>
      <c r="AD1651" s="277"/>
      <c r="AE1651" s="277"/>
      <c r="AF1651" s="277"/>
      <c r="AG1651" s="277"/>
      <c r="AH1651" s="277"/>
      <c r="AI1651" s="277"/>
    </row>
    <row r="1652" spans="16:35" s="185" customFormat="1">
      <c r="P1652" s="277"/>
      <c r="Q1652" s="277"/>
      <c r="R1652" s="277"/>
      <c r="S1652" s="291">
        <v>43198</v>
      </c>
      <c r="T1652" s="279">
        <v>1559</v>
      </c>
      <c r="U1652" s="277"/>
      <c r="V1652" s="277"/>
      <c r="W1652" s="277"/>
      <c r="X1652" s="277"/>
      <c r="Y1652" s="277"/>
      <c r="Z1652" s="277"/>
      <c r="AA1652" s="277"/>
      <c r="AB1652" s="277"/>
      <c r="AC1652" s="277"/>
      <c r="AD1652" s="277"/>
      <c r="AE1652" s="277"/>
      <c r="AF1652" s="277"/>
      <c r="AG1652" s="277"/>
      <c r="AH1652" s="277"/>
      <c r="AI1652" s="277"/>
    </row>
    <row r="1653" spans="16:35" s="185" customFormat="1">
      <c r="P1653" s="277"/>
      <c r="Q1653" s="277"/>
      <c r="R1653" s="277"/>
      <c r="S1653" s="291">
        <v>43199</v>
      </c>
      <c r="T1653" s="279">
        <v>1560</v>
      </c>
      <c r="U1653" s="277"/>
      <c r="V1653" s="277"/>
      <c r="W1653" s="277"/>
      <c r="X1653" s="277"/>
      <c r="Y1653" s="277"/>
      <c r="Z1653" s="277"/>
      <c r="AA1653" s="277"/>
      <c r="AB1653" s="277"/>
      <c r="AC1653" s="277"/>
      <c r="AD1653" s="277"/>
      <c r="AE1653" s="277"/>
      <c r="AF1653" s="277"/>
      <c r="AG1653" s="277"/>
      <c r="AH1653" s="277"/>
      <c r="AI1653" s="277"/>
    </row>
    <row r="1654" spans="16:35" s="185" customFormat="1">
      <c r="P1654" s="277"/>
      <c r="Q1654" s="277"/>
      <c r="R1654" s="277"/>
      <c r="S1654" s="291">
        <v>43200</v>
      </c>
      <c r="T1654" s="279">
        <v>1561</v>
      </c>
      <c r="U1654" s="277"/>
      <c r="V1654" s="277"/>
      <c r="W1654" s="277"/>
      <c r="X1654" s="277"/>
      <c r="Y1654" s="277"/>
      <c r="Z1654" s="277"/>
      <c r="AA1654" s="277"/>
      <c r="AB1654" s="277"/>
      <c r="AC1654" s="277"/>
      <c r="AD1654" s="277"/>
      <c r="AE1654" s="277"/>
      <c r="AF1654" s="277"/>
      <c r="AG1654" s="277"/>
      <c r="AH1654" s="277"/>
      <c r="AI1654" s="277"/>
    </row>
    <row r="1655" spans="16:35" s="185" customFormat="1">
      <c r="P1655" s="277"/>
      <c r="Q1655" s="277"/>
      <c r="R1655" s="277"/>
      <c r="S1655" s="291">
        <v>43201</v>
      </c>
      <c r="T1655" s="279">
        <v>1562</v>
      </c>
      <c r="U1655" s="277"/>
      <c r="V1655" s="277"/>
      <c r="W1655" s="277"/>
      <c r="X1655" s="277"/>
      <c r="Y1655" s="277"/>
      <c r="Z1655" s="277"/>
      <c r="AA1655" s="277"/>
      <c r="AB1655" s="277"/>
      <c r="AC1655" s="277"/>
      <c r="AD1655" s="277"/>
      <c r="AE1655" s="277"/>
      <c r="AF1655" s="277"/>
      <c r="AG1655" s="277"/>
      <c r="AH1655" s="277"/>
      <c r="AI1655" s="277"/>
    </row>
    <row r="1656" spans="16:35" s="185" customFormat="1">
      <c r="P1656" s="277"/>
      <c r="Q1656" s="277"/>
      <c r="R1656" s="277"/>
      <c r="S1656" s="291">
        <v>43202</v>
      </c>
      <c r="T1656" s="279">
        <v>1563</v>
      </c>
      <c r="U1656" s="277"/>
      <c r="V1656" s="277"/>
      <c r="W1656" s="277"/>
      <c r="X1656" s="277"/>
      <c r="Y1656" s="277"/>
      <c r="Z1656" s="277"/>
      <c r="AA1656" s="277"/>
      <c r="AB1656" s="277"/>
      <c r="AC1656" s="277"/>
      <c r="AD1656" s="277"/>
      <c r="AE1656" s="277"/>
      <c r="AF1656" s="277"/>
      <c r="AG1656" s="277"/>
      <c r="AH1656" s="277"/>
      <c r="AI1656" s="277"/>
    </row>
    <row r="1657" spans="16:35" s="185" customFormat="1">
      <c r="P1657" s="277"/>
      <c r="Q1657" s="277"/>
      <c r="R1657" s="277"/>
      <c r="S1657" s="291">
        <v>43203</v>
      </c>
      <c r="T1657" s="279">
        <v>1564</v>
      </c>
      <c r="U1657" s="277"/>
      <c r="V1657" s="277"/>
      <c r="W1657" s="277"/>
      <c r="X1657" s="277"/>
      <c r="Y1657" s="277"/>
      <c r="Z1657" s="277"/>
      <c r="AA1657" s="277"/>
      <c r="AB1657" s="277"/>
      <c r="AC1657" s="277"/>
      <c r="AD1657" s="277"/>
      <c r="AE1657" s="277"/>
      <c r="AF1657" s="277"/>
      <c r="AG1657" s="277"/>
      <c r="AH1657" s="277"/>
      <c r="AI1657" s="277"/>
    </row>
    <row r="1658" spans="16:35" s="185" customFormat="1">
      <c r="P1658" s="277"/>
      <c r="Q1658" s="277"/>
      <c r="R1658" s="277"/>
      <c r="S1658" s="291">
        <v>43204</v>
      </c>
      <c r="T1658" s="279">
        <v>1565</v>
      </c>
      <c r="U1658" s="277"/>
      <c r="V1658" s="277"/>
      <c r="W1658" s="277"/>
      <c r="X1658" s="277"/>
      <c r="Y1658" s="277"/>
      <c r="Z1658" s="277"/>
      <c r="AA1658" s="277"/>
      <c r="AB1658" s="277"/>
      <c r="AC1658" s="277"/>
      <c r="AD1658" s="277"/>
      <c r="AE1658" s="277"/>
      <c r="AF1658" s="277"/>
      <c r="AG1658" s="277"/>
      <c r="AH1658" s="277"/>
      <c r="AI1658" s="277"/>
    </row>
    <row r="1659" spans="16:35" s="185" customFormat="1">
      <c r="P1659" s="277"/>
      <c r="Q1659" s="277"/>
      <c r="R1659" s="277"/>
      <c r="S1659" s="291">
        <v>43205</v>
      </c>
      <c r="T1659" s="279">
        <v>1566</v>
      </c>
      <c r="U1659" s="277"/>
      <c r="V1659" s="277"/>
      <c r="W1659" s="277"/>
      <c r="X1659" s="277"/>
      <c r="Y1659" s="277"/>
      <c r="Z1659" s="277"/>
      <c r="AA1659" s="277"/>
      <c r="AB1659" s="277"/>
      <c r="AC1659" s="277"/>
      <c r="AD1659" s="277"/>
      <c r="AE1659" s="277"/>
      <c r="AF1659" s="277"/>
      <c r="AG1659" s="277"/>
      <c r="AH1659" s="277"/>
      <c r="AI1659" s="277"/>
    </row>
    <row r="1660" spans="16:35" s="185" customFormat="1">
      <c r="P1660" s="277"/>
      <c r="Q1660" s="277"/>
      <c r="R1660" s="277"/>
      <c r="S1660" s="291">
        <v>43206</v>
      </c>
      <c r="T1660" s="279">
        <v>1567</v>
      </c>
      <c r="U1660" s="277"/>
      <c r="V1660" s="277"/>
      <c r="W1660" s="277"/>
      <c r="X1660" s="277"/>
      <c r="Y1660" s="277"/>
      <c r="Z1660" s="277"/>
      <c r="AA1660" s="277"/>
      <c r="AB1660" s="277"/>
      <c r="AC1660" s="277"/>
      <c r="AD1660" s="277"/>
      <c r="AE1660" s="277"/>
      <c r="AF1660" s="277"/>
      <c r="AG1660" s="277"/>
      <c r="AH1660" s="277"/>
      <c r="AI1660" s="277"/>
    </row>
    <row r="1661" spans="16:35" s="185" customFormat="1">
      <c r="P1661" s="277"/>
      <c r="Q1661" s="277"/>
      <c r="R1661" s="277"/>
      <c r="S1661" s="291">
        <v>43207</v>
      </c>
      <c r="T1661" s="279">
        <v>1568</v>
      </c>
      <c r="U1661" s="277"/>
      <c r="V1661" s="277"/>
      <c r="W1661" s="277"/>
      <c r="X1661" s="277"/>
      <c r="Y1661" s="277"/>
      <c r="Z1661" s="277"/>
      <c r="AA1661" s="277"/>
      <c r="AB1661" s="277"/>
      <c r="AC1661" s="277"/>
      <c r="AD1661" s="277"/>
      <c r="AE1661" s="277"/>
      <c r="AF1661" s="277"/>
      <c r="AG1661" s="277"/>
      <c r="AH1661" s="277"/>
      <c r="AI1661" s="277"/>
    </row>
    <row r="1662" spans="16:35" s="185" customFormat="1">
      <c r="P1662" s="277"/>
      <c r="Q1662" s="277"/>
      <c r="R1662" s="277"/>
      <c r="S1662" s="291">
        <v>43208</v>
      </c>
      <c r="T1662" s="279">
        <v>1569</v>
      </c>
      <c r="U1662" s="277"/>
      <c r="V1662" s="277"/>
      <c r="W1662" s="277"/>
      <c r="X1662" s="277"/>
      <c r="Y1662" s="277"/>
      <c r="Z1662" s="277"/>
      <c r="AA1662" s="277"/>
      <c r="AB1662" s="277"/>
      <c r="AC1662" s="277"/>
      <c r="AD1662" s="277"/>
      <c r="AE1662" s="277"/>
      <c r="AF1662" s="277"/>
      <c r="AG1662" s="277"/>
      <c r="AH1662" s="277"/>
      <c r="AI1662" s="277"/>
    </row>
    <row r="1663" spans="16:35" s="185" customFormat="1">
      <c r="P1663" s="277"/>
      <c r="Q1663" s="277"/>
      <c r="R1663" s="277"/>
      <c r="S1663" s="291">
        <v>43209</v>
      </c>
      <c r="T1663" s="279">
        <v>1570</v>
      </c>
      <c r="U1663" s="277"/>
      <c r="V1663" s="277"/>
      <c r="W1663" s="277"/>
      <c r="X1663" s="277"/>
      <c r="Y1663" s="277"/>
      <c r="Z1663" s="277"/>
      <c r="AA1663" s="277"/>
      <c r="AB1663" s="277"/>
      <c r="AC1663" s="277"/>
      <c r="AD1663" s="277"/>
      <c r="AE1663" s="277"/>
      <c r="AF1663" s="277"/>
      <c r="AG1663" s="277"/>
      <c r="AH1663" s="277"/>
      <c r="AI1663" s="277"/>
    </row>
    <row r="1664" spans="16:35" s="185" customFormat="1">
      <c r="P1664" s="277"/>
      <c r="Q1664" s="277"/>
      <c r="R1664" s="277"/>
      <c r="S1664" s="291">
        <v>43210</v>
      </c>
      <c r="T1664" s="279">
        <v>1571</v>
      </c>
      <c r="U1664" s="277"/>
      <c r="V1664" s="277"/>
      <c r="W1664" s="277"/>
      <c r="X1664" s="277"/>
      <c r="Y1664" s="277"/>
      <c r="Z1664" s="277"/>
      <c r="AA1664" s="277"/>
      <c r="AB1664" s="277"/>
      <c r="AC1664" s="277"/>
      <c r="AD1664" s="277"/>
      <c r="AE1664" s="277"/>
      <c r="AF1664" s="277"/>
      <c r="AG1664" s="277"/>
      <c r="AH1664" s="277"/>
      <c r="AI1664" s="277"/>
    </row>
    <row r="1665" spans="16:35" s="185" customFormat="1">
      <c r="P1665" s="277"/>
      <c r="Q1665" s="277"/>
      <c r="R1665" s="277"/>
      <c r="S1665" s="291">
        <v>43211</v>
      </c>
      <c r="T1665" s="279">
        <v>1572</v>
      </c>
      <c r="U1665" s="277"/>
      <c r="V1665" s="277"/>
      <c r="W1665" s="277"/>
      <c r="X1665" s="277"/>
      <c r="Y1665" s="277"/>
      <c r="Z1665" s="277"/>
      <c r="AA1665" s="277"/>
      <c r="AB1665" s="277"/>
      <c r="AC1665" s="277"/>
      <c r="AD1665" s="277"/>
      <c r="AE1665" s="277"/>
      <c r="AF1665" s="277"/>
      <c r="AG1665" s="277"/>
      <c r="AH1665" s="277"/>
      <c r="AI1665" s="277"/>
    </row>
    <row r="1666" spans="16:35" s="185" customFormat="1">
      <c r="P1666" s="277"/>
      <c r="Q1666" s="277"/>
      <c r="R1666" s="277"/>
      <c r="S1666" s="291">
        <v>43212</v>
      </c>
      <c r="T1666" s="279">
        <v>1573</v>
      </c>
      <c r="U1666" s="277"/>
      <c r="V1666" s="277"/>
      <c r="W1666" s="277"/>
      <c r="X1666" s="277"/>
      <c r="Y1666" s="277"/>
      <c r="Z1666" s="277"/>
      <c r="AA1666" s="277"/>
      <c r="AB1666" s="277"/>
      <c r="AC1666" s="277"/>
      <c r="AD1666" s="277"/>
      <c r="AE1666" s="277"/>
      <c r="AF1666" s="277"/>
      <c r="AG1666" s="277"/>
      <c r="AH1666" s="277"/>
      <c r="AI1666" s="277"/>
    </row>
    <row r="1667" spans="16:35" s="185" customFormat="1">
      <c r="P1667" s="277"/>
      <c r="Q1667" s="277"/>
      <c r="R1667" s="277"/>
      <c r="S1667" s="291">
        <v>43213</v>
      </c>
      <c r="T1667" s="279">
        <v>1574</v>
      </c>
      <c r="U1667" s="277"/>
      <c r="V1667" s="277"/>
      <c r="W1667" s="277"/>
      <c r="X1667" s="277"/>
      <c r="Y1667" s="277"/>
      <c r="Z1667" s="277"/>
      <c r="AA1667" s="277"/>
      <c r="AB1667" s="277"/>
      <c r="AC1667" s="277"/>
      <c r="AD1667" s="277"/>
      <c r="AE1667" s="277"/>
      <c r="AF1667" s="277"/>
      <c r="AG1667" s="277"/>
      <c r="AH1667" s="277"/>
      <c r="AI1667" s="277"/>
    </row>
    <row r="1668" spans="16:35" s="185" customFormat="1">
      <c r="P1668" s="277"/>
      <c r="Q1668" s="277"/>
      <c r="R1668" s="277"/>
      <c r="S1668" s="291">
        <v>43214</v>
      </c>
      <c r="T1668" s="279">
        <v>1575</v>
      </c>
      <c r="U1668" s="277"/>
      <c r="V1668" s="277"/>
      <c r="W1668" s="277"/>
      <c r="X1668" s="277"/>
      <c r="Y1668" s="277"/>
      <c r="Z1668" s="277"/>
      <c r="AA1668" s="277"/>
      <c r="AB1668" s="277"/>
      <c r="AC1668" s="277"/>
      <c r="AD1668" s="277"/>
      <c r="AE1668" s="277"/>
      <c r="AF1668" s="277"/>
      <c r="AG1668" s="277"/>
      <c r="AH1668" s="277"/>
      <c r="AI1668" s="277"/>
    </row>
    <row r="1669" spans="16:35" s="185" customFormat="1">
      <c r="P1669" s="277"/>
      <c r="Q1669" s="277"/>
      <c r="R1669" s="277"/>
      <c r="S1669" s="291">
        <v>43215</v>
      </c>
      <c r="T1669" s="279">
        <v>1576</v>
      </c>
      <c r="U1669" s="277"/>
      <c r="V1669" s="277"/>
      <c r="W1669" s="277"/>
      <c r="X1669" s="277"/>
      <c r="Y1669" s="277"/>
      <c r="Z1669" s="277"/>
      <c r="AA1669" s="277"/>
      <c r="AB1669" s="277"/>
      <c r="AC1669" s="277"/>
      <c r="AD1669" s="277"/>
      <c r="AE1669" s="277"/>
      <c r="AF1669" s="277"/>
      <c r="AG1669" s="277"/>
      <c r="AH1669" s="277"/>
      <c r="AI1669" s="277"/>
    </row>
    <row r="1670" spans="16:35" s="185" customFormat="1">
      <c r="P1670" s="277"/>
      <c r="Q1670" s="277"/>
      <c r="R1670" s="277"/>
      <c r="S1670" s="291">
        <v>43216</v>
      </c>
      <c r="T1670" s="279">
        <v>1577</v>
      </c>
      <c r="U1670" s="277"/>
      <c r="V1670" s="277"/>
      <c r="W1670" s="277"/>
      <c r="X1670" s="277"/>
      <c r="Y1670" s="277"/>
      <c r="Z1670" s="277"/>
      <c r="AA1670" s="277"/>
      <c r="AB1670" s="277"/>
      <c r="AC1670" s="277"/>
      <c r="AD1670" s="277"/>
      <c r="AE1670" s="277"/>
      <c r="AF1670" s="277"/>
      <c r="AG1670" s="277"/>
      <c r="AH1670" s="277"/>
      <c r="AI1670" s="277"/>
    </row>
    <row r="1671" spans="16:35" s="185" customFormat="1">
      <c r="P1671" s="277"/>
      <c r="Q1671" s="277"/>
      <c r="R1671" s="277"/>
      <c r="S1671" s="291">
        <v>43217</v>
      </c>
      <c r="T1671" s="279">
        <v>1578</v>
      </c>
      <c r="U1671" s="277"/>
      <c r="V1671" s="277"/>
      <c r="W1671" s="277"/>
      <c r="X1671" s="277"/>
      <c r="Y1671" s="277"/>
      <c r="Z1671" s="277"/>
      <c r="AA1671" s="277"/>
      <c r="AB1671" s="277"/>
      <c r="AC1671" s="277"/>
      <c r="AD1671" s="277"/>
      <c r="AE1671" s="277"/>
      <c r="AF1671" s="277"/>
      <c r="AG1671" s="277"/>
      <c r="AH1671" s="277"/>
      <c r="AI1671" s="277"/>
    </row>
    <row r="1672" spans="16:35" s="185" customFormat="1">
      <c r="P1672" s="277"/>
      <c r="Q1672" s="277"/>
      <c r="R1672" s="277"/>
      <c r="S1672" s="291">
        <v>43218</v>
      </c>
      <c r="T1672" s="279">
        <v>1579</v>
      </c>
      <c r="U1672" s="277"/>
      <c r="V1672" s="277"/>
      <c r="W1672" s="277"/>
      <c r="X1672" s="277"/>
      <c r="Y1672" s="277"/>
      <c r="Z1672" s="277"/>
      <c r="AA1672" s="277"/>
      <c r="AB1672" s="277"/>
      <c r="AC1672" s="277"/>
      <c r="AD1672" s="277"/>
      <c r="AE1672" s="277"/>
      <c r="AF1672" s="277"/>
      <c r="AG1672" s="277"/>
      <c r="AH1672" s="277"/>
      <c r="AI1672" s="277"/>
    </row>
    <row r="1673" spans="16:35" s="185" customFormat="1">
      <c r="P1673" s="277"/>
      <c r="Q1673" s="277"/>
      <c r="R1673" s="277"/>
      <c r="S1673" s="291">
        <v>43219</v>
      </c>
      <c r="T1673" s="279">
        <v>1580</v>
      </c>
      <c r="U1673" s="277"/>
      <c r="V1673" s="277"/>
      <c r="W1673" s="277"/>
      <c r="X1673" s="277"/>
      <c r="Y1673" s="277"/>
      <c r="Z1673" s="277"/>
      <c r="AA1673" s="277"/>
      <c r="AB1673" s="277"/>
      <c r="AC1673" s="277"/>
      <c r="AD1673" s="277"/>
      <c r="AE1673" s="277"/>
      <c r="AF1673" s="277"/>
      <c r="AG1673" s="277"/>
      <c r="AH1673" s="277"/>
      <c r="AI1673" s="277"/>
    </row>
    <row r="1674" spans="16:35" s="185" customFormat="1">
      <c r="P1674" s="277"/>
      <c r="Q1674" s="277"/>
      <c r="R1674" s="277"/>
      <c r="S1674" s="291">
        <v>43220</v>
      </c>
      <c r="T1674" s="279">
        <v>1581</v>
      </c>
      <c r="U1674" s="277"/>
      <c r="V1674" s="277"/>
      <c r="W1674" s="277"/>
      <c r="X1674" s="277"/>
      <c r="Y1674" s="277"/>
      <c r="Z1674" s="277"/>
      <c r="AA1674" s="277"/>
      <c r="AB1674" s="277"/>
      <c r="AC1674" s="277"/>
      <c r="AD1674" s="277"/>
      <c r="AE1674" s="277"/>
      <c r="AF1674" s="277"/>
      <c r="AG1674" s="277"/>
      <c r="AH1674" s="277"/>
      <c r="AI1674" s="277"/>
    </row>
    <row r="1675" spans="16:35" s="185" customFormat="1">
      <c r="P1675" s="277"/>
      <c r="Q1675" s="277"/>
      <c r="R1675" s="277"/>
      <c r="S1675" s="291">
        <v>43221</v>
      </c>
      <c r="T1675" s="279">
        <v>1582</v>
      </c>
      <c r="U1675" s="277"/>
      <c r="V1675" s="277"/>
      <c r="W1675" s="277"/>
      <c r="X1675" s="277"/>
      <c r="Y1675" s="277"/>
      <c r="Z1675" s="277"/>
      <c r="AA1675" s="277"/>
      <c r="AB1675" s="277"/>
      <c r="AC1675" s="277"/>
      <c r="AD1675" s="277"/>
      <c r="AE1675" s="277"/>
      <c r="AF1675" s="277"/>
      <c r="AG1675" s="277"/>
      <c r="AH1675" s="277"/>
      <c r="AI1675" s="277"/>
    </row>
    <row r="1676" spans="16:35" s="185" customFormat="1">
      <c r="P1676" s="277"/>
      <c r="Q1676" s="277"/>
      <c r="R1676" s="277"/>
      <c r="S1676" s="291">
        <v>43222</v>
      </c>
      <c r="T1676" s="279">
        <v>1583</v>
      </c>
      <c r="U1676" s="277"/>
      <c r="V1676" s="277"/>
      <c r="W1676" s="277"/>
      <c r="X1676" s="277"/>
      <c r="Y1676" s="277"/>
      <c r="Z1676" s="277"/>
      <c r="AA1676" s="277"/>
      <c r="AB1676" s="277"/>
      <c r="AC1676" s="277"/>
      <c r="AD1676" s="277"/>
      <c r="AE1676" s="277"/>
      <c r="AF1676" s="277"/>
      <c r="AG1676" s="277"/>
      <c r="AH1676" s="277"/>
      <c r="AI1676" s="277"/>
    </row>
    <row r="1677" spans="16:35" s="185" customFormat="1">
      <c r="P1677" s="277"/>
      <c r="Q1677" s="277"/>
      <c r="R1677" s="277"/>
      <c r="S1677" s="291">
        <v>43223</v>
      </c>
      <c r="T1677" s="279">
        <v>1584</v>
      </c>
      <c r="U1677" s="277"/>
      <c r="V1677" s="277"/>
      <c r="W1677" s="277"/>
      <c r="X1677" s="277"/>
      <c r="Y1677" s="277"/>
      <c r="Z1677" s="277"/>
      <c r="AA1677" s="277"/>
      <c r="AB1677" s="277"/>
      <c r="AC1677" s="277"/>
      <c r="AD1677" s="277"/>
      <c r="AE1677" s="277"/>
      <c r="AF1677" s="277"/>
      <c r="AG1677" s="277"/>
      <c r="AH1677" s="277"/>
      <c r="AI1677" s="277"/>
    </row>
    <row r="1678" spans="16:35" s="185" customFormat="1">
      <c r="P1678" s="277"/>
      <c r="Q1678" s="277"/>
      <c r="R1678" s="277"/>
      <c r="S1678" s="291">
        <v>43224</v>
      </c>
      <c r="T1678" s="279">
        <v>1585</v>
      </c>
      <c r="U1678" s="277"/>
      <c r="V1678" s="277"/>
      <c r="W1678" s="277"/>
      <c r="X1678" s="277"/>
      <c r="Y1678" s="277"/>
      <c r="Z1678" s="277"/>
      <c r="AA1678" s="277"/>
      <c r="AB1678" s="277"/>
      <c r="AC1678" s="277"/>
      <c r="AD1678" s="277"/>
      <c r="AE1678" s="277"/>
      <c r="AF1678" s="277"/>
      <c r="AG1678" s="277"/>
      <c r="AH1678" s="277"/>
      <c r="AI1678" s="277"/>
    </row>
    <row r="1679" spans="16:35" s="185" customFormat="1">
      <c r="P1679" s="277"/>
      <c r="Q1679" s="277"/>
      <c r="R1679" s="277"/>
      <c r="S1679" s="291">
        <v>43225</v>
      </c>
      <c r="T1679" s="279">
        <v>1586</v>
      </c>
      <c r="U1679" s="277"/>
      <c r="V1679" s="277"/>
      <c r="W1679" s="277"/>
      <c r="X1679" s="277"/>
      <c r="Y1679" s="277"/>
      <c r="Z1679" s="277"/>
      <c r="AA1679" s="277"/>
      <c r="AB1679" s="277"/>
      <c r="AC1679" s="277"/>
      <c r="AD1679" s="277"/>
      <c r="AE1679" s="277"/>
      <c r="AF1679" s="277"/>
      <c r="AG1679" s="277"/>
      <c r="AH1679" s="277"/>
      <c r="AI1679" s="277"/>
    </row>
    <row r="1680" spans="16:35" s="185" customFormat="1">
      <c r="P1680" s="277"/>
      <c r="Q1680" s="277"/>
      <c r="R1680" s="277"/>
      <c r="S1680" s="291">
        <v>43226</v>
      </c>
      <c r="T1680" s="279">
        <v>1587</v>
      </c>
      <c r="U1680" s="277"/>
      <c r="V1680" s="277"/>
      <c r="W1680" s="277"/>
      <c r="X1680" s="277"/>
      <c r="Y1680" s="277"/>
      <c r="Z1680" s="277"/>
      <c r="AA1680" s="277"/>
      <c r="AB1680" s="277"/>
      <c r="AC1680" s="277"/>
      <c r="AD1680" s="277"/>
      <c r="AE1680" s="277"/>
      <c r="AF1680" s="277"/>
      <c r="AG1680" s="277"/>
      <c r="AH1680" s="277"/>
      <c r="AI1680" s="277"/>
    </row>
    <row r="1681" spans="16:35" s="185" customFormat="1">
      <c r="P1681" s="277"/>
      <c r="Q1681" s="277"/>
      <c r="R1681" s="277"/>
      <c r="S1681" s="291">
        <v>43227</v>
      </c>
      <c r="T1681" s="279">
        <v>1588</v>
      </c>
      <c r="U1681" s="277"/>
      <c r="V1681" s="277"/>
      <c r="W1681" s="277"/>
      <c r="X1681" s="277"/>
      <c r="Y1681" s="277"/>
      <c r="Z1681" s="277"/>
      <c r="AA1681" s="277"/>
      <c r="AB1681" s="277"/>
      <c r="AC1681" s="277"/>
      <c r="AD1681" s="277"/>
      <c r="AE1681" s="277"/>
      <c r="AF1681" s="277"/>
      <c r="AG1681" s="277"/>
      <c r="AH1681" s="277"/>
      <c r="AI1681" s="277"/>
    </row>
    <row r="1682" spans="16:35" s="185" customFormat="1">
      <c r="P1682" s="277"/>
      <c r="Q1682" s="277"/>
      <c r="R1682" s="277"/>
      <c r="S1682" s="291">
        <v>43228</v>
      </c>
      <c r="T1682" s="279">
        <v>1589</v>
      </c>
      <c r="U1682" s="277"/>
      <c r="V1682" s="277"/>
      <c r="W1682" s="277"/>
      <c r="X1682" s="277"/>
      <c r="Y1682" s="277"/>
      <c r="Z1682" s="277"/>
      <c r="AA1682" s="277"/>
      <c r="AB1682" s="277"/>
      <c r="AC1682" s="277"/>
      <c r="AD1682" s="277"/>
      <c r="AE1682" s="277"/>
      <c r="AF1682" s="277"/>
      <c r="AG1682" s="277"/>
      <c r="AH1682" s="277"/>
      <c r="AI1682" s="277"/>
    </row>
    <row r="1683" spans="16:35" s="185" customFormat="1">
      <c r="P1683" s="277"/>
      <c r="Q1683" s="277"/>
      <c r="R1683" s="277"/>
      <c r="S1683" s="291">
        <v>43229</v>
      </c>
      <c r="T1683" s="279">
        <v>1590</v>
      </c>
      <c r="U1683" s="277"/>
      <c r="V1683" s="277"/>
      <c r="W1683" s="277"/>
      <c r="X1683" s="277"/>
      <c r="Y1683" s="277"/>
      <c r="Z1683" s="277"/>
      <c r="AA1683" s="277"/>
      <c r="AB1683" s="277"/>
      <c r="AC1683" s="277"/>
      <c r="AD1683" s="277"/>
      <c r="AE1683" s="277"/>
      <c r="AF1683" s="277"/>
      <c r="AG1683" s="277"/>
      <c r="AH1683" s="277"/>
      <c r="AI1683" s="277"/>
    </row>
    <row r="1684" spans="16:35" s="185" customFormat="1">
      <c r="P1684" s="277"/>
      <c r="Q1684" s="277"/>
      <c r="R1684" s="277"/>
      <c r="S1684" s="291">
        <v>43230</v>
      </c>
      <c r="T1684" s="279">
        <v>1591</v>
      </c>
      <c r="U1684" s="277"/>
      <c r="V1684" s="277"/>
      <c r="W1684" s="277"/>
      <c r="X1684" s="277"/>
      <c r="Y1684" s="277"/>
      <c r="Z1684" s="277"/>
      <c r="AA1684" s="277"/>
      <c r="AB1684" s="277"/>
      <c r="AC1684" s="277"/>
      <c r="AD1684" s="277"/>
      <c r="AE1684" s="277"/>
      <c r="AF1684" s="277"/>
      <c r="AG1684" s="277"/>
      <c r="AH1684" s="277"/>
      <c r="AI1684" s="277"/>
    </row>
    <row r="1685" spans="16:35" s="185" customFormat="1">
      <c r="P1685" s="277"/>
      <c r="Q1685" s="277"/>
      <c r="R1685" s="277"/>
      <c r="S1685" s="291">
        <v>43231</v>
      </c>
      <c r="T1685" s="279">
        <v>1592</v>
      </c>
      <c r="U1685" s="277"/>
      <c r="V1685" s="277"/>
      <c r="W1685" s="277"/>
      <c r="X1685" s="277"/>
      <c r="Y1685" s="277"/>
      <c r="Z1685" s="277"/>
      <c r="AA1685" s="277"/>
      <c r="AB1685" s="277"/>
      <c r="AC1685" s="277"/>
      <c r="AD1685" s="277"/>
      <c r="AE1685" s="277"/>
      <c r="AF1685" s="277"/>
      <c r="AG1685" s="277"/>
      <c r="AH1685" s="277"/>
      <c r="AI1685" s="277"/>
    </row>
    <row r="1686" spans="16:35" s="185" customFormat="1">
      <c r="P1686" s="277"/>
      <c r="Q1686" s="277"/>
      <c r="R1686" s="277"/>
      <c r="S1686" s="291">
        <v>43232</v>
      </c>
      <c r="T1686" s="279">
        <v>1593</v>
      </c>
      <c r="U1686" s="277"/>
      <c r="V1686" s="277"/>
      <c r="W1686" s="277"/>
      <c r="X1686" s="277"/>
      <c r="Y1686" s="277"/>
      <c r="Z1686" s="277"/>
      <c r="AA1686" s="277"/>
      <c r="AB1686" s="277"/>
      <c r="AC1686" s="277"/>
      <c r="AD1686" s="277"/>
      <c r="AE1686" s="277"/>
      <c r="AF1686" s="277"/>
      <c r="AG1686" s="277"/>
      <c r="AH1686" s="277"/>
      <c r="AI1686" s="277"/>
    </row>
    <row r="1687" spans="16:35" s="185" customFormat="1">
      <c r="P1687" s="277"/>
      <c r="Q1687" s="277"/>
      <c r="R1687" s="277"/>
      <c r="S1687" s="291">
        <v>43233</v>
      </c>
      <c r="T1687" s="279">
        <v>1594</v>
      </c>
      <c r="U1687" s="277"/>
      <c r="V1687" s="277"/>
      <c r="W1687" s="277"/>
      <c r="X1687" s="277"/>
      <c r="Y1687" s="277"/>
      <c r="Z1687" s="277"/>
      <c r="AA1687" s="277"/>
      <c r="AB1687" s="277"/>
      <c r="AC1687" s="277"/>
      <c r="AD1687" s="277"/>
      <c r="AE1687" s="277"/>
      <c r="AF1687" s="277"/>
      <c r="AG1687" s="277"/>
      <c r="AH1687" s="277"/>
      <c r="AI1687" s="277"/>
    </row>
    <row r="1688" spans="16:35" s="185" customFormat="1">
      <c r="P1688" s="277"/>
      <c r="Q1688" s="277"/>
      <c r="R1688" s="277"/>
      <c r="S1688" s="291">
        <v>43234</v>
      </c>
      <c r="T1688" s="279">
        <v>1595</v>
      </c>
      <c r="U1688" s="277"/>
      <c r="V1688" s="277"/>
      <c r="W1688" s="277"/>
      <c r="X1688" s="277"/>
      <c r="Y1688" s="277"/>
      <c r="Z1688" s="277"/>
      <c r="AA1688" s="277"/>
      <c r="AB1688" s="277"/>
      <c r="AC1688" s="277"/>
      <c r="AD1688" s="277"/>
      <c r="AE1688" s="277"/>
      <c r="AF1688" s="277"/>
      <c r="AG1688" s="277"/>
      <c r="AH1688" s="277"/>
      <c r="AI1688" s="277"/>
    </row>
    <row r="1689" spans="16:35" s="185" customFormat="1">
      <c r="P1689" s="277"/>
      <c r="Q1689" s="277"/>
      <c r="R1689" s="277"/>
      <c r="S1689" s="291">
        <v>43235</v>
      </c>
      <c r="T1689" s="279">
        <v>1596</v>
      </c>
      <c r="U1689" s="277"/>
      <c r="V1689" s="277"/>
      <c r="W1689" s="277"/>
      <c r="X1689" s="277"/>
      <c r="Y1689" s="277"/>
      <c r="Z1689" s="277"/>
      <c r="AA1689" s="277"/>
      <c r="AB1689" s="277"/>
      <c r="AC1689" s="277"/>
      <c r="AD1689" s="277"/>
      <c r="AE1689" s="277"/>
      <c r="AF1689" s="277"/>
      <c r="AG1689" s="277"/>
      <c r="AH1689" s="277"/>
      <c r="AI1689" s="277"/>
    </row>
    <row r="1690" spans="16:35" s="185" customFormat="1">
      <c r="P1690" s="277"/>
      <c r="Q1690" s="277"/>
      <c r="R1690" s="277"/>
      <c r="S1690" s="291">
        <v>43236</v>
      </c>
      <c r="T1690" s="279">
        <v>1597</v>
      </c>
      <c r="U1690" s="277"/>
      <c r="V1690" s="277"/>
      <c r="W1690" s="277"/>
      <c r="X1690" s="277"/>
      <c r="Y1690" s="277"/>
      <c r="Z1690" s="277"/>
      <c r="AA1690" s="277"/>
      <c r="AB1690" s="277"/>
      <c r="AC1690" s="277"/>
      <c r="AD1690" s="277"/>
      <c r="AE1690" s="277"/>
      <c r="AF1690" s="277"/>
      <c r="AG1690" s="277"/>
      <c r="AH1690" s="277"/>
      <c r="AI1690" s="277"/>
    </row>
    <row r="1691" spans="16:35" s="185" customFormat="1">
      <c r="P1691" s="277"/>
      <c r="Q1691" s="277"/>
      <c r="R1691" s="277"/>
      <c r="S1691" s="291">
        <v>43237</v>
      </c>
      <c r="T1691" s="279">
        <v>1598</v>
      </c>
      <c r="U1691" s="277"/>
      <c r="V1691" s="277"/>
      <c r="W1691" s="277"/>
      <c r="X1691" s="277"/>
      <c r="Y1691" s="277"/>
      <c r="Z1691" s="277"/>
      <c r="AA1691" s="277"/>
      <c r="AB1691" s="277"/>
      <c r="AC1691" s="277"/>
      <c r="AD1691" s="277"/>
      <c r="AE1691" s="277"/>
      <c r="AF1691" s="277"/>
      <c r="AG1691" s="277"/>
      <c r="AH1691" s="277"/>
      <c r="AI1691" s="277"/>
    </row>
    <row r="1692" spans="16:35" s="185" customFormat="1">
      <c r="P1692" s="277"/>
      <c r="Q1692" s="277"/>
      <c r="R1692" s="277"/>
      <c r="S1692" s="291">
        <v>43238</v>
      </c>
      <c r="T1692" s="279">
        <v>1599</v>
      </c>
      <c r="U1692" s="277"/>
      <c r="V1692" s="277"/>
      <c r="W1692" s="277"/>
      <c r="X1692" s="277"/>
      <c r="Y1692" s="277"/>
      <c r="Z1692" s="277"/>
      <c r="AA1692" s="277"/>
      <c r="AB1692" s="277"/>
      <c r="AC1692" s="277"/>
      <c r="AD1692" s="277"/>
      <c r="AE1692" s="277"/>
      <c r="AF1692" s="277"/>
      <c r="AG1692" s="277"/>
      <c r="AH1692" s="277"/>
      <c r="AI1692" s="277"/>
    </row>
    <row r="1693" spans="16:35" s="185" customFormat="1">
      <c r="P1693" s="277"/>
      <c r="Q1693" s="277"/>
      <c r="R1693" s="277"/>
      <c r="S1693" s="291">
        <v>43239</v>
      </c>
      <c r="T1693" s="279">
        <v>1600</v>
      </c>
      <c r="U1693" s="277"/>
      <c r="V1693" s="277"/>
      <c r="W1693" s="277"/>
      <c r="X1693" s="277"/>
      <c r="Y1693" s="277"/>
      <c r="Z1693" s="277"/>
      <c r="AA1693" s="277"/>
      <c r="AB1693" s="277"/>
      <c r="AC1693" s="277"/>
      <c r="AD1693" s="277"/>
      <c r="AE1693" s="277"/>
      <c r="AF1693" s="277"/>
      <c r="AG1693" s="277"/>
      <c r="AH1693" s="277"/>
      <c r="AI1693" s="277"/>
    </row>
    <row r="1694" spans="16:35" s="185" customFormat="1">
      <c r="P1694" s="277"/>
      <c r="Q1694" s="277"/>
      <c r="R1694" s="277"/>
      <c r="S1694" s="291">
        <v>43240</v>
      </c>
      <c r="T1694" s="279">
        <v>1601</v>
      </c>
      <c r="U1694" s="277"/>
      <c r="V1694" s="277"/>
      <c r="W1694" s="277"/>
      <c r="X1694" s="277"/>
      <c r="Y1694" s="277"/>
      <c r="Z1694" s="277"/>
      <c r="AA1694" s="277"/>
      <c r="AB1694" s="277"/>
      <c r="AC1694" s="277"/>
      <c r="AD1694" s="277"/>
      <c r="AE1694" s="277"/>
      <c r="AF1694" s="277"/>
      <c r="AG1694" s="277"/>
      <c r="AH1694" s="277"/>
      <c r="AI1694" s="277"/>
    </row>
    <row r="1695" spans="16:35" s="185" customFormat="1">
      <c r="P1695" s="277"/>
      <c r="Q1695" s="277"/>
      <c r="R1695" s="277"/>
      <c r="S1695" s="291">
        <v>43241</v>
      </c>
      <c r="T1695" s="279">
        <v>1602</v>
      </c>
      <c r="U1695" s="277"/>
      <c r="V1695" s="277"/>
      <c r="W1695" s="277"/>
      <c r="X1695" s="277"/>
      <c r="Y1695" s="277"/>
      <c r="Z1695" s="277"/>
      <c r="AA1695" s="277"/>
      <c r="AB1695" s="277"/>
      <c r="AC1695" s="277"/>
      <c r="AD1695" s="277"/>
      <c r="AE1695" s="277"/>
      <c r="AF1695" s="277"/>
      <c r="AG1695" s="277"/>
      <c r="AH1695" s="277"/>
      <c r="AI1695" s="277"/>
    </row>
    <row r="1696" spans="16:35" s="185" customFormat="1">
      <c r="P1696" s="277"/>
      <c r="Q1696" s="277"/>
      <c r="R1696" s="277"/>
      <c r="S1696" s="291">
        <v>43242</v>
      </c>
      <c r="T1696" s="279">
        <v>1603</v>
      </c>
      <c r="U1696" s="277"/>
      <c r="V1696" s="277"/>
      <c r="W1696" s="277"/>
      <c r="X1696" s="277"/>
      <c r="Y1696" s="277"/>
      <c r="Z1696" s="277"/>
      <c r="AA1696" s="277"/>
      <c r="AB1696" s="277"/>
      <c r="AC1696" s="277"/>
      <c r="AD1696" s="277"/>
      <c r="AE1696" s="277"/>
      <c r="AF1696" s="277"/>
      <c r="AG1696" s="277"/>
      <c r="AH1696" s="277"/>
      <c r="AI1696" s="277"/>
    </row>
    <row r="1697" spans="16:35" s="185" customFormat="1">
      <c r="P1697" s="277"/>
      <c r="Q1697" s="277"/>
      <c r="R1697" s="277"/>
      <c r="S1697" s="291">
        <v>43243</v>
      </c>
      <c r="T1697" s="279">
        <v>1604</v>
      </c>
      <c r="U1697" s="277"/>
      <c r="V1697" s="277"/>
      <c r="W1697" s="277"/>
      <c r="X1697" s="277"/>
      <c r="Y1697" s="277"/>
      <c r="Z1697" s="277"/>
      <c r="AA1697" s="277"/>
      <c r="AB1697" s="277"/>
      <c r="AC1697" s="277"/>
      <c r="AD1697" s="277"/>
      <c r="AE1697" s="277"/>
      <c r="AF1697" s="277"/>
      <c r="AG1697" s="277"/>
      <c r="AH1697" s="277"/>
      <c r="AI1697" s="277"/>
    </row>
    <row r="1698" spans="16:35" s="185" customFormat="1">
      <c r="P1698" s="277"/>
      <c r="Q1698" s="277"/>
      <c r="R1698" s="277"/>
      <c r="S1698" s="291">
        <v>43244</v>
      </c>
      <c r="T1698" s="279">
        <v>1605</v>
      </c>
      <c r="U1698" s="277"/>
      <c r="V1698" s="277"/>
      <c r="W1698" s="277"/>
      <c r="X1698" s="277"/>
      <c r="Y1698" s="277"/>
      <c r="Z1698" s="277"/>
      <c r="AA1698" s="277"/>
      <c r="AB1698" s="277"/>
      <c r="AC1698" s="277"/>
      <c r="AD1698" s="277"/>
      <c r="AE1698" s="277"/>
      <c r="AF1698" s="277"/>
      <c r="AG1698" s="277"/>
      <c r="AH1698" s="277"/>
      <c r="AI1698" s="277"/>
    </row>
    <row r="1699" spans="16:35" s="185" customFormat="1">
      <c r="P1699" s="277"/>
      <c r="Q1699" s="277"/>
      <c r="R1699" s="277"/>
      <c r="S1699" s="291">
        <v>43245</v>
      </c>
      <c r="T1699" s="279">
        <v>1606</v>
      </c>
      <c r="U1699" s="277"/>
      <c r="V1699" s="277"/>
      <c r="W1699" s="277"/>
      <c r="X1699" s="277"/>
      <c r="Y1699" s="277"/>
      <c r="Z1699" s="277"/>
      <c r="AA1699" s="277"/>
      <c r="AB1699" s="277"/>
      <c r="AC1699" s="277"/>
      <c r="AD1699" s="277"/>
      <c r="AE1699" s="277"/>
      <c r="AF1699" s="277"/>
      <c r="AG1699" s="277"/>
      <c r="AH1699" s="277"/>
      <c r="AI1699" s="277"/>
    </row>
    <row r="1700" spans="16:35" s="185" customFormat="1">
      <c r="P1700" s="277"/>
      <c r="Q1700" s="277"/>
      <c r="R1700" s="277"/>
      <c r="S1700" s="291">
        <v>43246</v>
      </c>
      <c r="T1700" s="279">
        <v>1607</v>
      </c>
      <c r="U1700" s="277"/>
      <c r="V1700" s="277"/>
      <c r="W1700" s="277"/>
      <c r="X1700" s="277"/>
      <c r="Y1700" s="277"/>
      <c r="Z1700" s="277"/>
      <c r="AA1700" s="277"/>
      <c r="AB1700" s="277"/>
      <c r="AC1700" s="277"/>
      <c r="AD1700" s="277"/>
      <c r="AE1700" s="277"/>
      <c r="AF1700" s="277"/>
      <c r="AG1700" s="277"/>
      <c r="AH1700" s="277"/>
      <c r="AI1700" s="277"/>
    </row>
    <row r="1701" spans="16:35" s="185" customFormat="1">
      <c r="P1701" s="277"/>
      <c r="Q1701" s="277"/>
      <c r="R1701" s="277"/>
      <c r="S1701" s="291">
        <v>43247</v>
      </c>
      <c r="T1701" s="279">
        <v>1608</v>
      </c>
      <c r="U1701" s="277"/>
      <c r="V1701" s="277"/>
      <c r="W1701" s="277"/>
      <c r="X1701" s="277"/>
      <c r="Y1701" s="277"/>
      <c r="Z1701" s="277"/>
      <c r="AA1701" s="277"/>
      <c r="AB1701" s="277"/>
      <c r="AC1701" s="277"/>
      <c r="AD1701" s="277"/>
      <c r="AE1701" s="277"/>
      <c r="AF1701" s="277"/>
      <c r="AG1701" s="277"/>
      <c r="AH1701" s="277"/>
      <c r="AI1701" s="277"/>
    </row>
    <row r="1702" spans="16:35" s="185" customFormat="1">
      <c r="P1702" s="277"/>
      <c r="Q1702" s="277"/>
      <c r="R1702" s="277"/>
      <c r="S1702" s="291">
        <v>43248</v>
      </c>
      <c r="T1702" s="279">
        <v>1609</v>
      </c>
      <c r="U1702" s="277"/>
      <c r="V1702" s="277"/>
      <c r="W1702" s="277"/>
      <c r="X1702" s="277"/>
      <c r="Y1702" s="277"/>
      <c r="Z1702" s="277"/>
      <c r="AA1702" s="277"/>
      <c r="AB1702" s="277"/>
      <c r="AC1702" s="277"/>
      <c r="AD1702" s="277"/>
      <c r="AE1702" s="277"/>
      <c r="AF1702" s="277"/>
      <c r="AG1702" s="277"/>
      <c r="AH1702" s="277"/>
      <c r="AI1702" s="277"/>
    </row>
    <row r="1703" spans="16:35" s="185" customFormat="1">
      <c r="P1703" s="277"/>
      <c r="Q1703" s="277"/>
      <c r="R1703" s="277"/>
      <c r="S1703" s="291">
        <v>43249</v>
      </c>
      <c r="T1703" s="279">
        <v>1610</v>
      </c>
      <c r="U1703" s="277"/>
      <c r="V1703" s="277"/>
      <c r="W1703" s="277"/>
      <c r="X1703" s="277"/>
      <c r="Y1703" s="277"/>
      <c r="Z1703" s="277"/>
      <c r="AA1703" s="277"/>
      <c r="AB1703" s="277"/>
      <c r="AC1703" s="277"/>
      <c r="AD1703" s="277"/>
      <c r="AE1703" s="277"/>
      <c r="AF1703" s="277"/>
      <c r="AG1703" s="277"/>
      <c r="AH1703" s="277"/>
      <c r="AI1703" s="277"/>
    </row>
    <row r="1704" spans="16:35" s="185" customFormat="1">
      <c r="P1704" s="277"/>
      <c r="Q1704" s="277"/>
      <c r="R1704" s="277"/>
      <c r="S1704" s="291">
        <v>43250</v>
      </c>
      <c r="T1704" s="279">
        <v>1611</v>
      </c>
      <c r="U1704" s="277"/>
      <c r="V1704" s="277"/>
      <c r="W1704" s="277"/>
      <c r="X1704" s="277"/>
      <c r="Y1704" s="277"/>
      <c r="Z1704" s="277"/>
      <c r="AA1704" s="277"/>
      <c r="AB1704" s="277"/>
      <c r="AC1704" s="277"/>
      <c r="AD1704" s="277"/>
      <c r="AE1704" s="277"/>
      <c r="AF1704" s="277"/>
      <c r="AG1704" s="277"/>
      <c r="AH1704" s="277"/>
      <c r="AI1704" s="277"/>
    </row>
    <row r="1705" spans="16:35" s="185" customFormat="1">
      <c r="P1705" s="277"/>
      <c r="Q1705" s="277"/>
      <c r="R1705" s="277"/>
      <c r="S1705" s="291">
        <v>43251</v>
      </c>
      <c r="T1705" s="279">
        <v>1612</v>
      </c>
      <c r="U1705" s="277"/>
      <c r="V1705" s="277"/>
      <c r="W1705" s="277"/>
      <c r="X1705" s="277"/>
      <c r="Y1705" s="277"/>
      <c r="Z1705" s="277"/>
      <c r="AA1705" s="277"/>
      <c r="AB1705" s="277"/>
      <c r="AC1705" s="277"/>
      <c r="AD1705" s="277"/>
      <c r="AE1705" s="277"/>
      <c r="AF1705" s="277"/>
      <c r="AG1705" s="277"/>
      <c r="AH1705" s="277"/>
      <c r="AI1705" s="277"/>
    </row>
    <row r="1706" spans="16:35" s="185" customFormat="1">
      <c r="P1706" s="277"/>
      <c r="Q1706" s="277"/>
      <c r="R1706" s="277"/>
      <c r="S1706" s="291">
        <v>43252</v>
      </c>
      <c r="T1706" s="279">
        <v>1613</v>
      </c>
      <c r="U1706" s="277"/>
      <c r="V1706" s="277"/>
      <c r="W1706" s="277"/>
      <c r="X1706" s="277"/>
      <c r="Y1706" s="277"/>
      <c r="Z1706" s="277"/>
      <c r="AA1706" s="277"/>
      <c r="AB1706" s="277"/>
      <c r="AC1706" s="277"/>
      <c r="AD1706" s="277"/>
      <c r="AE1706" s="277"/>
      <c r="AF1706" s="277"/>
      <c r="AG1706" s="277"/>
      <c r="AH1706" s="277"/>
      <c r="AI1706" s="277"/>
    </row>
    <row r="1707" spans="16:35" s="185" customFormat="1">
      <c r="P1707" s="277"/>
      <c r="Q1707" s="277"/>
      <c r="R1707" s="277"/>
      <c r="S1707" s="291">
        <v>43253</v>
      </c>
      <c r="T1707" s="279">
        <v>1614</v>
      </c>
      <c r="U1707" s="277"/>
      <c r="V1707" s="277"/>
      <c r="W1707" s="277"/>
      <c r="X1707" s="277"/>
      <c r="Y1707" s="277"/>
      <c r="Z1707" s="277"/>
      <c r="AA1707" s="277"/>
      <c r="AB1707" s="277"/>
      <c r="AC1707" s="277"/>
      <c r="AD1707" s="277"/>
      <c r="AE1707" s="277"/>
      <c r="AF1707" s="277"/>
      <c r="AG1707" s="277"/>
      <c r="AH1707" s="277"/>
      <c r="AI1707" s="277"/>
    </row>
    <row r="1708" spans="16:35" s="185" customFormat="1">
      <c r="P1708" s="277"/>
      <c r="Q1708" s="277"/>
      <c r="R1708" s="277"/>
      <c r="S1708" s="291">
        <v>43254</v>
      </c>
      <c r="T1708" s="279">
        <v>1615</v>
      </c>
      <c r="U1708" s="277"/>
      <c r="V1708" s="277"/>
      <c r="W1708" s="277"/>
      <c r="X1708" s="277"/>
      <c r="Y1708" s="277"/>
      <c r="Z1708" s="277"/>
      <c r="AA1708" s="277"/>
      <c r="AB1708" s="277"/>
      <c r="AC1708" s="277"/>
      <c r="AD1708" s="277"/>
      <c r="AE1708" s="277"/>
      <c r="AF1708" s="277"/>
      <c r="AG1708" s="277"/>
      <c r="AH1708" s="277"/>
      <c r="AI1708" s="277"/>
    </row>
    <row r="1709" spans="16:35" s="185" customFormat="1">
      <c r="P1709" s="277"/>
      <c r="Q1709" s="277"/>
      <c r="R1709" s="277"/>
      <c r="S1709" s="291">
        <v>43255</v>
      </c>
      <c r="T1709" s="279">
        <v>1616</v>
      </c>
      <c r="U1709" s="277"/>
      <c r="V1709" s="277"/>
      <c r="W1709" s="277"/>
      <c r="X1709" s="277"/>
      <c r="Y1709" s="277"/>
      <c r="Z1709" s="277"/>
      <c r="AA1709" s="277"/>
      <c r="AB1709" s="277"/>
      <c r="AC1709" s="277"/>
      <c r="AD1709" s="277"/>
      <c r="AE1709" s="277"/>
      <c r="AF1709" s="277"/>
      <c r="AG1709" s="277"/>
      <c r="AH1709" s="277"/>
      <c r="AI1709" s="277"/>
    </row>
    <row r="1710" spans="16:35" s="185" customFormat="1">
      <c r="P1710" s="277"/>
      <c r="Q1710" s="277"/>
      <c r="R1710" s="277"/>
      <c r="S1710" s="291">
        <v>43256</v>
      </c>
      <c r="T1710" s="279">
        <v>1617</v>
      </c>
      <c r="U1710" s="277"/>
      <c r="V1710" s="277"/>
      <c r="W1710" s="277"/>
      <c r="X1710" s="277"/>
      <c r="Y1710" s="277"/>
      <c r="Z1710" s="277"/>
      <c r="AA1710" s="277"/>
      <c r="AB1710" s="277"/>
      <c r="AC1710" s="277"/>
      <c r="AD1710" s="277"/>
      <c r="AE1710" s="277"/>
      <c r="AF1710" s="277"/>
      <c r="AG1710" s="277"/>
      <c r="AH1710" s="277"/>
      <c r="AI1710" s="277"/>
    </row>
    <row r="1711" spans="16:35" s="185" customFormat="1">
      <c r="P1711" s="277"/>
      <c r="Q1711" s="277"/>
      <c r="R1711" s="277"/>
      <c r="S1711" s="291">
        <v>43257</v>
      </c>
      <c r="T1711" s="279">
        <v>1618</v>
      </c>
      <c r="U1711" s="277"/>
      <c r="V1711" s="277"/>
      <c r="W1711" s="277"/>
      <c r="X1711" s="277"/>
      <c r="Y1711" s="277"/>
      <c r="Z1711" s="277"/>
      <c r="AA1711" s="277"/>
      <c r="AB1711" s="277"/>
      <c r="AC1711" s="277"/>
      <c r="AD1711" s="277"/>
      <c r="AE1711" s="277"/>
      <c r="AF1711" s="277"/>
      <c r="AG1711" s="277"/>
      <c r="AH1711" s="277"/>
      <c r="AI1711" s="277"/>
    </row>
    <row r="1712" spans="16:35" s="185" customFormat="1">
      <c r="P1712" s="277"/>
      <c r="Q1712" s="277"/>
      <c r="R1712" s="277"/>
      <c r="S1712" s="291">
        <v>43258</v>
      </c>
      <c r="T1712" s="279">
        <v>1619</v>
      </c>
      <c r="U1712" s="277"/>
      <c r="V1712" s="277"/>
      <c r="W1712" s="277"/>
      <c r="X1712" s="277"/>
      <c r="Y1712" s="277"/>
      <c r="Z1712" s="277"/>
      <c r="AA1712" s="277"/>
      <c r="AB1712" s="277"/>
      <c r="AC1712" s="277"/>
      <c r="AD1712" s="277"/>
      <c r="AE1712" s="277"/>
      <c r="AF1712" s="277"/>
      <c r="AG1712" s="277"/>
      <c r="AH1712" s="277"/>
      <c r="AI1712" s="277"/>
    </row>
    <row r="1713" spans="16:35" s="185" customFormat="1">
      <c r="P1713" s="277"/>
      <c r="Q1713" s="277"/>
      <c r="R1713" s="277"/>
      <c r="S1713" s="291">
        <v>43259</v>
      </c>
      <c r="T1713" s="279">
        <v>1620</v>
      </c>
      <c r="U1713" s="277"/>
      <c r="V1713" s="277"/>
      <c r="W1713" s="277"/>
      <c r="X1713" s="277"/>
      <c r="Y1713" s="277"/>
      <c r="Z1713" s="277"/>
      <c r="AA1713" s="277"/>
      <c r="AB1713" s="277"/>
      <c r="AC1713" s="277"/>
      <c r="AD1713" s="277"/>
      <c r="AE1713" s="277"/>
      <c r="AF1713" s="277"/>
      <c r="AG1713" s="277"/>
      <c r="AH1713" s="277"/>
      <c r="AI1713" s="277"/>
    </row>
    <row r="1714" spans="16:35" s="185" customFormat="1">
      <c r="P1714" s="277"/>
      <c r="Q1714" s="277"/>
      <c r="R1714" s="277"/>
      <c r="S1714" s="291">
        <v>43260</v>
      </c>
      <c r="T1714" s="279">
        <v>1621</v>
      </c>
      <c r="U1714" s="277"/>
      <c r="V1714" s="277"/>
      <c r="W1714" s="277"/>
      <c r="X1714" s="277"/>
      <c r="Y1714" s="277"/>
      <c r="Z1714" s="277"/>
      <c r="AA1714" s="277"/>
      <c r="AB1714" s="277"/>
      <c r="AC1714" s="277"/>
      <c r="AD1714" s="277"/>
      <c r="AE1714" s="277"/>
      <c r="AF1714" s="277"/>
      <c r="AG1714" s="277"/>
      <c r="AH1714" s="277"/>
      <c r="AI1714" s="277"/>
    </row>
    <row r="1715" spans="16:35" s="185" customFormat="1">
      <c r="P1715" s="277"/>
      <c r="Q1715" s="277"/>
      <c r="R1715" s="277"/>
      <c r="S1715" s="291">
        <v>43261</v>
      </c>
      <c r="T1715" s="279">
        <v>1622</v>
      </c>
      <c r="U1715" s="277"/>
      <c r="V1715" s="277"/>
      <c r="W1715" s="277"/>
      <c r="X1715" s="277"/>
      <c r="Y1715" s="277"/>
      <c r="Z1715" s="277"/>
      <c r="AA1715" s="277"/>
      <c r="AB1715" s="277"/>
      <c r="AC1715" s="277"/>
      <c r="AD1715" s="277"/>
      <c r="AE1715" s="277"/>
      <c r="AF1715" s="277"/>
      <c r="AG1715" s="277"/>
      <c r="AH1715" s="277"/>
      <c r="AI1715" s="277"/>
    </row>
    <row r="1716" spans="16:35" s="185" customFormat="1">
      <c r="P1716" s="277"/>
      <c r="Q1716" s="277"/>
      <c r="R1716" s="277"/>
      <c r="S1716" s="291">
        <v>43262</v>
      </c>
      <c r="T1716" s="279">
        <v>1623</v>
      </c>
      <c r="U1716" s="277"/>
      <c r="V1716" s="277"/>
      <c r="W1716" s="277"/>
      <c r="X1716" s="277"/>
      <c r="Y1716" s="277"/>
      <c r="Z1716" s="277"/>
      <c r="AA1716" s="277"/>
      <c r="AB1716" s="277"/>
      <c r="AC1716" s="277"/>
      <c r="AD1716" s="277"/>
      <c r="AE1716" s="277"/>
      <c r="AF1716" s="277"/>
      <c r="AG1716" s="277"/>
      <c r="AH1716" s="277"/>
      <c r="AI1716" s="277"/>
    </row>
    <row r="1717" spans="16:35" s="185" customFormat="1">
      <c r="P1717" s="277"/>
      <c r="Q1717" s="277"/>
      <c r="R1717" s="277"/>
      <c r="S1717" s="291">
        <v>43263</v>
      </c>
      <c r="T1717" s="279">
        <v>1624</v>
      </c>
      <c r="U1717" s="277"/>
      <c r="V1717" s="277"/>
      <c r="W1717" s="277"/>
      <c r="X1717" s="277"/>
      <c r="Y1717" s="277"/>
      <c r="Z1717" s="277"/>
      <c r="AA1717" s="277"/>
      <c r="AB1717" s="277"/>
      <c r="AC1717" s="277"/>
      <c r="AD1717" s="277"/>
      <c r="AE1717" s="277"/>
      <c r="AF1717" s="277"/>
      <c r="AG1717" s="277"/>
      <c r="AH1717" s="277"/>
      <c r="AI1717" s="277"/>
    </row>
    <row r="1718" spans="16:35" s="185" customFormat="1">
      <c r="P1718" s="277"/>
      <c r="Q1718" s="277"/>
      <c r="R1718" s="277"/>
      <c r="S1718" s="291">
        <v>43264</v>
      </c>
      <c r="T1718" s="279">
        <v>1625</v>
      </c>
      <c r="U1718" s="277"/>
      <c r="V1718" s="277"/>
      <c r="W1718" s="277"/>
      <c r="X1718" s="277"/>
      <c r="Y1718" s="277"/>
      <c r="Z1718" s="277"/>
      <c r="AA1718" s="277"/>
      <c r="AB1718" s="277"/>
      <c r="AC1718" s="277"/>
      <c r="AD1718" s="277"/>
      <c r="AE1718" s="277"/>
      <c r="AF1718" s="277"/>
      <c r="AG1718" s="277"/>
      <c r="AH1718" s="277"/>
      <c r="AI1718" s="277"/>
    </row>
    <row r="1719" spans="16:35" s="185" customFormat="1">
      <c r="P1719" s="277"/>
      <c r="Q1719" s="277"/>
      <c r="R1719" s="277"/>
      <c r="S1719" s="291">
        <v>43265</v>
      </c>
      <c r="T1719" s="279">
        <v>1626</v>
      </c>
      <c r="U1719" s="277"/>
      <c r="V1719" s="277"/>
      <c r="W1719" s="277"/>
      <c r="X1719" s="277"/>
      <c r="Y1719" s="277"/>
      <c r="Z1719" s="277"/>
      <c r="AA1719" s="277"/>
      <c r="AB1719" s="277"/>
      <c r="AC1719" s="277"/>
      <c r="AD1719" s="277"/>
      <c r="AE1719" s="277"/>
      <c r="AF1719" s="277"/>
      <c r="AG1719" s="277"/>
      <c r="AH1719" s="277"/>
      <c r="AI1719" s="277"/>
    </row>
    <row r="1720" spans="16:35" s="185" customFormat="1">
      <c r="P1720" s="277"/>
      <c r="Q1720" s="277"/>
      <c r="R1720" s="277"/>
      <c r="S1720" s="291">
        <v>43266</v>
      </c>
      <c r="T1720" s="279">
        <v>1627</v>
      </c>
      <c r="U1720" s="277"/>
      <c r="V1720" s="277"/>
      <c r="W1720" s="277"/>
      <c r="X1720" s="277"/>
      <c r="Y1720" s="277"/>
      <c r="Z1720" s="277"/>
      <c r="AA1720" s="277"/>
      <c r="AB1720" s="277"/>
      <c r="AC1720" s="277"/>
      <c r="AD1720" s="277"/>
      <c r="AE1720" s="277"/>
      <c r="AF1720" s="277"/>
      <c r="AG1720" s="277"/>
      <c r="AH1720" s="277"/>
      <c r="AI1720" s="277"/>
    </row>
    <row r="1721" spans="16:35" s="185" customFormat="1">
      <c r="P1721" s="277"/>
      <c r="Q1721" s="277"/>
      <c r="R1721" s="277"/>
      <c r="S1721" s="291">
        <v>43267</v>
      </c>
      <c r="T1721" s="279">
        <v>1628</v>
      </c>
      <c r="U1721" s="277"/>
      <c r="V1721" s="277"/>
      <c r="W1721" s="277"/>
      <c r="X1721" s="277"/>
      <c r="Y1721" s="277"/>
      <c r="Z1721" s="277"/>
      <c r="AA1721" s="277"/>
      <c r="AB1721" s="277"/>
      <c r="AC1721" s="277"/>
      <c r="AD1721" s="277"/>
      <c r="AE1721" s="277"/>
      <c r="AF1721" s="277"/>
      <c r="AG1721" s="277"/>
      <c r="AH1721" s="277"/>
      <c r="AI1721" s="277"/>
    </row>
    <row r="1722" spans="16:35" s="185" customFormat="1">
      <c r="P1722" s="277"/>
      <c r="Q1722" s="277"/>
      <c r="R1722" s="277"/>
      <c r="S1722" s="291">
        <v>43268</v>
      </c>
      <c r="T1722" s="279">
        <v>1629</v>
      </c>
      <c r="U1722" s="277"/>
      <c r="V1722" s="277"/>
      <c r="W1722" s="277"/>
      <c r="X1722" s="277"/>
      <c r="Y1722" s="277"/>
      <c r="Z1722" s="277"/>
      <c r="AA1722" s="277"/>
      <c r="AB1722" s="277"/>
      <c r="AC1722" s="277"/>
      <c r="AD1722" s="277"/>
      <c r="AE1722" s="277"/>
      <c r="AF1722" s="277"/>
      <c r="AG1722" s="277"/>
      <c r="AH1722" s="277"/>
      <c r="AI1722" s="277"/>
    </row>
    <row r="1723" spans="16:35" s="185" customFormat="1">
      <c r="P1723" s="277"/>
      <c r="Q1723" s="277"/>
      <c r="R1723" s="277"/>
      <c r="S1723" s="291">
        <v>43269</v>
      </c>
      <c r="T1723" s="279">
        <v>1630</v>
      </c>
      <c r="U1723" s="277"/>
      <c r="V1723" s="277"/>
      <c r="W1723" s="277"/>
      <c r="X1723" s="277"/>
      <c r="Y1723" s="277"/>
      <c r="Z1723" s="277"/>
      <c r="AA1723" s="277"/>
      <c r="AB1723" s="277"/>
      <c r="AC1723" s="277"/>
      <c r="AD1723" s="277"/>
      <c r="AE1723" s="277"/>
      <c r="AF1723" s="277"/>
      <c r="AG1723" s="277"/>
      <c r="AH1723" s="277"/>
      <c r="AI1723" s="277"/>
    </row>
    <row r="1724" spans="16:35" s="185" customFormat="1">
      <c r="P1724" s="277"/>
      <c r="Q1724" s="277"/>
      <c r="R1724" s="277"/>
      <c r="S1724" s="291">
        <v>43270</v>
      </c>
      <c r="T1724" s="279">
        <v>1631</v>
      </c>
      <c r="U1724" s="277"/>
      <c r="V1724" s="277"/>
      <c r="W1724" s="277"/>
      <c r="X1724" s="277"/>
      <c r="Y1724" s="277"/>
      <c r="Z1724" s="277"/>
      <c r="AA1724" s="277"/>
      <c r="AB1724" s="277"/>
      <c r="AC1724" s="277"/>
      <c r="AD1724" s="277"/>
      <c r="AE1724" s="277"/>
      <c r="AF1724" s="277"/>
      <c r="AG1724" s="277"/>
      <c r="AH1724" s="277"/>
      <c r="AI1724" s="277"/>
    </row>
    <row r="1725" spans="16:35" s="185" customFormat="1">
      <c r="P1725" s="277"/>
      <c r="Q1725" s="277"/>
      <c r="R1725" s="277"/>
      <c r="S1725" s="291">
        <v>43271</v>
      </c>
      <c r="T1725" s="279">
        <v>1632</v>
      </c>
      <c r="U1725" s="277"/>
      <c r="V1725" s="277"/>
      <c r="W1725" s="277"/>
      <c r="X1725" s="277"/>
      <c r="Y1725" s="277"/>
      <c r="Z1725" s="277"/>
      <c r="AA1725" s="277"/>
      <c r="AB1725" s="277"/>
      <c r="AC1725" s="277"/>
      <c r="AD1725" s="277"/>
      <c r="AE1725" s="277"/>
      <c r="AF1725" s="277"/>
      <c r="AG1725" s="277"/>
      <c r="AH1725" s="277"/>
      <c r="AI1725" s="277"/>
    </row>
    <row r="1726" spans="16:35" s="185" customFormat="1">
      <c r="P1726" s="277"/>
      <c r="Q1726" s="277"/>
      <c r="R1726" s="277"/>
      <c r="S1726" s="291">
        <v>43272</v>
      </c>
      <c r="T1726" s="279">
        <v>1633</v>
      </c>
      <c r="U1726" s="277"/>
      <c r="V1726" s="277"/>
      <c r="W1726" s="277"/>
      <c r="X1726" s="277"/>
      <c r="Y1726" s="277"/>
      <c r="Z1726" s="277"/>
      <c r="AA1726" s="277"/>
      <c r="AB1726" s="277"/>
      <c r="AC1726" s="277"/>
      <c r="AD1726" s="277"/>
      <c r="AE1726" s="277"/>
      <c r="AF1726" s="277"/>
      <c r="AG1726" s="277"/>
      <c r="AH1726" s="277"/>
      <c r="AI1726" s="277"/>
    </row>
    <row r="1727" spans="16:35" s="185" customFormat="1">
      <c r="P1727" s="277"/>
      <c r="Q1727" s="277"/>
      <c r="R1727" s="277"/>
      <c r="S1727" s="291">
        <v>43273</v>
      </c>
      <c r="T1727" s="279">
        <v>1634</v>
      </c>
      <c r="U1727" s="277"/>
      <c r="V1727" s="277"/>
      <c r="W1727" s="277"/>
      <c r="X1727" s="277"/>
      <c r="Y1727" s="277"/>
      <c r="Z1727" s="277"/>
      <c r="AA1727" s="277"/>
      <c r="AB1727" s="277"/>
      <c r="AC1727" s="277"/>
      <c r="AD1727" s="277"/>
      <c r="AE1727" s="277"/>
      <c r="AF1727" s="277"/>
      <c r="AG1727" s="277"/>
      <c r="AH1727" s="277"/>
      <c r="AI1727" s="277"/>
    </row>
    <row r="1728" spans="16:35" s="185" customFormat="1">
      <c r="P1728" s="277"/>
      <c r="Q1728" s="277"/>
      <c r="R1728" s="277"/>
      <c r="S1728" s="291">
        <v>43274</v>
      </c>
      <c r="T1728" s="279">
        <v>1635</v>
      </c>
      <c r="U1728" s="277"/>
      <c r="V1728" s="277"/>
      <c r="W1728" s="277"/>
      <c r="X1728" s="277"/>
      <c r="Y1728" s="277"/>
      <c r="Z1728" s="277"/>
      <c r="AA1728" s="277"/>
      <c r="AB1728" s="277"/>
      <c r="AC1728" s="277"/>
      <c r="AD1728" s="277"/>
      <c r="AE1728" s="277"/>
      <c r="AF1728" s="277"/>
      <c r="AG1728" s="277"/>
      <c r="AH1728" s="277"/>
      <c r="AI1728" s="277"/>
    </row>
    <row r="1729" spans="16:35" s="185" customFormat="1">
      <c r="P1729" s="277"/>
      <c r="Q1729" s="277"/>
      <c r="R1729" s="277"/>
      <c r="S1729" s="291">
        <v>43275</v>
      </c>
      <c r="T1729" s="279">
        <v>1636</v>
      </c>
      <c r="U1729" s="277"/>
      <c r="V1729" s="277"/>
      <c r="W1729" s="277"/>
      <c r="X1729" s="277"/>
      <c r="Y1729" s="277"/>
      <c r="Z1729" s="277"/>
      <c r="AA1729" s="277"/>
      <c r="AB1729" s="277"/>
      <c r="AC1729" s="277"/>
      <c r="AD1729" s="277"/>
      <c r="AE1729" s="277"/>
      <c r="AF1729" s="277"/>
      <c r="AG1729" s="277"/>
      <c r="AH1729" s="277"/>
      <c r="AI1729" s="277"/>
    </row>
    <row r="1730" spans="16:35" s="185" customFormat="1">
      <c r="P1730" s="277"/>
      <c r="Q1730" s="277"/>
      <c r="R1730" s="277"/>
      <c r="S1730" s="291">
        <v>43276</v>
      </c>
      <c r="T1730" s="279">
        <v>1637</v>
      </c>
      <c r="U1730" s="277"/>
      <c r="V1730" s="277"/>
      <c r="W1730" s="277"/>
      <c r="X1730" s="277"/>
      <c r="Y1730" s="277"/>
      <c r="Z1730" s="277"/>
      <c r="AA1730" s="277"/>
      <c r="AB1730" s="277"/>
      <c r="AC1730" s="277"/>
      <c r="AD1730" s="277"/>
      <c r="AE1730" s="277"/>
      <c r="AF1730" s="277"/>
      <c r="AG1730" s="277"/>
      <c r="AH1730" s="277"/>
      <c r="AI1730" s="277"/>
    </row>
    <row r="1731" spans="16:35" s="185" customFormat="1">
      <c r="P1731" s="277"/>
      <c r="Q1731" s="277"/>
      <c r="R1731" s="277"/>
      <c r="S1731" s="291">
        <v>43277</v>
      </c>
      <c r="T1731" s="279">
        <v>1638</v>
      </c>
      <c r="U1731" s="277"/>
      <c r="V1731" s="277"/>
      <c r="W1731" s="277"/>
      <c r="X1731" s="277"/>
      <c r="Y1731" s="277"/>
      <c r="Z1731" s="277"/>
      <c r="AA1731" s="277"/>
      <c r="AB1731" s="277"/>
      <c r="AC1731" s="277"/>
      <c r="AD1731" s="277"/>
      <c r="AE1731" s="277"/>
      <c r="AF1731" s="277"/>
      <c r="AG1731" s="277"/>
      <c r="AH1731" s="277"/>
      <c r="AI1731" s="277"/>
    </row>
    <row r="1732" spans="16:35" s="185" customFormat="1">
      <c r="P1732" s="277"/>
      <c r="Q1732" s="277"/>
      <c r="R1732" s="277"/>
      <c r="S1732" s="291">
        <v>43278</v>
      </c>
      <c r="T1732" s="279">
        <v>1639</v>
      </c>
      <c r="U1732" s="277"/>
      <c r="V1732" s="277"/>
      <c r="W1732" s="277"/>
      <c r="X1732" s="277"/>
      <c r="Y1732" s="277"/>
      <c r="Z1732" s="277"/>
      <c r="AA1732" s="277"/>
      <c r="AB1732" s="277"/>
      <c r="AC1732" s="277"/>
      <c r="AD1732" s="277"/>
      <c r="AE1732" s="277"/>
      <c r="AF1732" s="277"/>
      <c r="AG1732" s="277"/>
      <c r="AH1732" s="277"/>
      <c r="AI1732" s="277"/>
    </row>
    <row r="1733" spans="16:35" s="185" customFormat="1">
      <c r="P1733" s="277"/>
      <c r="Q1733" s="277"/>
      <c r="R1733" s="277"/>
      <c r="S1733" s="291">
        <v>43279</v>
      </c>
      <c r="T1733" s="279">
        <v>1640</v>
      </c>
      <c r="U1733" s="277"/>
      <c r="V1733" s="277"/>
      <c r="W1733" s="277"/>
      <c r="X1733" s="277"/>
      <c r="Y1733" s="277"/>
      <c r="Z1733" s="277"/>
      <c r="AA1733" s="277"/>
      <c r="AB1733" s="277"/>
      <c r="AC1733" s="277"/>
      <c r="AD1733" s="277"/>
      <c r="AE1733" s="277"/>
      <c r="AF1733" s="277"/>
      <c r="AG1733" s="277"/>
      <c r="AH1733" s="277"/>
      <c r="AI1733" s="277"/>
    </row>
    <row r="1734" spans="16:35" s="185" customFormat="1">
      <c r="P1734" s="277"/>
      <c r="Q1734" s="277"/>
      <c r="R1734" s="277"/>
      <c r="S1734" s="291">
        <v>43280</v>
      </c>
      <c r="T1734" s="279">
        <v>1641</v>
      </c>
      <c r="U1734" s="277"/>
      <c r="V1734" s="277"/>
      <c r="W1734" s="277"/>
      <c r="X1734" s="277"/>
      <c r="Y1734" s="277"/>
      <c r="Z1734" s="277"/>
      <c r="AA1734" s="277"/>
      <c r="AB1734" s="277"/>
      <c r="AC1734" s="277"/>
      <c r="AD1734" s="277"/>
      <c r="AE1734" s="277"/>
      <c r="AF1734" s="277"/>
      <c r="AG1734" s="277"/>
      <c r="AH1734" s="277"/>
      <c r="AI1734" s="277"/>
    </row>
    <row r="1735" spans="16:35" s="185" customFormat="1">
      <c r="P1735" s="277"/>
      <c r="Q1735" s="277"/>
      <c r="R1735" s="277"/>
      <c r="S1735" s="291">
        <v>43281</v>
      </c>
      <c r="T1735" s="279">
        <v>1642</v>
      </c>
      <c r="U1735" s="277"/>
      <c r="V1735" s="277"/>
      <c r="W1735" s="277"/>
      <c r="X1735" s="277"/>
      <c r="Y1735" s="277"/>
      <c r="Z1735" s="277"/>
      <c r="AA1735" s="277"/>
      <c r="AB1735" s="277"/>
      <c r="AC1735" s="277"/>
      <c r="AD1735" s="277"/>
      <c r="AE1735" s="277"/>
      <c r="AF1735" s="277"/>
      <c r="AG1735" s="277"/>
      <c r="AH1735" s="277"/>
      <c r="AI1735" s="277"/>
    </row>
    <row r="1736" spans="16:35" s="185" customFormat="1">
      <c r="P1736" s="277"/>
      <c r="Q1736" s="277"/>
      <c r="R1736" s="277"/>
      <c r="S1736" s="291">
        <v>43282</v>
      </c>
      <c r="T1736" s="279">
        <v>1643</v>
      </c>
      <c r="U1736" s="277"/>
      <c r="V1736" s="277"/>
      <c r="W1736" s="277"/>
      <c r="X1736" s="277"/>
      <c r="Y1736" s="277"/>
      <c r="Z1736" s="277"/>
      <c r="AA1736" s="277"/>
      <c r="AB1736" s="277"/>
      <c r="AC1736" s="277"/>
      <c r="AD1736" s="277"/>
      <c r="AE1736" s="277"/>
      <c r="AF1736" s="277"/>
      <c r="AG1736" s="277"/>
      <c r="AH1736" s="277"/>
      <c r="AI1736" s="277"/>
    </row>
    <row r="1737" spans="16:35" s="185" customFormat="1">
      <c r="P1737" s="277"/>
      <c r="Q1737" s="277"/>
      <c r="R1737" s="277"/>
      <c r="S1737" s="291">
        <v>43283</v>
      </c>
      <c r="T1737" s="279">
        <v>1644</v>
      </c>
      <c r="U1737" s="277"/>
      <c r="V1737" s="277"/>
      <c r="W1737" s="277"/>
      <c r="X1737" s="277"/>
      <c r="Y1737" s="277"/>
      <c r="Z1737" s="277"/>
      <c r="AA1737" s="277"/>
      <c r="AB1737" s="277"/>
      <c r="AC1737" s="277"/>
      <c r="AD1737" s="277"/>
      <c r="AE1737" s="277"/>
      <c r="AF1737" s="277"/>
      <c r="AG1737" s="277"/>
      <c r="AH1737" s="277"/>
      <c r="AI1737" s="277"/>
    </row>
    <row r="1738" spans="16:35" s="185" customFormat="1">
      <c r="P1738" s="277"/>
      <c r="Q1738" s="277"/>
      <c r="R1738" s="277"/>
      <c r="S1738" s="291">
        <v>43284</v>
      </c>
      <c r="T1738" s="279">
        <v>1645</v>
      </c>
      <c r="U1738" s="277"/>
      <c r="V1738" s="277"/>
      <c r="W1738" s="277"/>
      <c r="X1738" s="277"/>
      <c r="Y1738" s="277"/>
      <c r="Z1738" s="277"/>
      <c r="AA1738" s="277"/>
      <c r="AB1738" s="277"/>
      <c r="AC1738" s="277"/>
      <c r="AD1738" s="277"/>
      <c r="AE1738" s="277"/>
      <c r="AF1738" s="277"/>
      <c r="AG1738" s="277"/>
      <c r="AH1738" s="277"/>
      <c r="AI1738" s="277"/>
    </row>
    <row r="1739" spans="16:35" s="185" customFormat="1">
      <c r="P1739" s="277"/>
      <c r="Q1739" s="277"/>
      <c r="R1739" s="277"/>
      <c r="S1739" s="291">
        <v>43285</v>
      </c>
      <c r="T1739" s="279">
        <v>1646</v>
      </c>
      <c r="U1739" s="277"/>
      <c r="V1739" s="277"/>
      <c r="W1739" s="277"/>
      <c r="X1739" s="277"/>
      <c r="Y1739" s="277"/>
      <c r="Z1739" s="277"/>
      <c r="AA1739" s="277"/>
      <c r="AB1739" s="277"/>
      <c r="AC1739" s="277"/>
      <c r="AD1739" s="277"/>
      <c r="AE1739" s="277"/>
      <c r="AF1739" s="277"/>
      <c r="AG1739" s="277"/>
      <c r="AH1739" s="277"/>
      <c r="AI1739" s="277"/>
    </row>
    <row r="1740" spans="16:35" s="185" customFormat="1">
      <c r="P1740" s="277"/>
      <c r="Q1740" s="277"/>
      <c r="R1740" s="277"/>
      <c r="S1740" s="291">
        <v>43286</v>
      </c>
      <c r="T1740" s="279">
        <v>1647</v>
      </c>
      <c r="U1740" s="277"/>
      <c r="V1740" s="277"/>
      <c r="W1740" s="277"/>
      <c r="X1740" s="277"/>
      <c r="Y1740" s="277"/>
      <c r="Z1740" s="277"/>
      <c r="AA1740" s="277"/>
      <c r="AB1740" s="277"/>
      <c r="AC1740" s="277"/>
      <c r="AD1740" s="277"/>
      <c r="AE1740" s="277"/>
      <c r="AF1740" s="277"/>
      <c r="AG1740" s="277"/>
      <c r="AH1740" s="277"/>
      <c r="AI1740" s="277"/>
    </row>
    <row r="1741" spans="16:35" s="185" customFormat="1">
      <c r="P1741" s="277"/>
      <c r="Q1741" s="277"/>
      <c r="R1741" s="277"/>
      <c r="S1741" s="291">
        <v>43287</v>
      </c>
      <c r="T1741" s="279">
        <v>1648</v>
      </c>
      <c r="U1741" s="277"/>
      <c r="V1741" s="277"/>
      <c r="W1741" s="277"/>
      <c r="X1741" s="277"/>
      <c r="Y1741" s="277"/>
      <c r="Z1741" s="277"/>
      <c r="AA1741" s="277"/>
      <c r="AB1741" s="277"/>
      <c r="AC1741" s="277"/>
      <c r="AD1741" s="277"/>
      <c r="AE1741" s="277"/>
      <c r="AF1741" s="277"/>
      <c r="AG1741" s="277"/>
      <c r="AH1741" s="277"/>
      <c r="AI1741" s="277"/>
    </row>
    <row r="1742" spans="16:35" s="185" customFormat="1">
      <c r="P1742" s="277"/>
      <c r="Q1742" s="277"/>
      <c r="R1742" s="277"/>
      <c r="S1742" s="291">
        <v>43288</v>
      </c>
      <c r="T1742" s="279">
        <v>1649</v>
      </c>
      <c r="U1742" s="277"/>
      <c r="V1742" s="277"/>
      <c r="W1742" s="277"/>
      <c r="X1742" s="277"/>
      <c r="Y1742" s="277"/>
      <c r="Z1742" s="277"/>
      <c r="AA1742" s="277"/>
      <c r="AB1742" s="277"/>
      <c r="AC1742" s="277"/>
      <c r="AD1742" s="277"/>
      <c r="AE1742" s="277"/>
      <c r="AF1742" s="277"/>
      <c r="AG1742" s="277"/>
      <c r="AH1742" s="277"/>
      <c r="AI1742" s="277"/>
    </row>
    <row r="1743" spans="16:35" s="185" customFormat="1">
      <c r="P1743" s="277"/>
      <c r="Q1743" s="277"/>
      <c r="R1743" s="277"/>
      <c r="S1743" s="291">
        <v>43289</v>
      </c>
      <c r="T1743" s="279">
        <v>1650</v>
      </c>
      <c r="U1743" s="277"/>
      <c r="V1743" s="277"/>
      <c r="W1743" s="277"/>
      <c r="X1743" s="277"/>
      <c r="Y1743" s="277"/>
      <c r="Z1743" s="277"/>
      <c r="AA1743" s="277"/>
      <c r="AB1743" s="277"/>
      <c r="AC1743" s="277"/>
      <c r="AD1743" s="277"/>
      <c r="AE1743" s="277"/>
      <c r="AF1743" s="277"/>
      <c r="AG1743" s="277"/>
      <c r="AH1743" s="277"/>
      <c r="AI1743" s="277"/>
    </row>
    <row r="1744" spans="16:35" s="185" customFormat="1">
      <c r="P1744" s="277"/>
      <c r="Q1744" s="277"/>
      <c r="R1744" s="277"/>
      <c r="S1744" s="291">
        <v>43290</v>
      </c>
      <c r="T1744" s="279">
        <v>1651</v>
      </c>
      <c r="U1744" s="277"/>
      <c r="V1744" s="277"/>
      <c r="W1744" s="277"/>
      <c r="X1744" s="277"/>
      <c r="Y1744" s="277"/>
      <c r="Z1744" s="277"/>
      <c r="AA1744" s="277"/>
      <c r="AB1744" s="277"/>
      <c r="AC1744" s="277"/>
      <c r="AD1744" s="277"/>
      <c r="AE1744" s="277"/>
      <c r="AF1744" s="277"/>
      <c r="AG1744" s="277"/>
      <c r="AH1744" s="277"/>
      <c r="AI1744" s="277"/>
    </row>
    <row r="1745" spans="16:35" s="185" customFormat="1">
      <c r="P1745" s="277"/>
      <c r="Q1745" s="277"/>
      <c r="R1745" s="277"/>
      <c r="S1745" s="291">
        <v>43291</v>
      </c>
      <c r="T1745" s="279">
        <v>1652</v>
      </c>
      <c r="U1745" s="277"/>
      <c r="V1745" s="277"/>
      <c r="W1745" s="277"/>
      <c r="X1745" s="277"/>
      <c r="Y1745" s="277"/>
      <c r="Z1745" s="277"/>
      <c r="AA1745" s="277"/>
      <c r="AB1745" s="277"/>
      <c r="AC1745" s="277"/>
      <c r="AD1745" s="277"/>
      <c r="AE1745" s="277"/>
      <c r="AF1745" s="277"/>
      <c r="AG1745" s="277"/>
      <c r="AH1745" s="277"/>
      <c r="AI1745" s="277"/>
    </row>
    <row r="1746" spans="16:35" s="185" customFormat="1">
      <c r="P1746" s="277"/>
      <c r="Q1746" s="277"/>
      <c r="R1746" s="277"/>
      <c r="S1746" s="291">
        <v>43292</v>
      </c>
      <c r="T1746" s="279">
        <v>1653</v>
      </c>
      <c r="U1746" s="277"/>
      <c r="V1746" s="277"/>
      <c r="W1746" s="277"/>
      <c r="X1746" s="277"/>
      <c r="Y1746" s="277"/>
      <c r="Z1746" s="277"/>
      <c r="AA1746" s="277"/>
      <c r="AB1746" s="277"/>
      <c r="AC1746" s="277"/>
      <c r="AD1746" s="277"/>
      <c r="AE1746" s="277"/>
      <c r="AF1746" s="277"/>
      <c r="AG1746" s="277"/>
      <c r="AH1746" s="277"/>
      <c r="AI1746" s="277"/>
    </row>
    <row r="1747" spans="16:35" s="185" customFormat="1">
      <c r="P1747" s="277"/>
      <c r="Q1747" s="277"/>
      <c r="R1747" s="277"/>
      <c r="S1747" s="291">
        <v>43293</v>
      </c>
      <c r="T1747" s="279">
        <v>1654</v>
      </c>
      <c r="U1747" s="277"/>
      <c r="V1747" s="277"/>
      <c r="W1747" s="277"/>
      <c r="X1747" s="277"/>
      <c r="Y1747" s="277"/>
      <c r="Z1747" s="277"/>
      <c r="AA1747" s="277"/>
      <c r="AB1747" s="277"/>
      <c r="AC1747" s="277"/>
      <c r="AD1747" s="277"/>
      <c r="AE1747" s="277"/>
      <c r="AF1747" s="277"/>
      <c r="AG1747" s="277"/>
      <c r="AH1747" s="277"/>
      <c r="AI1747" s="277"/>
    </row>
    <row r="1748" spans="16:35" s="185" customFormat="1">
      <c r="P1748" s="277"/>
      <c r="Q1748" s="277"/>
      <c r="R1748" s="277"/>
      <c r="S1748" s="291">
        <v>43294</v>
      </c>
      <c r="T1748" s="279">
        <v>1655</v>
      </c>
      <c r="U1748" s="277"/>
      <c r="V1748" s="277"/>
      <c r="W1748" s="277"/>
      <c r="X1748" s="277"/>
      <c r="Y1748" s="277"/>
      <c r="Z1748" s="277"/>
      <c r="AA1748" s="277"/>
      <c r="AB1748" s="277"/>
      <c r="AC1748" s="277"/>
      <c r="AD1748" s="277"/>
      <c r="AE1748" s="277"/>
      <c r="AF1748" s="277"/>
      <c r="AG1748" s="277"/>
      <c r="AH1748" s="277"/>
      <c r="AI1748" s="277"/>
    </row>
    <row r="1749" spans="16:35" s="185" customFormat="1">
      <c r="P1749" s="277"/>
      <c r="Q1749" s="277"/>
      <c r="R1749" s="277"/>
      <c r="S1749" s="291">
        <v>43295</v>
      </c>
      <c r="T1749" s="279">
        <v>1656</v>
      </c>
      <c r="U1749" s="277"/>
      <c r="V1749" s="277"/>
      <c r="W1749" s="277"/>
      <c r="X1749" s="277"/>
      <c r="Y1749" s="277"/>
      <c r="Z1749" s="277"/>
      <c r="AA1749" s="277"/>
      <c r="AB1749" s="277"/>
      <c r="AC1749" s="277"/>
      <c r="AD1749" s="277"/>
      <c r="AE1749" s="277"/>
      <c r="AF1749" s="277"/>
      <c r="AG1749" s="277"/>
      <c r="AH1749" s="277"/>
      <c r="AI1749" s="277"/>
    </row>
    <row r="1750" spans="16:35" s="185" customFormat="1">
      <c r="P1750" s="277"/>
      <c r="Q1750" s="277"/>
      <c r="R1750" s="277"/>
      <c r="S1750" s="291">
        <v>43296</v>
      </c>
      <c r="T1750" s="279">
        <v>1657</v>
      </c>
      <c r="U1750" s="277"/>
      <c r="V1750" s="277"/>
      <c r="W1750" s="277"/>
      <c r="X1750" s="277"/>
      <c r="Y1750" s="277"/>
      <c r="Z1750" s="277"/>
      <c r="AA1750" s="277"/>
      <c r="AB1750" s="277"/>
      <c r="AC1750" s="277"/>
      <c r="AD1750" s="277"/>
      <c r="AE1750" s="277"/>
      <c r="AF1750" s="277"/>
      <c r="AG1750" s="277"/>
      <c r="AH1750" s="277"/>
      <c r="AI1750" s="277"/>
    </row>
    <row r="1751" spans="16:35" s="185" customFormat="1">
      <c r="P1751" s="277"/>
      <c r="Q1751" s="277"/>
      <c r="R1751" s="277"/>
      <c r="S1751" s="291">
        <v>43297</v>
      </c>
      <c r="T1751" s="279">
        <v>1658</v>
      </c>
      <c r="U1751" s="277"/>
      <c r="V1751" s="277"/>
      <c r="W1751" s="277"/>
      <c r="X1751" s="277"/>
      <c r="Y1751" s="277"/>
      <c r="Z1751" s="277"/>
      <c r="AA1751" s="277"/>
      <c r="AB1751" s="277"/>
      <c r="AC1751" s="277"/>
      <c r="AD1751" s="277"/>
      <c r="AE1751" s="277"/>
      <c r="AF1751" s="277"/>
      <c r="AG1751" s="277"/>
      <c r="AH1751" s="277"/>
      <c r="AI1751" s="277"/>
    </row>
    <row r="1752" spans="16:35" s="185" customFormat="1">
      <c r="P1752" s="277"/>
      <c r="Q1752" s="277"/>
      <c r="R1752" s="277"/>
      <c r="S1752" s="291">
        <v>43298</v>
      </c>
      <c r="T1752" s="279">
        <v>1659</v>
      </c>
      <c r="U1752" s="277"/>
      <c r="V1752" s="277"/>
      <c r="W1752" s="277"/>
      <c r="X1752" s="277"/>
      <c r="Y1752" s="277"/>
      <c r="Z1752" s="277"/>
      <c r="AA1752" s="277"/>
      <c r="AB1752" s="277"/>
      <c r="AC1752" s="277"/>
      <c r="AD1752" s="277"/>
      <c r="AE1752" s="277"/>
      <c r="AF1752" s="277"/>
      <c r="AG1752" s="277"/>
      <c r="AH1752" s="277"/>
      <c r="AI1752" s="277"/>
    </row>
    <row r="1753" spans="16:35" s="185" customFormat="1">
      <c r="P1753" s="277"/>
      <c r="Q1753" s="277"/>
      <c r="R1753" s="277"/>
      <c r="S1753" s="291">
        <v>43299</v>
      </c>
      <c r="T1753" s="279">
        <v>1660</v>
      </c>
      <c r="U1753" s="277"/>
      <c r="V1753" s="277"/>
      <c r="W1753" s="277"/>
      <c r="X1753" s="277"/>
      <c r="Y1753" s="277"/>
      <c r="Z1753" s="277"/>
      <c r="AA1753" s="277"/>
      <c r="AB1753" s="277"/>
      <c r="AC1753" s="277"/>
      <c r="AD1753" s="277"/>
      <c r="AE1753" s="277"/>
      <c r="AF1753" s="277"/>
      <c r="AG1753" s="277"/>
      <c r="AH1753" s="277"/>
      <c r="AI1753" s="277"/>
    </row>
    <row r="1754" spans="16:35" s="185" customFormat="1">
      <c r="P1754" s="277"/>
      <c r="Q1754" s="277"/>
      <c r="R1754" s="277"/>
      <c r="S1754" s="291">
        <v>43300</v>
      </c>
      <c r="T1754" s="279">
        <v>1661</v>
      </c>
      <c r="U1754" s="277"/>
      <c r="V1754" s="277"/>
      <c r="W1754" s="277"/>
      <c r="X1754" s="277"/>
      <c r="Y1754" s="277"/>
      <c r="Z1754" s="277"/>
      <c r="AA1754" s="277"/>
      <c r="AB1754" s="277"/>
      <c r="AC1754" s="277"/>
      <c r="AD1754" s="277"/>
      <c r="AE1754" s="277"/>
      <c r="AF1754" s="277"/>
      <c r="AG1754" s="277"/>
      <c r="AH1754" s="277"/>
      <c r="AI1754" s="277"/>
    </row>
    <row r="1755" spans="16:35" s="185" customFormat="1">
      <c r="P1755" s="277"/>
      <c r="Q1755" s="277"/>
      <c r="R1755" s="277"/>
      <c r="S1755" s="291">
        <v>43301</v>
      </c>
      <c r="T1755" s="279">
        <v>1662</v>
      </c>
      <c r="U1755" s="277"/>
      <c r="V1755" s="277"/>
      <c r="W1755" s="277"/>
      <c r="X1755" s="277"/>
      <c r="Y1755" s="277"/>
      <c r="Z1755" s="277"/>
      <c r="AA1755" s="277"/>
      <c r="AB1755" s="277"/>
      <c r="AC1755" s="277"/>
      <c r="AD1755" s="277"/>
      <c r="AE1755" s="277"/>
      <c r="AF1755" s="277"/>
      <c r="AG1755" s="277"/>
      <c r="AH1755" s="277"/>
      <c r="AI1755" s="277"/>
    </row>
    <row r="1756" spans="16:35" s="185" customFormat="1">
      <c r="P1756" s="277"/>
      <c r="Q1756" s="277"/>
      <c r="R1756" s="277"/>
      <c r="S1756" s="291">
        <v>43302</v>
      </c>
      <c r="T1756" s="279">
        <v>1663</v>
      </c>
      <c r="U1756" s="277"/>
      <c r="V1756" s="277"/>
      <c r="W1756" s="277"/>
      <c r="X1756" s="277"/>
      <c r="Y1756" s="277"/>
      <c r="Z1756" s="277"/>
      <c r="AA1756" s="277"/>
      <c r="AB1756" s="277"/>
      <c r="AC1756" s="277"/>
      <c r="AD1756" s="277"/>
      <c r="AE1756" s="277"/>
      <c r="AF1756" s="277"/>
      <c r="AG1756" s="277"/>
      <c r="AH1756" s="277"/>
      <c r="AI1756" s="277"/>
    </row>
    <row r="1757" spans="16:35" s="185" customFormat="1">
      <c r="P1757" s="277"/>
      <c r="Q1757" s="277"/>
      <c r="R1757" s="277"/>
      <c r="S1757" s="291">
        <v>43303</v>
      </c>
      <c r="T1757" s="279">
        <v>1664</v>
      </c>
      <c r="U1757" s="277"/>
      <c r="V1757" s="277"/>
      <c r="W1757" s="277"/>
      <c r="X1757" s="277"/>
      <c r="Y1757" s="277"/>
      <c r="Z1757" s="277"/>
      <c r="AA1757" s="277"/>
      <c r="AB1757" s="277"/>
      <c r="AC1757" s="277"/>
      <c r="AD1757" s="277"/>
      <c r="AE1757" s="277"/>
      <c r="AF1757" s="277"/>
      <c r="AG1757" s="277"/>
      <c r="AH1757" s="277"/>
      <c r="AI1757" s="277"/>
    </row>
    <row r="1758" spans="16:35" s="185" customFormat="1">
      <c r="P1758" s="277"/>
      <c r="Q1758" s="277"/>
      <c r="R1758" s="277"/>
      <c r="S1758" s="291">
        <v>43304</v>
      </c>
      <c r="T1758" s="279">
        <v>1665</v>
      </c>
      <c r="U1758" s="277"/>
      <c r="V1758" s="277"/>
      <c r="W1758" s="277"/>
      <c r="X1758" s="277"/>
      <c r="Y1758" s="277"/>
      <c r="Z1758" s="277"/>
      <c r="AA1758" s="277"/>
      <c r="AB1758" s="277"/>
      <c r="AC1758" s="277"/>
      <c r="AD1758" s="277"/>
      <c r="AE1758" s="277"/>
      <c r="AF1758" s="277"/>
      <c r="AG1758" s="277"/>
      <c r="AH1758" s="277"/>
      <c r="AI1758" s="277"/>
    </row>
    <row r="1759" spans="16:35" s="185" customFormat="1">
      <c r="P1759" s="277"/>
      <c r="Q1759" s="277"/>
      <c r="R1759" s="277"/>
      <c r="S1759" s="291">
        <v>43305</v>
      </c>
      <c r="T1759" s="279">
        <v>1666</v>
      </c>
      <c r="U1759" s="277"/>
      <c r="V1759" s="277"/>
      <c r="W1759" s="277"/>
      <c r="X1759" s="277"/>
      <c r="Y1759" s="277"/>
      <c r="Z1759" s="277"/>
      <c r="AA1759" s="277"/>
      <c r="AB1759" s="277"/>
      <c r="AC1759" s="277"/>
      <c r="AD1759" s="277"/>
      <c r="AE1759" s="277"/>
      <c r="AF1759" s="277"/>
      <c r="AG1759" s="277"/>
      <c r="AH1759" s="277"/>
      <c r="AI1759" s="277"/>
    </row>
    <row r="1760" spans="16:35" s="185" customFormat="1">
      <c r="P1760" s="277"/>
      <c r="Q1760" s="277"/>
      <c r="R1760" s="277"/>
      <c r="S1760" s="291">
        <v>43306</v>
      </c>
      <c r="T1760" s="279">
        <v>1667</v>
      </c>
      <c r="U1760" s="277"/>
      <c r="V1760" s="277"/>
      <c r="W1760" s="277"/>
      <c r="X1760" s="277"/>
      <c r="Y1760" s="277"/>
      <c r="Z1760" s="277"/>
      <c r="AA1760" s="277"/>
      <c r="AB1760" s="277"/>
      <c r="AC1760" s="277"/>
      <c r="AD1760" s="277"/>
      <c r="AE1760" s="277"/>
      <c r="AF1760" s="277"/>
      <c r="AG1760" s="277"/>
      <c r="AH1760" s="277"/>
      <c r="AI1760" s="277"/>
    </row>
    <row r="1761" spans="16:35" s="185" customFormat="1">
      <c r="P1761" s="277"/>
      <c r="Q1761" s="277"/>
      <c r="R1761" s="277"/>
      <c r="S1761" s="291">
        <v>43307</v>
      </c>
      <c r="T1761" s="279">
        <v>1668</v>
      </c>
      <c r="U1761" s="277"/>
      <c r="V1761" s="277"/>
      <c r="W1761" s="277"/>
      <c r="X1761" s="277"/>
      <c r="Y1761" s="277"/>
      <c r="Z1761" s="277"/>
      <c r="AA1761" s="277"/>
      <c r="AB1761" s="277"/>
      <c r="AC1761" s="277"/>
      <c r="AD1761" s="277"/>
      <c r="AE1761" s="277"/>
      <c r="AF1761" s="277"/>
      <c r="AG1761" s="277"/>
      <c r="AH1761" s="277"/>
      <c r="AI1761" s="277"/>
    </row>
    <row r="1762" spans="16:35" s="185" customFormat="1">
      <c r="P1762" s="277"/>
      <c r="Q1762" s="277"/>
      <c r="R1762" s="277"/>
      <c r="S1762" s="291">
        <v>43308</v>
      </c>
      <c r="T1762" s="279">
        <v>1669</v>
      </c>
      <c r="U1762" s="277"/>
      <c r="V1762" s="277"/>
      <c r="W1762" s="277"/>
      <c r="X1762" s="277"/>
      <c r="Y1762" s="277"/>
      <c r="Z1762" s="277"/>
      <c r="AA1762" s="277"/>
      <c r="AB1762" s="277"/>
      <c r="AC1762" s="277"/>
      <c r="AD1762" s="277"/>
      <c r="AE1762" s="277"/>
      <c r="AF1762" s="277"/>
      <c r="AG1762" s="277"/>
      <c r="AH1762" s="277"/>
      <c r="AI1762" s="277"/>
    </row>
    <row r="1763" spans="16:35" s="185" customFormat="1">
      <c r="P1763" s="277"/>
      <c r="Q1763" s="277"/>
      <c r="R1763" s="277"/>
      <c r="S1763" s="291">
        <v>43309</v>
      </c>
      <c r="T1763" s="279">
        <v>1670</v>
      </c>
      <c r="U1763" s="277"/>
      <c r="V1763" s="277"/>
      <c r="W1763" s="277"/>
      <c r="X1763" s="277"/>
      <c r="Y1763" s="277"/>
      <c r="Z1763" s="277"/>
      <c r="AA1763" s="277"/>
      <c r="AB1763" s="277"/>
      <c r="AC1763" s="277"/>
      <c r="AD1763" s="277"/>
      <c r="AE1763" s="277"/>
      <c r="AF1763" s="277"/>
      <c r="AG1763" s="277"/>
      <c r="AH1763" s="277"/>
      <c r="AI1763" s="277"/>
    </row>
    <row r="1764" spans="16:35" s="185" customFormat="1">
      <c r="P1764" s="277"/>
      <c r="Q1764" s="277"/>
      <c r="R1764" s="277"/>
      <c r="S1764" s="291">
        <v>43310</v>
      </c>
      <c r="T1764" s="279">
        <v>1671</v>
      </c>
      <c r="U1764" s="277"/>
      <c r="V1764" s="277"/>
      <c r="W1764" s="277"/>
      <c r="X1764" s="277"/>
      <c r="Y1764" s="277"/>
      <c r="Z1764" s="277"/>
      <c r="AA1764" s="277"/>
      <c r="AB1764" s="277"/>
      <c r="AC1764" s="277"/>
      <c r="AD1764" s="277"/>
      <c r="AE1764" s="277"/>
      <c r="AF1764" s="277"/>
      <c r="AG1764" s="277"/>
      <c r="AH1764" s="277"/>
      <c r="AI1764" s="277"/>
    </row>
    <row r="1765" spans="16:35" s="185" customFormat="1">
      <c r="P1765" s="277"/>
      <c r="Q1765" s="277"/>
      <c r="R1765" s="277"/>
      <c r="S1765" s="291">
        <v>43311</v>
      </c>
      <c r="T1765" s="279">
        <v>1672</v>
      </c>
      <c r="U1765" s="277"/>
      <c r="V1765" s="277"/>
      <c r="W1765" s="277"/>
      <c r="X1765" s="277"/>
      <c r="Y1765" s="277"/>
      <c r="Z1765" s="277"/>
      <c r="AA1765" s="277"/>
      <c r="AB1765" s="277"/>
      <c r="AC1765" s="277"/>
      <c r="AD1765" s="277"/>
      <c r="AE1765" s="277"/>
      <c r="AF1765" s="277"/>
      <c r="AG1765" s="277"/>
      <c r="AH1765" s="277"/>
      <c r="AI1765" s="277"/>
    </row>
    <row r="1766" spans="16:35" s="185" customFormat="1">
      <c r="P1766" s="277"/>
      <c r="Q1766" s="277"/>
      <c r="R1766" s="277"/>
      <c r="S1766" s="291">
        <v>43312</v>
      </c>
      <c r="T1766" s="279">
        <v>1673</v>
      </c>
      <c r="U1766" s="277"/>
      <c r="V1766" s="277"/>
      <c r="W1766" s="277"/>
      <c r="X1766" s="277"/>
      <c r="Y1766" s="277"/>
      <c r="Z1766" s="277"/>
      <c r="AA1766" s="277"/>
      <c r="AB1766" s="277"/>
      <c r="AC1766" s="277"/>
      <c r="AD1766" s="277"/>
      <c r="AE1766" s="277"/>
      <c r="AF1766" s="277"/>
      <c r="AG1766" s="277"/>
      <c r="AH1766" s="277"/>
      <c r="AI1766" s="277"/>
    </row>
    <row r="1767" spans="16:35" s="185" customFormat="1">
      <c r="P1767" s="277"/>
      <c r="Q1767" s="277"/>
      <c r="R1767" s="277"/>
      <c r="S1767" s="291">
        <v>43313</v>
      </c>
      <c r="T1767" s="279">
        <v>1674</v>
      </c>
      <c r="U1767" s="277"/>
      <c r="V1767" s="277"/>
      <c r="W1767" s="277"/>
      <c r="X1767" s="277"/>
      <c r="Y1767" s="277"/>
      <c r="Z1767" s="277"/>
      <c r="AA1767" s="277"/>
      <c r="AB1767" s="277"/>
      <c r="AC1767" s="277"/>
      <c r="AD1767" s="277"/>
      <c r="AE1767" s="277"/>
      <c r="AF1767" s="277"/>
      <c r="AG1767" s="277"/>
      <c r="AH1767" s="277"/>
      <c r="AI1767" s="277"/>
    </row>
    <row r="1768" spans="16:35" s="185" customFormat="1">
      <c r="P1768" s="277"/>
      <c r="Q1768" s="277"/>
      <c r="R1768" s="277"/>
      <c r="S1768" s="291">
        <v>43314</v>
      </c>
      <c r="T1768" s="279">
        <v>1675</v>
      </c>
      <c r="U1768" s="277"/>
      <c r="V1768" s="277"/>
      <c r="W1768" s="277"/>
      <c r="X1768" s="277"/>
      <c r="Y1768" s="277"/>
      <c r="Z1768" s="277"/>
      <c r="AA1768" s="277"/>
      <c r="AB1768" s="277"/>
      <c r="AC1768" s="277"/>
      <c r="AD1768" s="277"/>
      <c r="AE1768" s="277"/>
      <c r="AF1768" s="277"/>
      <c r="AG1768" s="277"/>
      <c r="AH1768" s="277"/>
      <c r="AI1768" s="277"/>
    </row>
    <row r="1769" spans="16:35" s="185" customFormat="1">
      <c r="P1769" s="277"/>
      <c r="Q1769" s="277"/>
      <c r="R1769" s="277"/>
      <c r="S1769" s="291">
        <v>43315</v>
      </c>
      <c r="T1769" s="279">
        <v>1676</v>
      </c>
      <c r="U1769" s="277"/>
      <c r="V1769" s="277"/>
      <c r="W1769" s="277"/>
      <c r="X1769" s="277"/>
      <c r="Y1769" s="277"/>
      <c r="Z1769" s="277"/>
      <c r="AA1769" s="277"/>
      <c r="AB1769" s="277"/>
      <c r="AC1769" s="277"/>
      <c r="AD1769" s="277"/>
      <c r="AE1769" s="277"/>
      <c r="AF1769" s="277"/>
      <c r="AG1769" s="277"/>
      <c r="AH1769" s="277"/>
      <c r="AI1769" s="277"/>
    </row>
    <row r="1770" spans="16:35" s="185" customFormat="1">
      <c r="P1770" s="277"/>
      <c r="Q1770" s="277"/>
      <c r="R1770" s="277"/>
      <c r="S1770" s="291">
        <v>43316</v>
      </c>
      <c r="T1770" s="279">
        <v>1677</v>
      </c>
      <c r="U1770" s="277"/>
      <c r="V1770" s="277"/>
      <c r="W1770" s="277"/>
      <c r="X1770" s="277"/>
      <c r="Y1770" s="277"/>
      <c r="Z1770" s="277"/>
      <c r="AA1770" s="277"/>
      <c r="AB1770" s="277"/>
      <c r="AC1770" s="277"/>
      <c r="AD1770" s="277"/>
      <c r="AE1770" s="277"/>
      <c r="AF1770" s="277"/>
      <c r="AG1770" s="277"/>
      <c r="AH1770" s="277"/>
      <c r="AI1770" s="277"/>
    </row>
    <row r="1771" spans="16:35" s="185" customFormat="1">
      <c r="P1771" s="277"/>
      <c r="Q1771" s="277"/>
      <c r="R1771" s="277"/>
      <c r="S1771" s="291">
        <v>43317</v>
      </c>
      <c r="T1771" s="279">
        <v>1678</v>
      </c>
      <c r="U1771" s="277"/>
      <c r="V1771" s="277"/>
      <c r="W1771" s="277"/>
      <c r="X1771" s="277"/>
      <c r="Y1771" s="277"/>
      <c r="Z1771" s="277"/>
      <c r="AA1771" s="277"/>
      <c r="AB1771" s="277"/>
      <c r="AC1771" s="277"/>
      <c r="AD1771" s="277"/>
      <c r="AE1771" s="277"/>
      <c r="AF1771" s="277"/>
      <c r="AG1771" s="277"/>
      <c r="AH1771" s="277"/>
      <c r="AI1771" s="277"/>
    </row>
    <row r="1772" spans="16:35" s="185" customFormat="1">
      <c r="P1772" s="277"/>
      <c r="Q1772" s="277"/>
      <c r="R1772" s="277"/>
      <c r="S1772" s="291">
        <v>43318</v>
      </c>
      <c r="T1772" s="279">
        <v>1679</v>
      </c>
      <c r="U1772" s="277"/>
      <c r="V1772" s="277"/>
      <c r="W1772" s="277"/>
      <c r="X1772" s="277"/>
      <c r="Y1772" s="277"/>
      <c r="Z1772" s="277"/>
      <c r="AA1772" s="277"/>
      <c r="AB1772" s="277"/>
      <c r="AC1772" s="277"/>
      <c r="AD1772" s="277"/>
      <c r="AE1772" s="277"/>
      <c r="AF1772" s="277"/>
      <c r="AG1772" s="277"/>
      <c r="AH1772" s="277"/>
      <c r="AI1772" s="277"/>
    </row>
    <row r="1773" spans="16:35" s="185" customFormat="1">
      <c r="P1773" s="277"/>
      <c r="Q1773" s="277"/>
      <c r="R1773" s="277"/>
      <c r="S1773" s="291">
        <v>43319</v>
      </c>
      <c r="T1773" s="279">
        <v>1680</v>
      </c>
      <c r="U1773" s="277"/>
      <c r="V1773" s="277"/>
      <c r="W1773" s="277"/>
      <c r="X1773" s="277"/>
      <c r="Y1773" s="277"/>
      <c r="Z1773" s="277"/>
      <c r="AA1773" s="277"/>
      <c r="AB1773" s="277"/>
      <c r="AC1773" s="277"/>
      <c r="AD1773" s="277"/>
      <c r="AE1773" s="277"/>
      <c r="AF1773" s="277"/>
      <c r="AG1773" s="277"/>
      <c r="AH1773" s="277"/>
      <c r="AI1773" s="277"/>
    </row>
    <row r="1774" spans="16:35" s="185" customFormat="1">
      <c r="P1774" s="277"/>
      <c r="Q1774" s="277"/>
      <c r="R1774" s="277"/>
      <c r="S1774" s="291">
        <v>43320</v>
      </c>
      <c r="T1774" s="279">
        <v>1681</v>
      </c>
      <c r="U1774" s="277"/>
      <c r="V1774" s="277"/>
      <c r="W1774" s="277"/>
      <c r="X1774" s="277"/>
      <c r="Y1774" s="277"/>
      <c r="Z1774" s="277"/>
      <c r="AA1774" s="277"/>
      <c r="AB1774" s="277"/>
      <c r="AC1774" s="277"/>
      <c r="AD1774" s="277"/>
      <c r="AE1774" s="277"/>
      <c r="AF1774" s="277"/>
      <c r="AG1774" s="277"/>
      <c r="AH1774" s="277"/>
      <c r="AI1774" s="277"/>
    </row>
    <row r="1775" spans="16:35" s="185" customFormat="1">
      <c r="P1775" s="277"/>
      <c r="Q1775" s="277"/>
      <c r="R1775" s="277"/>
      <c r="S1775" s="291">
        <v>43321</v>
      </c>
      <c r="T1775" s="279">
        <v>1682</v>
      </c>
      <c r="U1775" s="277"/>
      <c r="V1775" s="277"/>
      <c r="W1775" s="277"/>
      <c r="X1775" s="277"/>
      <c r="Y1775" s="277"/>
      <c r="Z1775" s="277"/>
      <c r="AA1775" s="277"/>
      <c r="AB1775" s="277"/>
      <c r="AC1775" s="277"/>
      <c r="AD1775" s="277"/>
      <c r="AE1775" s="277"/>
      <c r="AF1775" s="277"/>
      <c r="AG1775" s="277"/>
      <c r="AH1775" s="277"/>
      <c r="AI1775" s="277"/>
    </row>
    <row r="1776" spans="16:35" s="185" customFormat="1">
      <c r="P1776" s="277"/>
      <c r="Q1776" s="277"/>
      <c r="R1776" s="277"/>
      <c r="S1776" s="291">
        <v>43322</v>
      </c>
      <c r="T1776" s="279">
        <v>1683</v>
      </c>
      <c r="U1776" s="277"/>
      <c r="V1776" s="277"/>
      <c r="W1776" s="277"/>
      <c r="X1776" s="277"/>
      <c r="Y1776" s="277"/>
      <c r="Z1776" s="277"/>
      <c r="AA1776" s="277"/>
      <c r="AB1776" s="277"/>
      <c r="AC1776" s="277"/>
      <c r="AD1776" s="277"/>
      <c r="AE1776" s="277"/>
      <c r="AF1776" s="277"/>
      <c r="AG1776" s="277"/>
      <c r="AH1776" s="277"/>
      <c r="AI1776" s="277"/>
    </row>
    <row r="1777" spans="16:35" s="185" customFormat="1">
      <c r="P1777" s="277"/>
      <c r="Q1777" s="277"/>
      <c r="R1777" s="277"/>
      <c r="S1777" s="291">
        <v>43323</v>
      </c>
      <c r="T1777" s="279">
        <v>1684</v>
      </c>
      <c r="U1777" s="277"/>
      <c r="V1777" s="277"/>
      <c r="W1777" s="277"/>
      <c r="X1777" s="277"/>
      <c r="Y1777" s="277"/>
      <c r="Z1777" s="277"/>
      <c r="AA1777" s="277"/>
      <c r="AB1777" s="277"/>
      <c r="AC1777" s="277"/>
      <c r="AD1777" s="277"/>
      <c r="AE1777" s="277"/>
      <c r="AF1777" s="277"/>
      <c r="AG1777" s="277"/>
      <c r="AH1777" s="277"/>
      <c r="AI1777" s="277"/>
    </row>
    <row r="1778" spans="16:35" s="185" customFormat="1">
      <c r="P1778" s="277"/>
      <c r="Q1778" s="277"/>
      <c r="R1778" s="277"/>
      <c r="S1778" s="291">
        <v>43324</v>
      </c>
      <c r="T1778" s="279">
        <v>1685</v>
      </c>
      <c r="U1778" s="277"/>
      <c r="V1778" s="277"/>
      <c r="W1778" s="277"/>
      <c r="X1778" s="277"/>
      <c r="Y1778" s="277"/>
      <c r="Z1778" s="277"/>
      <c r="AA1778" s="277"/>
      <c r="AB1778" s="277"/>
      <c r="AC1778" s="277"/>
      <c r="AD1778" s="277"/>
      <c r="AE1778" s="277"/>
      <c r="AF1778" s="277"/>
      <c r="AG1778" s="277"/>
      <c r="AH1778" s="277"/>
      <c r="AI1778" s="277"/>
    </row>
    <row r="1779" spans="16:35" s="185" customFormat="1">
      <c r="P1779" s="277"/>
      <c r="Q1779" s="277"/>
      <c r="R1779" s="277"/>
      <c r="S1779" s="291">
        <v>43325</v>
      </c>
      <c r="T1779" s="279">
        <v>1686</v>
      </c>
      <c r="U1779" s="277"/>
      <c r="V1779" s="277"/>
      <c r="W1779" s="277"/>
      <c r="X1779" s="277"/>
      <c r="Y1779" s="277"/>
      <c r="Z1779" s="277"/>
      <c r="AA1779" s="277"/>
      <c r="AB1779" s="277"/>
      <c r="AC1779" s="277"/>
      <c r="AD1779" s="277"/>
      <c r="AE1779" s="277"/>
      <c r="AF1779" s="277"/>
      <c r="AG1779" s="277"/>
      <c r="AH1779" s="277"/>
      <c r="AI1779" s="277"/>
    </row>
    <row r="1780" spans="16:35" s="185" customFormat="1">
      <c r="P1780" s="277"/>
      <c r="Q1780" s="277"/>
      <c r="R1780" s="277"/>
      <c r="S1780" s="291">
        <v>43326</v>
      </c>
      <c r="T1780" s="279">
        <v>1687</v>
      </c>
      <c r="U1780" s="277"/>
      <c r="V1780" s="277"/>
      <c r="W1780" s="277"/>
      <c r="X1780" s="277"/>
      <c r="Y1780" s="277"/>
      <c r="Z1780" s="277"/>
      <c r="AA1780" s="277"/>
      <c r="AB1780" s="277"/>
      <c r="AC1780" s="277"/>
      <c r="AD1780" s="277"/>
      <c r="AE1780" s="277"/>
      <c r="AF1780" s="277"/>
      <c r="AG1780" s="277"/>
      <c r="AH1780" s="277"/>
      <c r="AI1780" s="277"/>
    </row>
    <row r="1781" spans="16:35" s="185" customFormat="1">
      <c r="P1781" s="277"/>
      <c r="Q1781" s="277"/>
      <c r="R1781" s="277"/>
      <c r="S1781" s="291">
        <v>43327</v>
      </c>
      <c r="T1781" s="279">
        <v>1688</v>
      </c>
      <c r="U1781" s="277"/>
      <c r="V1781" s="277"/>
      <c r="W1781" s="277"/>
      <c r="X1781" s="277"/>
      <c r="Y1781" s="277"/>
      <c r="Z1781" s="277"/>
      <c r="AA1781" s="277"/>
      <c r="AB1781" s="277"/>
      <c r="AC1781" s="277"/>
      <c r="AD1781" s="277"/>
      <c r="AE1781" s="277"/>
      <c r="AF1781" s="277"/>
      <c r="AG1781" s="277"/>
      <c r="AH1781" s="277"/>
      <c r="AI1781" s="277"/>
    </row>
    <row r="1782" spans="16:35" s="185" customFormat="1">
      <c r="P1782" s="277"/>
      <c r="Q1782" s="277"/>
      <c r="R1782" s="277"/>
      <c r="S1782" s="291">
        <v>43328</v>
      </c>
      <c r="T1782" s="279">
        <v>1689</v>
      </c>
      <c r="U1782" s="277"/>
      <c r="V1782" s="277"/>
      <c r="W1782" s="277"/>
      <c r="X1782" s="277"/>
      <c r="Y1782" s="277"/>
      <c r="Z1782" s="277"/>
      <c r="AA1782" s="277"/>
      <c r="AB1782" s="277"/>
      <c r="AC1782" s="277"/>
      <c r="AD1782" s="277"/>
      <c r="AE1782" s="277"/>
      <c r="AF1782" s="277"/>
      <c r="AG1782" s="277"/>
      <c r="AH1782" s="277"/>
      <c r="AI1782" s="277"/>
    </row>
    <row r="1783" spans="16:35" s="185" customFormat="1">
      <c r="P1783" s="277"/>
      <c r="Q1783" s="277"/>
      <c r="R1783" s="277"/>
      <c r="S1783" s="291">
        <v>43329</v>
      </c>
      <c r="T1783" s="279">
        <v>1690</v>
      </c>
      <c r="U1783" s="277"/>
      <c r="V1783" s="277"/>
      <c r="W1783" s="277"/>
      <c r="X1783" s="277"/>
      <c r="Y1783" s="277"/>
      <c r="Z1783" s="277"/>
      <c r="AA1783" s="277"/>
      <c r="AB1783" s="277"/>
      <c r="AC1783" s="277"/>
      <c r="AD1783" s="277"/>
      <c r="AE1783" s="277"/>
      <c r="AF1783" s="277"/>
      <c r="AG1783" s="277"/>
      <c r="AH1783" s="277"/>
      <c r="AI1783" s="277"/>
    </row>
    <row r="1784" spans="16:35" s="185" customFormat="1">
      <c r="P1784" s="277"/>
      <c r="Q1784" s="277"/>
      <c r="R1784" s="277"/>
      <c r="S1784" s="291">
        <v>43330</v>
      </c>
      <c r="T1784" s="279">
        <v>1691</v>
      </c>
      <c r="U1784" s="277"/>
      <c r="V1784" s="277"/>
      <c r="W1784" s="277"/>
      <c r="X1784" s="277"/>
      <c r="Y1784" s="277"/>
      <c r="Z1784" s="277"/>
      <c r="AA1784" s="277"/>
      <c r="AB1784" s="277"/>
      <c r="AC1784" s="277"/>
      <c r="AD1784" s="277"/>
      <c r="AE1784" s="277"/>
      <c r="AF1784" s="277"/>
      <c r="AG1784" s="277"/>
      <c r="AH1784" s="277"/>
      <c r="AI1784" s="277"/>
    </row>
    <row r="1785" spans="16:35" s="185" customFormat="1">
      <c r="P1785" s="277"/>
      <c r="Q1785" s="277"/>
      <c r="R1785" s="277"/>
      <c r="S1785" s="291">
        <v>43331</v>
      </c>
      <c r="T1785" s="279">
        <v>1692</v>
      </c>
      <c r="U1785" s="277"/>
      <c r="V1785" s="277"/>
      <c r="W1785" s="277"/>
      <c r="X1785" s="277"/>
      <c r="Y1785" s="277"/>
      <c r="Z1785" s="277"/>
      <c r="AA1785" s="277"/>
      <c r="AB1785" s="277"/>
      <c r="AC1785" s="277"/>
      <c r="AD1785" s="277"/>
      <c r="AE1785" s="277"/>
      <c r="AF1785" s="277"/>
      <c r="AG1785" s="277"/>
      <c r="AH1785" s="277"/>
      <c r="AI1785" s="277"/>
    </row>
    <row r="1786" spans="16:35" s="185" customFormat="1">
      <c r="P1786" s="277"/>
      <c r="Q1786" s="277"/>
      <c r="R1786" s="277"/>
      <c r="S1786" s="291">
        <v>43332</v>
      </c>
      <c r="T1786" s="279">
        <v>1693</v>
      </c>
      <c r="U1786" s="277"/>
      <c r="V1786" s="277"/>
      <c r="W1786" s="277"/>
      <c r="X1786" s="277"/>
      <c r="Y1786" s="277"/>
      <c r="Z1786" s="277"/>
      <c r="AA1786" s="277"/>
      <c r="AB1786" s="277"/>
      <c r="AC1786" s="277"/>
      <c r="AD1786" s="277"/>
      <c r="AE1786" s="277"/>
      <c r="AF1786" s="277"/>
      <c r="AG1786" s="277"/>
      <c r="AH1786" s="277"/>
      <c r="AI1786" s="277"/>
    </row>
    <row r="1787" spans="16:35" s="185" customFormat="1">
      <c r="P1787" s="277"/>
      <c r="Q1787" s="277"/>
      <c r="R1787" s="277"/>
      <c r="S1787" s="291">
        <v>43333</v>
      </c>
      <c r="T1787" s="279">
        <v>1694</v>
      </c>
      <c r="U1787" s="277"/>
      <c r="V1787" s="277"/>
      <c r="W1787" s="277"/>
      <c r="X1787" s="277"/>
      <c r="Y1787" s="277"/>
      <c r="Z1787" s="277"/>
      <c r="AA1787" s="277"/>
      <c r="AB1787" s="277"/>
      <c r="AC1787" s="277"/>
      <c r="AD1787" s="277"/>
      <c r="AE1787" s="277"/>
      <c r="AF1787" s="277"/>
      <c r="AG1787" s="277"/>
      <c r="AH1787" s="277"/>
      <c r="AI1787" s="277"/>
    </row>
    <row r="1788" spans="16:35" s="185" customFormat="1">
      <c r="P1788" s="277"/>
      <c r="Q1788" s="277"/>
      <c r="R1788" s="277"/>
      <c r="S1788" s="291">
        <v>43334</v>
      </c>
      <c r="T1788" s="279">
        <v>1695</v>
      </c>
      <c r="U1788" s="277"/>
      <c r="V1788" s="277"/>
      <c r="W1788" s="277"/>
      <c r="X1788" s="277"/>
      <c r="Y1788" s="277"/>
      <c r="Z1788" s="277"/>
      <c r="AA1788" s="277"/>
      <c r="AB1788" s="277"/>
      <c r="AC1788" s="277"/>
      <c r="AD1788" s="277"/>
      <c r="AE1788" s="277"/>
      <c r="AF1788" s="277"/>
      <c r="AG1788" s="277"/>
      <c r="AH1788" s="277"/>
      <c r="AI1788" s="277"/>
    </row>
    <row r="1789" spans="16:35" s="185" customFormat="1">
      <c r="P1789" s="277"/>
      <c r="Q1789" s="277"/>
      <c r="R1789" s="277"/>
      <c r="S1789" s="291">
        <v>43335</v>
      </c>
      <c r="T1789" s="279">
        <v>1696</v>
      </c>
      <c r="U1789" s="277"/>
      <c r="V1789" s="277"/>
      <c r="W1789" s="277"/>
      <c r="X1789" s="277"/>
      <c r="Y1789" s="277"/>
      <c r="Z1789" s="277"/>
      <c r="AA1789" s="277"/>
      <c r="AB1789" s="277"/>
      <c r="AC1789" s="277"/>
      <c r="AD1789" s="277"/>
      <c r="AE1789" s="277"/>
      <c r="AF1789" s="277"/>
      <c r="AG1789" s="277"/>
      <c r="AH1789" s="277"/>
      <c r="AI1789" s="277"/>
    </row>
    <row r="1790" spans="16:35" s="185" customFormat="1">
      <c r="P1790" s="277"/>
      <c r="Q1790" s="277"/>
      <c r="R1790" s="277"/>
      <c r="S1790" s="291">
        <v>43336</v>
      </c>
      <c r="T1790" s="279">
        <v>1697</v>
      </c>
      <c r="U1790" s="277"/>
      <c r="V1790" s="277"/>
      <c r="W1790" s="277"/>
      <c r="X1790" s="277"/>
      <c r="Y1790" s="277"/>
      <c r="Z1790" s="277"/>
      <c r="AA1790" s="277"/>
      <c r="AB1790" s="277"/>
      <c r="AC1790" s="277"/>
      <c r="AD1790" s="277"/>
      <c r="AE1790" s="277"/>
      <c r="AF1790" s="277"/>
      <c r="AG1790" s="277"/>
      <c r="AH1790" s="277"/>
      <c r="AI1790" s="277"/>
    </row>
    <row r="1791" spans="16:35" s="185" customFormat="1">
      <c r="P1791" s="277"/>
      <c r="Q1791" s="277"/>
      <c r="R1791" s="277"/>
      <c r="S1791" s="291">
        <v>43337</v>
      </c>
      <c r="T1791" s="279">
        <v>1698</v>
      </c>
      <c r="U1791" s="277"/>
      <c r="V1791" s="277"/>
      <c r="W1791" s="277"/>
      <c r="X1791" s="277"/>
      <c r="Y1791" s="277"/>
      <c r="Z1791" s="277"/>
      <c r="AA1791" s="277"/>
      <c r="AB1791" s="277"/>
      <c r="AC1791" s="277"/>
      <c r="AD1791" s="277"/>
      <c r="AE1791" s="277"/>
      <c r="AF1791" s="277"/>
      <c r="AG1791" s="277"/>
      <c r="AH1791" s="277"/>
      <c r="AI1791" s="277"/>
    </row>
    <row r="1792" spans="16:35" s="185" customFormat="1">
      <c r="P1792" s="277"/>
      <c r="Q1792" s="277"/>
      <c r="R1792" s="277"/>
      <c r="S1792" s="291">
        <v>43338</v>
      </c>
      <c r="T1792" s="279">
        <v>1699</v>
      </c>
      <c r="U1792" s="277"/>
      <c r="V1792" s="277"/>
      <c r="W1792" s="277"/>
      <c r="X1792" s="277"/>
      <c r="Y1792" s="277"/>
      <c r="Z1792" s="277"/>
      <c r="AA1792" s="277"/>
      <c r="AB1792" s="277"/>
      <c r="AC1792" s="277"/>
      <c r="AD1792" s="277"/>
      <c r="AE1792" s="277"/>
      <c r="AF1792" s="277"/>
      <c r="AG1792" s="277"/>
      <c r="AH1792" s="277"/>
      <c r="AI1792" s="277"/>
    </row>
    <row r="1793" spans="16:35" s="185" customFormat="1">
      <c r="P1793" s="277"/>
      <c r="Q1793" s="277"/>
      <c r="R1793" s="277"/>
      <c r="S1793" s="291">
        <v>43339</v>
      </c>
      <c r="T1793" s="279">
        <v>1700</v>
      </c>
      <c r="U1793" s="277"/>
      <c r="V1793" s="277"/>
      <c r="W1793" s="277"/>
      <c r="X1793" s="277"/>
      <c r="Y1793" s="277"/>
      <c r="Z1793" s="277"/>
      <c r="AA1793" s="277"/>
      <c r="AB1793" s="277"/>
      <c r="AC1793" s="277"/>
      <c r="AD1793" s="277"/>
      <c r="AE1793" s="277"/>
      <c r="AF1793" s="277"/>
      <c r="AG1793" s="277"/>
      <c r="AH1793" s="277"/>
      <c r="AI1793" s="277"/>
    </row>
    <row r="1794" spans="16:35" s="185" customFormat="1">
      <c r="P1794" s="277"/>
      <c r="Q1794" s="277"/>
      <c r="R1794" s="277"/>
      <c r="S1794" s="291">
        <v>43340</v>
      </c>
      <c r="T1794" s="279">
        <v>1701</v>
      </c>
      <c r="U1794" s="277"/>
      <c r="V1794" s="277"/>
      <c r="W1794" s="277"/>
      <c r="X1794" s="277"/>
      <c r="Y1794" s="277"/>
      <c r="Z1794" s="277"/>
      <c r="AA1794" s="277"/>
      <c r="AB1794" s="277"/>
      <c r="AC1794" s="277"/>
      <c r="AD1794" s="277"/>
      <c r="AE1794" s="277"/>
      <c r="AF1794" s="277"/>
      <c r="AG1794" s="277"/>
      <c r="AH1794" s="277"/>
      <c r="AI1794" s="277"/>
    </row>
    <row r="1795" spans="16:35" s="185" customFormat="1">
      <c r="P1795" s="277"/>
      <c r="Q1795" s="277"/>
      <c r="R1795" s="277"/>
      <c r="S1795" s="291">
        <v>43341</v>
      </c>
      <c r="T1795" s="279">
        <v>1702</v>
      </c>
      <c r="U1795" s="277"/>
      <c r="V1795" s="277"/>
      <c r="W1795" s="277"/>
      <c r="X1795" s="277"/>
      <c r="Y1795" s="277"/>
      <c r="Z1795" s="277"/>
      <c r="AA1795" s="277"/>
      <c r="AB1795" s="277"/>
      <c r="AC1795" s="277"/>
      <c r="AD1795" s="277"/>
      <c r="AE1795" s="277"/>
      <c r="AF1795" s="277"/>
      <c r="AG1795" s="277"/>
      <c r="AH1795" s="277"/>
      <c r="AI1795" s="277"/>
    </row>
    <row r="1796" spans="16:35" s="185" customFormat="1">
      <c r="P1796" s="277"/>
      <c r="Q1796" s="277"/>
      <c r="R1796" s="277"/>
      <c r="S1796" s="291">
        <v>43342</v>
      </c>
      <c r="T1796" s="279">
        <v>1703</v>
      </c>
      <c r="U1796" s="277"/>
      <c r="V1796" s="277"/>
      <c r="W1796" s="277"/>
      <c r="X1796" s="277"/>
      <c r="Y1796" s="277"/>
      <c r="Z1796" s="277"/>
      <c r="AA1796" s="277"/>
      <c r="AB1796" s="277"/>
      <c r="AC1796" s="277"/>
      <c r="AD1796" s="277"/>
      <c r="AE1796" s="277"/>
      <c r="AF1796" s="277"/>
      <c r="AG1796" s="277"/>
      <c r="AH1796" s="277"/>
      <c r="AI1796" s="277"/>
    </row>
    <row r="1797" spans="16:35" s="185" customFormat="1">
      <c r="P1797" s="277"/>
      <c r="Q1797" s="277"/>
      <c r="R1797" s="277"/>
      <c r="S1797" s="291">
        <v>43343</v>
      </c>
      <c r="T1797" s="279">
        <v>1704</v>
      </c>
      <c r="U1797" s="277"/>
      <c r="V1797" s="277"/>
      <c r="W1797" s="277"/>
      <c r="X1797" s="277"/>
      <c r="Y1797" s="277"/>
      <c r="Z1797" s="277"/>
      <c r="AA1797" s="277"/>
      <c r="AB1797" s="277"/>
      <c r="AC1797" s="277"/>
      <c r="AD1797" s="277"/>
      <c r="AE1797" s="277"/>
      <c r="AF1797" s="277"/>
      <c r="AG1797" s="277"/>
      <c r="AH1797" s="277"/>
      <c r="AI1797" s="277"/>
    </row>
    <row r="1798" spans="16:35" s="185" customFormat="1">
      <c r="P1798" s="277"/>
      <c r="Q1798" s="277"/>
      <c r="R1798" s="277"/>
      <c r="S1798" s="291">
        <v>43344</v>
      </c>
      <c r="T1798" s="279">
        <v>1705</v>
      </c>
      <c r="U1798" s="277"/>
      <c r="V1798" s="277"/>
      <c r="W1798" s="277"/>
      <c r="X1798" s="277"/>
      <c r="Y1798" s="277"/>
      <c r="Z1798" s="277"/>
      <c r="AA1798" s="277"/>
      <c r="AB1798" s="277"/>
      <c r="AC1798" s="277"/>
      <c r="AD1798" s="277"/>
      <c r="AE1798" s="277"/>
      <c r="AF1798" s="277"/>
      <c r="AG1798" s="277"/>
      <c r="AH1798" s="277"/>
      <c r="AI1798" s="277"/>
    </row>
    <row r="1799" spans="16:35" s="185" customFormat="1">
      <c r="P1799" s="277"/>
      <c r="Q1799" s="277"/>
      <c r="R1799" s="277"/>
      <c r="S1799" s="291">
        <v>43345</v>
      </c>
      <c r="T1799" s="279">
        <v>1706</v>
      </c>
      <c r="U1799" s="277"/>
      <c r="V1799" s="277"/>
      <c r="W1799" s="277"/>
      <c r="X1799" s="277"/>
      <c r="Y1799" s="277"/>
      <c r="Z1799" s="277"/>
      <c r="AA1799" s="277"/>
      <c r="AB1799" s="277"/>
      <c r="AC1799" s="277"/>
      <c r="AD1799" s="277"/>
      <c r="AE1799" s="277"/>
      <c r="AF1799" s="277"/>
      <c r="AG1799" s="277"/>
      <c r="AH1799" s="277"/>
      <c r="AI1799" s="277"/>
    </row>
    <row r="1800" spans="16:35" s="185" customFormat="1">
      <c r="P1800" s="277"/>
      <c r="Q1800" s="277"/>
      <c r="R1800" s="277"/>
      <c r="S1800" s="291">
        <v>43346</v>
      </c>
      <c r="T1800" s="279">
        <v>1707</v>
      </c>
      <c r="U1800" s="277"/>
      <c r="V1800" s="277"/>
      <c r="W1800" s="277"/>
      <c r="X1800" s="277"/>
      <c r="Y1800" s="277"/>
      <c r="Z1800" s="277"/>
      <c r="AA1800" s="277"/>
      <c r="AB1800" s="277"/>
      <c r="AC1800" s="277"/>
      <c r="AD1800" s="277"/>
      <c r="AE1800" s="277"/>
      <c r="AF1800" s="277"/>
      <c r="AG1800" s="277"/>
      <c r="AH1800" s="277"/>
      <c r="AI1800" s="277"/>
    </row>
    <row r="1801" spans="16:35" s="185" customFormat="1">
      <c r="P1801" s="277"/>
      <c r="Q1801" s="277"/>
      <c r="R1801" s="277"/>
      <c r="S1801" s="291">
        <v>43347</v>
      </c>
      <c r="T1801" s="279">
        <v>1708</v>
      </c>
      <c r="U1801" s="277"/>
      <c r="V1801" s="277"/>
      <c r="W1801" s="277"/>
      <c r="X1801" s="277"/>
      <c r="Y1801" s="277"/>
      <c r="Z1801" s="277"/>
      <c r="AA1801" s="277"/>
      <c r="AB1801" s="277"/>
      <c r="AC1801" s="277"/>
      <c r="AD1801" s="277"/>
      <c r="AE1801" s="277"/>
      <c r="AF1801" s="277"/>
      <c r="AG1801" s="277"/>
      <c r="AH1801" s="277"/>
      <c r="AI1801" s="277"/>
    </row>
    <row r="1802" spans="16:35" s="185" customFormat="1">
      <c r="P1802" s="277"/>
      <c r="Q1802" s="277"/>
      <c r="R1802" s="277"/>
      <c r="S1802" s="291">
        <v>43348</v>
      </c>
      <c r="T1802" s="279">
        <v>1709</v>
      </c>
      <c r="U1802" s="277"/>
      <c r="V1802" s="277"/>
      <c r="W1802" s="277"/>
      <c r="X1802" s="277"/>
      <c r="Y1802" s="277"/>
      <c r="Z1802" s="277"/>
      <c r="AA1802" s="277"/>
      <c r="AB1802" s="277"/>
      <c r="AC1802" s="277"/>
      <c r="AD1802" s="277"/>
      <c r="AE1802" s="277"/>
      <c r="AF1802" s="277"/>
      <c r="AG1802" s="277"/>
      <c r="AH1802" s="277"/>
      <c r="AI1802" s="277"/>
    </row>
    <row r="1803" spans="16:35" s="185" customFormat="1">
      <c r="P1803" s="277"/>
      <c r="Q1803" s="277"/>
      <c r="R1803" s="277"/>
      <c r="S1803" s="291">
        <v>43349</v>
      </c>
      <c r="T1803" s="279">
        <v>1710</v>
      </c>
      <c r="U1803" s="277"/>
      <c r="V1803" s="277"/>
      <c r="W1803" s="277"/>
      <c r="X1803" s="277"/>
      <c r="Y1803" s="277"/>
      <c r="Z1803" s="277"/>
      <c r="AA1803" s="277"/>
      <c r="AB1803" s="277"/>
      <c r="AC1803" s="277"/>
      <c r="AD1803" s="277"/>
      <c r="AE1803" s="277"/>
      <c r="AF1803" s="277"/>
      <c r="AG1803" s="277"/>
      <c r="AH1803" s="277"/>
      <c r="AI1803" s="277"/>
    </row>
    <row r="1804" spans="16:35" s="185" customFormat="1">
      <c r="P1804" s="277"/>
      <c r="Q1804" s="277"/>
      <c r="R1804" s="277"/>
      <c r="S1804" s="291">
        <v>43350</v>
      </c>
      <c r="T1804" s="279">
        <v>1711</v>
      </c>
      <c r="U1804" s="277"/>
      <c r="V1804" s="277"/>
      <c r="W1804" s="277"/>
      <c r="X1804" s="277"/>
      <c r="Y1804" s="277"/>
      <c r="Z1804" s="277"/>
      <c r="AA1804" s="277"/>
      <c r="AB1804" s="277"/>
      <c r="AC1804" s="277"/>
      <c r="AD1804" s="277"/>
      <c r="AE1804" s="277"/>
      <c r="AF1804" s="277"/>
      <c r="AG1804" s="277"/>
      <c r="AH1804" s="277"/>
      <c r="AI1804" s="277"/>
    </row>
    <row r="1805" spans="16:35" s="185" customFormat="1">
      <c r="P1805" s="277"/>
      <c r="Q1805" s="277"/>
      <c r="R1805" s="277"/>
      <c r="S1805" s="291">
        <v>43351</v>
      </c>
      <c r="T1805" s="279">
        <v>1712</v>
      </c>
      <c r="U1805" s="277"/>
      <c r="V1805" s="277"/>
      <c r="W1805" s="277"/>
      <c r="X1805" s="277"/>
      <c r="Y1805" s="277"/>
      <c r="Z1805" s="277"/>
      <c r="AA1805" s="277"/>
      <c r="AB1805" s="277"/>
      <c r="AC1805" s="277"/>
      <c r="AD1805" s="277"/>
      <c r="AE1805" s="277"/>
      <c r="AF1805" s="277"/>
      <c r="AG1805" s="277"/>
      <c r="AH1805" s="277"/>
      <c r="AI1805" s="277"/>
    </row>
    <row r="1806" spans="16:35" s="185" customFormat="1">
      <c r="P1806" s="277"/>
      <c r="Q1806" s="277"/>
      <c r="R1806" s="277"/>
      <c r="S1806" s="291">
        <v>43352</v>
      </c>
      <c r="T1806" s="279">
        <v>1713</v>
      </c>
      <c r="U1806" s="277"/>
      <c r="V1806" s="277"/>
      <c r="W1806" s="277"/>
      <c r="X1806" s="277"/>
      <c r="Y1806" s="277"/>
      <c r="Z1806" s="277"/>
      <c r="AA1806" s="277"/>
      <c r="AB1806" s="277"/>
      <c r="AC1806" s="277"/>
      <c r="AD1806" s="277"/>
      <c r="AE1806" s="277"/>
      <c r="AF1806" s="277"/>
      <c r="AG1806" s="277"/>
      <c r="AH1806" s="277"/>
      <c r="AI1806" s="277"/>
    </row>
    <row r="1807" spans="16:35" s="185" customFormat="1">
      <c r="P1807" s="277"/>
      <c r="Q1807" s="277"/>
      <c r="R1807" s="277"/>
      <c r="S1807" s="291">
        <v>43353</v>
      </c>
      <c r="T1807" s="279">
        <v>1714</v>
      </c>
      <c r="U1807" s="277"/>
      <c r="V1807" s="277"/>
      <c r="W1807" s="277"/>
      <c r="X1807" s="277"/>
      <c r="Y1807" s="277"/>
      <c r="Z1807" s="277"/>
      <c r="AA1807" s="277"/>
      <c r="AB1807" s="277"/>
      <c r="AC1807" s="277"/>
      <c r="AD1807" s="277"/>
      <c r="AE1807" s="277"/>
      <c r="AF1807" s="277"/>
      <c r="AG1807" s="277"/>
      <c r="AH1807" s="277"/>
      <c r="AI1807" s="277"/>
    </row>
    <row r="1808" spans="16:35" s="185" customFormat="1">
      <c r="P1808" s="277"/>
      <c r="Q1808" s="277"/>
      <c r="R1808" s="277"/>
      <c r="S1808" s="291">
        <v>43354</v>
      </c>
      <c r="T1808" s="279">
        <v>1715</v>
      </c>
      <c r="U1808" s="277"/>
      <c r="V1808" s="277"/>
      <c r="W1808" s="277"/>
      <c r="X1808" s="277"/>
      <c r="Y1808" s="277"/>
      <c r="Z1808" s="277"/>
      <c r="AA1808" s="277"/>
      <c r="AB1808" s="277"/>
      <c r="AC1808" s="277"/>
      <c r="AD1808" s="277"/>
      <c r="AE1808" s="277"/>
      <c r="AF1808" s="277"/>
      <c r="AG1808" s="277"/>
      <c r="AH1808" s="277"/>
      <c r="AI1808" s="277"/>
    </row>
    <row r="1809" spans="16:35" s="185" customFormat="1">
      <c r="P1809" s="277"/>
      <c r="Q1809" s="277"/>
      <c r="R1809" s="277"/>
      <c r="S1809" s="291">
        <v>43355</v>
      </c>
      <c r="T1809" s="279">
        <v>1716</v>
      </c>
      <c r="U1809" s="277"/>
      <c r="V1809" s="277"/>
      <c r="W1809" s="277"/>
      <c r="X1809" s="277"/>
      <c r="Y1809" s="277"/>
      <c r="Z1809" s="277"/>
      <c r="AA1809" s="277"/>
      <c r="AB1809" s="277"/>
      <c r="AC1809" s="277"/>
      <c r="AD1809" s="277"/>
      <c r="AE1809" s="277"/>
      <c r="AF1809" s="277"/>
      <c r="AG1809" s="277"/>
      <c r="AH1809" s="277"/>
      <c r="AI1809" s="277"/>
    </row>
    <row r="1810" spans="16:35" s="185" customFormat="1">
      <c r="P1810" s="277"/>
      <c r="Q1810" s="277"/>
      <c r="R1810" s="277"/>
      <c r="S1810" s="291">
        <v>43356</v>
      </c>
      <c r="T1810" s="279">
        <v>1717</v>
      </c>
      <c r="U1810" s="277"/>
      <c r="V1810" s="277"/>
      <c r="W1810" s="277"/>
      <c r="X1810" s="277"/>
      <c r="Y1810" s="277"/>
      <c r="Z1810" s="277"/>
      <c r="AA1810" s="277"/>
      <c r="AB1810" s="277"/>
      <c r="AC1810" s="277"/>
      <c r="AD1810" s="277"/>
      <c r="AE1810" s="277"/>
      <c r="AF1810" s="277"/>
      <c r="AG1810" s="277"/>
      <c r="AH1810" s="277"/>
      <c r="AI1810" s="277"/>
    </row>
    <row r="1811" spans="16:35" s="185" customFormat="1">
      <c r="P1811" s="277"/>
      <c r="Q1811" s="277"/>
      <c r="R1811" s="277"/>
      <c r="S1811" s="291">
        <v>43357</v>
      </c>
      <c r="T1811" s="279">
        <v>1718</v>
      </c>
      <c r="U1811" s="277"/>
      <c r="V1811" s="277"/>
      <c r="W1811" s="277"/>
      <c r="X1811" s="277"/>
      <c r="Y1811" s="277"/>
      <c r="Z1811" s="277"/>
      <c r="AA1811" s="277"/>
      <c r="AB1811" s="277"/>
      <c r="AC1811" s="277"/>
      <c r="AD1811" s="277"/>
      <c r="AE1811" s="277"/>
      <c r="AF1811" s="277"/>
      <c r="AG1811" s="277"/>
      <c r="AH1811" s="277"/>
      <c r="AI1811" s="277"/>
    </row>
    <row r="1812" spans="16:35" s="185" customFormat="1">
      <c r="P1812" s="277"/>
      <c r="Q1812" s="277"/>
      <c r="R1812" s="277"/>
      <c r="S1812" s="291">
        <v>43358</v>
      </c>
      <c r="T1812" s="279">
        <v>1719</v>
      </c>
      <c r="U1812" s="277"/>
      <c r="V1812" s="277"/>
      <c r="W1812" s="277"/>
      <c r="X1812" s="277"/>
      <c r="Y1812" s="277"/>
      <c r="Z1812" s="277"/>
      <c r="AA1812" s="277"/>
      <c r="AB1812" s="277"/>
      <c r="AC1812" s="277"/>
      <c r="AD1812" s="277"/>
      <c r="AE1812" s="277"/>
      <c r="AF1812" s="277"/>
      <c r="AG1812" s="277"/>
      <c r="AH1812" s="277"/>
      <c r="AI1812" s="277"/>
    </row>
    <row r="1813" spans="16:35" s="185" customFormat="1">
      <c r="P1813" s="277"/>
      <c r="Q1813" s="277"/>
      <c r="R1813" s="277"/>
      <c r="S1813" s="291">
        <v>43359</v>
      </c>
      <c r="T1813" s="279">
        <v>1720</v>
      </c>
      <c r="U1813" s="277"/>
      <c r="V1813" s="277"/>
      <c r="W1813" s="277"/>
      <c r="X1813" s="277"/>
      <c r="Y1813" s="277"/>
      <c r="Z1813" s="277"/>
      <c r="AA1813" s="277"/>
      <c r="AB1813" s="277"/>
      <c r="AC1813" s="277"/>
      <c r="AD1813" s="277"/>
      <c r="AE1813" s="277"/>
      <c r="AF1813" s="277"/>
      <c r="AG1813" s="277"/>
      <c r="AH1813" s="277"/>
      <c r="AI1813" s="277"/>
    </row>
    <row r="1814" spans="16:35" s="185" customFormat="1">
      <c r="P1814" s="277"/>
      <c r="Q1814" s="277"/>
      <c r="R1814" s="277"/>
      <c r="S1814" s="291">
        <v>43360</v>
      </c>
      <c r="T1814" s="279">
        <v>1721</v>
      </c>
      <c r="U1814" s="277"/>
      <c r="V1814" s="277"/>
      <c r="W1814" s="277"/>
      <c r="X1814" s="277"/>
      <c r="Y1814" s="277"/>
      <c r="Z1814" s="277"/>
      <c r="AA1814" s="277"/>
      <c r="AB1814" s="277"/>
      <c r="AC1814" s="277"/>
      <c r="AD1814" s="277"/>
      <c r="AE1814" s="277"/>
      <c r="AF1814" s="277"/>
      <c r="AG1814" s="277"/>
      <c r="AH1814" s="277"/>
      <c r="AI1814" s="277"/>
    </row>
    <row r="1815" spans="16:35" s="185" customFormat="1">
      <c r="P1815" s="277"/>
      <c r="Q1815" s="277"/>
      <c r="R1815" s="277"/>
      <c r="S1815" s="291">
        <v>43361</v>
      </c>
      <c r="T1815" s="279">
        <v>1722</v>
      </c>
      <c r="U1815" s="277"/>
      <c r="V1815" s="277"/>
      <c r="W1815" s="277"/>
      <c r="X1815" s="277"/>
      <c r="Y1815" s="277"/>
      <c r="Z1815" s="277"/>
      <c r="AA1815" s="277"/>
      <c r="AB1815" s="277"/>
      <c r="AC1815" s="277"/>
      <c r="AD1815" s="277"/>
      <c r="AE1815" s="277"/>
      <c r="AF1815" s="277"/>
      <c r="AG1815" s="277"/>
      <c r="AH1815" s="277"/>
      <c r="AI1815" s="277"/>
    </row>
    <row r="1816" spans="16:35" s="185" customFormat="1">
      <c r="P1816" s="277"/>
      <c r="Q1816" s="277"/>
      <c r="R1816" s="277"/>
      <c r="S1816" s="291">
        <v>43362</v>
      </c>
      <c r="T1816" s="279">
        <v>1723</v>
      </c>
      <c r="U1816" s="277"/>
      <c r="V1816" s="277"/>
      <c r="W1816" s="277"/>
      <c r="X1816" s="277"/>
      <c r="Y1816" s="277"/>
      <c r="Z1816" s="277"/>
      <c r="AA1816" s="277"/>
      <c r="AB1816" s="277"/>
      <c r="AC1816" s="277"/>
      <c r="AD1816" s="277"/>
      <c r="AE1816" s="277"/>
      <c r="AF1816" s="277"/>
      <c r="AG1816" s="277"/>
      <c r="AH1816" s="277"/>
      <c r="AI1816" s="277"/>
    </row>
    <row r="1817" spans="16:35" s="185" customFormat="1">
      <c r="P1817" s="277"/>
      <c r="Q1817" s="277"/>
      <c r="R1817" s="277"/>
      <c r="S1817" s="291">
        <v>43363</v>
      </c>
      <c r="T1817" s="279">
        <v>1724</v>
      </c>
      <c r="U1817" s="277"/>
      <c r="V1817" s="277"/>
      <c r="W1817" s="277"/>
      <c r="X1817" s="277"/>
      <c r="Y1817" s="277"/>
      <c r="Z1817" s="277"/>
      <c r="AA1817" s="277"/>
      <c r="AB1817" s="277"/>
      <c r="AC1817" s="277"/>
      <c r="AD1817" s="277"/>
      <c r="AE1817" s="277"/>
      <c r="AF1817" s="277"/>
      <c r="AG1817" s="277"/>
      <c r="AH1817" s="277"/>
      <c r="AI1817" s="277"/>
    </row>
    <row r="1818" spans="16:35" s="185" customFormat="1">
      <c r="P1818" s="277"/>
      <c r="Q1818" s="277"/>
      <c r="R1818" s="277"/>
      <c r="S1818" s="291">
        <v>43364</v>
      </c>
      <c r="T1818" s="279">
        <v>1725</v>
      </c>
      <c r="U1818" s="277"/>
      <c r="V1818" s="277"/>
      <c r="W1818" s="277"/>
      <c r="X1818" s="277"/>
      <c r="Y1818" s="277"/>
      <c r="Z1818" s="277"/>
      <c r="AA1818" s="277"/>
      <c r="AB1818" s="277"/>
      <c r="AC1818" s="277"/>
      <c r="AD1818" s="277"/>
      <c r="AE1818" s="277"/>
      <c r="AF1818" s="277"/>
      <c r="AG1818" s="277"/>
      <c r="AH1818" s="277"/>
      <c r="AI1818" s="277"/>
    </row>
    <row r="1819" spans="16:35" s="185" customFormat="1">
      <c r="P1819" s="277"/>
      <c r="Q1819" s="277"/>
      <c r="R1819" s="277"/>
      <c r="S1819" s="291">
        <v>43365</v>
      </c>
      <c r="T1819" s="279">
        <v>1726</v>
      </c>
      <c r="U1819" s="277"/>
      <c r="V1819" s="277"/>
      <c r="W1819" s="277"/>
      <c r="X1819" s="277"/>
      <c r="Y1819" s="277"/>
      <c r="Z1819" s="277"/>
      <c r="AA1819" s="277"/>
      <c r="AB1819" s="277"/>
      <c r="AC1819" s="277"/>
      <c r="AD1819" s="277"/>
      <c r="AE1819" s="277"/>
      <c r="AF1819" s="277"/>
      <c r="AG1819" s="277"/>
      <c r="AH1819" s="277"/>
      <c r="AI1819" s="277"/>
    </row>
    <row r="1820" spans="16:35" s="185" customFormat="1">
      <c r="P1820" s="277"/>
      <c r="Q1820" s="277"/>
      <c r="R1820" s="277"/>
      <c r="S1820" s="291">
        <v>43366</v>
      </c>
      <c r="T1820" s="279">
        <v>1727</v>
      </c>
      <c r="U1820" s="277"/>
      <c r="V1820" s="277"/>
      <c r="W1820" s="277"/>
      <c r="X1820" s="277"/>
      <c r="Y1820" s="277"/>
      <c r="Z1820" s="277"/>
      <c r="AA1820" s="277"/>
      <c r="AB1820" s="277"/>
      <c r="AC1820" s="277"/>
      <c r="AD1820" s="277"/>
      <c r="AE1820" s="277"/>
      <c r="AF1820" s="277"/>
      <c r="AG1820" s="277"/>
      <c r="AH1820" s="277"/>
      <c r="AI1820" s="277"/>
    </row>
    <row r="1821" spans="16:35" s="185" customFormat="1">
      <c r="P1821" s="277"/>
      <c r="Q1821" s="277"/>
      <c r="R1821" s="277"/>
      <c r="S1821" s="291">
        <v>43367</v>
      </c>
      <c r="T1821" s="279">
        <v>1728</v>
      </c>
      <c r="U1821" s="277"/>
      <c r="V1821" s="277"/>
      <c r="W1821" s="277"/>
      <c r="X1821" s="277"/>
      <c r="Y1821" s="277"/>
      <c r="Z1821" s="277"/>
      <c r="AA1821" s="277"/>
      <c r="AB1821" s="277"/>
      <c r="AC1821" s="277"/>
      <c r="AD1821" s="277"/>
      <c r="AE1821" s="277"/>
      <c r="AF1821" s="277"/>
      <c r="AG1821" s="277"/>
      <c r="AH1821" s="277"/>
      <c r="AI1821" s="277"/>
    </row>
    <row r="1822" spans="16:35" s="185" customFormat="1">
      <c r="P1822" s="277"/>
      <c r="Q1822" s="277"/>
      <c r="R1822" s="277"/>
      <c r="S1822" s="291">
        <v>43368</v>
      </c>
      <c r="T1822" s="279">
        <v>1729</v>
      </c>
      <c r="U1822" s="277"/>
      <c r="V1822" s="277"/>
      <c r="W1822" s="277"/>
      <c r="X1822" s="277"/>
      <c r="Y1822" s="277"/>
      <c r="Z1822" s="277"/>
      <c r="AA1822" s="277"/>
      <c r="AB1822" s="277"/>
      <c r="AC1822" s="277"/>
      <c r="AD1822" s="277"/>
      <c r="AE1822" s="277"/>
      <c r="AF1822" s="277"/>
      <c r="AG1822" s="277"/>
      <c r="AH1822" s="277"/>
      <c r="AI1822" s="277"/>
    </row>
    <row r="1823" spans="16:35" s="185" customFormat="1">
      <c r="P1823" s="277"/>
      <c r="Q1823" s="277"/>
      <c r="R1823" s="277"/>
      <c r="S1823" s="291">
        <v>43369</v>
      </c>
      <c r="T1823" s="279">
        <v>1730</v>
      </c>
      <c r="U1823" s="277"/>
      <c r="V1823" s="277"/>
      <c r="W1823" s="277"/>
      <c r="X1823" s="277"/>
      <c r="Y1823" s="277"/>
      <c r="Z1823" s="277"/>
      <c r="AA1823" s="277"/>
      <c r="AB1823" s="277"/>
      <c r="AC1823" s="277"/>
      <c r="AD1823" s="277"/>
      <c r="AE1823" s="277"/>
      <c r="AF1823" s="277"/>
      <c r="AG1823" s="277"/>
      <c r="AH1823" s="277"/>
      <c r="AI1823" s="277"/>
    </row>
    <row r="1824" spans="16:35" s="185" customFormat="1">
      <c r="P1824" s="277"/>
      <c r="Q1824" s="277"/>
      <c r="R1824" s="277"/>
      <c r="S1824" s="291">
        <v>43370</v>
      </c>
      <c r="T1824" s="279">
        <v>1731</v>
      </c>
      <c r="U1824" s="277"/>
      <c r="V1824" s="277"/>
      <c r="W1824" s="277"/>
      <c r="X1824" s="277"/>
      <c r="Y1824" s="277"/>
      <c r="Z1824" s="277"/>
      <c r="AA1824" s="277"/>
      <c r="AB1824" s="277"/>
      <c r="AC1824" s="277"/>
      <c r="AD1824" s="277"/>
      <c r="AE1824" s="277"/>
      <c r="AF1824" s="277"/>
      <c r="AG1824" s="277"/>
      <c r="AH1824" s="277"/>
      <c r="AI1824" s="277"/>
    </row>
    <row r="1825" spans="16:35" s="185" customFormat="1">
      <c r="P1825" s="277"/>
      <c r="Q1825" s="277"/>
      <c r="R1825" s="277"/>
      <c r="S1825" s="291">
        <v>43371</v>
      </c>
      <c r="T1825" s="279">
        <v>1732</v>
      </c>
      <c r="U1825" s="277"/>
      <c r="V1825" s="277"/>
      <c r="W1825" s="277"/>
      <c r="X1825" s="277"/>
      <c r="Y1825" s="277"/>
      <c r="Z1825" s="277"/>
      <c r="AA1825" s="277"/>
      <c r="AB1825" s="277"/>
      <c r="AC1825" s="277"/>
      <c r="AD1825" s="277"/>
      <c r="AE1825" s="277"/>
      <c r="AF1825" s="277"/>
      <c r="AG1825" s="277"/>
      <c r="AH1825" s="277"/>
      <c r="AI1825" s="277"/>
    </row>
    <row r="1826" spans="16:35" s="185" customFormat="1">
      <c r="P1826" s="277"/>
      <c r="Q1826" s="277"/>
      <c r="R1826" s="277"/>
      <c r="S1826" s="291">
        <v>43372</v>
      </c>
      <c r="T1826" s="279">
        <v>1733</v>
      </c>
      <c r="U1826" s="277"/>
      <c r="V1826" s="277"/>
      <c r="W1826" s="277"/>
      <c r="X1826" s="277"/>
      <c r="Y1826" s="277"/>
      <c r="Z1826" s="277"/>
      <c r="AA1826" s="277"/>
      <c r="AB1826" s="277"/>
      <c r="AC1826" s="277"/>
      <c r="AD1826" s="277"/>
      <c r="AE1826" s="277"/>
      <c r="AF1826" s="277"/>
      <c r="AG1826" s="277"/>
      <c r="AH1826" s="277"/>
      <c r="AI1826" s="277"/>
    </row>
    <row r="1827" spans="16:35" s="185" customFormat="1">
      <c r="P1827" s="277"/>
      <c r="Q1827" s="277"/>
      <c r="R1827" s="277"/>
      <c r="S1827" s="291">
        <v>43373</v>
      </c>
      <c r="T1827" s="279">
        <v>1734</v>
      </c>
      <c r="U1827" s="277"/>
      <c r="V1827" s="277"/>
      <c r="W1827" s="277"/>
      <c r="X1827" s="277"/>
      <c r="Y1827" s="277"/>
      <c r="Z1827" s="277"/>
      <c r="AA1827" s="277"/>
      <c r="AB1827" s="277"/>
      <c r="AC1827" s="277"/>
      <c r="AD1827" s="277"/>
      <c r="AE1827" s="277"/>
      <c r="AF1827" s="277"/>
      <c r="AG1827" s="277"/>
      <c r="AH1827" s="277"/>
      <c r="AI1827" s="277"/>
    </row>
    <row r="1828" spans="16:35" s="185" customFormat="1">
      <c r="P1828" s="277"/>
      <c r="Q1828" s="277"/>
      <c r="R1828" s="277"/>
      <c r="S1828" s="291">
        <v>43374</v>
      </c>
      <c r="T1828" s="279">
        <v>1735</v>
      </c>
      <c r="U1828" s="277"/>
      <c r="V1828" s="277"/>
      <c r="W1828" s="277"/>
      <c r="X1828" s="277"/>
      <c r="Y1828" s="277"/>
      <c r="Z1828" s="277"/>
      <c r="AA1828" s="277"/>
      <c r="AB1828" s="277"/>
      <c r="AC1828" s="277"/>
      <c r="AD1828" s="277"/>
      <c r="AE1828" s="277"/>
      <c r="AF1828" s="277"/>
      <c r="AG1828" s="277"/>
      <c r="AH1828" s="277"/>
      <c r="AI1828" s="277"/>
    </row>
    <row r="1829" spans="16:35" s="185" customFormat="1">
      <c r="P1829" s="277"/>
      <c r="Q1829" s="277"/>
      <c r="R1829" s="277"/>
      <c r="S1829" s="291">
        <v>43375</v>
      </c>
      <c r="T1829" s="279">
        <v>1736</v>
      </c>
      <c r="U1829" s="277"/>
      <c r="V1829" s="277"/>
      <c r="W1829" s="277"/>
      <c r="X1829" s="277"/>
      <c r="Y1829" s="277"/>
      <c r="Z1829" s="277"/>
      <c r="AA1829" s="277"/>
      <c r="AB1829" s="277"/>
      <c r="AC1829" s="277"/>
      <c r="AD1829" s="277"/>
      <c r="AE1829" s="277"/>
      <c r="AF1829" s="277"/>
      <c r="AG1829" s="277"/>
      <c r="AH1829" s="277"/>
      <c r="AI1829" s="277"/>
    </row>
    <row r="1830" spans="16:35" s="185" customFormat="1">
      <c r="P1830" s="277"/>
      <c r="Q1830" s="277"/>
      <c r="R1830" s="277"/>
      <c r="S1830" s="291">
        <v>43376</v>
      </c>
      <c r="T1830" s="279">
        <v>1737</v>
      </c>
      <c r="U1830" s="277"/>
      <c r="V1830" s="277"/>
      <c r="W1830" s="277"/>
      <c r="X1830" s="277"/>
      <c r="Y1830" s="277"/>
      <c r="Z1830" s="277"/>
      <c r="AA1830" s="277"/>
      <c r="AB1830" s="277"/>
      <c r="AC1830" s="277"/>
      <c r="AD1830" s="277"/>
      <c r="AE1830" s="277"/>
      <c r="AF1830" s="277"/>
      <c r="AG1830" s="277"/>
      <c r="AH1830" s="277"/>
      <c r="AI1830" s="277"/>
    </row>
    <row r="1831" spans="16:35" s="185" customFormat="1">
      <c r="P1831" s="277"/>
      <c r="Q1831" s="277"/>
      <c r="R1831" s="277"/>
      <c r="S1831" s="291">
        <v>43377</v>
      </c>
      <c r="T1831" s="279">
        <v>1738</v>
      </c>
      <c r="U1831" s="277"/>
      <c r="V1831" s="277"/>
      <c r="W1831" s="277"/>
      <c r="X1831" s="277"/>
      <c r="Y1831" s="277"/>
      <c r="Z1831" s="277"/>
      <c r="AA1831" s="277"/>
      <c r="AB1831" s="277"/>
      <c r="AC1831" s="277"/>
      <c r="AD1831" s="277"/>
      <c r="AE1831" s="277"/>
      <c r="AF1831" s="277"/>
      <c r="AG1831" s="277"/>
      <c r="AH1831" s="277"/>
      <c r="AI1831" s="277"/>
    </row>
    <row r="1832" spans="16:35" s="185" customFormat="1">
      <c r="P1832" s="277"/>
      <c r="Q1832" s="277"/>
      <c r="R1832" s="277"/>
      <c r="S1832" s="291">
        <v>43378</v>
      </c>
      <c r="T1832" s="279">
        <v>1739</v>
      </c>
      <c r="U1832" s="277"/>
      <c r="V1832" s="277"/>
      <c r="W1832" s="277"/>
      <c r="X1832" s="277"/>
      <c r="Y1832" s="277"/>
      <c r="Z1832" s="277"/>
      <c r="AA1832" s="277"/>
      <c r="AB1832" s="277"/>
      <c r="AC1832" s="277"/>
      <c r="AD1832" s="277"/>
      <c r="AE1832" s="277"/>
      <c r="AF1832" s="277"/>
      <c r="AG1832" s="277"/>
      <c r="AH1832" s="277"/>
      <c r="AI1832" s="277"/>
    </row>
    <row r="1833" spans="16:35" s="185" customFormat="1">
      <c r="P1833" s="277"/>
      <c r="Q1833" s="277"/>
      <c r="R1833" s="277"/>
      <c r="S1833" s="291">
        <v>43379</v>
      </c>
      <c r="T1833" s="279">
        <v>1740</v>
      </c>
      <c r="U1833" s="277"/>
      <c r="V1833" s="277"/>
      <c r="W1833" s="277"/>
      <c r="X1833" s="277"/>
      <c r="Y1833" s="277"/>
      <c r="Z1833" s="277"/>
      <c r="AA1833" s="277"/>
      <c r="AB1833" s="277"/>
      <c r="AC1833" s="277"/>
      <c r="AD1833" s="277"/>
      <c r="AE1833" s="277"/>
      <c r="AF1833" s="277"/>
      <c r="AG1833" s="277"/>
      <c r="AH1833" s="277"/>
      <c r="AI1833" s="277"/>
    </row>
    <row r="1834" spans="16:35" s="185" customFormat="1">
      <c r="P1834" s="277"/>
      <c r="Q1834" s="277"/>
      <c r="R1834" s="277"/>
      <c r="S1834" s="291">
        <v>43380</v>
      </c>
      <c r="T1834" s="279">
        <v>1741</v>
      </c>
      <c r="U1834" s="277"/>
      <c r="V1834" s="277"/>
      <c r="W1834" s="277"/>
      <c r="X1834" s="277"/>
      <c r="Y1834" s="277"/>
      <c r="Z1834" s="277"/>
      <c r="AA1834" s="277"/>
      <c r="AB1834" s="277"/>
      <c r="AC1834" s="277"/>
      <c r="AD1834" s="277"/>
      <c r="AE1834" s="277"/>
      <c r="AF1834" s="277"/>
      <c r="AG1834" s="277"/>
      <c r="AH1834" s="277"/>
      <c r="AI1834" s="277"/>
    </row>
    <row r="1835" spans="16:35" s="185" customFormat="1">
      <c r="P1835" s="277"/>
      <c r="Q1835" s="277"/>
      <c r="R1835" s="277"/>
      <c r="S1835" s="291">
        <v>43381</v>
      </c>
      <c r="T1835" s="279">
        <v>1742</v>
      </c>
      <c r="U1835" s="277"/>
      <c r="V1835" s="277"/>
      <c r="W1835" s="277"/>
      <c r="X1835" s="277"/>
      <c r="Y1835" s="277"/>
      <c r="Z1835" s="277"/>
      <c r="AA1835" s="277"/>
      <c r="AB1835" s="277"/>
      <c r="AC1835" s="277"/>
      <c r="AD1835" s="277"/>
      <c r="AE1835" s="277"/>
      <c r="AF1835" s="277"/>
      <c r="AG1835" s="277"/>
      <c r="AH1835" s="277"/>
      <c r="AI1835" s="277"/>
    </row>
    <row r="1836" spans="16:35" s="185" customFormat="1">
      <c r="P1836" s="277"/>
      <c r="Q1836" s="277"/>
      <c r="R1836" s="277"/>
      <c r="S1836" s="291">
        <v>43382</v>
      </c>
      <c r="T1836" s="279">
        <v>1743</v>
      </c>
      <c r="U1836" s="277"/>
      <c r="V1836" s="277"/>
      <c r="W1836" s="277"/>
      <c r="X1836" s="277"/>
      <c r="Y1836" s="277"/>
      <c r="Z1836" s="277"/>
      <c r="AA1836" s="277"/>
      <c r="AB1836" s="277"/>
      <c r="AC1836" s="277"/>
      <c r="AD1836" s="277"/>
      <c r="AE1836" s="277"/>
      <c r="AF1836" s="277"/>
      <c r="AG1836" s="277"/>
      <c r="AH1836" s="277"/>
      <c r="AI1836" s="277"/>
    </row>
    <row r="1837" spans="16:35" s="185" customFormat="1">
      <c r="P1837" s="277"/>
      <c r="Q1837" s="277"/>
      <c r="R1837" s="277"/>
      <c r="S1837" s="291">
        <v>43383</v>
      </c>
      <c r="T1837" s="279">
        <v>1744</v>
      </c>
      <c r="U1837" s="277"/>
      <c r="V1837" s="277"/>
      <c r="W1837" s="277"/>
      <c r="X1837" s="277"/>
      <c r="Y1837" s="277"/>
      <c r="Z1837" s="277"/>
      <c r="AA1837" s="277"/>
      <c r="AB1837" s="277"/>
      <c r="AC1837" s="277"/>
      <c r="AD1837" s="277"/>
      <c r="AE1837" s="277"/>
      <c r="AF1837" s="277"/>
      <c r="AG1837" s="277"/>
      <c r="AH1837" s="277"/>
      <c r="AI1837" s="277"/>
    </row>
    <row r="1838" spans="16:35" s="185" customFormat="1">
      <c r="P1838" s="277"/>
      <c r="Q1838" s="277"/>
      <c r="R1838" s="277"/>
      <c r="S1838" s="291">
        <v>43384</v>
      </c>
      <c r="T1838" s="279">
        <v>1745</v>
      </c>
      <c r="U1838" s="277"/>
      <c r="V1838" s="277"/>
      <c r="W1838" s="277"/>
      <c r="X1838" s="277"/>
      <c r="Y1838" s="277"/>
      <c r="Z1838" s="277"/>
      <c r="AA1838" s="277"/>
      <c r="AB1838" s="277"/>
      <c r="AC1838" s="277"/>
      <c r="AD1838" s="277"/>
      <c r="AE1838" s="277"/>
      <c r="AF1838" s="277"/>
      <c r="AG1838" s="277"/>
      <c r="AH1838" s="277"/>
      <c r="AI1838" s="277"/>
    </row>
    <row r="1839" spans="16:35" s="185" customFormat="1">
      <c r="P1839" s="277"/>
      <c r="Q1839" s="277"/>
      <c r="R1839" s="277"/>
      <c r="S1839" s="291">
        <v>43385</v>
      </c>
      <c r="T1839" s="279">
        <v>1746</v>
      </c>
      <c r="U1839" s="277"/>
      <c r="V1839" s="277"/>
      <c r="W1839" s="277"/>
      <c r="X1839" s="277"/>
      <c r="Y1839" s="277"/>
      <c r="Z1839" s="277"/>
      <c r="AA1839" s="277"/>
      <c r="AB1839" s="277"/>
      <c r="AC1839" s="277"/>
      <c r="AD1839" s="277"/>
      <c r="AE1839" s="277"/>
      <c r="AF1839" s="277"/>
      <c r="AG1839" s="277"/>
      <c r="AH1839" s="277"/>
      <c r="AI1839" s="277"/>
    </row>
    <row r="1840" spans="16:35" s="185" customFormat="1">
      <c r="P1840" s="277"/>
      <c r="Q1840" s="277"/>
      <c r="R1840" s="277"/>
      <c r="S1840" s="291">
        <v>43386</v>
      </c>
      <c r="T1840" s="279">
        <v>1747</v>
      </c>
      <c r="U1840" s="277"/>
      <c r="V1840" s="277"/>
      <c r="W1840" s="277"/>
      <c r="X1840" s="277"/>
      <c r="Y1840" s="277"/>
      <c r="Z1840" s="277"/>
      <c r="AA1840" s="277"/>
      <c r="AB1840" s="277"/>
      <c r="AC1840" s="277"/>
      <c r="AD1840" s="277"/>
      <c r="AE1840" s="277"/>
      <c r="AF1840" s="277"/>
      <c r="AG1840" s="277"/>
      <c r="AH1840" s="277"/>
      <c r="AI1840" s="277"/>
    </row>
    <row r="1841" spans="16:35" s="185" customFormat="1">
      <c r="P1841" s="277"/>
      <c r="Q1841" s="277"/>
      <c r="R1841" s="277"/>
      <c r="S1841" s="291">
        <v>43387</v>
      </c>
      <c r="T1841" s="279">
        <v>1748</v>
      </c>
      <c r="U1841" s="277"/>
      <c r="V1841" s="277"/>
      <c r="W1841" s="277"/>
      <c r="X1841" s="277"/>
      <c r="Y1841" s="277"/>
      <c r="Z1841" s="277"/>
      <c r="AA1841" s="277"/>
      <c r="AB1841" s="277"/>
      <c r="AC1841" s="277"/>
      <c r="AD1841" s="277"/>
      <c r="AE1841" s="277"/>
      <c r="AF1841" s="277"/>
      <c r="AG1841" s="277"/>
      <c r="AH1841" s="277"/>
      <c r="AI1841" s="277"/>
    </row>
    <row r="1842" spans="16:35" s="185" customFormat="1">
      <c r="P1842" s="277"/>
      <c r="Q1842" s="277"/>
      <c r="R1842" s="277"/>
      <c r="S1842" s="291">
        <v>43388</v>
      </c>
      <c r="T1842" s="279">
        <v>1749</v>
      </c>
      <c r="U1842" s="277"/>
      <c r="V1842" s="277"/>
      <c r="W1842" s="277"/>
      <c r="X1842" s="277"/>
      <c r="Y1842" s="277"/>
      <c r="Z1842" s="277"/>
      <c r="AA1842" s="277"/>
      <c r="AB1842" s="277"/>
      <c r="AC1842" s="277"/>
      <c r="AD1842" s="277"/>
      <c r="AE1842" s="277"/>
      <c r="AF1842" s="277"/>
      <c r="AG1842" s="277"/>
      <c r="AH1842" s="277"/>
      <c r="AI1842" s="277"/>
    </row>
    <row r="1843" spans="16:35" s="185" customFormat="1">
      <c r="P1843" s="277"/>
      <c r="Q1843" s="277"/>
      <c r="R1843" s="277"/>
      <c r="S1843" s="291">
        <v>43389</v>
      </c>
      <c r="T1843" s="279">
        <v>1750</v>
      </c>
      <c r="U1843" s="277"/>
      <c r="V1843" s="277"/>
      <c r="W1843" s="277"/>
      <c r="X1843" s="277"/>
      <c r="Y1843" s="277"/>
      <c r="Z1843" s="277"/>
      <c r="AA1843" s="277"/>
      <c r="AB1843" s="277"/>
      <c r="AC1843" s="277"/>
      <c r="AD1843" s="277"/>
      <c r="AE1843" s="277"/>
      <c r="AF1843" s="277"/>
      <c r="AG1843" s="277"/>
      <c r="AH1843" s="277"/>
      <c r="AI1843" s="277"/>
    </row>
    <row r="1844" spans="16:35" s="185" customFormat="1">
      <c r="P1844" s="277"/>
      <c r="Q1844" s="277"/>
      <c r="R1844" s="277"/>
      <c r="S1844" s="291">
        <v>43390</v>
      </c>
      <c r="T1844" s="279">
        <v>1751</v>
      </c>
      <c r="U1844" s="277"/>
      <c r="V1844" s="277"/>
      <c r="W1844" s="277"/>
      <c r="X1844" s="277"/>
      <c r="Y1844" s="277"/>
      <c r="Z1844" s="277"/>
      <c r="AA1844" s="277"/>
      <c r="AB1844" s="277"/>
      <c r="AC1844" s="277"/>
      <c r="AD1844" s="277"/>
      <c r="AE1844" s="277"/>
      <c r="AF1844" s="277"/>
      <c r="AG1844" s="277"/>
      <c r="AH1844" s="277"/>
      <c r="AI1844" s="277"/>
    </row>
    <row r="1845" spans="16:35" s="185" customFormat="1">
      <c r="P1845" s="277"/>
      <c r="Q1845" s="277"/>
      <c r="R1845" s="277"/>
      <c r="S1845" s="291">
        <v>43391</v>
      </c>
      <c r="T1845" s="279">
        <v>1752</v>
      </c>
      <c r="U1845" s="277"/>
      <c r="V1845" s="277"/>
      <c r="W1845" s="277"/>
      <c r="X1845" s="277"/>
      <c r="Y1845" s="277"/>
      <c r="Z1845" s="277"/>
      <c r="AA1845" s="277"/>
      <c r="AB1845" s="277"/>
      <c r="AC1845" s="277"/>
      <c r="AD1845" s="277"/>
      <c r="AE1845" s="277"/>
      <c r="AF1845" s="277"/>
      <c r="AG1845" s="277"/>
      <c r="AH1845" s="277"/>
      <c r="AI1845" s="277"/>
    </row>
    <row r="1846" spans="16:35" s="185" customFormat="1">
      <c r="P1846" s="277"/>
      <c r="Q1846" s="277"/>
      <c r="R1846" s="277"/>
      <c r="S1846" s="291">
        <v>43392</v>
      </c>
      <c r="T1846" s="279">
        <v>1753</v>
      </c>
      <c r="U1846" s="277"/>
      <c r="V1846" s="277"/>
      <c r="W1846" s="277"/>
      <c r="X1846" s="277"/>
      <c r="Y1846" s="277"/>
      <c r="Z1846" s="277"/>
      <c r="AA1846" s="277"/>
      <c r="AB1846" s="277"/>
      <c r="AC1846" s="277"/>
      <c r="AD1846" s="277"/>
      <c r="AE1846" s="277"/>
      <c r="AF1846" s="277"/>
      <c r="AG1846" s="277"/>
      <c r="AH1846" s="277"/>
      <c r="AI1846" s="277"/>
    </row>
    <row r="1847" spans="16:35" s="185" customFormat="1">
      <c r="P1847" s="277"/>
      <c r="Q1847" s="277"/>
      <c r="R1847" s="277"/>
      <c r="S1847" s="291">
        <v>43393</v>
      </c>
      <c r="T1847" s="279">
        <v>1754</v>
      </c>
      <c r="U1847" s="277"/>
      <c r="V1847" s="277"/>
      <c r="W1847" s="277"/>
      <c r="X1847" s="277"/>
      <c r="Y1847" s="277"/>
      <c r="Z1847" s="277"/>
      <c r="AA1847" s="277"/>
      <c r="AB1847" s="277"/>
      <c r="AC1847" s="277"/>
      <c r="AD1847" s="277"/>
      <c r="AE1847" s="277"/>
      <c r="AF1847" s="277"/>
      <c r="AG1847" s="277"/>
      <c r="AH1847" s="277"/>
      <c r="AI1847" s="277"/>
    </row>
    <row r="1848" spans="16:35" s="185" customFormat="1">
      <c r="P1848" s="277"/>
      <c r="Q1848" s="277"/>
      <c r="R1848" s="277"/>
      <c r="S1848" s="291">
        <v>43394</v>
      </c>
      <c r="T1848" s="279">
        <v>1755</v>
      </c>
      <c r="U1848" s="277"/>
      <c r="V1848" s="277"/>
      <c r="W1848" s="277"/>
      <c r="X1848" s="277"/>
      <c r="Y1848" s="277"/>
      <c r="Z1848" s="277"/>
      <c r="AA1848" s="277"/>
      <c r="AB1848" s="277"/>
      <c r="AC1848" s="277"/>
      <c r="AD1848" s="277"/>
      <c r="AE1848" s="277"/>
      <c r="AF1848" s="277"/>
      <c r="AG1848" s="277"/>
      <c r="AH1848" s="277"/>
      <c r="AI1848" s="277"/>
    </row>
    <row r="1849" spans="16:35" s="185" customFormat="1">
      <c r="P1849" s="277"/>
      <c r="Q1849" s="277"/>
      <c r="R1849" s="277"/>
      <c r="S1849" s="291">
        <v>43395</v>
      </c>
      <c r="T1849" s="279">
        <v>1756</v>
      </c>
      <c r="U1849" s="277"/>
      <c r="V1849" s="277"/>
      <c r="W1849" s="277"/>
      <c r="X1849" s="277"/>
      <c r="Y1849" s="277"/>
      <c r="Z1849" s="277"/>
      <c r="AA1849" s="277"/>
      <c r="AB1849" s="277"/>
      <c r="AC1849" s="277"/>
      <c r="AD1849" s="277"/>
      <c r="AE1849" s="277"/>
      <c r="AF1849" s="277"/>
      <c r="AG1849" s="277"/>
      <c r="AH1849" s="277"/>
      <c r="AI1849" s="277"/>
    </row>
    <row r="1850" spans="16:35" s="185" customFormat="1">
      <c r="P1850" s="277"/>
      <c r="Q1850" s="277"/>
      <c r="R1850" s="277"/>
      <c r="S1850" s="291">
        <v>43396</v>
      </c>
      <c r="T1850" s="279">
        <v>1757</v>
      </c>
      <c r="U1850" s="277"/>
      <c r="V1850" s="277"/>
      <c r="W1850" s="277"/>
      <c r="X1850" s="277"/>
      <c r="Y1850" s="277"/>
      <c r="Z1850" s="277"/>
      <c r="AA1850" s="277"/>
      <c r="AB1850" s="277"/>
      <c r="AC1850" s="277"/>
      <c r="AD1850" s="277"/>
      <c r="AE1850" s="277"/>
      <c r="AF1850" s="277"/>
      <c r="AG1850" s="277"/>
      <c r="AH1850" s="277"/>
      <c r="AI1850" s="277"/>
    </row>
    <row r="1851" spans="16:35" s="185" customFormat="1">
      <c r="P1851" s="277"/>
      <c r="Q1851" s="277"/>
      <c r="R1851" s="277"/>
      <c r="S1851" s="291">
        <v>43397</v>
      </c>
      <c r="T1851" s="279">
        <v>1758</v>
      </c>
      <c r="U1851" s="277"/>
      <c r="V1851" s="277"/>
      <c r="W1851" s="277"/>
      <c r="X1851" s="277"/>
      <c r="Y1851" s="277"/>
      <c r="Z1851" s="277"/>
      <c r="AA1851" s="277"/>
      <c r="AB1851" s="277"/>
      <c r="AC1851" s="277"/>
      <c r="AD1851" s="277"/>
      <c r="AE1851" s="277"/>
      <c r="AF1851" s="277"/>
      <c r="AG1851" s="277"/>
      <c r="AH1851" s="277"/>
      <c r="AI1851" s="277"/>
    </row>
    <row r="1852" spans="16:35" s="185" customFormat="1">
      <c r="P1852" s="277"/>
      <c r="Q1852" s="277"/>
      <c r="R1852" s="277"/>
      <c r="S1852" s="291">
        <v>43398</v>
      </c>
      <c r="T1852" s="279">
        <v>1759</v>
      </c>
      <c r="U1852" s="277"/>
      <c r="V1852" s="277"/>
      <c r="W1852" s="277"/>
      <c r="X1852" s="277"/>
      <c r="Y1852" s="277"/>
      <c r="Z1852" s="277"/>
      <c r="AA1852" s="277"/>
      <c r="AB1852" s="277"/>
      <c r="AC1852" s="277"/>
      <c r="AD1852" s="277"/>
      <c r="AE1852" s="277"/>
      <c r="AF1852" s="277"/>
      <c r="AG1852" s="277"/>
      <c r="AH1852" s="277"/>
      <c r="AI1852" s="277"/>
    </row>
    <row r="1853" spans="16:35" s="185" customFormat="1">
      <c r="P1853" s="277"/>
      <c r="Q1853" s="277"/>
      <c r="R1853" s="277"/>
      <c r="S1853" s="291">
        <v>43399</v>
      </c>
      <c r="T1853" s="279">
        <v>1760</v>
      </c>
      <c r="U1853" s="277"/>
      <c r="V1853" s="277"/>
      <c r="W1853" s="277"/>
      <c r="X1853" s="277"/>
      <c r="Y1853" s="277"/>
      <c r="Z1853" s="277"/>
      <c r="AA1853" s="277"/>
      <c r="AB1853" s="277"/>
      <c r="AC1853" s="277"/>
      <c r="AD1853" s="277"/>
      <c r="AE1853" s="277"/>
      <c r="AF1853" s="277"/>
      <c r="AG1853" s="277"/>
      <c r="AH1853" s="277"/>
      <c r="AI1853" s="277"/>
    </row>
    <row r="1854" spans="16:35" s="185" customFormat="1">
      <c r="P1854" s="277"/>
      <c r="Q1854" s="277"/>
      <c r="R1854" s="277"/>
      <c r="S1854" s="291">
        <v>43400</v>
      </c>
      <c r="T1854" s="279">
        <v>1761</v>
      </c>
      <c r="U1854" s="277"/>
      <c r="V1854" s="277"/>
      <c r="W1854" s="277"/>
      <c r="X1854" s="277"/>
      <c r="Y1854" s="277"/>
      <c r="Z1854" s="277"/>
      <c r="AA1854" s="277"/>
      <c r="AB1854" s="277"/>
      <c r="AC1854" s="277"/>
      <c r="AD1854" s="277"/>
      <c r="AE1854" s="277"/>
      <c r="AF1854" s="277"/>
      <c r="AG1854" s="277"/>
      <c r="AH1854" s="277"/>
      <c r="AI1854" s="277"/>
    </row>
    <row r="1855" spans="16:35" s="185" customFormat="1">
      <c r="P1855" s="277"/>
      <c r="Q1855" s="277"/>
      <c r="R1855" s="277"/>
      <c r="S1855" s="291">
        <v>43401</v>
      </c>
      <c r="T1855" s="279">
        <v>1762</v>
      </c>
      <c r="U1855" s="277"/>
      <c r="V1855" s="277"/>
      <c r="W1855" s="277"/>
      <c r="X1855" s="277"/>
      <c r="Y1855" s="277"/>
      <c r="Z1855" s="277"/>
      <c r="AA1855" s="277"/>
      <c r="AB1855" s="277"/>
      <c r="AC1855" s="277"/>
      <c r="AD1855" s="277"/>
      <c r="AE1855" s="277"/>
      <c r="AF1855" s="277"/>
      <c r="AG1855" s="277"/>
      <c r="AH1855" s="277"/>
      <c r="AI1855" s="277"/>
    </row>
    <row r="1856" spans="16:35" s="185" customFormat="1">
      <c r="P1856" s="277"/>
      <c r="Q1856" s="277"/>
      <c r="R1856" s="277"/>
      <c r="S1856" s="291">
        <v>43402</v>
      </c>
      <c r="T1856" s="279">
        <v>1763</v>
      </c>
      <c r="U1856" s="277"/>
      <c r="V1856" s="277"/>
      <c r="W1856" s="277"/>
      <c r="X1856" s="277"/>
      <c r="Y1856" s="277"/>
      <c r="Z1856" s="277"/>
      <c r="AA1856" s="277"/>
      <c r="AB1856" s="277"/>
      <c r="AC1856" s="277"/>
      <c r="AD1856" s="277"/>
      <c r="AE1856" s="277"/>
      <c r="AF1856" s="277"/>
      <c r="AG1856" s="277"/>
      <c r="AH1856" s="277"/>
      <c r="AI1856" s="277"/>
    </row>
    <row r="1857" spans="16:35" s="185" customFormat="1">
      <c r="P1857" s="277"/>
      <c r="Q1857" s="277"/>
      <c r="R1857" s="277"/>
      <c r="S1857" s="291">
        <v>43403</v>
      </c>
      <c r="T1857" s="279">
        <v>1764</v>
      </c>
      <c r="U1857" s="277"/>
      <c r="V1857" s="277"/>
      <c r="W1857" s="277"/>
      <c r="X1857" s="277"/>
      <c r="Y1857" s="277"/>
      <c r="Z1857" s="277"/>
      <c r="AA1857" s="277"/>
      <c r="AB1857" s="277"/>
      <c r="AC1857" s="277"/>
      <c r="AD1857" s="277"/>
      <c r="AE1857" s="277"/>
      <c r="AF1857" s="277"/>
      <c r="AG1857" s="277"/>
      <c r="AH1857" s="277"/>
      <c r="AI1857" s="277"/>
    </row>
    <row r="1858" spans="16:35" s="185" customFormat="1">
      <c r="P1858" s="277"/>
      <c r="Q1858" s="277"/>
      <c r="R1858" s="277"/>
      <c r="S1858" s="291">
        <v>43404</v>
      </c>
      <c r="T1858" s="279">
        <v>1765</v>
      </c>
      <c r="U1858" s="277"/>
      <c r="V1858" s="277"/>
      <c r="W1858" s="277"/>
      <c r="X1858" s="277"/>
      <c r="Y1858" s="277"/>
      <c r="Z1858" s="277"/>
      <c r="AA1858" s="277"/>
      <c r="AB1858" s="277"/>
      <c r="AC1858" s="277"/>
      <c r="AD1858" s="277"/>
      <c r="AE1858" s="277"/>
      <c r="AF1858" s="277"/>
      <c r="AG1858" s="277"/>
      <c r="AH1858" s="277"/>
      <c r="AI1858" s="277"/>
    </row>
    <row r="1859" spans="16:35" s="185" customFormat="1">
      <c r="P1859" s="277"/>
      <c r="Q1859" s="277"/>
      <c r="R1859" s="277"/>
      <c r="S1859" s="291">
        <v>43405</v>
      </c>
      <c r="T1859" s="279">
        <v>1766</v>
      </c>
      <c r="U1859" s="277"/>
      <c r="V1859" s="277"/>
      <c r="W1859" s="277"/>
      <c r="X1859" s="277"/>
      <c r="Y1859" s="277"/>
      <c r="Z1859" s="277"/>
      <c r="AA1859" s="277"/>
      <c r="AB1859" s="277"/>
      <c r="AC1859" s="277"/>
      <c r="AD1859" s="277"/>
      <c r="AE1859" s="277"/>
      <c r="AF1859" s="277"/>
      <c r="AG1859" s="277"/>
      <c r="AH1859" s="277"/>
      <c r="AI1859" s="277"/>
    </row>
    <row r="1860" spans="16:35" s="185" customFormat="1">
      <c r="P1860" s="277"/>
      <c r="Q1860" s="277"/>
      <c r="R1860" s="277"/>
      <c r="S1860" s="291">
        <v>43406</v>
      </c>
      <c r="T1860" s="279">
        <v>1767</v>
      </c>
      <c r="U1860" s="277"/>
      <c r="V1860" s="277"/>
      <c r="W1860" s="277"/>
      <c r="X1860" s="277"/>
      <c r="Y1860" s="277"/>
      <c r="Z1860" s="277"/>
      <c r="AA1860" s="277"/>
      <c r="AB1860" s="277"/>
      <c r="AC1860" s="277"/>
      <c r="AD1860" s="277"/>
      <c r="AE1860" s="277"/>
      <c r="AF1860" s="277"/>
      <c r="AG1860" s="277"/>
      <c r="AH1860" s="277"/>
      <c r="AI1860" s="277"/>
    </row>
    <row r="1861" spans="16:35" s="185" customFormat="1">
      <c r="P1861" s="277"/>
      <c r="Q1861" s="277"/>
      <c r="R1861" s="277"/>
      <c r="S1861" s="291">
        <v>43407</v>
      </c>
      <c r="T1861" s="279">
        <v>1768</v>
      </c>
      <c r="U1861" s="277"/>
      <c r="V1861" s="277"/>
      <c r="W1861" s="277"/>
      <c r="X1861" s="277"/>
      <c r="Y1861" s="277"/>
      <c r="Z1861" s="277"/>
      <c r="AA1861" s="277"/>
      <c r="AB1861" s="277"/>
      <c r="AC1861" s="277"/>
      <c r="AD1861" s="277"/>
      <c r="AE1861" s="277"/>
      <c r="AF1861" s="277"/>
      <c r="AG1861" s="277"/>
      <c r="AH1861" s="277"/>
      <c r="AI1861" s="277"/>
    </row>
    <row r="1862" spans="16:35" s="185" customFormat="1">
      <c r="P1862" s="277"/>
      <c r="Q1862" s="277"/>
      <c r="R1862" s="277"/>
      <c r="S1862" s="291">
        <v>43408</v>
      </c>
      <c r="T1862" s="279">
        <v>1769</v>
      </c>
      <c r="U1862" s="277"/>
      <c r="V1862" s="277"/>
      <c r="W1862" s="277"/>
      <c r="X1862" s="277"/>
      <c r="Y1862" s="277"/>
      <c r="Z1862" s="277"/>
      <c r="AA1862" s="277"/>
      <c r="AB1862" s="277"/>
      <c r="AC1862" s="277"/>
      <c r="AD1862" s="277"/>
      <c r="AE1862" s="277"/>
      <c r="AF1862" s="277"/>
      <c r="AG1862" s="277"/>
      <c r="AH1862" s="277"/>
      <c r="AI1862" s="277"/>
    </row>
    <row r="1863" spans="16:35" s="185" customFormat="1">
      <c r="P1863" s="277"/>
      <c r="Q1863" s="277"/>
      <c r="R1863" s="277"/>
      <c r="S1863" s="291">
        <v>43409</v>
      </c>
      <c r="T1863" s="279">
        <v>1770</v>
      </c>
      <c r="U1863" s="277"/>
      <c r="V1863" s="277"/>
      <c r="W1863" s="277"/>
      <c r="X1863" s="277"/>
      <c r="Y1863" s="277"/>
      <c r="Z1863" s="277"/>
      <c r="AA1863" s="277"/>
      <c r="AB1863" s="277"/>
      <c r="AC1863" s="277"/>
      <c r="AD1863" s="277"/>
      <c r="AE1863" s="277"/>
      <c r="AF1863" s="277"/>
      <c r="AG1863" s="277"/>
      <c r="AH1863" s="277"/>
      <c r="AI1863" s="277"/>
    </row>
    <row r="1864" spans="16:35" s="185" customFormat="1">
      <c r="P1864" s="277"/>
      <c r="Q1864" s="277"/>
      <c r="R1864" s="277"/>
      <c r="S1864" s="291">
        <v>43410</v>
      </c>
      <c r="T1864" s="279">
        <v>1771</v>
      </c>
      <c r="U1864" s="277"/>
      <c r="V1864" s="277"/>
      <c r="W1864" s="277"/>
      <c r="X1864" s="277"/>
      <c r="Y1864" s="277"/>
      <c r="Z1864" s="277"/>
      <c r="AA1864" s="277"/>
      <c r="AB1864" s="277"/>
      <c r="AC1864" s="277"/>
      <c r="AD1864" s="277"/>
      <c r="AE1864" s="277"/>
      <c r="AF1864" s="277"/>
      <c r="AG1864" s="277"/>
      <c r="AH1864" s="277"/>
      <c r="AI1864" s="277"/>
    </row>
    <row r="1865" spans="16:35" s="185" customFormat="1">
      <c r="P1865" s="277"/>
      <c r="Q1865" s="277"/>
      <c r="R1865" s="277"/>
      <c r="S1865" s="291">
        <v>43411</v>
      </c>
      <c r="T1865" s="279">
        <v>1772</v>
      </c>
      <c r="U1865" s="277"/>
      <c r="V1865" s="277"/>
      <c r="W1865" s="277"/>
      <c r="X1865" s="277"/>
      <c r="Y1865" s="277"/>
      <c r="Z1865" s="277"/>
      <c r="AA1865" s="277"/>
      <c r="AB1865" s="277"/>
      <c r="AC1865" s="277"/>
      <c r="AD1865" s="277"/>
      <c r="AE1865" s="277"/>
      <c r="AF1865" s="277"/>
      <c r="AG1865" s="277"/>
      <c r="AH1865" s="277"/>
      <c r="AI1865" s="277"/>
    </row>
    <row r="1866" spans="16:35" s="185" customFormat="1">
      <c r="P1866" s="277"/>
      <c r="Q1866" s="277"/>
      <c r="R1866" s="277"/>
      <c r="S1866" s="291">
        <v>43412</v>
      </c>
      <c r="T1866" s="279">
        <v>1773</v>
      </c>
      <c r="U1866" s="277"/>
      <c r="V1866" s="277"/>
      <c r="W1866" s="277"/>
      <c r="X1866" s="277"/>
      <c r="Y1866" s="277"/>
      <c r="Z1866" s="277"/>
      <c r="AA1866" s="277"/>
      <c r="AB1866" s="277"/>
      <c r="AC1866" s="277"/>
      <c r="AD1866" s="277"/>
      <c r="AE1866" s="277"/>
      <c r="AF1866" s="277"/>
      <c r="AG1866" s="277"/>
      <c r="AH1866" s="277"/>
      <c r="AI1866" s="277"/>
    </row>
    <row r="1867" spans="16:35" s="185" customFormat="1">
      <c r="P1867" s="277"/>
      <c r="Q1867" s="277"/>
      <c r="R1867" s="277"/>
      <c r="S1867" s="291">
        <v>43413</v>
      </c>
      <c r="T1867" s="279">
        <v>1774</v>
      </c>
      <c r="U1867" s="277"/>
      <c r="V1867" s="277"/>
      <c r="W1867" s="277"/>
      <c r="X1867" s="277"/>
      <c r="Y1867" s="277"/>
      <c r="Z1867" s="277"/>
      <c r="AA1867" s="277"/>
      <c r="AB1867" s="277"/>
      <c r="AC1867" s="277"/>
      <c r="AD1867" s="277"/>
      <c r="AE1867" s="277"/>
      <c r="AF1867" s="277"/>
      <c r="AG1867" s="277"/>
      <c r="AH1867" s="277"/>
      <c r="AI1867" s="277"/>
    </row>
    <row r="1868" spans="16:35" s="185" customFormat="1">
      <c r="P1868" s="277"/>
      <c r="Q1868" s="277"/>
      <c r="R1868" s="277"/>
      <c r="S1868" s="291">
        <v>43414</v>
      </c>
      <c r="T1868" s="279">
        <v>1775</v>
      </c>
      <c r="U1868" s="277"/>
      <c r="V1868" s="277"/>
      <c r="W1868" s="277"/>
      <c r="X1868" s="277"/>
      <c r="Y1868" s="277"/>
      <c r="Z1868" s="277"/>
      <c r="AA1868" s="277"/>
      <c r="AB1868" s="277"/>
      <c r="AC1868" s="277"/>
      <c r="AD1868" s="277"/>
      <c r="AE1868" s="277"/>
      <c r="AF1868" s="277"/>
      <c r="AG1868" s="277"/>
      <c r="AH1868" s="277"/>
      <c r="AI1868" s="277"/>
    </row>
    <row r="1869" spans="16:35" s="185" customFormat="1">
      <c r="P1869" s="277"/>
      <c r="Q1869" s="277"/>
      <c r="R1869" s="277"/>
      <c r="S1869" s="291">
        <v>43415</v>
      </c>
      <c r="T1869" s="279">
        <v>1776</v>
      </c>
      <c r="U1869" s="277"/>
      <c r="V1869" s="277"/>
      <c r="W1869" s="277"/>
      <c r="X1869" s="277"/>
      <c r="Y1869" s="277"/>
      <c r="Z1869" s="277"/>
      <c r="AA1869" s="277"/>
      <c r="AB1869" s="277"/>
      <c r="AC1869" s="277"/>
      <c r="AD1869" s="277"/>
      <c r="AE1869" s="277"/>
      <c r="AF1869" s="277"/>
      <c r="AG1869" s="277"/>
      <c r="AH1869" s="277"/>
      <c r="AI1869" s="277"/>
    </row>
    <row r="1870" spans="16:35" s="185" customFormat="1">
      <c r="P1870" s="277"/>
      <c r="Q1870" s="277"/>
      <c r="R1870" s="277"/>
      <c r="S1870" s="291">
        <v>43416</v>
      </c>
      <c r="T1870" s="279">
        <v>1777</v>
      </c>
      <c r="U1870" s="277"/>
      <c r="V1870" s="277"/>
      <c r="W1870" s="277"/>
      <c r="X1870" s="277"/>
      <c r="Y1870" s="277"/>
      <c r="Z1870" s="277"/>
      <c r="AA1870" s="277"/>
      <c r="AB1870" s="277"/>
      <c r="AC1870" s="277"/>
      <c r="AD1870" s="277"/>
      <c r="AE1870" s="277"/>
      <c r="AF1870" s="277"/>
      <c r="AG1870" s="277"/>
      <c r="AH1870" s="277"/>
      <c r="AI1870" s="277"/>
    </row>
    <row r="1871" spans="16:35" s="185" customFormat="1">
      <c r="P1871" s="277"/>
      <c r="Q1871" s="277"/>
      <c r="R1871" s="277"/>
      <c r="S1871" s="291">
        <v>43417</v>
      </c>
      <c r="T1871" s="279">
        <v>1778</v>
      </c>
      <c r="U1871" s="277"/>
      <c r="V1871" s="277"/>
      <c r="W1871" s="277"/>
      <c r="X1871" s="277"/>
      <c r="Y1871" s="277"/>
      <c r="Z1871" s="277"/>
      <c r="AA1871" s="277"/>
      <c r="AB1871" s="277"/>
      <c r="AC1871" s="277"/>
      <c r="AD1871" s="277"/>
      <c r="AE1871" s="277"/>
      <c r="AF1871" s="277"/>
      <c r="AG1871" s="277"/>
      <c r="AH1871" s="277"/>
      <c r="AI1871" s="277"/>
    </row>
    <row r="1872" spans="16:35" s="185" customFormat="1">
      <c r="P1872" s="277"/>
      <c r="Q1872" s="277"/>
      <c r="R1872" s="277"/>
      <c r="S1872" s="291">
        <v>43418</v>
      </c>
      <c r="T1872" s="279">
        <v>1779</v>
      </c>
      <c r="U1872" s="277"/>
      <c r="V1872" s="277"/>
      <c r="W1872" s="277"/>
      <c r="X1872" s="277"/>
      <c r="Y1872" s="277"/>
      <c r="Z1872" s="277"/>
      <c r="AA1872" s="277"/>
      <c r="AB1872" s="277"/>
      <c r="AC1872" s="277"/>
      <c r="AD1872" s="277"/>
      <c r="AE1872" s="277"/>
      <c r="AF1872" s="277"/>
      <c r="AG1872" s="277"/>
      <c r="AH1872" s="277"/>
      <c r="AI1872" s="277"/>
    </row>
    <row r="1873" spans="16:35" s="185" customFormat="1">
      <c r="P1873" s="277"/>
      <c r="Q1873" s="277"/>
      <c r="R1873" s="277"/>
      <c r="S1873" s="291">
        <v>43419</v>
      </c>
      <c r="T1873" s="279">
        <v>1780</v>
      </c>
      <c r="U1873" s="277"/>
      <c r="V1873" s="277"/>
      <c r="W1873" s="277"/>
      <c r="X1873" s="277"/>
      <c r="Y1873" s="277"/>
      <c r="Z1873" s="277"/>
      <c r="AA1873" s="277"/>
      <c r="AB1873" s="277"/>
      <c r="AC1873" s="277"/>
      <c r="AD1873" s="277"/>
      <c r="AE1873" s="277"/>
      <c r="AF1873" s="277"/>
      <c r="AG1873" s="277"/>
      <c r="AH1873" s="277"/>
      <c r="AI1873" s="277"/>
    </row>
    <row r="1874" spans="16:35" s="185" customFormat="1">
      <c r="P1874" s="277"/>
      <c r="Q1874" s="277"/>
      <c r="R1874" s="277"/>
      <c r="S1874" s="291">
        <v>43420</v>
      </c>
      <c r="T1874" s="279">
        <v>1781</v>
      </c>
      <c r="U1874" s="277"/>
      <c r="V1874" s="277"/>
      <c r="W1874" s="277"/>
      <c r="X1874" s="277"/>
      <c r="Y1874" s="277"/>
      <c r="Z1874" s="277"/>
      <c r="AA1874" s="277"/>
      <c r="AB1874" s="277"/>
      <c r="AC1874" s="277"/>
      <c r="AD1874" s="277"/>
      <c r="AE1874" s="277"/>
      <c r="AF1874" s="277"/>
      <c r="AG1874" s="277"/>
      <c r="AH1874" s="277"/>
      <c r="AI1874" s="277"/>
    </row>
    <row r="1875" spans="16:35" s="185" customFormat="1">
      <c r="P1875" s="277"/>
      <c r="Q1875" s="277"/>
      <c r="R1875" s="277"/>
      <c r="S1875" s="291">
        <v>43421</v>
      </c>
      <c r="T1875" s="279">
        <v>1782</v>
      </c>
      <c r="U1875" s="277"/>
      <c r="V1875" s="277"/>
      <c r="W1875" s="277"/>
      <c r="X1875" s="277"/>
      <c r="Y1875" s="277"/>
      <c r="Z1875" s="277"/>
      <c r="AA1875" s="277"/>
      <c r="AB1875" s="277"/>
      <c r="AC1875" s="277"/>
      <c r="AD1875" s="277"/>
      <c r="AE1875" s="277"/>
      <c r="AF1875" s="277"/>
      <c r="AG1875" s="277"/>
      <c r="AH1875" s="277"/>
      <c r="AI1875" s="277"/>
    </row>
    <row r="1876" spans="16:35" s="185" customFormat="1">
      <c r="P1876" s="277"/>
      <c r="Q1876" s="277"/>
      <c r="R1876" s="277"/>
      <c r="S1876" s="291">
        <v>43422</v>
      </c>
      <c r="T1876" s="279">
        <v>1783</v>
      </c>
      <c r="U1876" s="277"/>
      <c r="V1876" s="277"/>
      <c r="W1876" s="277"/>
      <c r="X1876" s="277"/>
      <c r="Y1876" s="277"/>
      <c r="Z1876" s="277"/>
      <c r="AA1876" s="277"/>
      <c r="AB1876" s="277"/>
      <c r="AC1876" s="277"/>
      <c r="AD1876" s="277"/>
      <c r="AE1876" s="277"/>
      <c r="AF1876" s="277"/>
      <c r="AG1876" s="277"/>
      <c r="AH1876" s="277"/>
      <c r="AI1876" s="277"/>
    </row>
    <row r="1877" spans="16:35" s="185" customFormat="1">
      <c r="P1877" s="277"/>
      <c r="Q1877" s="277"/>
      <c r="R1877" s="277"/>
      <c r="S1877" s="291">
        <v>43423</v>
      </c>
      <c r="T1877" s="279">
        <v>1784</v>
      </c>
      <c r="U1877" s="277"/>
      <c r="V1877" s="277"/>
      <c r="W1877" s="277"/>
      <c r="X1877" s="277"/>
      <c r="Y1877" s="277"/>
      <c r="Z1877" s="277"/>
      <c r="AA1877" s="277"/>
      <c r="AB1877" s="277"/>
      <c r="AC1877" s="277"/>
      <c r="AD1877" s="277"/>
      <c r="AE1877" s="277"/>
      <c r="AF1877" s="277"/>
      <c r="AG1877" s="277"/>
      <c r="AH1877" s="277"/>
      <c r="AI1877" s="277"/>
    </row>
    <row r="1878" spans="16:35" s="185" customFormat="1">
      <c r="P1878" s="277"/>
      <c r="Q1878" s="277"/>
      <c r="R1878" s="277"/>
      <c r="S1878" s="291">
        <v>43424</v>
      </c>
      <c r="T1878" s="279">
        <v>1785</v>
      </c>
      <c r="U1878" s="277"/>
      <c r="V1878" s="277"/>
      <c r="W1878" s="277"/>
      <c r="X1878" s="277"/>
      <c r="Y1878" s="277"/>
      <c r="Z1878" s="277"/>
      <c r="AA1878" s="277"/>
      <c r="AB1878" s="277"/>
      <c r="AC1878" s="277"/>
      <c r="AD1878" s="277"/>
      <c r="AE1878" s="277"/>
      <c r="AF1878" s="277"/>
      <c r="AG1878" s="277"/>
      <c r="AH1878" s="277"/>
      <c r="AI1878" s="277"/>
    </row>
    <row r="1879" spans="16:35" s="185" customFormat="1">
      <c r="P1879" s="277"/>
      <c r="Q1879" s="277"/>
      <c r="R1879" s="277"/>
      <c r="S1879" s="291">
        <v>43425</v>
      </c>
      <c r="T1879" s="279">
        <v>1786</v>
      </c>
      <c r="U1879" s="277"/>
      <c r="V1879" s="277"/>
      <c r="W1879" s="277"/>
      <c r="X1879" s="277"/>
      <c r="Y1879" s="277"/>
      <c r="Z1879" s="277"/>
      <c r="AA1879" s="277"/>
      <c r="AB1879" s="277"/>
      <c r="AC1879" s="277"/>
      <c r="AD1879" s="277"/>
      <c r="AE1879" s="277"/>
      <c r="AF1879" s="277"/>
      <c r="AG1879" s="277"/>
      <c r="AH1879" s="277"/>
      <c r="AI1879" s="277"/>
    </row>
    <row r="1880" spans="16:35" s="185" customFormat="1">
      <c r="P1880" s="277"/>
      <c r="Q1880" s="277"/>
      <c r="R1880" s="277"/>
      <c r="S1880" s="291">
        <v>43426</v>
      </c>
      <c r="T1880" s="279">
        <v>1787</v>
      </c>
      <c r="U1880" s="277"/>
      <c r="V1880" s="277"/>
      <c r="W1880" s="277"/>
      <c r="X1880" s="277"/>
      <c r="Y1880" s="277"/>
      <c r="Z1880" s="277"/>
      <c r="AA1880" s="277"/>
      <c r="AB1880" s="277"/>
      <c r="AC1880" s="277"/>
      <c r="AD1880" s="277"/>
      <c r="AE1880" s="277"/>
      <c r="AF1880" s="277"/>
      <c r="AG1880" s="277"/>
      <c r="AH1880" s="277"/>
      <c r="AI1880" s="277"/>
    </row>
    <row r="1881" spans="16:35" s="185" customFormat="1">
      <c r="P1881" s="277"/>
      <c r="Q1881" s="277"/>
      <c r="R1881" s="277"/>
      <c r="S1881" s="291">
        <v>43427</v>
      </c>
      <c r="T1881" s="279">
        <v>1788</v>
      </c>
      <c r="U1881" s="277"/>
      <c r="V1881" s="277"/>
      <c r="W1881" s="277"/>
      <c r="X1881" s="277"/>
      <c r="Y1881" s="277"/>
      <c r="Z1881" s="277"/>
      <c r="AA1881" s="277"/>
      <c r="AB1881" s="277"/>
      <c r="AC1881" s="277"/>
      <c r="AD1881" s="277"/>
      <c r="AE1881" s="277"/>
      <c r="AF1881" s="277"/>
      <c r="AG1881" s="277"/>
      <c r="AH1881" s="277"/>
      <c r="AI1881" s="277"/>
    </row>
    <row r="1882" spans="16:35" s="185" customFormat="1">
      <c r="P1882" s="277"/>
      <c r="Q1882" s="277"/>
      <c r="R1882" s="277"/>
      <c r="S1882" s="291">
        <v>43428</v>
      </c>
      <c r="T1882" s="279">
        <v>1789</v>
      </c>
      <c r="U1882" s="277"/>
      <c r="V1882" s="277"/>
      <c r="W1882" s="277"/>
      <c r="X1882" s="277"/>
      <c r="Y1882" s="277"/>
      <c r="Z1882" s="277"/>
      <c r="AA1882" s="277"/>
      <c r="AB1882" s="277"/>
      <c r="AC1882" s="277"/>
      <c r="AD1882" s="277"/>
      <c r="AE1882" s="277"/>
      <c r="AF1882" s="277"/>
      <c r="AG1882" s="277"/>
      <c r="AH1882" s="277"/>
      <c r="AI1882" s="277"/>
    </row>
    <row r="1883" spans="16:35" s="185" customFormat="1">
      <c r="P1883" s="277"/>
      <c r="Q1883" s="277"/>
      <c r="R1883" s="277"/>
      <c r="S1883" s="291">
        <v>43429</v>
      </c>
      <c r="T1883" s="279">
        <v>1790</v>
      </c>
      <c r="U1883" s="277"/>
      <c r="V1883" s="277"/>
      <c r="W1883" s="277"/>
      <c r="X1883" s="277"/>
      <c r="Y1883" s="277"/>
      <c r="Z1883" s="277"/>
      <c r="AA1883" s="277"/>
      <c r="AB1883" s="277"/>
      <c r="AC1883" s="277"/>
      <c r="AD1883" s="277"/>
      <c r="AE1883" s="277"/>
      <c r="AF1883" s="277"/>
      <c r="AG1883" s="277"/>
      <c r="AH1883" s="277"/>
      <c r="AI1883" s="277"/>
    </row>
    <row r="1884" spans="16:35" s="185" customFormat="1">
      <c r="P1884" s="277"/>
      <c r="Q1884" s="277"/>
      <c r="R1884" s="277"/>
      <c r="S1884" s="291">
        <v>43430</v>
      </c>
      <c r="T1884" s="279">
        <v>1791</v>
      </c>
      <c r="U1884" s="277"/>
      <c r="V1884" s="277"/>
      <c r="W1884" s="277"/>
      <c r="X1884" s="277"/>
      <c r="Y1884" s="277"/>
      <c r="Z1884" s="277"/>
      <c r="AA1884" s="277"/>
      <c r="AB1884" s="277"/>
      <c r="AC1884" s="277"/>
      <c r="AD1884" s="277"/>
      <c r="AE1884" s="277"/>
      <c r="AF1884" s="277"/>
      <c r="AG1884" s="277"/>
      <c r="AH1884" s="277"/>
      <c r="AI1884" s="277"/>
    </row>
    <row r="1885" spans="16:35" s="185" customFormat="1">
      <c r="P1885" s="277"/>
      <c r="Q1885" s="277"/>
      <c r="R1885" s="277"/>
      <c r="S1885" s="291">
        <v>43431</v>
      </c>
      <c r="T1885" s="279">
        <v>1792</v>
      </c>
      <c r="U1885" s="277"/>
      <c r="V1885" s="277"/>
      <c r="W1885" s="277"/>
      <c r="X1885" s="277"/>
      <c r="Y1885" s="277"/>
      <c r="Z1885" s="277"/>
      <c r="AA1885" s="277"/>
      <c r="AB1885" s="277"/>
      <c r="AC1885" s="277"/>
      <c r="AD1885" s="277"/>
      <c r="AE1885" s="277"/>
      <c r="AF1885" s="277"/>
      <c r="AG1885" s="277"/>
      <c r="AH1885" s="277"/>
      <c r="AI1885" s="277"/>
    </row>
    <row r="1886" spans="16:35" s="185" customFormat="1">
      <c r="P1886" s="277"/>
      <c r="Q1886" s="277"/>
      <c r="R1886" s="277"/>
      <c r="S1886" s="291">
        <v>43432</v>
      </c>
      <c r="T1886" s="279">
        <v>1793</v>
      </c>
      <c r="U1886" s="277"/>
      <c r="V1886" s="277"/>
      <c r="W1886" s="277"/>
      <c r="X1886" s="277"/>
      <c r="Y1886" s="277"/>
      <c r="Z1886" s="277"/>
      <c r="AA1886" s="277"/>
      <c r="AB1886" s="277"/>
      <c r="AC1886" s="277"/>
      <c r="AD1886" s="277"/>
      <c r="AE1886" s="277"/>
      <c r="AF1886" s="277"/>
      <c r="AG1886" s="277"/>
      <c r="AH1886" s="277"/>
      <c r="AI1886" s="277"/>
    </row>
    <row r="1887" spans="16:35" s="185" customFormat="1">
      <c r="P1887" s="277"/>
      <c r="Q1887" s="277"/>
      <c r="R1887" s="277"/>
      <c r="S1887" s="291">
        <v>43433</v>
      </c>
      <c r="T1887" s="279">
        <v>1794</v>
      </c>
      <c r="U1887" s="277"/>
      <c r="V1887" s="277"/>
      <c r="W1887" s="277"/>
      <c r="X1887" s="277"/>
      <c r="Y1887" s="277"/>
      <c r="Z1887" s="277"/>
      <c r="AA1887" s="277"/>
      <c r="AB1887" s="277"/>
      <c r="AC1887" s="277"/>
      <c r="AD1887" s="277"/>
      <c r="AE1887" s="277"/>
      <c r="AF1887" s="277"/>
      <c r="AG1887" s="277"/>
      <c r="AH1887" s="277"/>
      <c r="AI1887" s="277"/>
    </row>
    <row r="1888" spans="16:35" s="185" customFormat="1">
      <c r="P1888" s="277"/>
      <c r="Q1888" s="277"/>
      <c r="R1888" s="277"/>
      <c r="S1888" s="291">
        <v>43434</v>
      </c>
      <c r="T1888" s="279">
        <v>1795</v>
      </c>
      <c r="U1888" s="277"/>
      <c r="V1888" s="277"/>
      <c r="W1888" s="277"/>
      <c r="X1888" s="277"/>
      <c r="Y1888" s="277"/>
      <c r="Z1888" s="277"/>
      <c r="AA1888" s="277"/>
      <c r="AB1888" s="277"/>
      <c r="AC1888" s="277"/>
      <c r="AD1888" s="277"/>
      <c r="AE1888" s="277"/>
      <c r="AF1888" s="277"/>
      <c r="AG1888" s="277"/>
      <c r="AH1888" s="277"/>
      <c r="AI1888" s="277"/>
    </row>
    <row r="1889" spans="16:35" s="185" customFormat="1">
      <c r="P1889" s="277"/>
      <c r="Q1889" s="277"/>
      <c r="R1889" s="277"/>
      <c r="S1889" s="291">
        <v>43435</v>
      </c>
      <c r="T1889" s="279">
        <v>1796</v>
      </c>
      <c r="U1889" s="277"/>
      <c r="V1889" s="277"/>
      <c r="W1889" s="277"/>
      <c r="X1889" s="277"/>
      <c r="Y1889" s="277"/>
      <c r="Z1889" s="277"/>
      <c r="AA1889" s="277"/>
      <c r="AB1889" s="277"/>
      <c r="AC1889" s="277"/>
      <c r="AD1889" s="277"/>
      <c r="AE1889" s="277"/>
      <c r="AF1889" s="277"/>
      <c r="AG1889" s="277"/>
      <c r="AH1889" s="277"/>
      <c r="AI1889" s="277"/>
    </row>
    <row r="1890" spans="16:35" s="185" customFormat="1">
      <c r="P1890" s="277"/>
      <c r="Q1890" s="277"/>
      <c r="R1890" s="277"/>
      <c r="S1890" s="291">
        <v>43436</v>
      </c>
      <c r="T1890" s="279">
        <v>1797</v>
      </c>
      <c r="U1890" s="277"/>
      <c r="V1890" s="277"/>
      <c r="W1890" s="277"/>
      <c r="X1890" s="277"/>
      <c r="Y1890" s="277"/>
      <c r="Z1890" s="277"/>
      <c r="AA1890" s="277"/>
      <c r="AB1890" s="277"/>
      <c r="AC1890" s="277"/>
      <c r="AD1890" s="277"/>
      <c r="AE1890" s="277"/>
      <c r="AF1890" s="277"/>
      <c r="AG1890" s="277"/>
      <c r="AH1890" s="277"/>
      <c r="AI1890" s="277"/>
    </row>
    <row r="1891" spans="16:35" s="185" customFormat="1">
      <c r="P1891" s="277"/>
      <c r="Q1891" s="277"/>
      <c r="R1891" s="277"/>
      <c r="S1891" s="291">
        <v>43437</v>
      </c>
      <c r="T1891" s="279">
        <v>1798</v>
      </c>
      <c r="U1891" s="277"/>
      <c r="V1891" s="277"/>
      <c r="W1891" s="277"/>
      <c r="X1891" s="277"/>
      <c r="Y1891" s="277"/>
      <c r="Z1891" s="277"/>
      <c r="AA1891" s="277"/>
      <c r="AB1891" s="277"/>
      <c r="AC1891" s="277"/>
      <c r="AD1891" s="277"/>
      <c r="AE1891" s="277"/>
      <c r="AF1891" s="277"/>
      <c r="AG1891" s="277"/>
      <c r="AH1891" s="277"/>
      <c r="AI1891" s="277"/>
    </row>
    <row r="1892" spans="16:35" s="185" customFormat="1">
      <c r="P1892" s="277"/>
      <c r="Q1892" s="277"/>
      <c r="R1892" s="277"/>
      <c r="S1892" s="291">
        <v>43438</v>
      </c>
      <c r="T1892" s="279">
        <v>1799</v>
      </c>
      <c r="U1892" s="277"/>
      <c r="V1892" s="277"/>
      <c r="W1892" s="277"/>
      <c r="X1892" s="277"/>
      <c r="Y1892" s="277"/>
      <c r="Z1892" s="277"/>
      <c r="AA1892" s="277"/>
      <c r="AB1892" s="277"/>
      <c r="AC1892" s="277"/>
      <c r="AD1892" s="277"/>
      <c r="AE1892" s="277"/>
      <c r="AF1892" s="277"/>
      <c r="AG1892" s="277"/>
      <c r="AH1892" s="277"/>
      <c r="AI1892" s="277"/>
    </row>
    <row r="1893" spans="16:35" s="185" customFormat="1">
      <c r="P1893" s="277"/>
      <c r="Q1893" s="277"/>
      <c r="R1893" s="277"/>
      <c r="S1893" s="291">
        <v>43439</v>
      </c>
      <c r="T1893" s="279">
        <v>1800</v>
      </c>
      <c r="U1893" s="277"/>
      <c r="V1893" s="277"/>
      <c r="W1893" s="277"/>
      <c r="X1893" s="277"/>
      <c r="Y1893" s="277"/>
      <c r="Z1893" s="277"/>
      <c r="AA1893" s="277"/>
      <c r="AB1893" s="277"/>
      <c r="AC1893" s="277"/>
      <c r="AD1893" s="277"/>
      <c r="AE1893" s="277"/>
      <c r="AF1893" s="277"/>
      <c r="AG1893" s="277"/>
      <c r="AH1893" s="277"/>
      <c r="AI1893" s="277"/>
    </row>
    <row r="1894" spans="16:35" s="185" customFormat="1">
      <c r="P1894" s="277"/>
      <c r="Q1894" s="277"/>
      <c r="R1894" s="277"/>
      <c r="S1894" s="291">
        <v>43440</v>
      </c>
      <c r="T1894" s="279">
        <v>1801</v>
      </c>
      <c r="U1894" s="277"/>
      <c r="V1894" s="277"/>
      <c r="W1894" s="277"/>
      <c r="X1894" s="277"/>
      <c r="Y1894" s="277"/>
      <c r="Z1894" s="277"/>
      <c r="AA1894" s="277"/>
      <c r="AB1894" s="277"/>
      <c r="AC1894" s="277"/>
      <c r="AD1894" s="277"/>
      <c r="AE1894" s="277"/>
      <c r="AF1894" s="277"/>
      <c r="AG1894" s="277"/>
      <c r="AH1894" s="277"/>
      <c r="AI1894" s="277"/>
    </row>
    <row r="1895" spans="16:35" s="185" customFormat="1">
      <c r="P1895" s="277"/>
      <c r="Q1895" s="277"/>
      <c r="R1895" s="277"/>
      <c r="S1895" s="291">
        <v>43441</v>
      </c>
      <c r="T1895" s="279">
        <v>1802</v>
      </c>
      <c r="U1895" s="277"/>
      <c r="V1895" s="277"/>
      <c r="W1895" s="277"/>
      <c r="X1895" s="277"/>
      <c r="Y1895" s="277"/>
      <c r="Z1895" s="277"/>
      <c r="AA1895" s="277"/>
      <c r="AB1895" s="277"/>
      <c r="AC1895" s="277"/>
      <c r="AD1895" s="277"/>
      <c r="AE1895" s="277"/>
      <c r="AF1895" s="277"/>
      <c r="AG1895" s="277"/>
      <c r="AH1895" s="277"/>
      <c r="AI1895" s="277"/>
    </row>
    <row r="1896" spans="16:35" s="185" customFormat="1">
      <c r="P1896" s="277"/>
      <c r="Q1896" s="277"/>
      <c r="R1896" s="277"/>
      <c r="S1896" s="291">
        <v>43442</v>
      </c>
      <c r="T1896" s="279">
        <v>1803</v>
      </c>
      <c r="U1896" s="277"/>
      <c r="V1896" s="277"/>
      <c r="W1896" s="277"/>
      <c r="X1896" s="277"/>
      <c r="Y1896" s="277"/>
      <c r="Z1896" s="277"/>
      <c r="AA1896" s="277"/>
      <c r="AB1896" s="277"/>
      <c r="AC1896" s="277"/>
      <c r="AD1896" s="277"/>
      <c r="AE1896" s="277"/>
      <c r="AF1896" s="277"/>
      <c r="AG1896" s="277"/>
      <c r="AH1896" s="277"/>
      <c r="AI1896" s="277"/>
    </row>
    <row r="1897" spans="16:35" s="185" customFormat="1">
      <c r="P1897" s="277"/>
      <c r="Q1897" s="277"/>
      <c r="R1897" s="277"/>
      <c r="S1897" s="291">
        <v>43443</v>
      </c>
      <c r="T1897" s="279">
        <v>1804</v>
      </c>
      <c r="U1897" s="277"/>
      <c r="V1897" s="277"/>
      <c r="W1897" s="277"/>
      <c r="X1897" s="277"/>
      <c r="Y1897" s="277"/>
      <c r="Z1897" s="277"/>
      <c r="AA1897" s="277"/>
      <c r="AB1897" s="277"/>
      <c r="AC1897" s="277"/>
      <c r="AD1897" s="277"/>
      <c r="AE1897" s="277"/>
      <c r="AF1897" s="277"/>
      <c r="AG1897" s="277"/>
      <c r="AH1897" s="277"/>
      <c r="AI1897" s="277"/>
    </row>
    <row r="1898" spans="16:35" s="185" customFormat="1">
      <c r="P1898" s="277"/>
      <c r="Q1898" s="277"/>
      <c r="R1898" s="277"/>
      <c r="S1898" s="291">
        <v>43444</v>
      </c>
      <c r="T1898" s="279">
        <v>1805</v>
      </c>
      <c r="U1898" s="277"/>
      <c r="V1898" s="277"/>
      <c r="W1898" s="277"/>
      <c r="X1898" s="277"/>
      <c r="Y1898" s="277"/>
      <c r="Z1898" s="277"/>
      <c r="AA1898" s="277"/>
      <c r="AB1898" s="277"/>
      <c r="AC1898" s="277"/>
      <c r="AD1898" s="277"/>
      <c r="AE1898" s="277"/>
      <c r="AF1898" s="277"/>
      <c r="AG1898" s="277"/>
      <c r="AH1898" s="277"/>
      <c r="AI1898" s="277"/>
    </row>
    <row r="1899" spans="16:35" s="185" customFormat="1">
      <c r="P1899" s="277"/>
      <c r="Q1899" s="277"/>
      <c r="R1899" s="277"/>
      <c r="S1899" s="291">
        <v>43445</v>
      </c>
      <c r="T1899" s="279">
        <v>1806</v>
      </c>
      <c r="U1899" s="277"/>
      <c r="V1899" s="277"/>
      <c r="W1899" s="277"/>
      <c r="X1899" s="277"/>
      <c r="Y1899" s="277"/>
      <c r="Z1899" s="277"/>
      <c r="AA1899" s="277"/>
      <c r="AB1899" s="277"/>
      <c r="AC1899" s="277"/>
      <c r="AD1899" s="277"/>
      <c r="AE1899" s="277"/>
      <c r="AF1899" s="277"/>
      <c r="AG1899" s="277"/>
      <c r="AH1899" s="277"/>
      <c r="AI1899" s="277"/>
    </row>
    <row r="1900" spans="16:35" s="185" customFormat="1">
      <c r="P1900" s="277"/>
      <c r="Q1900" s="277"/>
      <c r="R1900" s="277"/>
      <c r="S1900" s="291">
        <v>43446</v>
      </c>
      <c r="T1900" s="279">
        <v>1807</v>
      </c>
      <c r="U1900" s="277"/>
      <c r="V1900" s="277"/>
      <c r="W1900" s="277"/>
      <c r="X1900" s="277"/>
      <c r="Y1900" s="277"/>
      <c r="Z1900" s="277"/>
      <c r="AA1900" s="277"/>
      <c r="AB1900" s="277"/>
      <c r="AC1900" s="277"/>
      <c r="AD1900" s="277"/>
      <c r="AE1900" s="277"/>
      <c r="AF1900" s="277"/>
      <c r="AG1900" s="277"/>
      <c r="AH1900" s="277"/>
      <c r="AI1900" s="277"/>
    </row>
    <row r="1901" spans="16:35" s="185" customFormat="1">
      <c r="P1901" s="277"/>
      <c r="Q1901" s="277"/>
      <c r="R1901" s="277"/>
      <c r="S1901" s="291">
        <v>43447</v>
      </c>
      <c r="T1901" s="279">
        <v>1808</v>
      </c>
      <c r="U1901" s="277"/>
      <c r="V1901" s="277"/>
      <c r="W1901" s="277"/>
      <c r="X1901" s="277"/>
      <c r="Y1901" s="277"/>
      <c r="Z1901" s="277"/>
      <c r="AA1901" s="277"/>
      <c r="AB1901" s="277"/>
      <c r="AC1901" s="277"/>
      <c r="AD1901" s="277"/>
      <c r="AE1901" s="277"/>
      <c r="AF1901" s="277"/>
      <c r="AG1901" s="277"/>
      <c r="AH1901" s="277"/>
      <c r="AI1901" s="277"/>
    </row>
    <row r="1902" spans="16:35" s="185" customFormat="1">
      <c r="P1902" s="277"/>
      <c r="Q1902" s="277"/>
      <c r="R1902" s="277"/>
      <c r="S1902" s="291">
        <v>43448</v>
      </c>
      <c r="T1902" s="279">
        <v>1809</v>
      </c>
      <c r="U1902" s="277"/>
      <c r="V1902" s="277"/>
      <c r="W1902" s="277"/>
      <c r="X1902" s="277"/>
      <c r="Y1902" s="277"/>
      <c r="Z1902" s="277"/>
      <c r="AA1902" s="277"/>
      <c r="AB1902" s="277"/>
      <c r="AC1902" s="277"/>
      <c r="AD1902" s="277"/>
      <c r="AE1902" s="277"/>
      <c r="AF1902" s="277"/>
      <c r="AG1902" s="277"/>
      <c r="AH1902" s="277"/>
      <c r="AI1902" s="277"/>
    </row>
    <row r="1903" spans="16:35" s="185" customFormat="1">
      <c r="P1903" s="277"/>
      <c r="Q1903" s="277"/>
      <c r="R1903" s="277"/>
      <c r="S1903" s="291">
        <v>43449</v>
      </c>
      <c r="T1903" s="279">
        <v>1810</v>
      </c>
      <c r="U1903" s="277"/>
      <c r="V1903" s="277"/>
      <c r="W1903" s="277"/>
      <c r="X1903" s="277"/>
      <c r="Y1903" s="277"/>
      <c r="Z1903" s="277"/>
      <c r="AA1903" s="277"/>
      <c r="AB1903" s="277"/>
      <c r="AC1903" s="277"/>
      <c r="AD1903" s="277"/>
      <c r="AE1903" s="277"/>
      <c r="AF1903" s="277"/>
      <c r="AG1903" s="277"/>
      <c r="AH1903" s="277"/>
      <c r="AI1903" s="277"/>
    </row>
    <row r="1904" spans="16:35" s="185" customFormat="1">
      <c r="P1904" s="277"/>
      <c r="Q1904" s="277"/>
      <c r="R1904" s="277"/>
      <c r="S1904" s="291">
        <v>43450</v>
      </c>
      <c r="T1904" s="279">
        <v>1811</v>
      </c>
      <c r="U1904" s="277"/>
      <c r="V1904" s="277"/>
      <c r="W1904" s="277"/>
      <c r="X1904" s="277"/>
      <c r="Y1904" s="277"/>
      <c r="Z1904" s="277"/>
      <c r="AA1904" s="277"/>
      <c r="AB1904" s="277"/>
      <c r="AC1904" s="277"/>
      <c r="AD1904" s="277"/>
      <c r="AE1904" s="277"/>
      <c r="AF1904" s="277"/>
      <c r="AG1904" s="277"/>
      <c r="AH1904" s="277"/>
      <c r="AI1904" s="277"/>
    </row>
    <row r="1905" spans="16:35" s="185" customFormat="1">
      <c r="P1905" s="277"/>
      <c r="Q1905" s="277"/>
      <c r="R1905" s="277"/>
      <c r="S1905" s="291">
        <v>43451</v>
      </c>
      <c r="T1905" s="279">
        <v>1812</v>
      </c>
      <c r="U1905" s="277"/>
      <c r="V1905" s="277"/>
      <c r="W1905" s="277"/>
      <c r="X1905" s="277"/>
      <c r="Y1905" s="277"/>
      <c r="Z1905" s="277"/>
      <c r="AA1905" s="277"/>
      <c r="AB1905" s="277"/>
      <c r="AC1905" s="277"/>
      <c r="AD1905" s="277"/>
      <c r="AE1905" s="277"/>
      <c r="AF1905" s="277"/>
      <c r="AG1905" s="277"/>
      <c r="AH1905" s="277"/>
      <c r="AI1905" s="277"/>
    </row>
    <row r="1906" spans="16:35" s="185" customFormat="1">
      <c r="P1906" s="277"/>
      <c r="Q1906" s="277"/>
      <c r="R1906" s="277"/>
      <c r="S1906" s="291">
        <v>43452</v>
      </c>
      <c r="T1906" s="279">
        <v>1813</v>
      </c>
      <c r="U1906" s="277"/>
      <c r="V1906" s="277"/>
      <c r="W1906" s="277"/>
      <c r="X1906" s="277"/>
      <c r="Y1906" s="277"/>
      <c r="Z1906" s="277"/>
      <c r="AA1906" s="277"/>
      <c r="AB1906" s="277"/>
      <c r="AC1906" s="277"/>
      <c r="AD1906" s="277"/>
      <c r="AE1906" s="277"/>
      <c r="AF1906" s="277"/>
      <c r="AG1906" s="277"/>
      <c r="AH1906" s="277"/>
      <c r="AI1906" s="277"/>
    </row>
    <row r="1907" spans="16:35" s="185" customFormat="1">
      <c r="P1907" s="277"/>
      <c r="Q1907" s="277"/>
      <c r="R1907" s="277"/>
      <c r="S1907" s="291">
        <v>43453</v>
      </c>
      <c r="T1907" s="279">
        <v>1814</v>
      </c>
      <c r="U1907" s="277"/>
      <c r="V1907" s="277"/>
      <c r="W1907" s="277"/>
      <c r="X1907" s="277"/>
      <c r="Y1907" s="277"/>
      <c r="Z1907" s="277"/>
      <c r="AA1907" s="277"/>
      <c r="AB1907" s="277"/>
      <c r="AC1907" s="277"/>
      <c r="AD1907" s="277"/>
      <c r="AE1907" s="277"/>
      <c r="AF1907" s="277"/>
      <c r="AG1907" s="277"/>
      <c r="AH1907" s="277"/>
      <c r="AI1907" s="277"/>
    </row>
    <row r="1908" spans="16:35" s="185" customFormat="1">
      <c r="P1908" s="277"/>
      <c r="Q1908" s="277"/>
      <c r="R1908" s="277"/>
      <c r="S1908" s="291">
        <v>43454</v>
      </c>
      <c r="T1908" s="279">
        <v>1815</v>
      </c>
      <c r="U1908" s="277"/>
      <c r="V1908" s="277"/>
      <c r="W1908" s="277"/>
      <c r="X1908" s="277"/>
      <c r="Y1908" s="277"/>
      <c r="Z1908" s="277"/>
      <c r="AA1908" s="277"/>
      <c r="AB1908" s="277"/>
      <c r="AC1908" s="277"/>
      <c r="AD1908" s="277"/>
      <c r="AE1908" s="277"/>
      <c r="AF1908" s="277"/>
      <c r="AG1908" s="277"/>
      <c r="AH1908" s="277"/>
      <c r="AI1908" s="277"/>
    </row>
    <row r="1909" spans="16:35" s="185" customFormat="1">
      <c r="P1909" s="277"/>
      <c r="Q1909" s="277"/>
      <c r="R1909" s="277"/>
      <c r="S1909" s="291">
        <v>43455</v>
      </c>
      <c r="T1909" s="279">
        <v>1816</v>
      </c>
      <c r="U1909" s="277"/>
      <c r="V1909" s="277"/>
      <c r="W1909" s="277"/>
      <c r="X1909" s="277"/>
      <c r="Y1909" s="277"/>
      <c r="Z1909" s="277"/>
      <c r="AA1909" s="277"/>
      <c r="AB1909" s="277"/>
      <c r="AC1909" s="277"/>
      <c r="AD1909" s="277"/>
      <c r="AE1909" s="277"/>
      <c r="AF1909" s="277"/>
      <c r="AG1909" s="277"/>
      <c r="AH1909" s="277"/>
      <c r="AI1909" s="277"/>
    </row>
    <row r="1910" spans="16:35" s="185" customFormat="1">
      <c r="P1910" s="277"/>
      <c r="Q1910" s="277"/>
      <c r="R1910" s="277"/>
      <c r="S1910" s="291">
        <v>43456</v>
      </c>
      <c r="T1910" s="279">
        <v>1817</v>
      </c>
      <c r="U1910" s="277"/>
      <c r="V1910" s="277"/>
      <c r="W1910" s="277"/>
      <c r="X1910" s="277"/>
      <c r="Y1910" s="277"/>
      <c r="Z1910" s="277"/>
      <c r="AA1910" s="277"/>
      <c r="AB1910" s="277"/>
      <c r="AC1910" s="277"/>
      <c r="AD1910" s="277"/>
      <c r="AE1910" s="277"/>
      <c r="AF1910" s="277"/>
      <c r="AG1910" s="277"/>
      <c r="AH1910" s="277"/>
      <c r="AI1910" s="277"/>
    </row>
    <row r="1911" spans="16:35" s="185" customFormat="1">
      <c r="P1911" s="277"/>
      <c r="Q1911" s="277"/>
      <c r="R1911" s="277"/>
      <c r="S1911" s="291">
        <v>43457</v>
      </c>
      <c r="T1911" s="279">
        <v>1818</v>
      </c>
      <c r="U1911" s="277"/>
      <c r="V1911" s="277"/>
      <c r="W1911" s="277"/>
      <c r="X1911" s="277"/>
      <c r="Y1911" s="277"/>
      <c r="Z1911" s="277"/>
      <c r="AA1911" s="277"/>
      <c r="AB1911" s="277"/>
      <c r="AC1911" s="277"/>
      <c r="AD1911" s="277"/>
      <c r="AE1911" s="277"/>
      <c r="AF1911" s="277"/>
      <c r="AG1911" s="277"/>
      <c r="AH1911" s="277"/>
      <c r="AI1911" s="277"/>
    </row>
    <row r="1912" spans="16:35" s="185" customFormat="1">
      <c r="P1912" s="277"/>
      <c r="Q1912" s="277"/>
      <c r="R1912" s="277"/>
      <c r="S1912" s="291">
        <v>43458</v>
      </c>
      <c r="T1912" s="279">
        <v>1819</v>
      </c>
      <c r="U1912" s="277"/>
      <c r="V1912" s="277"/>
      <c r="W1912" s="277"/>
      <c r="X1912" s="277"/>
      <c r="Y1912" s="277"/>
      <c r="Z1912" s="277"/>
      <c r="AA1912" s="277"/>
      <c r="AB1912" s="277"/>
      <c r="AC1912" s="277"/>
      <c r="AD1912" s="277"/>
      <c r="AE1912" s="277"/>
      <c r="AF1912" s="277"/>
      <c r="AG1912" s="277"/>
      <c r="AH1912" s="277"/>
      <c r="AI1912" s="277"/>
    </row>
    <row r="1913" spans="16:35" s="185" customFormat="1">
      <c r="P1913" s="277"/>
      <c r="Q1913" s="277"/>
      <c r="R1913" s="277"/>
      <c r="S1913" s="291">
        <v>43459</v>
      </c>
      <c r="T1913" s="279">
        <v>1820</v>
      </c>
      <c r="U1913" s="277"/>
      <c r="V1913" s="277"/>
      <c r="W1913" s="277"/>
      <c r="X1913" s="277"/>
      <c r="Y1913" s="277"/>
      <c r="Z1913" s="277"/>
      <c r="AA1913" s="277"/>
      <c r="AB1913" s="277"/>
      <c r="AC1913" s="277"/>
      <c r="AD1913" s="277"/>
      <c r="AE1913" s="277"/>
      <c r="AF1913" s="277"/>
      <c r="AG1913" s="277"/>
      <c r="AH1913" s="277"/>
      <c r="AI1913" s="277"/>
    </row>
    <row r="1914" spans="16:35" s="185" customFormat="1">
      <c r="P1914" s="277"/>
      <c r="Q1914" s="277"/>
      <c r="R1914" s="277"/>
      <c r="S1914" s="291">
        <v>43460</v>
      </c>
      <c r="T1914" s="279">
        <v>1821</v>
      </c>
      <c r="U1914" s="277"/>
      <c r="V1914" s="277"/>
      <c r="W1914" s="277"/>
      <c r="X1914" s="277"/>
      <c r="Y1914" s="277"/>
      <c r="Z1914" s="277"/>
      <c r="AA1914" s="277"/>
      <c r="AB1914" s="277"/>
      <c r="AC1914" s="277"/>
      <c r="AD1914" s="277"/>
      <c r="AE1914" s="277"/>
      <c r="AF1914" s="277"/>
      <c r="AG1914" s="277"/>
      <c r="AH1914" s="277"/>
      <c r="AI1914" s="277"/>
    </row>
    <row r="1915" spans="16:35" s="185" customFormat="1">
      <c r="P1915" s="277"/>
      <c r="Q1915" s="277"/>
      <c r="R1915" s="277"/>
      <c r="S1915" s="291">
        <v>43461</v>
      </c>
      <c r="T1915" s="279">
        <v>1822</v>
      </c>
      <c r="U1915" s="277"/>
      <c r="V1915" s="277"/>
      <c r="W1915" s="277"/>
      <c r="X1915" s="277"/>
      <c r="Y1915" s="277"/>
      <c r="Z1915" s="277"/>
      <c r="AA1915" s="277"/>
      <c r="AB1915" s="277"/>
      <c r="AC1915" s="277"/>
      <c r="AD1915" s="277"/>
      <c r="AE1915" s="277"/>
      <c r="AF1915" s="277"/>
      <c r="AG1915" s="277"/>
      <c r="AH1915" s="277"/>
      <c r="AI1915" s="277"/>
    </row>
    <row r="1916" spans="16:35" s="185" customFormat="1">
      <c r="P1916" s="277"/>
      <c r="Q1916" s="277"/>
      <c r="R1916" s="277"/>
      <c r="S1916" s="291">
        <v>43462</v>
      </c>
      <c r="T1916" s="279">
        <v>1823</v>
      </c>
      <c r="U1916" s="277"/>
      <c r="V1916" s="277"/>
      <c r="W1916" s="277"/>
      <c r="X1916" s="277"/>
      <c r="Y1916" s="277"/>
      <c r="Z1916" s="277"/>
      <c r="AA1916" s="277"/>
      <c r="AB1916" s="277"/>
      <c r="AC1916" s="277"/>
      <c r="AD1916" s="277"/>
      <c r="AE1916" s="277"/>
      <c r="AF1916" s="277"/>
      <c r="AG1916" s="277"/>
      <c r="AH1916" s="277"/>
      <c r="AI1916" s="277"/>
    </row>
    <row r="1917" spans="16:35" s="185" customFormat="1">
      <c r="P1917" s="277"/>
      <c r="Q1917" s="277"/>
      <c r="R1917" s="277"/>
      <c r="S1917" s="291">
        <v>43463</v>
      </c>
      <c r="T1917" s="279">
        <v>1824</v>
      </c>
      <c r="U1917" s="277"/>
      <c r="V1917" s="277"/>
      <c r="W1917" s="277"/>
      <c r="X1917" s="277"/>
      <c r="Y1917" s="277"/>
      <c r="Z1917" s="277"/>
      <c r="AA1917" s="277"/>
      <c r="AB1917" s="277"/>
      <c r="AC1917" s="277"/>
      <c r="AD1917" s="277"/>
      <c r="AE1917" s="277"/>
      <c r="AF1917" s="277"/>
      <c r="AG1917" s="277"/>
      <c r="AH1917" s="277"/>
      <c r="AI1917" s="277"/>
    </row>
    <row r="1918" spans="16:35" s="185" customFormat="1">
      <c r="P1918" s="277"/>
      <c r="Q1918" s="277"/>
      <c r="R1918" s="277"/>
      <c r="S1918" s="291">
        <v>43464</v>
      </c>
      <c r="T1918" s="279">
        <v>1825</v>
      </c>
      <c r="U1918" s="277"/>
      <c r="V1918" s="277"/>
      <c r="W1918" s="277"/>
      <c r="X1918" s="277"/>
      <c r="Y1918" s="277"/>
      <c r="Z1918" s="277"/>
      <c r="AA1918" s="277"/>
      <c r="AB1918" s="277"/>
      <c r="AC1918" s="277"/>
      <c r="AD1918" s="277"/>
      <c r="AE1918" s="277"/>
      <c r="AF1918" s="277"/>
      <c r="AG1918" s="277"/>
      <c r="AH1918" s="277"/>
      <c r="AI1918" s="277"/>
    </row>
    <row r="1919" spans="16:35" s="185" customFormat="1">
      <c r="P1919" s="277"/>
      <c r="Q1919" s="277"/>
      <c r="R1919" s="277"/>
      <c r="S1919" s="291">
        <v>43465</v>
      </c>
      <c r="T1919" s="279">
        <v>1826</v>
      </c>
      <c r="U1919" s="277"/>
      <c r="V1919" s="277"/>
      <c r="W1919" s="277"/>
      <c r="X1919" s="277"/>
      <c r="Y1919" s="277"/>
      <c r="Z1919" s="277"/>
      <c r="AA1919" s="277"/>
      <c r="AB1919" s="277"/>
      <c r="AC1919" s="277"/>
      <c r="AD1919" s="277"/>
      <c r="AE1919" s="277"/>
      <c r="AF1919" s="277"/>
      <c r="AG1919" s="277"/>
      <c r="AH1919" s="277"/>
      <c r="AI1919" s="277"/>
    </row>
    <row r="1920" spans="16:35" s="185" customFormat="1">
      <c r="P1920" s="277"/>
      <c r="Q1920" s="277"/>
      <c r="R1920" s="277"/>
      <c r="S1920" s="291">
        <v>43466</v>
      </c>
      <c r="T1920" s="279">
        <v>1827</v>
      </c>
      <c r="U1920" s="277"/>
      <c r="V1920" s="277"/>
      <c r="W1920" s="277"/>
      <c r="X1920" s="277"/>
      <c r="Y1920" s="277"/>
      <c r="Z1920" s="277"/>
      <c r="AA1920" s="277"/>
      <c r="AB1920" s="277"/>
      <c r="AC1920" s="277"/>
      <c r="AD1920" s="277"/>
      <c r="AE1920" s="277"/>
      <c r="AF1920" s="277"/>
      <c r="AG1920" s="277"/>
      <c r="AH1920" s="277"/>
      <c r="AI1920" s="277"/>
    </row>
    <row r="1921" spans="16:35" s="185" customFormat="1">
      <c r="P1921" s="277"/>
      <c r="Q1921" s="277"/>
      <c r="R1921" s="277"/>
      <c r="S1921" s="291">
        <v>43467</v>
      </c>
      <c r="T1921" s="279">
        <v>1828</v>
      </c>
      <c r="U1921" s="277"/>
      <c r="V1921" s="277"/>
      <c r="W1921" s="277"/>
      <c r="X1921" s="277"/>
      <c r="Y1921" s="277"/>
      <c r="Z1921" s="277"/>
      <c r="AA1921" s="277"/>
      <c r="AB1921" s="277"/>
      <c r="AC1921" s="277"/>
      <c r="AD1921" s="277"/>
      <c r="AE1921" s="277"/>
      <c r="AF1921" s="277"/>
      <c r="AG1921" s="277"/>
      <c r="AH1921" s="277"/>
      <c r="AI1921" s="277"/>
    </row>
    <row r="1922" spans="16:35" s="185" customFormat="1">
      <c r="P1922" s="277"/>
      <c r="Q1922" s="277"/>
      <c r="R1922" s="277"/>
      <c r="S1922" s="291">
        <v>43468</v>
      </c>
      <c r="T1922" s="279">
        <v>1829</v>
      </c>
      <c r="U1922" s="277"/>
      <c r="V1922" s="277"/>
      <c r="W1922" s="277"/>
      <c r="X1922" s="277"/>
      <c r="Y1922" s="277"/>
      <c r="Z1922" s="277"/>
      <c r="AA1922" s="277"/>
      <c r="AB1922" s="277"/>
      <c r="AC1922" s="277"/>
      <c r="AD1922" s="277"/>
      <c r="AE1922" s="277"/>
      <c r="AF1922" s="277"/>
      <c r="AG1922" s="277"/>
      <c r="AH1922" s="277"/>
      <c r="AI1922" s="277"/>
    </row>
    <row r="1923" spans="16:35" s="185" customFormat="1">
      <c r="P1923" s="277"/>
      <c r="Q1923" s="277"/>
      <c r="R1923" s="277"/>
      <c r="S1923" s="291">
        <v>43469</v>
      </c>
      <c r="T1923" s="279">
        <v>1830</v>
      </c>
      <c r="U1923" s="277"/>
      <c r="V1923" s="277"/>
      <c r="W1923" s="277"/>
      <c r="X1923" s="277"/>
      <c r="Y1923" s="277"/>
      <c r="Z1923" s="277"/>
      <c r="AA1923" s="277"/>
      <c r="AB1923" s="277"/>
      <c r="AC1923" s="277"/>
      <c r="AD1923" s="277"/>
      <c r="AE1923" s="277"/>
      <c r="AF1923" s="277"/>
      <c r="AG1923" s="277"/>
      <c r="AH1923" s="277"/>
      <c r="AI1923" s="277"/>
    </row>
    <row r="1924" spans="16:35" s="185" customFormat="1">
      <c r="P1924" s="277"/>
      <c r="Q1924" s="277"/>
      <c r="R1924" s="277"/>
      <c r="S1924" s="291">
        <v>43470</v>
      </c>
      <c r="T1924" s="279">
        <v>1831</v>
      </c>
      <c r="U1924" s="277"/>
      <c r="V1924" s="277"/>
      <c r="W1924" s="277"/>
      <c r="X1924" s="277"/>
      <c r="Y1924" s="277"/>
      <c r="Z1924" s="277"/>
      <c r="AA1924" s="277"/>
      <c r="AB1924" s="277"/>
      <c r="AC1924" s="277"/>
      <c r="AD1924" s="277"/>
      <c r="AE1924" s="277"/>
      <c r="AF1924" s="277"/>
      <c r="AG1924" s="277"/>
      <c r="AH1924" s="277"/>
      <c r="AI1924" s="277"/>
    </row>
    <row r="1925" spans="16:35" s="185" customFormat="1">
      <c r="P1925" s="277"/>
      <c r="Q1925" s="277"/>
      <c r="R1925" s="277"/>
      <c r="S1925" s="291">
        <v>43471</v>
      </c>
      <c r="T1925" s="279">
        <v>1832</v>
      </c>
      <c r="U1925" s="277"/>
      <c r="V1925" s="277"/>
      <c r="W1925" s="277"/>
      <c r="X1925" s="277"/>
      <c r="Y1925" s="277"/>
      <c r="Z1925" s="277"/>
      <c r="AA1925" s="277"/>
      <c r="AB1925" s="277"/>
      <c r="AC1925" s="277"/>
      <c r="AD1925" s="277"/>
      <c r="AE1925" s="277"/>
      <c r="AF1925" s="277"/>
      <c r="AG1925" s="277"/>
      <c r="AH1925" s="277"/>
      <c r="AI1925" s="277"/>
    </row>
    <row r="1926" spans="16:35" s="185" customFormat="1">
      <c r="P1926" s="277"/>
      <c r="Q1926" s="277"/>
      <c r="R1926" s="277"/>
      <c r="S1926" s="291">
        <v>43472</v>
      </c>
      <c r="T1926" s="279">
        <v>1833</v>
      </c>
      <c r="U1926" s="277"/>
      <c r="V1926" s="277"/>
      <c r="W1926" s="277"/>
      <c r="X1926" s="277"/>
      <c r="Y1926" s="277"/>
      <c r="Z1926" s="277"/>
      <c r="AA1926" s="277"/>
      <c r="AB1926" s="277"/>
      <c r="AC1926" s="277"/>
      <c r="AD1926" s="277"/>
      <c r="AE1926" s="277"/>
      <c r="AF1926" s="277"/>
      <c r="AG1926" s="277"/>
      <c r="AH1926" s="277"/>
      <c r="AI1926" s="277"/>
    </row>
    <row r="1927" spans="16:35" s="185" customFormat="1">
      <c r="P1927" s="277"/>
      <c r="Q1927" s="277"/>
      <c r="R1927" s="277"/>
      <c r="S1927" s="291">
        <v>43473</v>
      </c>
      <c r="T1927" s="279">
        <v>1834</v>
      </c>
      <c r="U1927" s="277"/>
      <c r="V1927" s="277"/>
      <c r="W1927" s="277"/>
      <c r="X1927" s="277"/>
      <c r="Y1927" s="277"/>
      <c r="Z1927" s="277"/>
      <c r="AA1927" s="277"/>
      <c r="AB1927" s="277"/>
      <c r="AC1927" s="277"/>
      <c r="AD1927" s="277"/>
      <c r="AE1927" s="277"/>
      <c r="AF1927" s="277"/>
      <c r="AG1927" s="277"/>
      <c r="AH1927" s="277"/>
      <c r="AI1927" s="277"/>
    </row>
    <row r="1928" spans="16:35" s="185" customFormat="1">
      <c r="P1928" s="277"/>
      <c r="Q1928" s="277"/>
      <c r="R1928" s="277"/>
      <c r="S1928" s="291">
        <v>43474</v>
      </c>
      <c r="T1928" s="279">
        <v>1835</v>
      </c>
      <c r="U1928" s="277"/>
      <c r="V1928" s="277"/>
      <c r="W1928" s="277"/>
      <c r="X1928" s="277"/>
      <c r="Y1928" s="277"/>
      <c r="Z1928" s="277"/>
      <c r="AA1928" s="277"/>
      <c r="AB1928" s="277"/>
      <c r="AC1928" s="277"/>
      <c r="AD1928" s="277"/>
      <c r="AE1928" s="277"/>
      <c r="AF1928" s="277"/>
      <c r="AG1928" s="277"/>
      <c r="AH1928" s="277"/>
      <c r="AI1928" s="277"/>
    </row>
    <row r="1929" spans="16:35" s="185" customFormat="1">
      <c r="P1929" s="277"/>
      <c r="Q1929" s="277"/>
      <c r="R1929" s="277"/>
      <c r="S1929" s="291">
        <v>43475</v>
      </c>
      <c r="T1929" s="279">
        <v>1836</v>
      </c>
      <c r="U1929" s="277"/>
      <c r="V1929" s="277"/>
      <c r="W1929" s="277"/>
      <c r="X1929" s="277"/>
      <c r="Y1929" s="277"/>
      <c r="Z1929" s="277"/>
      <c r="AA1929" s="277"/>
      <c r="AB1929" s="277"/>
      <c r="AC1929" s="277"/>
      <c r="AD1929" s="277"/>
      <c r="AE1929" s="277"/>
      <c r="AF1929" s="277"/>
      <c r="AG1929" s="277"/>
      <c r="AH1929" s="277"/>
      <c r="AI1929" s="277"/>
    </row>
    <row r="1930" spans="16:35" s="185" customFormat="1">
      <c r="P1930" s="277"/>
      <c r="Q1930" s="277"/>
      <c r="R1930" s="277"/>
      <c r="S1930" s="291">
        <v>43476</v>
      </c>
      <c r="T1930" s="279">
        <v>1837</v>
      </c>
      <c r="U1930" s="277"/>
      <c r="V1930" s="277"/>
      <c r="W1930" s="277"/>
      <c r="X1930" s="277"/>
      <c r="Y1930" s="277"/>
      <c r="Z1930" s="277"/>
      <c r="AA1930" s="277"/>
      <c r="AB1930" s="277"/>
      <c r="AC1930" s="277"/>
      <c r="AD1930" s="277"/>
      <c r="AE1930" s="277"/>
      <c r="AF1930" s="277"/>
      <c r="AG1930" s="277"/>
      <c r="AH1930" s="277"/>
      <c r="AI1930" s="277"/>
    </row>
    <row r="1931" spans="16:35" s="185" customFormat="1">
      <c r="P1931" s="277"/>
      <c r="Q1931" s="277"/>
      <c r="R1931" s="277"/>
      <c r="S1931" s="291">
        <v>43477</v>
      </c>
      <c r="T1931" s="279">
        <v>1838</v>
      </c>
      <c r="U1931" s="277"/>
      <c r="V1931" s="277"/>
      <c r="W1931" s="277"/>
      <c r="X1931" s="277"/>
      <c r="Y1931" s="277"/>
      <c r="Z1931" s="277"/>
      <c r="AA1931" s="277"/>
      <c r="AB1931" s="277"/>
      <c r="AC1931" s="277"/>
      <c r="AD1931" s="277"/>
      <c r="AE1931" s="277"/>
      <c r="AF1931" s="277"/>
      <c r="AG1931" s="277"/>
      <c r="AH1931" s="277"/>
      <c r="AI1931" s="277"/>
    </row>
    <row r="1932" spans="16:35" s="185" customFormat="1">
      <c r="P1932" s="277"/>
      <c r="Q1932" s="277"/>
      <c r="R1932" s="277"/>
      <c r="S1932" s="291">
        <v>43478</v>
      </c>
      <c r="T1932" s="279">
        <v>1839</v>
      </c>
      <c r="U1932" s="277"/>
      <c r="V1932" s="277"/>
      <c r="W1932" s="277"/>
      <c r="X1932" s="277"/>
      <c r="Y1932" s="277"/>
      <c r="Z1932" s="277"/>
      <c r="AA1932" s="277"/>
      <c r="AB1932" s="277"/>
      <c r="AC1932" s="277"/>
      <c r="AD1932" s="277"/>
      <c r="AE1932" s="277"/>
      <c r="AF1932" s="277"/>
      <c r="AG1932" s="277"/>
      <c r="AH1932" s="277"/>
      <c r="AI1932" s="277"/>
    </row>
    <row r="1933" spans="16:35" s="185" customFormat="1">
      <c r="P1933" s="277"/>
      <c r="Q1933" s="277"/>
      <c r="R1933" s="277"/>
      <c r="S1933" s="291">
        <v>43479</v>
      </c>
      <c r="T1933" s="279">
        <v>1840</v>
      </c>
      <c r="U1933" s="277"/>
      <c r="V1933" s="277"/>
      <c r="W1933" s="277"/>
      <c r="X1933" s="277"/>
      <c r="Y1933" s="277"/>
      <c r="Z1933" s="277"/>
      <c r="AA1933" s="277"/>
      <c r="AB1933" s="277"/>
      <c r="AC1933" s="277"/>
      <c r="AD1933" s="277"/>
      <c r="AE1933" s="277"/>
      <c r="AF1933" s="277"/>
      <c r="AG1933" s="277"/>
      <c r="AH1933" s="277"/>
      <c r="AI1933" s="277"/>
    </row>
    <row r="1934" spans="16:35" s="185" customFormat="1">
      <c r="P1934" s="277"/>
      <c r="Q1934" s="277"/>
      <c r="R1934" s="277"/>
      <c r="S1934" s="291">
        <v>43480</v>
      </c>
      <c r="T1934" s="279">
        <v>1841</v>
      </c>
      <c r="U1934" s="277"/>
      <c r="V1934" s="277"/>
      <c r="W1934" s="277"/>
      <c r="X1934" s="277"/>
      <c r="Y1934" s="277"/>
      <c r="Z1934" s="277"/>
      <c r="AA1934" s="277"/>
      <c r="AB1934" s="277"/>
      <c r="AC1934" s="277"/>
      <c r="AD1934" s="277"/>
      <c r="AE1934" s="277"/>
      <c r="AF1934" s="277"/>
      <c r="AG1934" s="277"/>
      <c r="AH1934" s="277"/>
      <c r="AI1934" s="277"/>
    </row>
    <row r="1935" spans="16:35" s="185" customFormat="1">
      <c r="P1935" s="277"/>
      <c r="Q1935" s="277"/>
      <c r="R1935" s="277"/>
      <c r="S1935" s="291">
        <v>43481</v>
      </c>
      <c r="T1935" s="279">
        <v>1842</v>
      </c>
      <c r="U1935" s="277"/>
      <c r="V1935" s="277"/>
      <c r="W1935" s="277"/>
      <c r="X1935" s="277"/>
      <c r="Y1935" s="277"/>
      <c r="Z1935" s="277"/>
      <c r="AA1935" s="277"/>
      <c r="AB1935" s="277"/>
      <c r="AC1935" s="277"/>
      <c r="AD1935" s="277"/>
      <c r="AE1935" s="277"/>
      <c r="AF1935" s="277"/>
      <c r="AG1935" s="277"/>
      <c r="AH1935" s="277"/>
      <c r="AI1935" s="277"/>
    </row>
    <row r="1936" spans="16:35" s="185" customFormat="1">
      <c r="P1936" s="277"/>
      <c r="Q1936" s="277"/>
      <c r="R1936" s="277"/>
      <c r="S1936" s="291">
        <v>43482</v>
      </c>
      <c r="T1936" s="279">
        <v>1843</v>
      </c>
      <c r="U1936" s="277"/>
      <c r="V1936" s="277"/>
      <c r="W1936" s="277"/>
      <c r="X1936" s="277"/>
      <c r="Y1936" s="277"/>
      <c r="Z1936" s="277"/>
      <c r="AA1936" s="277"/>
      <c r="AB1936" s="277"/>
      <c r="AC1936" s="277"/>
      <c r="AD1936" s="277"/>
      <c r="AE1936" s="277"/>
      <c r="AF1936" s="277"/>
      <c r="AG1936" s="277"/>
      <c r="AH1936" s="277"/>
      <c r="AI1936" s="277"/>
    </row>
    <row r="1937" spans="16:35" s="185" customFormat="1">
      <c r="P1937" s="277"/>
      <c r="Q1937" s="277"/>
      <c r="R1937" s="277"/>
      <c r="S1937" s="291">
        <v>43483</v>
      </c>
      <c r="T1937" s="279">
        <v>1844</v>
      </c>
      <c r="U1937" s="277"/>
      <c r="V1937" s="277"/>
      <c r="W1937" s="277"/>
      <c r="X1937" s="277"/>
      <c r="Y1937" s="277"/>
      <c r="Z1937" s="277"/>
      <c r="AA1937" s="277"/>
      <c r="AB1937" s="277"/>
      <c r="AC1937" s="277"/>
      <c r="AD1937" s="277"/>
      <c r="AE1937" s="277"/>
      <c r="AF1937" s="277"/>
      <c r="AG1937" s="277"/>
      <c r="AH1937" s="277"/>
      <c r="AI1937" s="277"/>
    </row>
    <row r="1938" spans="16:35" s="185" customFormat="1">
      <c r="P1938" s="277"/>
      <c r="Q1938" s="277"/>
      <c r="R1938" s="277"/>
      <c r="S1938" s="291">
        <v>43484</v>
      </c>
      <c r="T1938" s="279">
        <v>1845</v>
      </c>
      <c r="U1938" s="277"/>
      <c r="V1938" s="277"/>
      <c r="W1938" s="277"/>
      <c r="X1938" s="277"/>
      <c r="Y1938" s="277"/>
      <c r="Z1938" s="277"/>
      <c r="AA1938" s="277"/>
      <c r="AB1938" s="277"/>
      <c r="AC1938" s="277"/>
      <c r="AD1938" s="277"/>
      <c r="AE1938" s="277"/>
      <c r="AF1938" s="277"/>
      <c r="AG1938" s="277"/>
      <c r="AH1938" s="277"/>
      <c r="AI1938" s="277"/>
    </row>
    <row r="1939" spans="16:35" s="185" customFormat="1">
      <c r="P1939" s="277"/>
      <c r="Q1939" s="277"/>
      <c r="R1939" s="277"/>
      <c r="S1939" s="291">
        <v>43485</v>
      </c>
      <c r="T1939" s="279">
        <v>1846</v>
      </c>
      <c r="U1939" s="277"/>
      <c r="V1939" s="277"/>
      <c r="W1939" s="277"/>
      <c r="X1939" s="277"/>
      <c r="Y1939" s="277"/>
      <c r="Z1939" s="277"/>
      <c r="AA1939" s="277"/>
      <c r="AB1939" s="277"/>
      <c r="AC1939" s="277"/>
      <c r="AD1939" s="277"/>
      <c r="AE1939" s="277"/>
      <c r="AF1939" s="277"/>
      <c r="AG1939" s="277"/>
      <c r="AH1939" s="277"/>
      <c r="AI1939" s="277"/>
    </row>
    <row r="1940" spans="16:35" s="185" customFormat="1">
      <c r="P1940" s="277"/>
      <c r="Q1940" s="277"/>
      <c r="R1940" s="277"/>
      <c r="S1940" s="291">
        <v>43486</v>
      </c>
      <c r="T1940" s="279">
        <v>1847</v>
      </c>
      <c r="U1940" s="277"/>
      <c r="V1940" s="277"/>
      <c r="W1940" s="277"/>
      <c r="X1940" s="277"/>
      <c r="Y1940" s="277"/>
      <c r="Z1940" s="277"/>
      <c r="AA1940" s="277"/>
      <c r="AB1940" s="277"/>
      <c r="AC1940" s="277"/>
      <c r="AD1940" s="277"/>
      <c r="AE1940" s="277"/>
      <c r="AF1940" s="277"/>
      <c r="AG1940" s="277"/>
      <c r="AH1940" s="277"/>
      <c r="AI1940" s="277"/>
    </row>
    <row r="1941" spans="16:35" s="185" customFormat="1">
      <c r="P1941" s="277"/>
      <c r="Q1941" s="277"/>
      <c r="R1941" s="277"/>
      <c r="S1941" s="291">
        <v>43487</v>
      </c>
      <c r="T1941" s="279">
        <v>1848</v>
      </c>
      <c r="U1941" s="277"/>
      <c r="V1941" s="277"/>
      <c r="W1941" s="277"/>
      <c r="X1941" s="277"/>
      <c r="Y1941" s="277"/>
      <c r="Z1941" s="277"/>
      <c r="AA1941" s="277"/>
      <c r="AB1941" s="277"/>
      <c r="AC1941" s="277"/>
      <c r="AD1941" s="277"/>
      <c r="AE1941" s="277"/>
      <c r="AF1941" s="277"/>
      <c r="AG1941" s="277"/>
      <c r="AH1941" s="277"/>
      <c r="AI1941" s="277"/>
    </row>
    <row r="1942" spans="16:35" s="185" customFormat="1">
      <c r="P1942" s="277"/>
      <c r="Q1942" s="277"/>
      <c r="R1942" s="277"/>
      <c r="S1942" s="291">
        <v>43488</v>
      </c>
      <c r="T1942" s="279">
        <v>1849</v>
      </c>
      <c r="U1942" s="277"/>
      <c r="V1942" s="277"/>
      <c r="W1942" s="277"/>
      <c r="X1942" s="277"/>
      <c r="Y1942" s="277"/>
      <c r="Z1942" s="277"/>
      <c r="AA1942" s="277"/>
      <c r="AB1942" s="277"/>
      <c r="AC1942" s="277"/>
      <c r="AD1942" s="277"/>
      <c r="AE1942" s="277"/>
      <c r="AF1942" s="277"/>
      <c r="AG1942" s="277"/>
      <c r="AH1942" s="277"/>
      <c r="AI1942" s="277"/>
    </row>
    <row r="1943" spans="16:35" s="185" customFormat="1">
      <c r="P1943" s="277"/>
      <c r="Q1943" s="277"/>
      <c r="R1943" s="277"/>
      <c r="S1943" s="291">
        <v>43489</v>
      </c>
      <c r="T1943" s="279">
        <v>1850</v>
      </c>
      <c r="U1943" s="277"/>
      <c r="V1943" s="277"/>
      <c r="W1943" s="277"/>
      <c r="X1943" s="277"/>
      <c r="Y1943" s="277"/>
      <c r="Z1943" s="277"/>
      <c r="AA1943" s="277"/>
      <c r="AB1943" s="277"/>
      <c r="AC1943" s="277"/>
      <c r="AD1943" s="277"/>
      <c r="AE1943" s="277"/>
      <c r="AF1943" s="277"/>
      <c r="AG1943" s="277"/>
      <c r="AH1943" s="277"/>
      <c r="AI1943" s="277"/>
    </row>
    <row r="1944" spans="16:35" s="185" customFormat="1">
      <c r="P1944" s="277"/>
      <c r="Q1944" s="277"/>
      <c r="R1944" s="277"/>
      <c r="S1944" s="291">
        <v>43490</v>
      </c>
      <c r="T1944" s="279">
        <v>1851</v>
      </c>
      <c r="U1944" s="277"/>
      <c r="V1944" s="277"/>
      <c r="W1944" s="277"/>
      <c r="X1944" s="277"/>
      <c r="Y1944" s="277"/>
      <c r="Z1944" s="277"/>
      <c r="AA1944" s="277"/>
      <c r="AB1944" s="277"/>
      <c r="AC1944" s="277"/>
      <c r="AD1944" s="277"/>
      <c r="AE1944" s="277"/>
      <c r="AF1944" s="277"/>
      <c r="AG1944" s="277"/>
      <c r="AH1944" s="277"/>
      <c r="AI1944" s="277"/>
    </row>
    <row r="1945" spans="16:35" s="185" customFormat="1">
      <c r="P1945" s="277"/>
      <c r="Q1945" s="277"/>
      <c r="R1945" s="277"/>
      <c r="S1945" s="291">
        <v>43491</v>
      </c>
      <c r="T1945" s="279">
        <v>1852</v>
      </c>
      <c r="U1945" s="277"/>
      <c r="V1945" s="277"/>
      <c r="W1945" s="277"/>
      <c r="X1945" s="277"/>
      <c r="Y1945" s="277"/>
      <c r="Z1945" s="277"/>
      <c r="AA1945" s="277"/>
      <c r="AB1945" s="277"/>
      <c r="AC1945" s="277"/>
      <c r="AD1945" s="277"/>
      <c r="AE1945" s="277"/>
      <c r="AF1945" s="277"/>
      <c r="AG1945" s="277"/>
      <c r="AH1945" s="277"/>
      <c r="AI1945" s="277"/>
    </row>
    <row r="1946" spans="16:35" s="185" customFormat="1">
      <c r="P1946" s="277"/>
      <c r="Q1946" s="277"/>
      <c r="R1946" s="277"/>
      <c r="S1946" s="291">
        <v>43492</v>
      </c>
      <c r="T1946" s="279">
        <v>1853</v>
      </c>
      <c r="U1946" s="277"/>
      <c r="V1946" s="277"/>
      <c r="W1946" s="277"/>
      <c r="X1946" s="277"/>
      <c r="Y1946" s="277"/>
      <c r="Z1946" s="277"/>
      <c r="AA1946" s="277"/>
      <c r="AB1946" s="277"/>
      <c r="AC1946" s="277"/>
      <c r="AD1946" s="277"/>
      <c r="AE1946" s="277"/>
      <c r="AF1946" s="277"/>
      <c r="AG1946" s="277"/>
      <c r="AH1946" s="277"/>
      <c r="AI1946" s="277"/>
    </row>
    <row r="1947" spans="16:35" s="185" customFormat="1">
      <c r="P1947" s="277"/>
      <c r="Q1947" s="277"/>
      <c r="R1947" s="277"/>
      <c r="S1947" s="291">
        <v>43493</v>
      </c>
      <c r="T1947" s="279">
        <v>1854</v>
      </c>
      <c r="U1947" s="277"/>
      <c r="V1947" s="277"/>
      <c r="W1947" s="277"/>
      <c r="X1947" s="277"/>
      <c r="Y1947" s="277"/>
      <c r="Z1947" s="277"/>
      <c r="AA1947" s="277"/>
      <c r="AB1947" s="277"/>
      <c r="AC1947" s="277"/>
      <c r="AD1947" s="277"/>
      <c r="AE1947" s="277"/>
      <c r="AF1947" s="277"/>
      <c r="AG1947" s="277"/>
      <c r="AH1947" s="277"/>
      <c r="AI1947" s="277"/>
    </row>
    <row r="1948" spans="16:35" s="185" customFormat="1">
      <c r="P1948" s="277"/>
      <c r="Q1948" s="277"/>
      <c r="R1948" s="277"/>
      <c r="S1948" s="291">
        <v>43494</v>
      </c>
      <c r="T1948" s="279">
        <v>1855</v>
      </c>
      <c r="U1948" s="277"/>
      <c r="V1948" s="277"/>
      <c r="W1948" s="277"/>
      <c r="X1948" s="277"/>
      <c r="Y1948" s="277"/>
      <c r="Z1948" s="277"/>
      <c r="AA1948" s="277"/>
      <c r="AB1948" s="277"/>
      <c r="AC1948" s="277"/>
      <c r="AD1948" s="277"/>
      <c r="AE1948" s="277"/>
      <c r="AF1948" s="277"/>
      <c r="AG1948" s="277"/>
      <c r="AH1948" s="277"/>
      <c r="AI1948" s="277"/>
    </row>
    <row r="1949" spans="16:35" s="185" customFormat="1">
      <c r="P1949" s="277"/>
      <c r="Q1949" s="277"/>
      <c r="R1949" s="277"/>
      <c r="S1949" s="291">
        <v>43495</v>
      </c>
      <c r="T1949" s="279">
        <v>1856</v>
      </c>
      <c r="U1949" s="277"/>
      <c r="V1949" s="277"/>
      <c r="W1949" s="277"/>
      <c r="X1949" s="277"/>
      <c r="Y1949" s="277"/>
      <c r="Z1949" s="277"/>
      <c r="AA1949" s="277"/>
      <c r="AB1949" s="277"/>
      <c r="AC1949" s="277"/>
      <c r="AD1949" s="277"/>
      <c r="AE1949" s="277"/>
      <c r="AF1949" s="277"/>
      <c r="AG1949" s="277"/>
      <c r="AH1949" s="277"/>
      <c r="AI1949" s="277"/>
    </row>
    <row r="1950" spans="16:35" s="185" customFormat="1">
      <c r="P1950" s="277"/>
      <c r="Q1950" s="277"/>
      <c r="R1950" s="277"/>
      <c r="S1950" s="291">
        <v>43496</v>
      </c>
      <c r="T1950" s="279">
        <v>1857</v>
      </c>
      <c r="U1950" s="277"/>
      <c r="V1950" s="277"/>
      <c r="W1950" s="277"/>
      <c r="X1950" s="277"/>
      <c r="Y1950" s="277"/>
      <c r="Z1950" s="277"/>
      <c r="AA1950" s="277"/>
      <c r="AB1950" s="277"/>
      <c r="AC1950" s="277"/>
      <c r="AD1950" s="277"/>
      <c r="AE1950" s="277"/>
      <c r="AF1950" s="277"/>
      <c r="AG1950" s="277"/>
      <c r="AH1950" s="277"/>
      <c r="AI1950" s="277"/>
    </row>
    <row r="1951" spans="16:35" s="185" customFormat="1">
      <c r="P1951" s="277"/>
      <c r="Q1951" s="277"/>
      <c r="R1951" s="277"/>
      <c r="S1951" s="291">
        <v>43497</v>
      </c>
      <c r="T1951" s="279">
        <v>1858</v>
      </c>
      <c r="U1951" s="277"/>
      <c r="V1951" s="277"/>
      <c r="W1951" s="277"/>
      <c r="X1951" s="277"/>
      <c r="Y1951" s="277"/>
      <c r="Z1951" s="277"/>
      <c r="AA1951" s="277"/>
      <c r="AB1951" s="277"/>
      <c r="AC1951" s="277"/>
      <c r="AD1951" s="277"/>
      <c r="AE1951" s="277"/>
      <c r="AF1951" s="277"/>
      <c r="AG1951" s="277"/>
      <c r="AH1951" s="277"/>
      <c r="AI1951" s="277"/>
    </row>
    <row r="1952" spans="16:35" s="185" customFormat="1">
      <c r="P1952" s="277"/>
      <c r="Q1952" s="277"/>
      <c r="R1952" s="277"/>
      <c r="S1952" s="291">
        <v>43498</v>
      </c>
      <c r="T1952" s="279">
        <v>1859</v>
      </c>
      <c r="U1952" s="277"/>
      <c r="V1952" s="277"/>
      <c r="W1952" s="277"/>
      <c r="X1952" s="277"/>
      <c r="Y1952" s="277"/>
      <c r="Z1952" s="277"/>
      <c r="AA1952" s="277"/>
      <c r="AB1952" s="277"/>
      <c r="AC1952" s="277"/>
      <c r="AD1952" s="277"/>
      <c r="AE1952" s="277"/>
      <c r="AF1952" s="277"/>
      <c r="AG1952" s="277"/>
      <c r="AH1952" s="277"/>
      <c r="AI1952" s="277"/>
    </row>
    <row r="1953" spans="16:35" s="185" customFormat="1">
      <c r="P1953" s="277"/>
      <c r="Q1953" s="277"/>
      <c r="R1953" s="277"/>
      <c r="S1953" s="291">
        <v>43499</v>
      </c>
      <c r="T1953" s="279">
        <v>1860</v>
      </c>
      <c r="U1953" s="277"/>
      <c r="V1953" s="277"/>
      <c r="W1953" s="277"/>
      <c r="X1953" s="277"/>
      <c r="Y1953" s="277"/>
      <c r="Z1953" s="277"/>
      <c r="AA1953" s="277"/>
      <c r="AB1953" s="277"/>
      <c r="AC1953" s="277"/>
      <c r="AD1953" s="277"/>
      <c r="AE1953" s="277"/>
      <c r="AF1953" s="277"/>
      <c r="AG1953" s="277"/>
      <c r="AH1953" s="277"/>
      <c r="AI1953" s="277"/>
    </row>
    <row r="1954" spans="16:35" s="185" customFormat="1">
      <c r="P1954" s="277"/>
      <c r="Q1954" s="277"/>
      <c r="R1954" s="277"/>
      <c r="S1954" s="291">
        <v>43500</v>
      </c>
      <c r="T1954" s="279">
        <v>1861</v>
      </c>
      <c r="U1954" s="277"/>
      <c r="V1954" s="277"/>
      <c r="W1954" s="277"/>
      <c r="X1954" s="277"/>
      <c r="Y1954" s="277"/>
      <c r="Z1954" s="277"/>
      <c r="AA1954" s="277"/>
      <c r="AB1954" s="277"/>
      <c r="AC1954" s="277"/>
      <c r="AD1954" s="277"/>
      <c r="AE1954" s="277"/>
      <c r="AF1954" s="277"/>
      <c r="AG1954" s="277"/>
      <c r="AH1954" s="277"/>
      <c r="AI1954" s="277"/>
    </row>
    <row r="1955" spans="16:35" s="185" customFormat="1">
      <c r="P1955" s="277"/>
      <c r="Q1955" s="277"/>
      <c r="R1955" s="277"/>
      <c r="S1955" s="291">
        <v>43501</v>
      </c>
      <c r="T1955" s="279">
        <v>1862</v>
      </c>
      <c r="U1955" s="277"/>
      <c r="V1955" s="277"/>
      <c r="W1955" s="277"/>
      <c r="X1955" s="277"/>
      <c r="Y1955" s="277"/>
      <c r="Z1955" s="277"/>
      <c r="AA1955" s="277"/>
      <c r="AB1955" s="277"/>
      <c r="AC1955" s="277"/>
      <c r="AD1955" s="277"/>
      <c r="AE1955" s="277"/>
      <c r="AF1955" s="277"/>
      <c r="AG1955" s="277"/>
      <c r="AH1955" s="277"/>
      <c r="AI1955" s="277"/>
    </row>
    <row r="1956" spans="16:35" s="185" customFormat="1">
      <c r="P1956" s="277"/>
      <c r="Q1956" s="277"/>
      <c r="R1956" s="277"/>
      <c r="S1956" s="291">
        <v>43502</v>
      </c>
      <c r="T1956" s="279">
        <v>1863</v>
      </c>
      <c r="U1956" s="277"/>
      <c r="V1956" s="277"/>
      <c r="W1956" s="277"/>
      <c r="X1956" s="277"/>
      <c r="Y1956" s="277"/>
      <c r="Z1956" s="277"/>
      <c r="AA1956" s="277"/>
      <c r="AB1956" s="277"/>
      <c r="AC1956" s="277"/>
      <c r="AD1956" s="277"/>
      <c r="AE1956" s="277"/>
      <c r="AF1956" s="277"/>
      <c r="AG1956" s="277"/>
      <c r="AH1956" s="277"/>
      <c r="AI1956" s="277"/>
    </row>
    <row r="1957" spans="16:35" s="185" customFormat="1">
      <c r="P1957" s="277"/>
      <c r="Q1957" s="277"/>
      <c r="R1957" s="277"/>
      <c r="S1957" s="291">
        <v>43503</v>
      </c>
      <c r="T1957" s="279">
        <v>1864</v>
      </c>
      <c r="U1957" s="277"/>
      <c r="V1957" s="277"/>
      <c r="W1957" s="277"/>
      <c r="X1957" s="277"/>
      <c r="Y1957" s="277"/>
      <c r="Z1957" s="277"/>
      <c r="AA1957" s="277"/>
      <c r="AB1957" s="277"/>
      <c r="AC1957" s="277"/>
      <c r="AD1957" s="277"/>
      <c r="AE1957" s="277"/>
      <c r="AF1957" s="277"/>
      <c r="AG1957" s="277"/>
      <c r="AH1957" s="277"/>
      <c r="AI1957" s="277"/>
    </row>
    <row r="1958" spans="16:35" s="185" customFormat="1">
      <c r="P1958" s="277"/>
      <c r="Q1958" s="277"/>
      <c r="R1958" s="277"/>
      <c r="S1958" s="291">
        <v>43504</v>
      </c>
      <c r="T1958" s="279">
        <v>1865</v>
      </c>
      <c r="U1958" s="277"/>
      <c r="V1958" s="277"/>
      <c r="W1958" s="277"/>
      <c r="X1958" s="277"/>
      <c r="Y1958" s="277"/>
      <c r="Z1958" s="277"/>
      <c r="AA1958" s="277"/>
      <c r="AB1958" s="277"/>
      <c r="AC1958" s="277"/>
      <c r="AD1958" s="277"/>
      <c r="AE1958" s="277"/>
      <c r="AF1958" s="277"/>
      <c r="AG1958" s="277"/>
      <c r="AH1958" s="277"/>
      <c r="AI1958" s="277"/>
    </row>
    <row r="1959" spans="16:35" s="185" customFormat="1">
      <c r="P1959" s="277"/>
      <c r="Q1959" s="277"/>
      <c r="R1959" s="277"/>
      <c r="S1959" s="291">
        <v>43505</v>
      </c>
      <c r="T1959" s="279">
        <v>1866</v>
      </c>
      <c r="U1959" s="277"/>
      <c r="V1959" s="277"/>
      <c r="W1959" s="277"/>
      <c r="X1959" s="277"/>
      <c r="Y1959" s="277"/>
      <c r="Z1959" s="277"/>
      <c r="AA1959" s="277"/>
      <c r="AB1959" s="277"/>
      <c r="AC1959" s="277"/>
      <c r="AD1959" s="277"/>
      <c r="AE1959" s="277"/>
      <c r="AF1959" s="277"/>
      <c r="AG1959" s="277"/>
      <c r="AH1959" s="277"/>
      <c r="AI1959" s="277"/>
    </row>
    <row r="1960" spans="16:35" s="185" customFormat="1">
      <c r="P1960" s="277"/>
      <c r="Q1960" s="277"/>
      <c r="R1960" s="277"/>
      <c r="S1960" s="291">
        <v>43506</v>
      </c>
      <c r="T1960" s="279">
        <v>1867</v>
      </c>
      <c r="U1960" s="277"/>
      <c r="V1960" s="277"/>
      <c r="W1960" s="277"/>
      <c r="X1960" s="277"/>
      <c r="Y1960" s="277"/>
      <c r="Z1960" s="277"/>
      <c r="AA1960" s="277"/>
      <c r="AB1960" s="277"/>
      <c r="AC1960" s="277"/>
      <c r="AD1960" s="277"/>
      <c r="AE1960" s="277"/>
      <c r="AF1960" s="277"/>
      <c r="AG1960" s="277"/>
      <c r="AH1960" s="277"/>
      <c r="AI1960" s="277"/>
    </row>
    <row r="1961" spans="16:35" s="185" customFormat="1">
      <c r="P1961" s="277"/>
      <c r="Q1961" s="277"/>
      <c r="R1961" s="277"/>
      <c r="S1961" s="291">
        <v>43507</v>
      </c>
      <c r="T1961" s="279">
        <v>1868</v>
      </c>
      <c r="U1961" s="277"/>
      <c r="V1961" s="277"/>
      <c r="W1961" s="277"/>
      <c r="X1961" s="277"/>
      <c r="Y1961" s="277"/>
      <c r="Z1961" s="277"/>
      <c r="AA1961" s="277"/>
      <c r="AB1961" s="277"/>
      <c r="AC1961" s="277"/>
      <c r="AD1961" s="277"/>
      <c r="AE1961" s="277"/>
      <c r="AF1961" s="277"/>
      <c r="AG1961" s="277"/>
      <c r="AH1961" s="277"/>
      <c r="AI1961" s="277"/>
    </row>
    <row r="1962" spans="16:35" s="185" customFormat="1">
      <c r="P1962" s="277"/>
      <c r="Q1962" s="277"/>
      <c r="R1962" s="277"/>
      <c r="S1962" s="291">
        <v>43508</v>
      </c>
      <c r="T1962" s="279">
        <v>1869</v>
      </c>
      <c r="U1962" s="277"/>
      <c r="V1962" s="277"/>
      <c r="W1962" s="277"/>
      <c r="X1962" s="277"/>
      <c r="Y1962" s="277"/>
      <c r="Z1962" s="277"/>
      <c r="AA1962" s="277"/>
      <c r="AB1962" s="277"/>
      <c r="AC1962" s="277"/>
      <c r="AD1962" s="277"/>
      <c r="AE1962" s="277"/>
      <c r="AF1962" s="277"/>
      <c r="AG1962" s="277"/>
      <c r="AH1962" s="277"/>
      <c r="AI1962" s="277"/>
    </row>
    <row r="1963" spans="16:35" s="185" customFormat="1">
      <c r="P1963" s="277"/>
      <c r="Q1963" s="277"/>
      <c r="R1963" s="277"/>
      <c r="S1963" s="291">
        <v>43509</v>
      </c>
      <c r="T1963" s="279">
        <v>1870</v>
      </c>
      <c r="U1963" s="277"/>
      <c r="V1963" s="277"/>
      <c r="W1963" s="277"/>
      <c r="X1963" s="277"/>
      <c r="Y1963" s="277"/>
      <c r="Z1963" s="277"/>
      <c r="AA1963" s="277"/>
      <c r="AB1963" s="277"/>
      <c r="AC1963" s="277"/>
      <c r="AD1963" s="277"/>
      <c r="AE1963" s="277"/>
      <c r="AF1963" s="277"/>
      <c r="AG1963" s="277"/>
      <c r="AH1963" s="277"/>
      <c r="AI1963" s="277"/>
    </row>
    <row r="1964" spans="16:35" s="185" customFormat="1">
      <c r="P1964" s="277"/>
      <c r="Q1964" s="277"/>
      <c r="R1964" s="277"/>
      <c r="S1964" s="291">
        <v>43510</v>
      </c>
      <c r="T1964" s="279">
        <v>1871</v>
      </c>
      <c r="U1964" s="277"/>
      <c r="V1964" s="277"/>
      <c r="W1964" s="277"/>
      <c r="X1964" s="277"/>
      <c r="Y1964" s="277"/>
      <c r="Z1964" s="277"/>
      <c r="AA1964" s="277"/>
      <c r="AB1964" s="277"/>
      <c r="AC1964" s="277"/>
      <c r="AD1964" s="277"/>
      <c r="AE1964" s="277"/>
      <c r="AF1964" s="277"/>
      <c r="AG1964" s="277"/>
      <c r="AH1964" s="277"/>
      <c r="AI1964" s="277"/>
    </row>
    <row r="1965" spans="16:35" s="185" customFormat="1">
      <c r="P1965" s="277"/>
      <c r="Q1965" s="277"/>
      <c r="R1965" s="277"/>
      <c r="S1965" s="291">
        <v>43511</v>
      </c>
      <c r="T1965" s="279">
        <v>1872</v>
      </c>
      <c r="U1965" s="277"/>
      <c r="V1965" s="277"/>
      <c r="W1965" s="277"/>
      <c r="X1965" s="277"/>
      <c r="Y1965" s="277"/>
      <c r="Z1965" s="277"/>
      <c r="AA1965" s="277"/>
      <c r="AB1965" s="277"/>
      <c r="AC1965" s="277"/>
      <c r="AD1965" s="277"/>
      <c r="AE1965" s="277"/>
      <c r="AF1965" s="277"/>
      <c r="AG1965" s="277"/>
      <c r="AH1965" s="277"/>
      <c r="AI1965" s="277"/>
    </row>
    <row r="1966" spans="16:35" s="185" customFormat="1">
      <c r="P1966" s="277"/>
      <c r="Q1966" s="277"/>
      <c r="R1966" s="277"/>
      <c r="S1966" s="291">
        <v>43512</v>
      </c>
      <c r="T1966" s="279">
        <v>1873</v>
      </c>
      <c r="U1966" s="277"/>
      <c r="V1966" s="277"/>
      <c r="W1966" s="277"/>
      <c r="X1966" s="277"/>
      <c r="Y1966" s="277"/>
      <c r="Z1966" s="277"/>
      <c r="AA1966" s="277"/>
      <c r="AB1966" s="277"/>
      <c r="AC1966" s="277"/>
      <c r="AD1966" s="277"/>
      <c r="AE1966" s="277"/>
      <c r="AF1966" s="277"/>
      <c r="AG1966" s="277"/>
      <c r="AH1966" s="277"/>
      <c r="AI1966" s="277"/>
    </row>
    <row r="1967" spans="16:35" s="185" customFormat="1">
      <c r="P1967" s="277"/>
      <c r="Q1967" s="277"/>
      <c r="R1967" s="277"/>
      <c r="S1967" s="291">
        <v>43513</v>
      </c>
      <c r="T1967" s="279">
        <v>1874</v>
      </c>
      <c r="U1967" s="277"/>
      <c r="V1967" s="277"/>
      <c r="W1967" s="277"/>
      <c r="X1967" s="277"/>
      <c r="Y1967" s="277"/>
      <c r="Z1967" s="277"/>
      <c r="AA1967" s="277"/>
      <c r="AB1967" s="277"/>
      <c r="AC1967" s="277"/>
      <c r="AD1967" s="277"/>
      <c r="AE1967" s="277"/>
      <c r="AF1967" s="277"/>
      <c r="AG1967" s="277"/>
      <c r="AH1967" s="277"/>
      <c r="AI1967" s="277"/>
    </row>
    <row r="1968" spans="16:35" s="185" customFormat="1">
      <c r="P1968" s="277"/>
      <c r="Q1968" s="277"/>
      <c r="R1968" s="277"/>
      <c r="S1968" s="291">
        <v>43514</v>
      </c>
      <c r="T1968" s="279">
        <v>1875</v>
      </c>
      <c r="U1968" s="277"/>
      <c r="V1968" s="277"/>
      <c r="W1968" s="277"/>
      <c r="X1968" s="277"/>
      <c r="Y1968" s="277"/>
      <c r="Z1968" s="277"/>
      <c r="AA1968" s="277"/>
      <c r="AB1968" s="277"/>
      <c r="AC1968" s="277"/>
      <c r="AD1968" s="277"/>
      <c r="AE1968" s="277"/>
      <c r="AF1968" s="277"/>
      <c r="AG1968" s="277"/>
      <c r="AH1968" s="277"/>
      <c r="AI1968" s="277"/>
    </row>
    <row r="1969" spans="16:35" s="185" customFormat="1">
      <c r="P1969" s="277"/>
      <c r="Q1969" s="277"/>
      <c r="R1969" s="277"/>
      <c r="S1969" s="291">
        <v>43515</v>
      </c>
      <c r="T1969" s="279">
        <v>1876</v>
      </c>
      <c r="U1969" s="277"/>
      <c r="V1969" s="277"/>
      <c r="W1969" s="277"/>
      <c r="X1969" s="277"/>
      <c r="Y1969" s="277"/>
      <c r="Z1969" s="277"/>
      <c r="AA1969" s="277"/>
      <c r="AB1969" s="277"/>
      <c r="AC1969" s="277"/>
      <c r="AD1969" s="277"/>
      <c r="AE1969" s="277"/>
      <c r="AF1969" s="277"/>
      <c r="AG1969" s="277"/>
      <c r="AH1969" s="277"/>
      <c r="AI1969" s="277"/>
    </row>
    <row r="1970" spans="16:35" s="185" customFormat="1">
      <c r="P1970" s="277"/>
      <c r="Q1970" s="277"/>
      <c r="R1970" s="277"/>
      <c r="S1970" s="291">
        <v>43516</v>
      </c>
      <c r="T1970" s="279">
        <v>1877</v>
      </c>
      <c r="U1970" s="277"/>
      <c r="V1970" s="277"/>
      <c r="W1970" s="277"/>
      <c r="X1970" s="277"/>
      <c r="Y1970" s="277"/>
      <c r="Z1970" s="277"/>
      <c r="AA1970" s="277"/>
      <c r="AB1970" s="277"/>
      <c r="AC1970" s="277"/>
      <c r="AD1970" s="277"/>
      <c r="AE1970" s="277"/>
      <c r="AF1970" s="277"/>
      <c r="AG1970" s="277"/>
      <c r="AH1970" s="277"/>
      <c r="AI1970" s="277"/>
    </row>
    <row r="1971" spans="16:35" s="185" customFormat="1">
      <c r="P1971" s="277"/>
      <c r="Q1971" s="277"/>
      <c r="R1971" s="277"/>
      <c r="S1971" s="291">
        <v>43517</v>
      </c>
      <c r="T1971" s="279">
        <v>1878</v>
      </c>
      <c r="U1971" s="277"/>
      <c r="V1971" s="277"/>
      <c r="W1971" s="277"/>
      <c r="X1971" s="277"/>
      <c r="Y1971" s="277"/>
      <c r="Z1971" s="277"/>
      <c r="AA1971" s="277"/>
      <c r="AB1971" s="277"/>
      <c r="AC1971" s="277"/>
      <c r="AD1971" s="277"/>
      <c r="AE1971" s="277"/>
      <c r="AF1971" s="277"/>
      <c r="AG1971" s="277"/>
      <c r="AH1971" s="277"/>
      <c r="AI1971" s="277"/>
    </row>
    <row r="1972" spans="16:35" s="185" customFormat="1">
      <c r="P1972" s="277"/>
      <c r="Q1972" s="277"/>
      <c r="R1972" s="277"/>
      <c r="S1972" s="291">
        <v>43518</v>
      </c>
      <c r="T1972" s="279">
        <v>1879</v>
      </c>
      <c r="U1972" s="277"/>
      <c r="V1972" s="277"/>
      <c r="W1972" s="277"/>
      <c r="X1972" s="277"/>
      <c r="Y1972" s="277"/>
      <c r="Z1972" s="277"/>
      <c r="AA1972" s="277"/>
      <c r="AB1972" s="277"/>
      <c r="AC1972" s="277"/>
      <c r="AD1972" s="277"/>
      <c r="AE1972" s="277"/>
      <c r="AF1972" s="277"/>
      <c r="AG1972" s="277"/>
      <c r="AH1972" s="277"/>
      <c r="AI1972" s="277"/>
    </row>
    <row r="1973" spans="16:35" s="185" customFormat="1">
      <c r="P1973" s="277"/>
      <c r="Q1973" s="277"/>
      <c r="R1973" s="277"/>
      <c r="S1973" s="291">
        <v>43519</v>
      </c>
      <c r="T1973" s="279">
        <v>1880</v>
      </c>
      <c r="U1973" s="277"/>
      <c r="V1973" s="277"/>
      <c r="W1973" s="277"/>
      <c r="X1973" s="277"/>
      <c r="Y1973" s="277"/>
      <c r="Z1973" s="277"/>
      <c r="AA1973" s="277"/>
      <c r="AB1973" s="277"/>
      <c r="AC1973" s="277"/>
      <c r="AD1973" s="277"/>
      <c r="AE1973" s="277"/>
      <c r="AF1973" s="277"/>
      <c r="AG1973" s="277"/>
      <c r="AH1973" s="277"/>
      <c r="AI1973" s="277"/>
    </row>
    <row r="1974" spans="16:35" s="185" customFormat="1">
      <c r="P1974" s="277"/>
      <c r="Q1974" s="277"/>
      <c r="R1974" s="277"/>
      <c r="S1974" s="291">
        <v>43520</v>
      </c>
      <c r="T1974" s="279">
        <v>1881</v>
      </c>
      <c r="U1974" s="277"/>
      <c r="V1974" s="277"/>
      <c r="W1974" s="277"/>
      <c r="X1974" s="277"/>
      <c r="Y1974" s="277"/>
      <c r="Z1974" s="277"/>
      <c r="AA1974" s="277"/>
      <c r="AB1974" s="277"/>
      <c r="AC1974" s="277"/>
      <c r="AD1974" s="277"/>
      <c r="AE1974" s="277"/>
      <c r="AF1974" s="277"/>
      <c r="AG1974" s="277"/>
      <c r="AH1974" s="277"/>
      <c r="AI1974" s="277"/>
    </row>
    <row r="1975" spans="16:35" s="185" customFormat="1">
      <c r="P1975" s="277"/>
      <c r="Q1975" s="277"/>
      <c r="R1975" s="277"/>
      <c r="S1975" s="291">
        <v>43521</v>
      </c>
      <c r="T1975" s="279">
        <v>1882</v>
      </c>
      <c r="U1975" s="277"/>
      <c r="V1975" s="277"/>
      <c r="W1975" s="277"/>
      <c r="X1975" s="277"/>
      <c r="Y1975" s="277"/>
      <c r="Z1975" s="277"/>
      <c r="AA1975" s="277"/>
      <c r="AB1975" s="277"/>
      <c r="AC1975" s="277"/>
      <c r="AD1975" s="277"/>
      <c r="AE1975" s="277"/>
      <c r="AF1975" s="277"/>
      <c r="AG1975" s="277"/>
      <c r="AH1975" s="277"/>
      <c r="AI1975" s="277"/>
    </row>
    <row r="1976" spans="16:35" s="185" customFormat="1">
      <c r="P1976" s="277"/>
      <c r="Q1976" s="277"/>
      <c r="R1976" s="277"/>
      <c r="S1976" s="291">
        <v>43522</v>
      </c>
      <c r="T1976" s="279">
        <v>1883</v>
      </c>
      <c r="U1976" s="277"/>
      <c r="V1976" s="277"/>
      <c r="W1976" s="277"/>
      <c r="X1976" s="277"/>
      <c r="Y1976" s="277"/>
      <c r="Z1976" s="277"/>
      <c r="AA1976" s="277"/>
      <c r="AB1976" s="277"/>
      <c r="AC1976" s="277"/>
      <c r="AD1976" s="277"/>
      <c r="AE1976" s="277"/>
      <c r="AF1976" s="277"/>
      <c r="AG1976" s="277"/>
      <c r="AH1976" s="277"/>
      <c r="AI1976" s="277"/>
    </row>
    <row r="1977" spans="16:35" s="185" customFormat="1">
      <c r="P1977" s="277"/>
      <c r="Q1977" s="277"/>
      <c r="R1977" s="277"/>
      <c r="S1977" s="291">
        <v>43523</v>
      </c>
      <c r="T1977" s="279">
        <v>1884</v>
      </c>
      <c r="U1977" s="277"/>
      <c r="V1977" s="277"/>
      <c r="W1977" s="277"/>
      <c r="X1977" s="277"/>
      <c r="Y1977" s="277"/>
      <c r="Z1977" s="277"/>
      <c r="AA1977" s="277"/>
      <c r="AB1977" s="277"/>
      <c r="AC1977" s="277"/>
      <c r="AD1977" s="277"/>
      <c r="AE1977" s="277"/>
      <c r="AF1977" s="277"/>
      <c r="AG1977" s="277"/>
      <c r="AH1977" s="277"/>
      <c r="AI1977" s="277"/>
    </row>
    <row r="1978" spans="16:35" s="185" customFormat="1">
      <c r="P1978" s="277"/>
      <c r="Q1978" s="277"/>
      <c r="R1978" s="277"/>
      <c r="S1978" s="291">
        <v>43524</v>
      </c>
      <c r="T1978" s="279">
        <v>1885</v>
      </c>
      <c r="U1978" s="277"/>
      <c r="V1978" s="277"/>
      <c r="W1978" s="277"/>
      <c r="X1978" s="277"/>
      <c r="Y1978" s="277"/>
      <c r="Z1978" s="277"/>
      <c r="AA1978" s="277"/>
      <c r="AB1978" s="277"/>
      <c r="AC1978" s="277"/>
      <c r="AD1978" s="277"/>
      <c r="AE1978" s="277"/>
      <c r="AF1978" s="277"/>
      <c r="AG1978" s="277"/>
      <c r="AH1978" s="277"/>
      <c r="AI1978" s="277"/>
    </row>
    <row r="1979" spans="16:35" s="185" customFormat="1">
      <c r="P1979" s="277"/>
      <c r="Q1979" s="277"/>
      <c r="R1979" s="277"/>
      <c r="S1979" s="291">
        <v>43525</v>
      </c>
      <c r="T1979" s="279">
        <v>1886</v>
      </c>
      <c r="U1979" s="277"/>
      <c r="V1979" s="277"/>
      <c r="W1979" s="277"/>
      <c r="X1979" s="277"/>
      <c r="Y1979" s="277"/>
      <c r="Z1979" s="277"/>
      <c r="AA1979" s="277"/>
      <c r="AB1979" s="277"/>
      <c r="AC1979" s="277"/>
      <c r="AD1979" s="277"/>
      <c r="AE1979" s="277"/>
      <c r="AF1979" s="277"/>
      <c r="AG1979" s="277"/>
      <c r="AH1979" s="277"/>
      <c r="AI1979" s="277"/>
    </row>
    <row r="1980" spans="16:35" s="185" customFormat="1">
      <c r="P1980" s="277"/>
      <c r="Q1980" s="277"/>
      <c r="R1980" s="277"/>
      <c r="S1980" s="291">
        <v>43526</v>
      </c>
      <c r="T1980" s="279">
        <v>1887</v>
      </c>
      <c r="U1980" s="277"/>
      <c r="V1980" s="277"/>
      <c r="W1980" s="277"/>
      <c r="X1980" s="277"/>
      <c r="Y1980" s="277"/>
      <c r="Z1980" s="277"/>
      <c r="AA1980" s="277"/>
      <c r="AB1980" s="277"/>
      <c r="AC1980" s="277"/>
      <c r="AD1980" s="277"/>
      <c r="AE1980" s="277"/>
      <c r="AF1980" s="277"/>
      <c r="AG1980" s="277"/>
      <c r="AH1980" s="277"/>
      <c r="AI1980" s="277"/>
    </row>
    <row r="1981" spans="16:35" s="185" customFormat="1">
      <c r="P1981" s="277"/>
      <c r="Q1981" s="277"/>
      <c r="R1981" s="277"/>
      <c r="S1981" s="291">
        <v>43527</v>
      </c>
      <c r="T1981" s="279">
        <v>1888</v>
      </c>
      <c r="U1981" s="277"/>
      <c r="V1981" s="277"/>
      <c r="W1981" s="277"/>
      <c r="X1981" s="277"/>
      <c r="Y1981" s="277"/>
      <c r="Z1981" s="277"/>
      <c r="AA1981" s="277"/>
      <c r="AB1981" s="277"/>
      <c r="AC1981" s="277"/>
      <c r="AD1981" s="277"/>
      <c r="AE1981" s="277"/>
      <c r="AF1981" s="277"/>
      <c r="AG1981" s="277"/>
      <c r="AH1981" s="277"/>
      <c r="AI1981" s="277"/>
    </row>
    <row r="1982" spans="16:35" s="185" customFormat="1">
      <c r="P1982" s="277"/>
      <c r="Q1982" s="277"/>
      <c r="R1982" s="277"/>
      <c r="S1982" s="291">
        <v>43528</v>
      </c>
      <c r="T1982" s="279">
        <v>1889</v>
      </c>
      <c r="U1982" s="277"/>
      <c r="V1982" s="277"/>
      <c r="W1982" s="277"/>
      <c r="X1982" s="277"/>
      <c r="Y1982" s="277"/>
      <c r="Z1982" s="277"/>
      <c r="AA1982" s="277"/>
      <c r="AB1982" s="277"/>
      <c r="AC1982" s="277"/>
      <c r="AD1982" s="277"/>
      <c r="AE1982" s="277"/>
      <c r="AF1982" s="277"/>
      <c r="AG1982" s="277"/>
      <c r="AH1982" s="277"/>
      <c r="AI1982" s="277"/>
    </row>
    <row r="1983" spans="16:35" s="185" customFormat="1">
      <c r="P1983" s="277"/>
      <c r="Q1983" s="277"/>
      <c r="R1983" s="277"/>
      <c r="S1983" s="291">
        <v>43529</v>
      </c>
      <c r="T1983" s="279">
        <v>1890</v>
      </c>
      <c r="U1983" s="277"/>
      <c r="V1983" s="277"/>
      <c r="W1983" s="277"/>
      <c r="X1983" s="277"/>
      <c r="Y1983" s="277"/>
      <c r="Z1983" s="277"/>
      <c r="AA1983" s="277"/>
      <c r="AB1983" s="277"/>
      <c r="AC1983" s="277"/>
      <c r="AD1983" s="277"/>
      <c r="AE1983" s="277"/>
      <c r="AF1983" s="277"/>
      <c r="AG1983" s="277"/>
      <c r="AH1983" s="277"/>
      <c r="AI1983" s="277"/>
    </row>
    <row r="1984" spans="16:35" s="185" customFormat="1">
      <c r="P1984" s="277"/>
      <c r="Q1984" s="277"/>
      <c r="R1984" s="277"/>
      <c r="S1984" s="291">
        <v>43530</v>
      </c>
      <c r="T1984" s="279">
        <v>1891</v>
      </c>
      <c r="U1984" s="277"/>
      <c r="V1984" s="277"/>
      <c r="W1984" s="277"/>
      <c r="X1984" s="277"/>
      <c r="Y1984" s="277"/>
      <c r="Z1984" s="277"/>
      <c r="AA1984" s="277"/>
      <c r="AB1984" s="277"/>
      <c r="AC1984" s="277"/>
      <c r="AD1984" s="277"/>
      <c r="AE1984" s="277"/>
      <c r="AF1984" s="277"/>
      <c r="AG1984" s="277"/>
      <c r="AH1984" s="277"/>
      <c r="AI1984" s="277"/>
    </row>
    <row r="1985" spans="16:35" s="185" customFormat="1">
      <c r="P1985" s="277"/>
      <c r="Q1985" s="277"/>
      <c r="R1985" s="277"/>
      <c r="S1985" s="291">
        <v>43531</v>
      </c>
      <c r="T1985" s="279">
        <v>1892</v>
      </c>
      <c r="U1985" s="277"/>
      <c r="V1985" s="277"/>
      <c r="W1985" s="277"/>
      <c r="X1985" s="277"/>
      <c r="Y1985" s="277"/>
      <c r="Z1985" s="277"/>
      <c r="AA1985" s="277"/>
      <c r="AB1985" s="277"/>
      <c r="AC1985" s="277"/>
      <c r="AD1985" s="277"/>
      <c r="AE1985" s="277"/>
      <c r="AF1985" s="277"/>
      <c r="AG1985" s="277"/>
      <c r="AH1985" s="277"/>
      <c r="AI1985" s="277"/>
    </row>
    <row r="1986" spans="16:35" s="185" customFormat="1">
      <c r="P1986" s="277"/>
      <c r="Q1986" s="277"/>
      <c r="R1986" s="277"/>
      <c r="S1986" s="291">
        <v>43532</v>
      </c>
      <c r="T1986" s="279">
        <v>1893</v>
      </c>
      <c r="U1986" s="277"/>
      <c r="V1986" s="277"/>
      <c r="W1986" s="277"/>
      <c r="X1986" s="277"/>
      <c r="Y1986" s="277"/>
      <c r="Z1986" s="277"/>
      <c r="AA1986" s="277"/>
      <c r="AB1986" s="277"/>
      <c r="AC1986" s="277"/>
      <c r="AD1986" s="277"/>
      <c r="AE1986" s="277"/>
      <c r="AF1986" s="277"/>
      <c r="AG1986" s="277"/>
      <c r="AH1986" s="277"/>
      <c r="AI1986" s="277"/>
    </row>
    <row r="1987" spans="16:35" s="185" customFormat="1">
      <c r="P1987" s="277"/>
      <c r="Q1987" s="277"/>
      <c r="R1987" s="277"/>
      <c r="S1987" s="291">
        <v>43533</v>
      </c>
      <c r="T1987" s="279">
        <v>1894</v>
      </c>
      <c r="U1987" s="277"/>
      <c r="V1987" s="277"/>
      <c r="W1987" s="277"/>
      <c r="X1987" s="277"/>
      <c r="Y1987" s="277"/>
      <c r="Z1987" s="277"/>
      <c r="AA1987" s="277"/>
      <c r="AB1987" s="277"/>
      <c r="AC1987" s="277"/>
      <c r="AD1987" s="277"/>
      <c r="AE1987" s="277"/>
      <c r="AF1987" s="277"/>
      <c r="AG1987" s="277"/>
      <c r="AH1987" s="277"/>
      <c r="AI1987" s="277"/>
    </row>
    <row r="1988" spans="16:35" s="185" customFormat="1">
      <c r="P1988" s="277"/>
      <c r="Q1988" s="277"/>
      <c r="R1988" s="277"/>
      <c r="S1988" s="291">
        <v>43534</v>
      </c>
      <c r="T1988" s="279">
        <v>1895</v>
      </c>
      <c r="U1988" s="277"/>
      <c r="V1988" s="277"/>
      <c r="W1988" s="277"/>
      <c r="X1988" s="277"/>
      <c r="Y1988" s="277"/>
      <c r="Z1988" s="277"/>
      <c r="AA1988" s="277"/>
      <c r="AB1988" s="277"/>
      <c r="AC1988" s="277"/>
      <c r="AD1988" s="277"/>
      <c r="AE1988" s="277"/>
      <c r="AF1988" s="277"/>
      <c r="AG1988" s="277"/>
      <c r="AH1988" s="277"/>
      <c r="AI1988" s="277"/>
    </row>
    <row r="1989" spans="16:35" s="185" customFormat="1">
      <c r="P1989" s="277"/>
      <c r="Q1989" s="277"/>
      <c r="R1989" s="277"/>
      <c r="S1989" s="291">
        <v>43535</v>
      </c>
      <c r="T1989" s="279">
        <v>1896</v>
      </c>
      <c r="U1989" s="277"/>
      <c r="V1989" s="277"/>
      <c r="W1989" s="277"/>
      <c r="X1989" s="277"/>
      <c r="Y1989" s="277"/>
      <c r="Z1989" s="277"/>
      <c r="AA1989" s="277"/>
      <c r="AB1989" s="277"/>
      <c r="AC1989" s="277"/>
      <c r="AD1989" s="277"/>
      <c r="AE1989" s="277"/>
      <c r="AF1989" s="277"/>
      <c r="AG1989" s="277"/>
      <c r="AH1989" s="277"/>
      <c r="AI1989" s="277"/>
    </row>
    <row r="1990" spans="16:35" s="185" customFormat="1">
      <c r="P1990" s="277"/>
      <c r="Q1990" s="277"/>
      <c r="R1990" s="277"/>
      <c r="S1990" s="291">
        <v>43536</v>
      </c>
      <c r="T1990" s="279">
        <v>1897</v>
      </c>
      <c r="U1990" s="277"/>
      <c r="V1990" s="277"/>
      <c r="W1990" s="277"/>
      <c r="X1990" s="277"/>
      <c r="Y1990" s="277"/>
      <c r="Z1990" s="277"/>
      <c r="AA1990" s="277"/>
      <c r="AB1990" s="277"/>
      <c r="AC1990" s="277"/>
      <c r="AD1990" s="277"/>
      <c r="AE1990" s="277"/>
      <c r="AF1990" s="277"/>
      <c r="AG1990" s="277"/>
      <c r="AH1990" s="277"/>
      <c r="AI1990" s="277"/>
    </row>
    <row r="1991" spans="16:35" s="185" customFormat="1">
      <c r="P1991" s="277"/>
      <c r="Q1991" s="277"/>
      <c r="R1991" s="277"/>
      <c r="S1991" s="291">
        <v>43537</v>
      </c>
      <c r="T1991" s="279">
        <v>1898</v>
      </c>
      <c r="U1991" s="277"/>
      <c r="V1991" s="277"/>
      <c r="W1991" s="277"/>
      <c r="X1991" s="277"/>
      <c r="Y1991" s="277"/>
      <c r="Z1991" s="277"/>
      <c r="AA1991" s="277"/>
      <c r="AB1991" s="277"/>
      <c r="AC1991" s="277"/>
      <c r="AD1991" s="277"/>
      <c r="AE1991" s="277"/>
      <c r="AF1991" s="277"/>
      <c r="AG1991" s="277"/>
      <c r="AH1991" s="277"/>
      <c r="AI1991" s="277"/>
    </row>
    <row r="1992" spans="16:35" s="185" customFormat="1">
      <c r="P1992" s="277"/>
      <c r="Q1992" s="277"/>
      <c r="R1992" s="277"/>
      <c r="S1992" s="291">
        <v>43538</v>
      </c>
      <c r="T1992" s="279">
        <v>1899</v>
      </c>
      <c r="U1992" s="277"/>
      <c r="V1992" s="277"/>
      <c r="W1992" s="277"/>
      <c r="X1992" s="277"/>
      <c r="Y1992" s="277"/>
      <c r="Z1992" s="277"/>
      <c r="AA1992" s="277"/>
      <c r="AB1992" s="277"/>
      <c r="AC1992" s="277"/>
      <c r="AD1992" s="277"/>
      <c r="AE1992" s="277"/>
      <c r="AF1992" s="277"/>
      <c r="AG1992" s="277"/>
      <c r="AH1992" s="277"/>
      <c r="AI1992" s="277"/>
    </row>
    <row r="1993" spans="16:35" s="185" customFormat="1">
      <c r="P1993" s="277"/>
      <c r="Q1993" s="277"/>
      <c r="R1993" s="277"/>
      <c r="S1993" s="291">
        <v>43539</v>
      </c>
      <c r="T1993" s="279">
        <v>1900</v>
      </c>
      <c r="U1993" s="277"/>
      <c r="V1993" s="277"/>
      <c r="W1993" s="277"/>
      <c r="X1993" s="277"/>
      <c r="Y1993" s="277"/>
      <c r="Z1993" s="277"/>
      <c r="AA1993" s="277"/>
      <c r="AB1993" s="277"/>
      <c r="AC1993" s="277"/>
      <c r="AD1993" s="277"/>
      <c r="AE1993" s="277"/>
      <c r="AF1993" s="277"/>
      <c r="AG1993" s="277"/>
      <c r="AH1993" s="277"/>
      <c r="AI1993" s="277"/>
    </row>
    <row r="1994" spans="16:35" s="185" customFormat="1">
      <c r="P1994" s="277"/>
      <c r="Q1994" s="277"/>
      <c r="R1994" s="277"/>
      <c r="S1994" s="291">
        <v>43540</v>
      </c>
      <c r="T1994" s="279">
        <v>1901</v>
      </c>
      <c r="U1994" s="277"/>
      <c r="V1994" s="277"/>
      <c r="W1994" s="277"/>
      <c r="X1994" s="277"/>
      <c r="Y1994" s="277"/>
      <c r="Z1994" s="277"/>
      <c r="AA1994" s="277"/>
      <c r="AB1994" s="277"/>
      <c r="AC1994" s="277"/>
      <c r="AD1994" s="277"/>
      <c r="AE1994" s="277"/>
      <c r="AF1994" s="277"/>
      <c r="AG1994" s="277"/>
      <c r="AH1994" s="277"/>
      <c r="AI1994" s="277"/>
    </row>
    <row r="1995" spans="16:35" s="185" customFormat="1">
      <c r="P1995" s="277"/>
      <c r="Q1995" s="277"/>
      <c r="R1995" s="277"/>
      <c r="S1995" s="291">
        <v>43541</v>
      </c>
      <c r="T1995" s="279">
        <v>1902</v>
      </c>
      <c r="U1995" s="277"/>
      <c r="V1995" s="277"/>
      <c r="W1995" s="277"/>
      <c r="X1995" s="277"/>
      <c r="Y1995" s="277"/>
      <c r="Z1995" s="277"/>
      <c r="AA1995" s="277"/>
      <c r="AB1995" s="277"/>
      <c r="AC1995" s="277"/>
      <c r="AD1995" s="277"/>
      <c r="AE1995" s="277"/>
      <c r="AF1995" s="277"/>
      <c r="AG1995" s="277"/>
      <c r="AH1995" s="277"/>
      <c r="AI1995" s="277"/>
    </row>
    <row r="1996" spans="16:35" s="185" customFormat="1">
      <c r="P1996" s="277"/>
      <c r="Q1996" s="277"/>
      <c r="R1996" s="277"/>
      <c r="S1996" s="291">
        <v>43542</v>
      </c>
      <c r="T1996" s="279">
        <v>1903</v>
      </c>
      <c r="U1996" s="277"/>
      <c r="V1996" s="277"/>
      <c r="W1996" s="277"/>
      <c r="X1996" s="277"/>
      <c r="Y1996" s="277"/>
      <c r="Z1996" s="277"/>
      <c r="AA1996" s="277"/>
      <c r="AB1996" s="277"/>
      <c r="AC1996" s="277"/>
      <c r="AD1996" s="277"/>
      <c r="AE1996" s="277"/>
      <c r="AF1996" s="277"/>
      <c r="AG1996" s="277"/>
      <c r="AH1996" s="277"/>
      <c r="AI1996" s="277"/>
    </row>
    <row r="1997" spans="16:35" s="185" customFormat="1">
      <c r="P1997" s="277"/>
      <c r="Q1997" s="277"/>
      <c r="R1997" s="277"/>
      <c r="S1997" s="291">
        <v>43543</v>
      </c>
      <c r="T1997" s="279">
        <v>1904</v>
      </c>
      <c r="U1997" s="277"/>
      <c r="V1997" s="277"/>
      <c r="W1997" s="277"/>
      <c r="X1997" s="277"/>
      <c r="Y1997" s="277"/>
      <c r="Z1997" s="277"/>
      <c r="AA1997" s="277"/>
      <c r="AB1997" s="277"/>
      <c r="AC1997" s="277"/>
      <c r="AD1997" s="277"/>
      <c r="AE1997" s="277"/>
      <c r="AF1997" s="277"/>
      <c r="AG1997" s="277"/>
      <c r="AH1997" s="277"/>
      <c r="AI1997" s="277"/>
    </row>
    <row r="1998" spans="16:35" s="185" customFormat="1">
      <c r="P1998" s="277"/>
      <c r="Q1998" s="277"/>
      <c r="R1998" s="277"/>
      <c r="S1998" s="291">
        <v>43544</v>
      </c>
      <c r="T1998" s="279">
        <v>1905</v>
      </c>
      <c r="U1998" s="277"/>
      <c r="V1998" s="277"/>
      <c r="W1998" s="277"/>
      <c r="X1998" s="277"/>
      <c r="Y1998" s="277"/>
      <c r="Z1998" s="277"/>
      <c r="AA1998" s="277"/>
      <c r="AB1998" s="277"/>
      <c r="AC1998" s="277"/>
      <c r="AD1998" s="277"/>
      <c r="AE1998" s="277"/>
      <c r="AF1998" s="277"/>
      <c r="AG1998" s="277"/>
      <c r="AH1998" s="277"/>
      <c r="AI1998" s="277"/>
    </row>
    <row r="1999" spans="16:35" s="185" customFormat="1">
      <c r="P1999" s="277"/>
      <c r="Q1999" s="277"/>
      <c r="R1999" s="277"/>
      <c r="S1999" s="291">
        <v>43545</v>
      </c>
      <c r="T1999" s="279">
        <v>1906</v>
      </c>
      <c r="U1999" s="277"/>
      <c r="V1999" s="277"/>
      <c r="W1999" s="277"/>
      <c r="X1999" s="277"/>
      <c r="Y1999" s="277"/>
      <c r="Z1999" s="277"/>
      <c r="AA1999" s="277"/>
      <c r="AB1999" s="277"/>
      <c r="AC1999" s="277"/>
      <c r="AD1999" s="277"/>
      <c r="AE1999" s="277"/>
      <c r="AF1999" s="277"/>
      <c r="AG1999" s="277"/>
      <c r="AH1999" s="277"/>
      <c r="AI1999" s="277"/>
    </row>
    <row r="2000" spans="16:35" s="185" customFormat="1">
      <c r="P2000" s="277"/>
      <c r="Q2000" s="277"/>
      <c r="R2000" s="277"/>
      <c r="S2000" s="291">
        <v>43546</v>
      </c>
      <c r="T2000" s="279">
        <v>1907</v>
      </c>
      <c r="U2000" s="277"/>
      <c r="V2000" s="277"/>
      <c r="W2000" s="277"/>
      <c r="X2000" s="277"/>
      <c r="Y2000" s="277"/>
      <c r="Z2000" s="277"/>
      <c r="AA2000" s="277"/>
      <c r="AB2000" s="277"/>
      <c r="AC2000" s="277"/>
      <c r="AD2000" s="277"/>
      <c r="AE2000" s="277"/>
      <c r="AF2000" s="277"/>
      <c r="AG2000" s="277"/>
      <c r="AH2000" s="277"/>
      <c r="AI2000" s="277"/>
    </row>
    <row r="2001" spans="16:35" s="185" customFormat="1">
      <c r="P2001" s="277"/>
      <c r="Q2001" s="277"/>
      <c r="R2001" s="277"/>
      <c r="S2001" s="291">
        <v>43547</v>
      </c>
      <c r="T2001" s="279">
        <v>1908</v>
      </c>
      <c r="U2001" s="277"/>
      <c r="V2001" s="277"/>
      <c r="W2001" s="277"/>
      <c r="X2001" s="277"/>
      <c r="Y2001" s="277"/>
      <c r="Z2001" s="277"/>
      <c r="AA2001" s="277"/>
      <c r="AB2001" s="277"/>
      <c r="AC2001" s="277"/>
      <c r="AD2001" s="277"/>
      <c r="AE2001" s="277"/>
      <c r="AF2001" s="277"/>
      <c r="AG2001" s="277"/>
      <c r="AH2001" s="277"/>
      <c r="AI2001" s="277"/>
    </row>
    <row r="2002" spans="16:35" s="185" customFormat="1">
      <c r="P2002" s="277"/>
      <c r="Q2002" s="277"/>
      <c r="R2002" s="277"/>
      <c r="S2002" s="291">
        <v>43548</v>
      </c>
      <c r="T2002" s="279">
        <v>1909</v>
      </c>
      <c r="U2002" s="277"/>
      <c r="V2002" s="277"/>
      <c r="W2002" s="277"/>
      <c r="X2002" s="277"/>
      <c r="Y2002" s="277"/>
      <c r="Z2002" s="277"/>
      <c r="AA2002" s="277"/>
      <c r="AB2002" s="277"/>
      <c r="AC2002" s="277"/>
      <c r="AD2002" s="277"/>
      <c r="AE2002" s="277"/>
      <c r="AF2002" s="277"/>
      <c r="AG2002" s="277"/>
      <c r="AH2002" s="277"/>
      <c r="AI2002" s="277"/>
    </row>
    <row r="2003" spans="16:35" s="185" customFormat="1">
      <c r="P2003" s="277"/>
      <c r="Q2003" s="277"/>
      <c r="R2003" s="277"/>
      <c r="S2003" s="291">
        <v>43549</v>
      </c>
      <c r="T2003" s="279">
        <v>1910</v>
      </c>
      <c r="U2003" s="277"/>
      <c r="V2003" s="277"/>
      <c r="W2003" s="277"/>
      <c r="X2003" s="277"/>
      <c r="Y2003" s="277"/>
      <c r="Z2003" s="277"/>
      <c r="AA2003" s="277"/>
      <c r="AB2003" s="277"/>
      <c r="AC2003" s="277"/>
      <c r="AD2003" s="277"/>
      <c r="AE2003" s="277"/>
      <c r="AF2003" s="277"/>
      <c r="AG2003" s="277"/>
      <c r="AH2003" s="277"/>
      <c r="AI2003" s="277"/>
    </row>
    <row r="2004" spans="16:35" s="185" customFormat="1">
      <c r="P2004" s="277"/>
      <c r="Q2004" s="277"/>
      <c r="R2004" s="277"/>
      <c r="S2004" s="291">
        <v>43550</v>
      </c>
      <c r="T2004" s="279">
        <v>1911</v>
      </c>
      <c r="U2004" s="277"/>
      <c r="V2004" s="277"/>
      <c r="W2004" s="277"/>
      <c r="X2004" s="277"/>
      <c r="Y2004" s="277"/>
      <c r="Z2004" s="277"/>
      <c r="AA2004" s="277"/>
      <c r="AB2004" s="277"/>
      <c r="AC2004" s="277"/>
      <c r="AD2004" s="277"/>
      <c r="AE2004" s="277"/>
      <c r="AF2004" s="277"/>
      <c r="AG2004" s="277"/>
      <c r="AH2004" s="277"/>
      <c r="AI2004" s="277"/>
    </row>
    <row r="2005" spans="16:35" s="185" customFormat="1">
      <c r="P2005" s="277"/>
      <c r="Q2005" s="277"/>
      <c r="R2005" s="277"/>
      <c r="S2005" s="291">
        <v>43551</v>
      </c>
      <c r="T2005" s="279">
        <v>1912</v>
      </c>
      <c r="U2005" s="277"/>
      <c r="V2005" s="277"/>
      <c r="W2005" s="277"/>
      <c r="X2005" s="277"/>
      <c r="Y2005" s="277"/>
      <c r="Z2005" s="277"/>
      <c r="AA2005" s="277"/>
      <c r="AB2005" s="277"/>
      <c r="AC2005" s="277"/>
      <c r="AD2005" s="277"/>
      <c r="AE2005" s="277"/>
      <c r="AF2005" s="277"/>
      <c r="AG2005" s="277"/>
      <c r="AH2005" s="277"/>
      <c r="AI2005" s="277"/>
    </row>
    <row r="2006" spans="16:35" s="185" customFormat="1">
      <c r="P2006" s="277"/>
      <c r="Q2006" s="277"/>
      <c r="R2006" s="277"/>
      <c r="S2006" s="291">
        <v>43552</v>
      </c>
      <c r="T2006" s="279">
        <v>1913</v>
      </c>
      <c r="U2006" s="277"/>
      <c r="V2006" s="277"/>
      <c r="W2006" s="277"/>
      <c r="X2006" s="277"/>
      <c r="Y2006" s="277"/>
      <c r="Z2006" s="277"/>
      <c r="AA2006" s="277"/>
      <c r="AB2006" s="277"/>
      <c r="AC2006" s="277"/>
      <c r="AD2006" s="277"/>
      <c r="AE2006" s="277"/>
      <c r="AF2006" s="277"/>
      <c r="AG2006" s="277"/>
      <c r="AH2006" s="277"/>
      <c r="AI2006" s="277"/>
    </row>
    <row r="2007" spans="16:35" s="185" customFormat="1">
      <c r="P2007" s="277"/>
      <c r="Q2007" s="277"/>
      <c r="R2007" s="277"/>
      <c r="S2007" s="291">
        <v>43553</v>
      </c>
      <c r="T2007" s="279">
        <v>1914</v>
      </c>
      <c r="U2007" s="277"/>
      <c r="V2007" s="277"/>
      <c r="W2007" s="277"/>
      <c r="X2007" s="277"/>
      <c r="Y2007" s="277"/>
      <c r="Z2007" s="277"/>
      <c r="AA2007" s="277"/>
      <c r="AB2007" s="277"/>
      <c r="AC2007" s="277"/>
      <c r="AD2007" s="277"/>
      <c r="AE2007" s="277"/>
      <c r="AF2007" s="277"/>
      <c r="AG2007" s="277"/>
      <c r="AH2007" s="277"/>
      <c r="AI2007" s="277"/>
    </row>
    <row r="2008" spans="16:35" s="185" customFormat="1">
      <c r="P2008" s="277"/>
      <c r="Q2008" s="277"/>
      <c r="R2008" s="277"/>
      <c r="S2008" s="291">
        <v>43554</v>
      </c>
      <c r="T2008" s="279">
        <v>1915</v>
      </c>
      <c r="U2008" s="277"/>
      <c r="V2008" s="277"/>
      <c r="W2008" s="277"/>
      <c r="X2008" s="277"/>
      <c r="Y2008" s="277"/>
      <c r="Z2008" s="277"/>
      <c r="AA2008" s="277"/>
      <c r="AB2008" s="277"/>
      <c r="AC2008" s="277"/>
      <c r="AD2008" s="277"/>
      <c r="AE2008" s="277"/>
      <c r="AF2008" s="277"/>
      <c r="AG2008" s="277"/>
      <c r="AH2008" s="277"/>
      <c r="AI2008" s="277"/>
    </row>
    <row r="2009" spans="16:35" s="185" customFormat="1">
      <c r="P2009" s="277"/>
      <c r="Q2009" s="277"/>
      <c r="R2009" s="277"/>
      <c r="S2009" s="291">
        <v>43555</v>
      </c>
      <c r="T2009" s="279">
        <v>1916</v>
      </c>
      <c r="U2009" s="277"/>
      <c r="V2009" s="277"/>
      <c r="W2009" s="277"/>
      <c r="X2009" s="277"/>
      <c r="Y2009" s="277"/>
      <c r="Z2009" s="277"/>
      <c r="AA2009" s="277"/>
      <c r="AB2009" s="277"/>
      <c r="AC2009" s="277"/>
      <c r="AD2009" s="277"/>
      <c r="AE2009" s="277"/>
      <c r="AF2009" s="277"/>
      <c r="AG2009" s="277"/>
      <c r="AH2009" s="277"/>
      <c r="AI2009" s="277"/>
    </row>
    <row r="2010" spans="16:35" s="185" customFormat="1">
      <c r="P2010" s="277"/>
      <c r="Q2010" s="277"/>
      <c r="R2010" s="277"/>
      <c r="S2010" s="291">
        <v>43556</v>
      </c>
      <c r="T2010" s="279">
        <v>1917</v>
      </c>
      <c r="U2010" s="277"/>
      <c r="V2010" s="277"/>
      <c r="W2010" s="277"/>
      <c r="X2010" s="277"/>
      <c r="Y2010" s="277"/>
      <c r="Z2010" s="277"/>
      <c r="AA2010" s="277"/>
      <c r="AB2010" s="277"/>
      <c r="AC2010" s="277"/>
      <c r="AD2010" s="277"/>
      <c r="AE2010" s="277"/>
      <c r="AF2010" s="277"/>
      <c r="AG2010" s="277"/>
      <c r="AH2010" s="277"/>
      <c r="AI2010" s="277"/>
    </row>
    <row r="2011" spans="16:35" s="185" customFormat="1">
      <c r="P2011" s="277"/>
      <c r="Q2011" s="277"/>
      <c r="R2011" s="277"/>
      <c r="S2011" s="291">
        <v>43557</v>
      </c>
      <c r="T2011" s="279">
        <v>1918</v>
      </c>
      <c r="U2011" s="277"/>
      <c r="V2011" s="277"/>
      <c r="W2011" s="277"/>
      <c r="X2011" s="277"/>
      <c r="Y2011" s="277"/>
      <c r="Z2011" s="277"/>
      <c r="AA2011" s="277"/>
      <c r="AB2011" s="277"/>
      <c r="AC2011" s="277"/>
      <c r="AD2011" s="277"/>
      <c r="AE2011" s="277"/>
      <c r="AF2011" s="277"/>
      <c r="AG2011" s="277"/>
      <c r="AH2011" s="277"/>
      <c r="AI2011" s="277"/>
    </row>
    <row r="2012" spans="16:35" s="185" customFormat="1">
      <c r="P2012" s="277"/>
      <c r="Q2012" s="277"/>
      <c r="R2012" s="277"/>
      <c r="S2012" s="291">
        <v>43558</v>
      </c>
      <c r="T2012" s="279">
        <v>1919</v>
      </c>
      <c r="U2012" s="277"/>
      <c r="V2012" s="277"/>
      <c r="W2012" s="277"/>
      <c r="X2012" s="277"/>
      <c r="Y2012" s="277"/>
      <c r="Z2012" s="277"/>
      <c r="AA2012" s="277"/>
      <c r="AB2012" s="277"/>
      <c r="AC2012" s="277"/>
      <c r="AD2012" s="277"/>
      <c r="AE2012" s="277"/>
      <c r="AF2012" s="277"/>
      <c r="AG2012" s="277"/>
      <c r="AH2012" s="277"/>
      <c r="AI2012" s="277"/>
    </row>
    <row r="2013" spans="16:35" s="185" customFormat="1">
      <c r="P2013" s="277"/>
      <c r="Q2013" s="277"/>
      <c r="R2013" s="277"/>
      <c r="S2013" s="291">
        <v>43559</v>
      </c>
      <c r="T2013" s="279">
        <v>1920</v>
      </c>
      <c r="U2013" s="277"/>
      <c r="V2013" s="277"/>
      <c r="W2013" s="277"/>
      <c r="X2013" s="277"/>
      <c r="Y2013" s="277"/>
      <c r="Z2013" s="277"/>
      <c r="AA2013" s="277"/>
      <c r="AB2013" s="277"/>
      <c r="AC2013" s="277"/>
      <c r="AD2013" s="277"/>
      <c r="AE2013" s="277"/>
      <c r="AF2013" s="277"/>
      <c r="AG2013" s="277"/>
      <c r="AH2013" s="277"/>
      <c r="AI2013" s="277"/>
    </row>
    <row r="2014" spans="16:35" s="185" customFormat="1">
      <c r="P2014" s="277"/>
      <c r="Q2014" s="277"/>
      <c r="R2014" s="277"/>
      <c r="S2014" s="291">
        <v>43560</v>
      </c>
      <c r="T2014" s="279">
        <v>1921</v>
      </c>
      <c r="U2014" s="277"/>
      <c r="V2014" s="277"/>
      <c r="W2014" s="277"/>
      <c r="X2014" s="277"/>
      <c r="Y2014" s="277"/>
      <c r="Z2014" s="277"/>
      <c r="AA2014" s="277"/>
      <c r="AB2014" s="277"/>
      <c r="AC2014" s="277"/>
      <c r="AD2014" s="277"/>
      <c r="AE2014" s="277"/>
      <c r="AF2014" s="277"/>
      <c r="AG2014" s="277"/>
      <c r="AH2014" s="277"/>
      <c r="AI2014" s="277"/>
    </row>
    <row r="2015" spans="16:35" s="185" customFormat="1">
      <c r="P2015" s="277"/>
      <c r="Q2015" s="277"/>
      <c r="R2015" s="277"/>
      <c r="S2015" s="291">
        <v>43561</v>
      </c>
      <c r="T2015" s="279">
        <v>1922</v>
      </c>
      <c r="U2015" s="277"/>
      <c r="V2015" s="277"/>
      <c r="W2015" s="277"/>
      <c r="X2015" s="277"/>
      <c r="Y2015" s="277"/>
      <c r="Z2015" s="277"/>
      <c r="AA2015" s="277"/>
      <c r="AB2015" s="277"/>
      <c r="AC2015" s="277"/>
      <c r="AD2015" s="277"/>
      <c r="AE2015" s="277"/>
      <c r="AF2015" s="277"/>
      <c r="AG2015" s="277"/>
      <c r="AH2015" s="277"/>
      <c r="AI2015" s="277"/>
    </row>
    <row r="2016" spans="16:35" s="185" customFormat="1">
      <c r="P2016" s="277"/>
      <c r="Q2016" s="277"/>
      <c r="R2016" s="277"/>
      <c r="S2016" s="291">
        <v>43562</v>
      </c>
      <c r="T2016" s="279">
        <v>1923</v>
      </c>
      <c r="U2016" s="277"/>
      <c r="V2016" s="277"/>
      <c r="W2016" s="277"/>
      <c r="X2016" s="277"/>
      <c r="Y2016" s="277"/>
      <c r="Z2016" s="277"/>
      <c r="AA2016" s="277"/>
      <c r="AB2016" s="277"/>
      <c r="AC2016" s="277"/>
      <c r="AD2016" s="277"/>
      <c r="AE2016" s="277"/>
      <c r="AF2016" s="277"/>
      <c r="AG2016" s="277"/>
      <c r="AH2016" s="277"/>
      <c r="AI2016" s="277"/>
    </row>
    <row r="2017" spans="16:35" s="185" customFormat="1">
      <c r="P2017" s="277"/>
      <c r="Q2017" s="277"/>
      <c r="R2017" s="277"/>
      <c r="S2017" s="291">
        <v>43563</v>
      </c>
      <c r="T2017" s="279">
        <v>1924</v>
      </c>
      <c r="U2017" s="277"/>
      <c r="V2017" s="277"/>
      <c r="W2017" s="277"/>
      <c r="X2017" s="277"/>
      <c r="Y2017" s="277"/>
      <c r="Z2017" s="277"/>
      <c r="AA2017" s="277"/>
      <c r="AB2017" s="277"/>
      <c r="AC2017" s="277"/>
      <c r="AD2017" s="277"/>
      <c r="AE2017" s="277"/>
      <c r="AF2017" s="277"/>
      <c r="AG2017" s="277"/>
      <c r="AH2017" s="277"/>
      <c r="AI2017" s="277"/>
    </row>
    <row r="2018" spans="16:35" s="185" customFormat="1">
      <c r="P2018" s="277"/>
      <c r="Q2018" s="277"/>
      <c r="R2018" s="277"/>
      <c r="S2018" s="291">
        <v>43564</v>
      </c>
      <c r="T2018" s="279">
        <v>1925</v>
      </c>
      <c r="U2018" s="277"/>
      <c r="V2018" s="277"/>
      <c r="W2018" s="277"/>
      <c r="X2018" s="277"/>
      <c r="Y2018" s="277"/>
      <c r="Z2018" s="277"/>
      <c r="AA2018" s="277"/>
      <c r="AB2018" s="277"/>
      <c r="AC2018" s="277"/>
      <c r="AD2018" s="277"/>
      <c r="AE2018" s="277"/>
      <c r="AF2018" s="277"/>
      <c r="AG2018" s="277"/>
      <c r="AH2018" s="277"/>
      <c r="AI2018" s="277"/>
    </row>
    <row r="2019" spans="16:35" s="185" customFormat="1">
      <c r="P2019" s="277"/>
      <c r="Q2019" s="277"/>
      <c r="R2019" s="277"/>
      <c r="S2019" s="291">
        <v>43565</v>
      </c>
      <c r="T2019" s="279">
        <v>1926</v>
      </c>
      <c r="U2019" s="277"/>
      <c r="V2019" s="277"/>
      <c r="W2019" s="277"/>
      <c r="X2019" s="277"/>
      <c r="Y2019" s="277"/>
      <c r="Z2019" s="277"/>
      <c r="AA2019" s="277"/>
      <c r="AB2019" s="277"/>
      <c r="AC2019" s="277"/>
      <c r="AD2019" s="277"/>
      <c r="AE2019" s="277"/>
      <c r="AF2019" s="277"/>
      <c r="AG2019" s="277"/>
      <c r="AH2019" s="277"/>
      <c r="AI2019" s="277"/>
    </row>
    <row r="2020" spans="16:35" s="185" customFormat="1">
      <c r="P2020" s="277"/>
      <c r="Q2020" s="277"/>
      <c r="R2020" s="277"/>
      <c r="S2020" s="291">
        <v>43566</v>
      </c>
      <c r="T2020" s="279">
        <v>1927</v>
      </c>
      <c r="U2020" s="277"/>
      <c r="V2020" s="277"/>
      <c r="W2020" s="277"/>
      <c r="X2020" s="277"/>
      <c r="Y2020" s="277"/>
      <c r="Z2020" s="277"/>
      <c r="AA2020" s="277"/>
      <c r="AB2020" s="277"/>
      <c r="AC2020" s="277"/>
      <c r="AD2020" s="277"/>
      <c r="AE2020" s="277"/>
      <c r="AF2020" s="277"/>
      <c r="AG2020" s="277"/>
      <c r="AH2020" s="277"/>
      <c r="AI2020" s="277"/>
    </row>
    <row r="2021" spans="16:35" s="185" customFormat="1">
      <c r="P2021" s="277"/>
      <c r="Q2021" s="277"/>
      <c r="R2021" s="277"/>
      <c r="S2021" s="291">
        <v>43567</v>
      </c>
      <c r="T2021" s="279">
        <v>1928</v>
      </c>
      <c r="U2021" s="277"/>
      <c r="V2021" s="277"/>
      <c r="W2021" s="277"/>
      <c r="X2021" s="277"/>
      <c r="Y2021" s="277"/>
      <c r="Z2021" s="277"/>
      <c r="AA2021" s="277"/>
      <c r="AB2021" s="277"/>
      <c r="AC2021" s="277"/>
      <c r="AD2021" s="277"/>
      <c r="AE2021" s="277"/>
      <c r="AF2021" s="277"/>
      <c r="AG2021" s="277"/>
      <c r="AH2021" s="277"/>
      <c r="AI2021" s="277"/>
    </row>
    <row r="2022" spans="16:35" s="185" customFormat="1">
      <c r="P2022" s="277"/>
      <c r="Q2022" s="277"/>
      <c r="R2022" s="277"/>
      <c r="S2022" s="291">
        <v>43568</v>
      </c>
      <c r="T2022" s="279">
        <v>1929</v>
      </c>
      <c r="U2022" s="277"/>
      <c r="V2022" s="277"/>
      <c r="W2022" s="277"/>
      <c r="X2022" s="277"/>
      <c r="Y2022" s="277"/>
      <c r="Z2022" s="277"/>
      <c r="AA2022" s="277"/>
      <c r="AB2022" s="277"/>
      <c r="AC2022" s="277"/>
      <c r="AD2022" s="277"/>
      <c r="AE2022" s="277"/>
      <c r="AF2022" s="277"/>
      <c r="AG2022" s="277"/>
      <c r="AH2022" s="277"/>
      <c r="AI2022" s="277"/>
    </row>
    <row r="2023" spans="16:35" s="185" customFormat="1">
      <c r="P2023" s="277"/>
      <c r="Q2023" s="277"/>
      <c r="R2023" s="277"/>
      <c r="S2023" s="291">
        <v>43569</v>
      </c>
      <c r="T2023" s="279">
        <v>1930</v>
      </c>
      <c r="U2023" s="277"/>
      <c r="V2023" s="277"/>
      <c r="W2023" s="277"/>
      <c r="X2023" s="277"/>
      <c r="Y2023" s="277"/>
      <c r="Z2023" s="277"/>
      <c r="AA2023" s="277"/>
      <c r="AB2023" s="277"/>
      <c r="AC2023" s="277"/>
      <c r="AD2023" s="277"/>
      <c r="AE2023" s="277"/>
      <c r="AF2023" s="277"/>
      <c r="AG2023" s="277"/>
      <c r="AH2023" s="277"/>
      <c r="AI2023" s="277"/>
    </row>
    <row r="2024" spans="16:35" s="185" customFormat="1">
      <c r="P2024" s="277"/>
      <c r="Q2024" s="277"/>
      <c r="R2024" s="277"/>
      <c r="S2024" s="291">
        <v>43570</v>
      </c>
      <c r="T2024" s="279">
        <v>1931</v>
      </c>
      <c r="U2024" s="277"/>
      <c r="V2024" s="277"/>
      <c r="W2024" s="277"/>
      <c r="X2024" s="277"/>
      <c r="Y2024" s="277"/>
      <c r="Z2024" s="277"/>
      <c r="AA2024" s="277"/>
      <c r="AB2024" s="277"/>
      <c r="AC2024" s="277"/>
      <c r="AD2024" s="277"/>
      <c r="AE2024" s="277"/>
      <c r="AF2024" s="277"/>
      <c r="AG2024" s="277"/>
      <c r="AH2024" s="277"/>
      <c r="AI2024" s="277"/>
    </row>
    <row r="2025" spans="16:35" s="185" customFormat="1">
      <c r="P2025" s="277"/>
      <c r="Q2025" s="277"/>
      <c r="R2025" s="277"/>
      <c r="S2025" s="291">
        <v>43571</v>
      </c>
      <c r="T2025" s="279">
        <v>1932</v>
      </c>
      <c r="U2025" s="277"/>
      <c r="V2025" s="277"/>
      <c r="W2025" s="277"/>
      <c r="X2025" s="277"/>
      <c r="Y2025" s="277"/>
      <c r="Z2025" s="277"/>
      <c r="AA2025" s="277"/>
      <c r="AB2025" s="277"/>
      <c r="AC2025" s="277"/>
      <c r="AD2025" s="277"/>
      <c r="AE2025" s="277"/>
      <c r="AF2025" s="277"/>
      <c r="AG2025" s="277"/>
      <c r="AH2025" s="277"/>
      <c r="AI2025" s="277"/>
    </row>
    <row r="2026" spans="16:35" s="185" customFormat="1">
      <c r="P2026" s="277"/>
      <c r="Q2026" s="277"/>
      <c r="R2026" s="277"/>
      <c r="S2026" s="291">
        <v>43572</v>
      </c>
      <c r="T2026" s="279">
        <v>1933</v>
      </c>
      <c r="U2026" s="277"/>
      <c r="V2026" s="277"/>
      <c r="W2026" s="277"/>
      <c r="X2026" s="277"/>
      <c r="Y2026" s="277"/>
      <c r="Z2026" s="277"/>
      <c r="AA2026" s="277"/>
      <c r="AB2026" s="277"/>
      <c r="AC2026" s="277"/>
      <c r="AD2026" s="277"/>
      <c r="AE2026" s="277"/>
      <c r="AF2026" s="277"/>
      <c r="AG2026" s="277"/>
      <c r="AH2026" s="277"/>
      <c r="AI2026" s="277"/>
    </row>
    <row r="2027" spans="16:35" s="185" customFormat="1">
      <c r="P2027" s="277"/>
      <c r="Q2027" s="277"/>
      <c r="R2027" s="277"/>
      <c r="S2027" s="291">
        <v>43573</v>
      </c>
      <c r="T2027" s="279">
        <v>1934</v>
      </c>
      <c r="U2027" s="277"/>
      <c r="V2027" s="277"/>
      <c r="W2027" s="277"/>
      <c r="X2027" s="277"/>
      <c r="Y2027" s="277"/>
      <c r="Z2027" s="277"/>
      <c r="AA2027" s="277"/>
      <c r="AB2027" s="277"/>
      <c r="AC2027" s="277"/>
      <c r="AD2027" s="277"/>
      <c r="AE2027" s="277"/>
      <c r="AF2027" s="277"/>
      <c r="AG2027" s="277"/>
      <c r="AH2027" s="277"/>
      <c r="AI2027" s="277"/>
    </row>
    <row r="2028" spans="16:35" s="185" customFormat="1">
      <c r="P2028" s="277"/>
      <c r="Q2028" s="277"/>
      <c r="R2028" s="277"/>
      <c r="S2028" s="291">
        <v>43574</v>
      </c>
      <c r="T2028" s="279">
        <v>1935</v>
      </c>
      <c r="U2028" s="277"/>
      <c r="V2028" s="277"/>
      <c r="W2028" s="277"/>
      <c r="X2028" s="277"/>
      <c r="Y2028" s="277"/>
      <c r="Z2028" s="277"/>
      <c r="AA2028" s="277"/>
      <c r="AB2028" s="277"/>
      <c r="AC2028" s="277"/>
      <c r="AD2028" s="277"/>
      <c r="AE2028" s="277"/>
      <c r="AF2028" s="277"/>
      <c r="AG2028" s="277"/>
      <c r="AH2028" s="277"/>
      <c r="AI2028" s="277"/>
    </row>
    <row r="2029" spans="16:35" s="185" customFormat="1">
      <c r="P2029" s="277"/>
      <c r="Q2029" s="277"/>
      <c r="R2029" s="277"/>
      <c r="S2029" s="291">
        <v>43575</v>
      </c>
      <c r="T2029" s="279">
        <v>1936</v>
      </c>
      <c r="U2029" s="277"/>
      <c r="V2029" s="277"/>
      <c r="W2029" s="277"/>
      <c r="X2029" s="277"/>
      <c r="Y2029" s="277"/>
      <c r="Z2029" s="277"/>
      <c r="AA2029" s="277"/>
      <c r="AB2029" s="277"/>
      <c r="AC2029" s="277"/>
      <c r="AD2029" s="277"/>
      <c r="AE2029" s="277"/>
      <c r="AF2029" s="277"/>
      <c r="AG2029" s="277"/>
      <c r="AH2029" s="277"/>
      <c r="AI2029" s="277"/>
    </row>
    <row r="2030" spans="16:35" s="185" customFormat="1">
      <c r="P2030" s="277"/>
      <c r="Q2030" s="277"/>
      <c r="R2030" s="277"/>
      <c r="S2030" s="291">
        <v>43576</v>
      </c>
      <c r="T2030" s="279">
        <v>1937</v>
      </c>
      <c r="U2030" s="277"/>
      <c r="V2030" s="277"/>
      <c r="W2030" s="277"/>
      <c r="X2030" s="277"/>
      <c r="Y2030" s="277"/>
      <c r="Z2030" s="277"/>
      <c r="AA2030" s="277"/>
      <c r="AB2030" s="277"/>
      <c r="AC2030" s="277"/>
      <c r="AD2030" s="277"/>
      <c r="AE2030" s="277"/>
      <c r="AF2030" s="277"/>
      <c r="AG2030" s="277"/>
      <c r="AH2030" s="277"/>
      <c r="AI2030" s="277"/>
    </row>
    <row r="2031" spans="16:35" s="185" customFormat="1">
      <c r="P2031" s="277"/>
      <c r="Q2031" s="277"/>
      <c r="R2031" s="277"/>
      <c r="S2031" s="291">
        <v>43577</v>
      </c>
      <c r="T2031" s="279">
        <v>1938</v>
      </c>
      <c r="U2031" s="277"/>
      <c r="V2031" s="277"/>
      <c r="W2031" s="277"/>
      <c r="X2031" s="277"/>
      <c r="Y2031" s="277"/>
      <c r="Z2031" s="277"/>
      <c r="AA2031" s="277"/>
      <c r="AB2031" s="277"/>
      <c r="AC2031" s="277"/>
      <c r="AD2031" s="277"/>
      <c r="AE2031" s="277"/>
      <c r="AF2031" s="277"/>
      <c r="AG2031" s="277"/>
      <c r="AH2031" s="277"/>
      <c r="AI2031" s="277"/>
    </row>
    <row r="2032" spans="16:35" s="185" customFormat="1">
      <c r="P2032" s="277"/>
      <c r="Q2032" s="277"/>
      <c r="R2032" s="277"/>
      <c r="S2032" s="291">
        <v>43578</v>
      </c>
      <c r="T2032" s="279">
        <v>1939</v>
      </c>
      <c r="U2032" s="277"/>
      <c r="V2032" s="277"/>
      <c r="W2032" s="277"/>
      <c r="X2032" s="277"/>
      <c r="Y2032" s="277"/>
      <c r="Z2032" s="277"/>
      <c r="AA2032" s="277"/>
      <c r="AB2032" s="277"/>
      <c r="AC2032" s="277"/>
      <c r="AD2032" s="277"/>
      <c r="AE2032" s="277"/>
      <c r="AF2032" s="277"/>
      <c r="AG2032" s="277"/>
      <c r="AH2032" s="277"/>
      <c r="AI2032" s="277"/>
    </row>
    <row r="2033" spans="16:35" s="185" customFormat="1">
      <c r="P2033" s="277"/>
      <c r="Q2033" s="277"/>
      <c r="R2033" s="277"/>
      <c r="S2033" s="291">
        <v>43579</v>
      </c>
      <c r="T2033" s="279">
        <v>1940</v>
      </c>
      <c r="U2033" s="277"/>
      <c r="V2033" s="277"/>
      <c r="W2033" s="277"/>
      <c r="X2033" s="277"/>
      <c r="Y2033" s="277"/>
      <c r="Z2033" s="277"/>
      <c r="AA2033" s="277"/>
      <c r="AB2033" s="277"/>
      <c r="AC2033" s="277"/>
      <c r="AD2033" s="277"/>
      <c r="AE2033" s="277"/>
      <c r="AF2033" s="277"/>
      <c r="AG2033" s="277"/>
      <c r="AH2033" s="277"/>
      <c r="AI2033" s="277"/>
    </row>
    <row r="2034" spans="16:35" s="185" customFormat="1">
      <c r="P2034" s="277"/>
      <c r="Q2034" s="277"/>
      <c r="R2034" s="277"/>
      <c r="S2034" s="291">
        <v>43580</v>
      </c>
      <c r="T2034" s="279">
        <v>1941</v>
      </c>
      <c r="U2034" s="277"/>
      <c r="V2034" s="277"/>
      <c r="W2034" s="277"/>
      <c r="X2034" s="277"/>
      <c r="Y2034" s="277"/>
      <c r="Z2034" s="277"/>
      <c r="AA2034" s="277"/>
      <c r="AB2034" s="277"/>
      <c r="AC2034" s="277"/>
      <c r="AD2034" s="277"/>
      <c r="AE2034" s="277"/>
      <c r="AF2034" s="277"/>
      <c r="AG2034" s="277"/>
      <c r="AH2034" s="277"/>
      <c r="AI2034" s="277"/>
    </row>
    <row r="2035" spans="16:35" s="185" customFormat="1">
      <c r="P2035" s="277"/>
      <c r="Q2035" s="277"/>
      <c r="R2035" s="277"/>
      <c r="S2035" s="291">
        <v>43581</v>
      </c>
      <c r="T2035" s="279">
        <v>1942</v>
      </c>
      <c r="U2035" s="277"/>
      <c r="V2035" s="277"/>
      <c r="W2035" s="277"/>
      <c r="X2035" s="277"/>
      <c r="Y2035" s="277"/>
      <c r="Z2035" s="277"/>
      <c r="AA2035" s="277"/>
      <c r="AB2035" s="277"/>
      <c r="AC2035" s="277"/>
      <c r="AD2035" s="277"/>
      <c r="AE2035" s="277"/>
      <c r="AF2035" s="277"/>
      <c r="AG2035" s="277"/>
      <c r="AH2035" s="277"/>
      <c r="AI2035" s="277"/>
    </row>
    <row r="2036" spans="16:35" s="185" customFormat="1">
      <c r="P2036" s="277"/>
      <c r="Q2036" s="277"/>
      <c r="R2036" s="277"/>
      <c r="S2036" s="291">
        <v>43582</v>
      </c>
      <c r="T2036" s="279">
        <v>1943</v>
      </c>
      <c r="U2036" s="277"/>
      <c r="V2036" s="277"/>
      <c r="W2036" s="277"/>
      <c r="X2036" s="277"/>
      <c r="Y2036" s="277"/>
      <c r="Z2036" s="277"/>
      <c r="AA2036" s="277"/>
      <c r="AB2036" s="277"/>
      <c r="AC2036" s="277"/>
      <c r="AD2036" s="277"/>
      <c r="AE2036" s="277"/>
      <c r="AF2036" s="277"/>
      <c r="AG2036" s="277"/>
      <c r="AH2036" s="277"/>
      <c r="AI2036" s="277"/>
    </row>
    <row r="2037" spans="16:35" s="185" customFormat="1">
      <c r="P2037" s="277"/>
      <c r="Q2037" s="277"/>
      <c r="R2037" s="277"/>
      <c r="S2037" s="291">
        <v>43583</v>
      </c>
      <c r="T2037" s="279">
        <v>1944</v>
      </c>
      <c r="U2037" s="277"/>
      <c r="V2037" s="277"/>
      <c r="W2037" s="277"/>
      <c r="X2037" s="277"/>
      <c r="Y2037" s="277"/>
      <c r="Z2037" s="277"/>
      <c r="AA2037" s="277"/>
      <c r="AB2037" s="277"/>
      <c r="AC2037" s="277"/>
      <c r="AD2037" s="277"/>
      <c r="AE2037" s="277"/>
      <c r="AF2037" s="277"/>
      <c r="AG2037" s="277"/>
      <c r="AH2037" s="277"/>
      <c r="AI2037" s="277"/>
    </row>
    <row r="2038" spans="16:35" s="185" customFormat="1">
      <c r="P2038" s="277"/>
      <c r="Q2038" s="277"/>
      <c r="R2038" s="277"/>
      <c r="S2038" s="291">
        <v>43584</v>
      </c>
      <c r="T2038" s="279">
        <v>1945</v>
      </c>
      <c r="U2038" s="277"/>
      <c r="V2038" s="277"/>
      <c r="W2038" s="277"/>
      <c r="X2038" s="277"/>
      <c r="Y2038" s="277"/>
      <c r="Z2038" s="277"/>
      <c r="AA2038" s="277"/>
      <c r="AB2038" s="277"/>
      <c r="AC2038" s="277"/>
      <c r="AD2038" s="277"/>
      <c r="AE2038" s="277"/>
      <c r="AF2038" s="277"/>
      <c r="AG2038" s="277"/>
      <c r="AH2038" s="277"/>
      <c r="AI2038" s="277"/>
    </row>
    <row r="2039" spans="16:35" s="185" customFormat="1">
      <c r="P2039" s="277"/>
      <c r="Q2039" s="277"/>
      <c r="R2039" s="277"/>
      <c r="S2039" s="291">
        <v>43585</v>
      </c>
      <c r="T2039" s="279">
        <v>1946</v>
      </c>
      <c r="U2039" s="277"/>
      <c r="V2039" s="277"/>
      <c r="W2039" s="277"/>
      <c r="X2039" s="277"/>
      <c r="Y2039" s="277"/>
      <c r="Z2039" s="277"/>
      <c r="AA2039" s="277"/>
      <c r="AB2039" s="277"/>
      <c r="AC2039" s="277"/>
      <c r="AD2039" s="277"/>
      <c r="AE2039" s="277"/>
      <c r="AF2039" s="277"/>
      <c r="AG2039" s="277"/>
      <c r="AH2039" s="277"/>
      <c r="AI2039" s="277"/>
    </row>
    <row r="2040" spans="16:35" s="185" customFormat="1">
      <c r="P2040" s="277"/>
      <c r="Q2040" s="277"/>
      <c r="R2040" s="277"/>
      <c r="S2040" s="291">
        <v>43586</v>
      </c>
      <c r="T2040" s="279">
        <v>1947</v>
      </c>
      <c r="U2040" s="277"/>
      <c r="V2040" s="277"/>
      <c r="W2040" s="277"/>
      <c r="X2040" s="277"/>
      <c r="Y2040" s="277"/>
      <c r="Z2040" s="277"/>
      <c r="AA2040" s="277"/>
      <c r="AB2040" s="277"/>
      <c r="AC2040" s="277"/>
      <c r="AD2040" s="277"/>
      <c r="AE2040" s="277"/>
      <c r="AF2040" s="277"/>
      <c r="AG2040" s="277"/>
      <c r="AH2040" s="277"/>
      <c r="AI2040" s="277"/>
    </row>
    <row r="2041" spans="16:35" s="185" customFormat="1">
      <c r="P2041" s="277"/>
      <c r="Q2041" s="277"/>
      <c r="R2041" s="277"/>
      <c r="S2041" s="291">
        <v>43587</v>
      </c>
      <c r="T2041" s="279">
        <v>1948</v>
      </c>
      <c r="U2041" s="277"/>
      <c r="V2041" s="277"/>
      <c r="W2041" s="277"/>
      <c r="X2041" s="277"/>
      <c r="Y2041" s="277"/>
      <c r="Z2041" s="277"/>
      <c r="AA2041" s="277"/>
      <c r="AB2041" s="277"/>
      <c r="AC2041" s="277"/>
      <c r="AD2041" s="277"/>
      <c r="AE2041" s="277"/>
      <c r="AF2041" s="277"/>
      <c r="AG2041" s="277"/>
      <c r="AH2041" s="277"/>
      <c r="AI2041" s="277"/>
    </row>
    <row r="2042" spans="16:35" s="185" customFormat="1">
      <c r="P2042" s="277"/>
      <c r="Q2042" s="277"/>
      <c r="R2042" s="277"/>
      <c r="S2042" s="291">
        <v>43588</v>
      </c>
      <c r="T2042" s="279">
        <v>1949</v>
      </c>
      <c r="U2042" s="277"/>
      <c r="V2042" s="277"/>
      <c r="W2042" s="277"/>
      <c r="X2042" s="277"/>
      <c r="Y2042" s="277"/>
      <c r="Z2042" s="277"/>
      <c r="AA2042" s="277"/>
      <c r="AB2042" s="277"/>
      <c r="AC2042" s="277"/>
      <c r="AD2042" s="277"/>
      <c r="AE2042" s="277"/>
      <c r="AF2042" s="277"/>
      <c r="AG2042" s="277"/>
      <c r="AH2042" s="277"/>
      <c r="AI2042" s="277"/>
    </row>
    <row r="2043" spans="16:35" s="185" customFormat="1">
      <c r="P2043" s="277"/>
      <c r="Q2043" s="277"/>
      <c r="R2043" s="277"/>
      <c r="S2043" s="291">
        <v>43589</v>
      </c>
      <c r="T2043" s="279">
        <v>1950</v>
      </c>
      <c r="U2043" s="277"/>
      <c r="V2043" s="277"/>
      <c r="W2043" s="277"/>
      <c r="X2043" s="277"/>
      <c r="Y2043" s="277"/>
      <c r="Z2043" s="277"/>
      <c r="AA2043" s="277"/>
      <c r="AB2043" s="277"/>
      <c r="AC2043" s="277"/>
      <c r="AD2043" s="277"/>
      <c r="AE2043" s="277"/>
      <c r="AF2043" s="277"/>
      <c r="AG2043" s="277"/>
      <c r="AH2043" s="277"/>
      <c r="AI2043" s="277"/>
    </row>
    <row r="2044" spans="16:35" s="185" customFormat="1">
      <c r="P2044" s="277"/>
      <c r="Q2044" s="277"/>
      <c r="R2044" s="277"/>
      <c r="S2044" s="291">
        <v>43590</v>
      </c>
      <c r="T2044" s="279">
        <v>1951</v>
      </c>
      <c r="U2044" s="277"/>
      <c r="V2044" s="277"/>
      <c r="W2044" s="277"/>
      <c r="X2044" s="277"/>
      <c r="Y2044" s="277"/>
      <c r="Z2044" s="277"/>
      <c r="AA2044" s="277"/>
      <c r="AB2044" s="277"/>
      <c r="AC2044" s="277"/>
      <c r="AD2044" s="277"/>
      <c r="AE2044" s="277"/>
      <c r="AF2044" s="277"/>
      <c r="AG2044" s="277"/>
      <c r="AH2044" s="277"/>
      <c r="AI2044" s="277"/>
    </row>
    <row r="2045" spans="16:35" s="185" customFormat="1">
      <c r="P2045" s="277"/>
      <c r="Q2045" s="277"/>
      <c r="R2045" s="277"/>
      <c r="S2045" s="291">
        <v>43591</v>
      </c>
      <c r="T2045" s="279">
        <v>1952</v>
      </c>
      <c r="U2045" s="277"/>
      <c r="V2045" s="277"/>
      <c r="W2045" s="277"/>
      <c r="X2045" s="277"/>
      <c r="Y2045" s="277"/>
      <c r="Z2045" s="277"/>
      <c r="AA2045" s="277"/>
      <c r="AB2045" s="277"/>
      <c r="AC2045" s="277"/>
      <c r="AD2045" s="277"/>
      <c r="AE2045" s="277"/>
      <c r="AF2045" s="277"/>
      <c r="AG2045" s="277"/>
      <c r="AH2045" s="277"/>
      <c r="AI2045" s="277"/>
    </row>
    <row r="2046" spans="16:35" s="185" customFormat="1">
      <c r="P2046" s="277"/>
      <c r="Q2046" s="277"/>
      <c r="R2046" s="277"/>
      <c r="S2046" s="291">
        <v>43592</v>
      </c>
      <c r="T2046" s="279">
        <v>1953</v>
      </c>
      <c r="U2046" s="277"/>
      <c r="V2046" s="277"/>
      <c r="W2046" s="277"/>
      <c r="X2046" s="277"/>
      <c r="Y2046" s="277"/>
      <c r="Z2046" s="277"/>
      <c r="AA2046" s="277"/>
      <c r="AB2046" s="277"/>
      <c r="AC2046" s="277"/>
      <c r="AD2046" s="277"/>
      <c r="AE2046" s="277"/>
      <c r="AF2046" s="277"/>
      <c r="AG2046" s="277"/>
      <c r="AH2046" s="277"/>
      <c r="AI2046" s="277"/>
    </row>
    <row r="2047" spans="16:35" s="185" customFormat="1">
      <c r="P2047" s="277"/>
      <c r="Q2047" s="277"/>
      <c r="R2047" s="277"/>
      <c r="S2047" s="291">
        <v>43593</v>
      </c>
      <c r="T2047" s="279">
        <v>1954</v>
      </c>
      <c r="U2047" s="277"/>
      <c r="V2047" s="277"/>
      <c r="W2047" s="277"/>
      <c r="X2047" s="277"/>
      <c r="Y2047" s="277"/>
      <c r="Z2047" s="277"/>
      <c r="AA2047" s="277"/>
      <c r="AB2047" s="277"/>
      <c r="AC2047" s="277"/>
      <c r="AD2047" s="277"/>
      <c r="AE2047" s="277"/>
      <c r="AF2047" s="277"/>
      <c r="AG2047" s="277"/>
      <c r="AH2047" s="277"/>
      <c r="AI2047" s="277"/>
    </row>
    <row r="2048" spans="16:35" s="185" customFormat="1">
      <c r="P2048" s="277"/>
      <c r="Q2048" s="277"/>
      <c r="R2048" s="277"/>
      <c r="S2048" s="291">
        <v>43594</v>
      </c>
      <c r="T2048" s="279">
        <v>1955</v>
      </c>
      <c r="U2048" s="277"/>
      <c r="V2048" s="277"/>
      <c r="W2048" s="277"/>
      <c r="X2048" s="277"/>
      <c r="Y2048" s="277"/>
      <c r="Z2048" s="277"/>
      <c r="AA2048" s="277"/>
      <c r="AB2048" s="277"/>
      <c r="AC2048" s="277"/>
      <c r="AD2048" s="277"/>
      <c r="AE2048" s="277"/>
      <c r="AF2048" s="277"/>
      <c r="AG2048" s="277"/>
      <c r="AH2048" s="277"/>
      <c r="AI2048" s="277"/>
    </row>
    <row r="2049" spans="16:35" s="185" customFormat="1">
      <c r="P2049" s="277"/>
      <c r="Q2049" s="277"/>
      <c r="R2049" s="277"/>
      <c r="S2049" s="291">
        <v>43595</v>
      </c>
      <c r="T2049" s="279">
        <v>1956</v>
      </c>
      <c r="U2049" s="277"/>
      <c r="V2049" s="277"/>
      <c r="W2049" s="277"/>
      <c r="X2049" s="277"/>
      <c r="Y2049" s="277"/>
      <c r="Z2049" s="277"/>
      <c r="AA2049" s="277"/>
      <c r="AB2049" s="277"/>
      <c r="AC2049" s="277"/>
      <c r="AD2049" s="277"/>
      <c r="AE2049" s="277"/>
      <c r="AF2049" s="277"/>
      <c r="AG2049" s="277"/>
      <c r="AH2049" s="277"/>
      <c r="AI2049" s="277"/>
    </row>
    <row r="2050" spans="16:35" s="185" customFormat="1">
      <c r="P2050" s="277"/>
      <c r="Q2050" s="277"/>
      <c r="R2050" s="277"/>
      <c r="S2050" s="291">
        <v>43596</v>
      </c>
      <c r="T2050" s="279">
        <v>1957</v>
      </c>
      <c r="U2050" s="277"/>
      <c r="V2050" s="277"/>
      <c r="W2050" s="277"/>
      <c r="X2050" s="277"/>
      <c r="Y2050" s="277"/>
      <c r="Z2050" s="277"/>
      <c r="AA2050" s="277"/>
      <c r="AB2050" s="277"/>
      <c r="AC2050" s="277"/>
      <c r="AD2050" s="277"/>
      <c r="AE2050" s="277"/>
      <c r="AF2050" s="277"/>
      <c r="AG2050" s="277"/>
      <c r="AH2050" s="277"/>
      <c r="AI2050" s="277"/>
    </row>
    <row r="2051" spans="16:35" s="185" customFormat="1">
      <c r="P2051" s="277"/>
      <c r="Q2051" s="277"/>
      <c r="R2051" s="277"/>
      <c r="S2051" s="291">
        <v>43597</v>
      </c>
      <c r="T2051" s="279">
        <v>1958</v>
      </c>
      <c r="U2051" s="277"/>
      <c r="V2051" s="277"/>
      <c r="W2051" s="277"/>
      <c r="X2051" s="277"/>
      <c r="Y2051" s="277"/>
      <c r="Z2051" s="277"/>
      <c r="AA2051" s="277"/>
      <c r="AB2051" s="277"/>
      <c r="AC2051" s="277"/>
      <c r="AD2051" s="277"/>
      <c r="AE2051" s="277"/>
      <c r="AF2051" s="277"/>
      <c r="AG2051" s="277"/>
      <c r="AH2051" s="277"/>
      <c r="AI2051" s="277"/>
    </row>
    <row r="2052" spans="16:35" s="185" customFormat="1">
      <c r="P2052" s="277"/>
      <c r="Q2052" s="277"/>
      <c r="R2052" s="277"/>
      <c r="S2052" s="291">
        <v>43598</v>
      </c>
      <c r="T2052" s="279">
        <v>1959</v>
      </c>
      <c r="U2052" s="277"/>
      <c r="V2052" s="277"/>
      <c r="W2052" s="277"/>
      <c r="X2052" s="277"/>
      <c r="Y2052" s="277"/>
      <c r="Z2052" s="277"/>
      <c r="AA2052" s="277"/>
      <c r="AB2052" s="277"/>
      <c r="AC2052" s="277"/>
      <c r="AD2052" s="277"/>
      <c r="AE2052" s="277"/>
      <c r="AF2052" s="277"/>
      <c r="AG2052" s="277"/>
      <c r="AH2052" s="277"/>
      <c r="AI2052" s="277"/>
    </row>
    <row r="2053" spans="16:35" s="185" customFormat="1">
      <c r="P2053" s="277"/>
      <c r="Q2053" s="277"/>
      <c r="R2053" s="277"/>
      <c r="S2053" s="291">
        <v>43599</v>
      </c>
      <c r="T2053" s="279">
        <v>1960</v>
      </c>
      <c r="U2053" s="277"/>
      <c r="V2053" s="277"/>
      <c r="W2053" s="277"/>
      <c r="X2053" s="277"/>
      <c r="Y2053" s="277"/>
      <c r="Z2053" s="277"/>
      <c r="AA2053" s="277"/>
      <c r="AB2053" s="277"/>
      <c r="AC2053" s="277"/>
      <c r="AD2053" s="277"/>
      <c r="AE2053" s="277"/>
      <c r="AF2053" s="277"/>
      <c r="AG2053" s="277"/>
      <c r="AH2053" s="277"/>
      <c r="AI2053" s="277"/>
    </row>
    <row r="2054" spans="16:35" s="185" customFormat="1">
      <c r="P2054" s="277"/>
      <c r="Q2054" s="277"/>
      <c r="R2054" s="277"/>
      <c r="S2054" s="291">
        <v>43600</v>
      </c>
      <c r="T2054" s="279">
        <v>1961</v>
      </c>
      <c r="U2054" s="277"/>
      <c r="V2054" s="277"/>
      <c r="W2054" s="277"/>
      <c r="X2054" s="277"/>
      <c r="Y2054" s="277"/>
      <c r="Z2054" s="277"/>
      <c r="AA2054" s="277"/>
      <c r="AB2054" s="277"/>
      <c r="AC2054" s="277"/>
      <c r="AD2054" s="277"/>
      <c r="AE2054" s="277"/>
      <c r="AF2054" s="277"/>
      <c r="AG2054" s="277"/>
      <c r="AH2054" s="277"/>
      <c r="AI2054" s="277"/>
    </row>
    <row r="2055" spans="16:35" s="185" customFormat="1">
      <c r="P2055" s="277"/>
      <c r="Q2055" s="277"/>
      <c r="R2055" s="277"/>
      <c r="S2055" s="291">
        <v>43601</v>
      </c>
      <c r="T2055" s="279">
        <v>1962</v>
      </c>
      <c r="U2055" s="277"/>
      <c r="V2055" s="277"/>
      <c r="W2055" s="277"/>
      <c r="X2055" s="277"/>
      <c r="Y2055" s="277"/>
      <c r="Z2055" s="277"/>
      <c r="AA2055" s="277"/>
      <c r="AB2055" s="277"/>
      <c r="AC2055" s="277"/>
      <c r="AD2055" s="277"/>
      <c r="AE2055" s="277"/>
      <c r="AF2055" s="277"/>
      <c r="AG2055" s="277"/>
      <c r="AH2055" s="277"/>
      <c r="AI2055" s="277"/>
    </row>
    <row r="2056" spans="16:35" s="185" customFormat="1">
      <c r="P2056" s="277"/>
      <c r="Q2056" s="277"/>
      <c r="R2056" s="277"/>
      <c r="S2056" s="291">
        <v>43602</v>
      </c>
      <c r="T2056" s="279">
        <v>1963</v>
      </c>
      <c r="U2056" s="277"/>
      <c r="V2056" s="277"/>
      <c r="W2056" s="277"/>
      <c r="X2056" s="277"/>
      <c r="Y2056" s="277"/>
      <c r="Z2056" s="277"/>
      <c r="AA2056" s="277"/>
      <c r="AB2056" s="277"/>
      <c r="AC2056" s="277"/>
      <c r="AD2056" s="277"/>
      <c r="AE2056" s="277"/>
      <c r="AF2056" s="277"/>
      <c r="AG2056" s="277"/>
      <c r="AH2056" s="277"/>
      <c r="AI2056" s="277"/>
    </row>
    <row r="2057" spans="16:35" s="185" customFormat="1">
      <c r="P2057" s="277"/>
      <c r="Q2057" s="277"/>
      <c r="R2057" s="277"/>
      <c r="S2057" s="291">
        <v>43603</v>
      </c>
      <c r="T2057" s="279">
        <v>1964</v>
      </c>
      <c r="U2057" s="277"/>
      <c r="V2057" s="277"/>
      <c r="W2057" s="277"/>
      <c r="X2057" s="277"/>
      <c r="Y2057" s="277"/>
      <c r="Z2057" s="277"/>
      <c r="AA2057" s="277"/>
      <c r="AB2057" s="277"/>
      <c r="AC2057" s="277"/>
      <c r="AD2057" s="277"/>
      <c r="AE2057" s="277"/>
      <c r="AF2057" s="277"/>
      <c r="AG2057" s="277"/>
      <c r="AH2057" s="277"/>
      <c r="AI2057" s="277"/>
    </row>
    <row r="2058" spans="16:35" s="185" customFormat="1">
      <c r="P2058" s="277"/>
      <c r="Q2058" s="277"/>
      <c r="R2058" s="277"/>
      <c r="S2058" s="291">
        <v>43604</v>
      </c>
      <c r="T2058" s="279">
        <v>1965</v>
      </c>
      <c r="U2058" s="277"/>
      <c r="V2058" s="277"/>
      <c r="W2058" s="277"/>
      <c r="X2058" s="277"/>
      <c r="Y2058" s="277"/>
      <c r="Z2058" s="277"/>
      <c r="AA2058" s="277"/>
      <c r="AB2058" s="277"/>
      <c r="AC2058" s="277"/>
      <c r="AD2058" s="277"/>
      <c r="AE2058" s="277"/>
      <c r="AF2058" s="277"/>
      <c r="AG2058" s="277"/>
      <c r="AH2058" s="277"/>
      <c r="AI2058" s="277"/>
    </row>
    <row r="2059" spans="16:35" s="185" customFormat="1">
      <c r="P2059" s="277"/>
      <c r="Q2059" s="277"/>
      <c r="R2059" s="277"/>
      <c r="S2059" s="291">
        <v>43605</v>
      </c>
      <c r="T2059" s="279">
        <v>1966</v>
      </c>
      <c r="U2059" s="277"/>
      <c r="V2059" s="277"/>
      <c r="W2059" s="277"/>
      <c r="X2059" s="277"/>
      <c r="Y2059" s="277"/>
      <c r="Z2059" s="277"/>
      <c r="AA2059" s="277"/>
      <c r="AB2059" s="277"/>
      <c r="AC2059" s="277"/>
      <c r="AD2059" s="277"/>
      <c r="AE2059" s="277"/>
      <c r="AF2059" s="277"/>
      <c r="AG2059" s="277"/>
      <c r="AH2059" s="277"/>
      <c r="AI2059" s="277"/>
    </row>
    <row r="2060" spans="16:35" s="185" customFormat="1">
      <c r="P2060" s="277"/>
      <c r="Q2060" s="277"/>
      <c r="R2060" s="277"/>
      <c r="S2060" s="291">
        <v>43606</v>
      </c>
      <c r="T2060" s="279">
        <v>1967</v>
      </c>
      <c r="U2060" s="277"/>
      <c r="V2060" s="277"/>
      <c r="W2060" s="277"/>
      <c r="X2060" s="277"/>
      <c r="Y2060" s="277"/>
      <c r="Z2060" s="277"/>
      <c r="AA2060" s="277"/>
      <c r="AB2060" s="277"/>
      <c r="AC2060" s="277"/>
      <c r="AD2060" s="277"/>
      <c r="AE2060" s="277"/>
      <c r="AF2060" s="277"/>
      <c r="AG2060" s="277"/>
      <c r="AH2060" s="277"/>
      <c r="AI2060" s="277"/>
    </row>
    <row r="2061" spans="16:35" s="185" customFormat="1">
      <c r="P2061" s="277"/>
      <c r="Q2061" s="277"/>
      <c r="R2061" s="277"/>
      <c r="S2061" s="291">
        <v>43607</v>
      </c>
      <c r="T2061" s="279">
        <v>1968</v>
      </c>
      <c r="U2061" s="277"/>
      <c r="V2061" s="277"/>
      <c r="W2061" s="277"/>
      <c r="X2061" s="277"/>
      <c r="Y2061" s="277"/>
      <c r="Z2061" s="277"/>
      <c r="AA2061" s="277"/>
      <c r="AB2061" s="277"/>
      <c r="AC2061" s="277"/>
      <c r="AD2061" s="277"/>
      <c r="AE2061" s="277"/>
      <c r="AF2061" s="277"/>
      <c r="AG2061" s="277"/>
      <c r="AH2061" s="277"/>
      <c r="AI2061" s="277"/>
    </row>
    <row r="2062" spans="16:35" s="185" customFormat="1">
      <c r="P2062" s="277"/>
      <c r="Q2062" s="277"/>
      <c r="R2062" s="277"/>
      <c r="S2062" s="291">
        <v>43608</v>
      </c>
      <c r="T2062" s="279">
        <v>1969</v>
      </c>
      <c r="U2062" s="277"/>
      <c r="V2062" s="277"/>
      <c r="W2062" s="277"/>
      <c r="X2062" s="277"/>
      <c r="Y2062" s="277"/>
      <c r="Z2062" s="277"/>
      <c r="AA2062" s="277"/>
      <c r="AB2062" s="277"/>
      <c r="AC2062" s="277"/>
      <c r="AD2062" s="277"/>
      <c r="AE2062" s="277"/>
      <c r="AF2062" s="277"/>
      <c r="AG2062" s="277"/>
      <c r="AH2062" s="277"/>
      <c r="AI2062" s="277"/>
    </row>
    <row r="2063" spans="16:35" s="185" customFormat="1">
      <c r="P2063" s="277"/>
      <c r="Q2063" s="277"/>
      <c r="R2063" s="277"/>
      <c r="S2063" s="291">
        <v>43609</v>
      </c>
      <c r="T2063" s="279">
        <v>1970</v>
      </c>
      <c r="U2063" s="277"/>
      <c r="V2063" s="277"/>
      <c r="W2063" s="277"/>
      <c r="X2063" s="277"/>
      <c r="Y2063" s="277"/>
      <c r="Z2063" s="277"/>
      <c r="AA2063" s="277"/>
      <c r="AB2063" s="277"/>
      <c r="AC2063" s="277"/>
      <c r="AD2063" s="277"/>
      <c r="AE2063" s="277"/>
      <c r="AF2063" s="277"/>
      <c r="AG2063" s="277"/>
      <c r="AH2063" s="277"/>
      <c r="AI2063" s="277"/>
    </row>
    <row r="2064" spans="16:35" s="185" customFormat="1">
      <c r="P2064" s="277"/>
      <c r="Q2064" s="277"/>
      <c r="R2064" s="277"/>
      <c r="S2064" s="291">
        <v>43610</v>
      </c>
      <c r="T2064" s="279">
        <v>1971</v>
      </c>
      <c r="U2064" s="277"/>
      <c r="V2064" s="277"/>
      <c r="W2064" s="277"/>
      <c r="X2064" s="277"/>
      <c r="Y2064" s="277"/>
      <c r="Z2064" s="277"/>
      <c r="AA2064" s="277"/>
      <c r="AB2064" s="277"/>
      <c r="AC2064" s="277"/>
      <c r="AD2064" s="277"/>
      <c r="AE2064" s="277"/>
      <c r="AF2064" s="277"/>
      <c r="AG2064" s="277"/>
      <c r="AH2064" s="277"/>
      <c r="AI2064" s="277"/>
    </row>
    <row r="2065" spans="16:35" s="185" customFormat="1">
      <c r="P2065" s="277"/>
      <c r="Q2065" s="277"/>
      <c r="R2065" s="277"/>
      <c r="S2065" s="291">
        <v>43611</v>
      </c>
      <c r="T2065" s="279">
        <v>1972</v>
      </c>
      <c r="U2065" s="277"/>
      <c r="V2065" s="277"/>
      <c r="W2065" s="277"/>
      <c r="X2065" s="277"/>
      <c r="Y2065" s="277"/>
      <c r="Z2065" s="277"/>
      <c r="AA2065" s="277"/>
      <c r="AB2065" s="277"/>
      <c r="AC2065" s="277"/>
      <c r="AD2065" s="277"/>
      <c r="AE2065" s="277"/>
      <c r="AF2065" s="277"/>
      <c r="AG2065" s="277"/>
      <c r="AH2065" s="277"/>
      <c r="AI2065" s="277"/>
    </row>
    <row r="2066" spans="16:35" s="185" customFormat="1">
      <c r="P2066" s="277"/>
      <c r="Q2066" s="277"/>
      <c r="R2066" s="277"/>
      <c r="S2066" s="291">
        <v>43612</v>
      </c>
      <c r="T2066" s="279">
        <v>1973</v>
      </c>
      <c r="U2066" s="277"/>
      <c r="V2066" s="277"/>
      <c r="W2066" s="277"/>
      <c r="X2066" s="277"/>
      <c r="Y2066" s="277"/>
      <c r="Z2066" s="277"/>
      <c r="AA2066" s="277"/>
      <c r="AB2066" s="277"/>
      <c r="AC2066" s="277"/>
      <c r="AD2066" s="277"/>
      <c r="AE2066" s="277"/>
      <c r="AF2066" s="277"/>
      <c r="AG2066" s="277"/>
      <c r="AH2066" s="277"/>
      <c r="AI2066" s="277"/>
    </row>
    <row r="2067" spans="16:35" s="185" customFormat="1">
      <c r="P2067" s="277"/>
      <c r="Q2067" s="277"/>
      <c r="R2067" s="277"/>
      <c r="S2067" s="291">
        <v>43613</v>
      </c>
      <c r="T2067" s="279">
        <v>1974</v>
      </c>
      <c r="U2067" s="277"/>
      <c r="V2067" s="277"/>
      <c r="W2067" s="277"/>
      <c r="X2067" s="277"/>
      <c r="Y2067" s="277"/>
      <c r="Z2067" s="277"/>
      <c r="AA2067" s="277"/>
      <c r="AB2067" s="277"/>
      <c r="AC2067" s="277"/>
      <c r="AD2067" s="277"/>
      <c r="AE2067" s="277"/>
      <c r="AF2067" s="277"/>
      <c r="AG2067" s="277"/>
      <c r="AH2067" s="277"/>
      <c r="AI2067" s="277"/>
    </row>
    <row r="2068" spans="16:35" s="185" customFormat="1">
      <c r="P2068" s="277"/>
      <c r="Q2068" s="277"/>
      <c r="R2068" s="277"/>
      <c r="S2068" s="291">
        <v>43614</v>
      </c>
      <c r="T2068" s="279">
        <v>1975</v>
      </c>
      <c r="U2068" s="277"/>
      <c r="V2068" s="277"/>
      <c r="W2068" s="277"/>
      <c r="X2068" s="277"/>
      <c r="Y2068" s="277"/>
      <c r="Z2068" s="277"/>
      <c r="AA2068" s="277"/>
      <c r="AB2068" s="277"/>
      <c r="AC2068" s="277"/>
      <c r="AD2068" s="277"/>
      <c r="AE2068" s="277"/>
      <c r="AF2068" s="277"/>
      <c r="AG2068" s="277"/>
      <c r="AH2068" s="277"/>
      <c r="AI2068" s="277"/>
    </row>
    <row r="2069" spans="16:35" s="185" customFormat="1">
      <c r="P2069" s="277"/>
      <c r="Q2069" s="277"/>
      <c r="R2069" s="277"/>
      <c r="S2069" s="291">
        <v>43615</v>
      </c>
      <c r="T2069" s="279">
        <v>1976</v>
      </c>
      <c r="U2069" s="277"/>
      <c r="V2069" s="277"/>
      <c r="W2069" s="277"/>
      <c r="X2069" s="277"/>
      <c r="Y2069" s="277"/>
      <c r="Z2069" s="277"/>
      <c r="AA2069" s="277"/>
      <c r="AB2069" s="277"/>
      <c r="AC2069" s="277"/>
      <c r="AD2069" s="277"/>
      <c r="AE2069" s="277"/>
      <c r="AF2069" s="277"/>
      <c r="AG2069" s="277"/>
      <c r="AH2069" s="277"/>
      <c r="AI2069" s="277"/>
    </row>
    <row r="2070" spans="16:35" s="185" customFormat="1">
      <c r="P2070" s="277"/>
      <c r="Q2070" s="277"/>
      <c r="R2070" s="277"/>
      <c r="S2070" s="291">
        <v>43616</v>
      </c>
      <c r="T2070" s="279">
        <v>1977</v>
      </c>
      <c r="U2070" s="277"/>
      <c r="V2070" s="277"/>
      <c r="W2070" s="277"/>
      <c r="X2070" s="277"/>
      <c r="Y2070" s="277"/>
      <c r="Z2070" s="277"/>
      <c r="AA2070" s="277"/>
      <c r="AB2070" s="277"/>
      <c r="AC2070" s="277"/>
      <c r="AD2070" s="277"/>
      <c r="AE2070" s="277"/>
      <c r="AF2070" s="277"/>
      <c r="AG2070" s="277"/>
      <c r="AH2070" s="277"/>
      <c r="AI2070" s="277"/>
    </row>
    <row r="2071" spans="16:35" s="185" customFormat="1">
      <c r="P2071" s="277"/>
      <c r="Q2071" s="277"/>
      <c r="R2071" s="277"/>
      <c r="S2071" s="291">
        <v>43617</v>
      </c>
      <c r="T2071" s="279">
        <v>1978</v>
      </c>
      <c r="U2071" s="277"/>
      <c r="V2071" s="277"/>
      <c r="W2071" s="277"/>
      <c r="X2071" s="277"/>
      <c r="Y2071" s="277"/>
      <c r="Z2071" s="277"/>
      <c r="AA2071" s="277"/>
      <c r="AB2071" s="277"/>
      <c r="AC2071" s="277"/>
      <c r="AD2071" s="277"/>
      <c r="AE2071" s="277"/>
      <c r="AF2071" s="277"/>
      <c r="AG2071" s="277"/>
      <c r="AH2071" s="277"/>
      <c r="AI2071" s="277"/>
    </row>
    <row r="2072" spans="16:35" s="185" customFormat="1">
      <c r="P2072" s="277"/>
      <c r="Q2072" s="277"/>
      <c r="R2072" s="277"/>
      <c r="S2072" s="291">
        <v>43618</v>
      </c>
      <c r="T2072" s="279">
        <v>1979</v>
      </c>
      <c r="U2072" s="277"/>
      <c r="V2072" s="277"/>
      <c r="W2072" s="277"/>
      <c r="X2072" s="277"/>
      <c r="Y2072" s="277"/>
      <c r="Z2072" s="277"/>
      <c r="AA2072" s="277"/>
      <c r="AB2072" s="277"/>
      <c r="AC2072" s="277"/>
      <c r="AD2072" s="277"/>
      <c r="AE2072" s="277"/>
      <c r="AF2072" s="277"/>
      <c r="AG2072" s="277"/>
      <c r="AH2072" s="277"/>
      <c r="AI2072" s="277"/>
    </row>
    <row r="2073" spans="16:35" s="185" customFormat="1">
      <c r="P2073" s="277"/>
      <c r="Q2073" s="277"/>
      <c r="R2073" s="277"/>
      <c r="S2073" s="291">
        <v>43619</v>
      </c>
      <c r="T2073" s="279">
        <v>1980</v>
      </c>
      <c r="U2073" s="277"/>
      <c r="V2073" s="277"/>
      <c r="W2073" s="277"/>
      <c r="X2073" s="277"/>
      <c r="Y2073" s="277"/>
      <c r="Z2073" s="277"/>
      <c r="AA2073" s="277"/>
      <c r="AB2073" s="277"/>
      <c r="AC2073" s="277"/>
      <c r="AD2073" s="277"/>
      <c r="AE2073" s="277"/>
      <c r="AF2073" s="277"/>
      <c r="AG2073" s="277"/>
      <c r="AH2073" s="277"/>
      <c r="AI2073" s="277"/>
    </row>
    <row r="2074" spans="16:35" s="185" customFormat="1">
      <c r="P2074" s="277"/>
      <c r="Q2074" s="277"/>
      <c r="R2074" s="277"/>
      <c r="S2074" s="291">
        <v>43620</v>
      </c>
      <c r="T2074" s="279">
        <v>1981</v>
      </c>
      <c r="U2074" s="277"/>
      <c r="V2074" s="277"/>
      <c r="W2074" s="277"/>
      <c r="X2074" s="277"/>
      <c r="Y2074" s="277"/>
      <c r="Z2074" s="277"/>
      <c r="AA2074" s="277"/>
      <c r="AB2074" s="277"/>
      <c r="AC2074" s="277"/>
      <c r="AD2074" s="277"/>
      <c r="AE2074" s="277"/>
      <c r="AF2074" s="277"/>
      <c r="AG2074" s="277"/>
      <c r="AH2074" s="277"/>
      <c r="AI2074" s="277"/>
    </row>
    <row r="2075" spans="16:35" s="185" customFormat="1">
      <c r="P2075" s="277"/>
      <c r="Q2075" s="277"/>
      <c r="R2075" s="277"/>
      <c r="S2075" s="291">
        <v>43621</v>
      </c>
      <c r="T2075" s="279">
        <v>1982</v>
      </c>
      <c r="U2075" s="277"/>
      <c r="V2075" s="277"/>
      <c r="W2075" s="277"/>
      <c r="X2075" s="277"/>
      <c r="Y2075" s="277"/>
      <c r="Z2075" s="277"/>
      <c r="AA2075" s="277"/>
      <c r="AB2075" s="277"/>
      <c r="AC2075" s="277"/>
      <c r="AD2075" s="277"/>
      <c r="AE2075" s="277"/>
      <c r="AF2075" s="277"/>
      <c r="AG2075" s="277"/>
      <c r="AH2075" s="277"/>
      <c r="AI2075" s="277"/>
    </row>
    <row r="2076" spans="16:35" s="185" customFormat="1">
      <c r="P2076" s="277"/>
      <c r="Q2076" s="277"/>
      <c r="R2076" s="277"/>
      <c r="S2076" s="291">
        <v>43622</v>
      </c>
      <c r="T2076" s="279">
        <v>1983</v>
      </c>
      <c r="U2076" s="277"/>
      <c r="V2076" s="277"/>
      <c r="W2076" s="277"/>
      <c r="X2076" s="277"/>
      <c r="Y2076" s="277"/>
      <c r="Z2076" s="277"/>
      <c r="AA2076" s="277"/>
      <c r="AB2076" s="277"/>
      <c r="AC2076" s="277"/>
      <c r="AD2076" s="277"/>
      <c r="AE2076" s="277"/>
      <c r="AF2076" s="277"/>
      <c r="AG2076" s="277"/>
      <c r="AH2076" s="277"/>
      <c r="AI2076" s="277"/>
    </row>
    <row r="2077" spans="16:35" s="185" customFormat="1">
      <c r="P2077" s="277"/>
      <c r="Q2077" s="277"/>
      <c r="R2077" s="277"/>
      <c r="S2077" s="291">
        <v>43623</v>
      </c>
      <c r="T2077" s="279">
        <v>1984</v>
      </c>
      <c r="U2077" s="277"/>
      <c r="V2077" s="277"/>
      <c r="W2077" s="277"/>
      <c r="X2077" s="277"/>
      <c r="Y2077" s="277"/>
      <c r="Z2077" s="277"/>
      <c r="AA2077" s="277"/>
      <c r="AB2077" s="277"/>
      <c r="AC2077" s="277"/>
      <c r="AD2077" s="277"/>
      <c r="AE2077" s="277"/>
      <c r="AF2077" s="277"/>
      <c r="AG2077" s="277"/>
      <c r="AH2077" s="277"/>
      <c r="AI2077" s="277"/>
    </row>
    <row r="2078" spans="16:35" s="185" customFormat="1">
      <c r="P2078" s="277"/>
      <c r="Q2078" s="277"/>
      <c r="R2078" s="277"/>
      <c r="S2078" s="291">
        <v>43624</v>
      </c>
      <c r="T2078" s="279">
        <v>1985</v>
      </c>
      <c r="U2078" s="277"/>
      <c r="V2078" s="277"/>
      <c r="W2078" s="277"/>
      <c r="X2078" s="277"/>
      <c r="Y2078" s="277"/>
      <c r="Z2078" s="277"/>
      <c r="AA2078" s="277"/>
      <c r="AB2078" s="277"/>
      <c r="AC2078" s="277"/>
      <c r="AD2078" s="277"/>
      <c r="AE2078" s="277"/>
      <c r="AF2078" s="277"/>
      <c r="AG2078" s="277"/>
      <c r="AH2078" s="277"/>
      <c r="AI2078" s="277"/>
    </row>
    <row r="2079" spans="16:35" s="185" customFormat="1">
      <c r="P2079" s="277"/>
      <c r="Q2079" s="277"/>
      <c r="R2079" s="277"/>
      <c r="S2079" s="291">
        <v>43625</v>
      </c>
      <c r="T2079" s="279">
        <v>1986</v>
      </c>
      <c r="U2079" s="277"/>
      <c r="V2079" s="277"/>
      <c r="W2079" s="277"/>
      <c r="X2079" s="277"/>
      <c r="Y2079" s="277"/>
      <c r="Z2079" s="277"/>
      <c r="AA2079" s="277"/>
      <c r="AB2079" s="277"/>
      <c r="AC2079" s="277"/>
      <c r="AD2079" s="277"/>
      <c r="AE2079" s="277"/>
      <c r="AF2079" s="277"/>
      <c r="AG2079" s="277"/>
      <c r="AH2079" s="277"/>
      <c r="AI2079" s="277"/>
    </row>
    <row r="2080" spans="16:35" s="185" customFormat="1">
      <c r="P2080" s="277"/>
      <c r="Q2080" s="277"/>
      <c r="R2080" s="277"/>
      <c r="S2080" s="291">
        <v>43626</v>
      </c>
      <c r="T2080" s="279">
        <v>1987</v>
      </c>
      <c r="U2080" s="277"/>
      <c r="V2080" s="277"/>
      <c r="W2080" s="277"/>
      <c r="X2080" s="277"/>
      <c r="Y2080" s="277"/>
      <c r="Z2080" s="277"/>
      <c r="AA2080" s="277"/>
      <c r="AB2080" s="277"/>
      <c r="AC2080" s="277"/>
      <c r="AD2080" s="277"/>
      <c r="AE2080" s="277"/>
      <c r="AF2080" s="277"/>
      <c r="AG2080" s="277"/>
      <c r="AH2080" s="277"/>
      <c r="AI2080" s="277"/>
    </row>
    <row r="2081" spans="16:35" s="185" customFormat="1">
      <c r="P2081" s="277"/>
      <c r="Q2081" s="277"/>
      <c r="R2081" s="277"/>
      <c r="S2081" s="291">
        <v>43627</v>
      </c>
      <c r="T2081" s="279">
        <v>1988</v>
      </c>
      <c r="U2081" s="277"/>
      <c r="V2081" s="277"/>
      <c r="W2081" s="277"/>
      <c r="X2081" s="277"/>
      <c r="Y2081" s="277"/>
      <c r="Z2081" s="277"/>
      <c r="AA2081" s="277"/>
      <c r="AB2081" s="277"/>
      <c r="AC2081" s="277"/>
      <c r="AD2081" s="277"/>
      <c r="AE2081" s="277"/>
      <c r="AF2081" s="277"/>
      <c r="AG2081" s="277"/>
      <c r="AH2081" s="277"/>
      <c r="AI2081" s="277"/>
    </row>
    <row r="2082" spans="16:35" s="185" customFormat="1">
      <c r="P2082" s="277"/>
      <c r="Q2082" s="277"/>
      <c r="R2082" s="277"/>
      <c r="S2082" s="291">
        <v>43628</v>
      </c>
      <c r="T2082" s="279">
        <v>1989</v>
      </c>
      <c r="U2082" s="277"/>
      <c r="V2082" s="277"/>
      <c r="W2082" s="277"/>
      <c r="X2082" s="277"/>
      <c r="Y2082" s="277"/>
      <c r="Z2082" s="277"/>
      <c r="AA2082" s="277"/>
      <c r="AB2082" s="277"/>
      <c r="AC2082" s="277"/>
      <c r="AD2082" s="277"/>
      <c r="AE2082" s="277"/>
      <c r="AF2082" s="277"/>
      <c r="AG2082" s="277"/>
      <c r="AH2082" s="277"/>
      <c r="AI2082" s="277"/>
    </row>
    <row r="2083" spans="16:35" s="185" customFormat="1">
      <c r="P2083" s="277"/>
      <c r="Q2083" s="277"/>
      <c r="R2083" s="277"/>
      <c r="S2083" s="291">
        <v>43629</v>
      </c>
      <c r="T2083" s="279">
        <v>1990</v>
      </c>
      <c r="U2083" s="277"/>
      <c r="V2083" s="277"/>
      <c r="W2083" s="277"/>
      <c r="X2083" s="277"/>
      <c r="Y2083" s="277"/>
      <c r="Z2083" s="277"/>
      <c r="AA2083" s="277"/>
      <c r="AB2083" s="277"/>
      <c r="AC2083" s="277"/>
      <c r="AD2083" s="277"/>
      <c r="AE2083" s="277"/>
      <c r="AF2083" s="277"/>
      <c r="AG2083" s="277"/>
      <c r="AH2083" s="277"/>
      <c r="AI2083" s="277"/>
    </row>
    <row r="2084" spans="16:35" s="185" customFormat="1">
      <c r="P2084" s="277"/>
      <c r="Q2084" s="277"/>
      <c r="R2084" s="277"/>
      <c r="S2084" s="291">
        <v>43630</v>
      </c>
      <c r="T2084" s="279">
        <v>1991</v>
      </c>
      <c r="U2084" s="277"/>
      <c r="V2084" s="277"/>
      <c r="W2084" s="277"/>
      <c r="X2084" s="277"/>
      <c r="Y2084" s="277"/>
      <c r="Z2084" s="277"/>
      <c r="AA2084" s="277"/>
      <c r="AB2084" s="277"/>
      <c r="AC2084" s="277"/>
      <c r="AD2084" s="277"/>
      <c r="AE2084" s="277"/>
      <c r="AF2084" s="277"/>
      <c r="AG2084" s="277"/>
      <c r="AH2084" s="277"/>
      <c r="AI2084" s="277"/>
    </row>
    <row r="2085" spans="16:35" s="185" customFormat="1">
      <c r="P2085" s="277"/>
      <c r="Q2085" s="277"/>
      <c r="R2085" s="277"/>
      <c r="S2085" s="291">
        <v>43631</v>
      </c>
      <c r="T2085" s="279">
        <v>1992</v>
      </c>
      <c r="U2085" s="277"/>
      <c r="V2085" s="277"/>
      <c r="W2085" s="277"/>
      <c r="X2085" s="277"/>
      <c r="Y2085" s="277"/>
      <c r="Z2085" s="277"/>
      <c r="AA2085" s="277"/>
      <c r="AB2085" s="277"/>
      <c r="AC2085" s="277"/>
      <c r="AD2085" s="277"/>
      <c r="AE2085" s="277"/>
      <c r="AF2085" s="277"/>
      <c r="AG2085" s="277"/>
      <c r="AH2085" s="277"/>
      <c r="AI2085" s="277"/>
    </row>
    <row r="2086" spans="16:35" s="185" customFormat="1">
      <c r="P2086" s="277"/>
      <c r="Q2086" s="277"/>
      <c r="R2086" s="277"/>
      <c r="S2086" s="291">
        <v>43632</v>
      </c>
      <c r="T2086" s="279">
        <v>1993</v>
      </c>
      <c r="U2086" s="277"/>
      <c r="V2086" s="277"/>
      <c r="W2086" s="277"/>
      <c r="X2086" s="277"/>
      <c r="Y2086" s="277"/>
      <c r="Z2086" s="277"/>
      <c r="AA2086" s="277"/>
      <c r="AB2086" s="277"/>
      <c r="AC2086" s="277"/>
      <c r="AD2086" s="277"/>
      <c r="AE2086" s="277"/>
      <c r="AF2086" s="277"/>
      <c r="AG2086" s="277"/>
      <c r="AH2086" s="277"/>
      <c r="AI2086" s="277"/>
    </row>
    <row r="2087" spans="16:35" s="185" customFormat="1">
      <c r="P2087" s="277"/>
      <c r="Q2087" s="277"/>
      <c r="R2087" s="277"/>
      <c r="S2087" s="291">
        <v>43633</v>
      </c>
      <c r="T2087" s="279">
        <v>1994</v>
      </c>
      <c r="U2087" s="277"/>
      <c r="V2087" s="277"/>
      <c r="W2087" s="277"/>
      <c r="X2087" s="277"/>
      <c r="Y2087" s="277"/>
      <c r="Z2087" s="277"/>
      <c r="AA2087" s="277"/>
      <c r="AB2087" s="277"/>
      <c r="AC2087" s="277"/>
      <c r="AD2087" s="277"/>
      <c r="AE2087" s="277"/>
      <c r="AF2087" s="277"/>
      <c r="AG2087" s="277"/>
      <c r="AH2087" s="277"/>
      <c r="AI2087" s="277"/>
    </row>
    <row r="2088" spans="16:35" s="185" customFormat="1">
      <c r="P2088" s="277"/>
      <c r="Q2088" s="277"/>
      <c r="R2088" s="277"/>
      <c r="S2088" s="291">
        <v>43634</v>
      </c>
      <c r="T2088" s="279">
        <v>1995</v>
      </c>
      <c r="U2088" s="277"/>
      <c r="V2088" s="277"/>
      <c r="W2088" s="277"/>
      <c r="X2088" s="277"/>
      <c r="Y2088" s="277"/>
      <c r="Z2088" s="277"/>
      <c r="AA2088" s="277"/>
      <c r="AB2088" s="277"/>
      <c r="AC2088" s="277"/>
      <c r="AD2088" s="277"/>
      <c r="AE2088" s="277"/>
      <c r="AF2088" s="277"/>
      <c r="AG2088" s="277"/>
      <c r="AH2088" s="277"/>
      <c r="AI2088" s="277"/>
    </row>
    <row r="2089" spans="16:35" s="185" customFormat="1">
      <c r="P2089" s="277"/>
      <c r="Q2089" s="277"/>
      <c r="R2089" s="277"/>
      <c r="S2089" s="291">
        <v>43635</v>
      </c>
      <c r="T2089" s="279">
        <v>1996</v>
      </c>
      <c r="U2089" s="277"/>
      <c r="V2089" s="277"/>
      <c r="W2089" s="277"/>
      <c r="X2089" s="277"/>
      <c r="Y2089" s="277"/>
      <c r="Z2089" s="277"/>
      <c r="AA2089" s="277"/>
      <c r="AB2089" s="277"/>
      <c r="AC2089" s="277"/>
      <c r="AD2089" s="277"/>
      <c r="AE2089" s="277"/>
      <c r="AF2089" s="277"/>
      <c r="AG2089" s="277"/>
      <c r="AH2089" s="277"/>
      <c r="AI2089" s="277"/>
    </row>
    <row r="2090" spans="16:35" s="185" customFormat="1">
      <c r="P2090" s="277"/>
      <c r="Q2090" s="277"/>
      <c r="R2090" s="277"/>
      <c r="S2090" s="291">
        <v>43636</v>
      </c>
      <c r="T2090" s="279">
        <v>1997</v>
      </c>
      <c r="U2090" s="277"/>
      <c r="V2090" s="277"/>
      <c r="W2090" s="277"/>
      <c r="X2090" s="277"/>
      <c r="Y2090" s="277"/>
      <c r="Z2090" s="277"/>
      <c r="AA2090" s="277"/>
      <c r="AB2090" s="277"/>
      <c r="AC2090" s="277"/>
      <c r="AD2090" s="277"/>
      <c r="AE2090" s="277"/>
      <c r="AF2090" s="277"/>
      <c r="AG2090" s="277"/>
      <c r="AH2090" s="277"/>
      <c r="AI2090" s="277"/>
    </row>
    <row r="2091" spans="16:35" s="185" customFormat="1">
      <c r="P2091" s="277"/>
      <c r="Q2091" s="277"/>
      <c r="R2091" s="277"/>
      <c r="S2091" s="291">
        <v>43637</v>
      </c>
      <c r="T2091" s="279">
        <v>1998</v>
      </c>
      <c r="U2091" s="277"/>
      <c r="V2091" s="277"/>
      <c r="W2091" s="277"/>
      <c r="X2091" s="277"/>
      <c r="Y2091" s="277"/>
      <c r="Z2091" s="277"/>
      <c r="AA2091" s="277"/>
      <c r="AB2091" s="277"/>
      <c r="AC2091" s="277"/>
      <c r="AD2091" s="277"/>
      <c r="AE2091" s="277"/>
      <c r="AF2091" s="277"/>
      <c r="AG2091" s="277"/>
      <c r="AH2091" s="277"/>
      <c r="AI2091" s="277"/>
    </row>
    <row r="2092" spans="16:35" s="185" customFormat="1">
      <c r="P2092" s="277"/>
      <c r="Q2092" s="277"/>
      <c r="R2092" s="277"/>
      <c r="S2092" s="291">
        <v>43638</v>
      </c>
      <c r="T2092" s="279">
        <v>1999</v>
      </c>
      <c r="U2092" s="277"/>
      <c r="V2092" s="277"/>
      <c r="W2092" s="277"/>
      <c r="X2092" s="277"/>
      <c r="Y2092" s="277"/>
      <c r="Z2092" s="277"/>
      <c r="AA2092" s="277"/>
      <c r="AB2092" s="277"/>
      <c r="AC2092" s="277"/>
      <c r="AD2092" s="277"/>
      <c r="AE2092" s="277"/>
      <c r="AF2092" s="277"/>
      <c r="AG2092" s="277"/>
      <c r="AH2092" s="277"/>
      <c r="AI2092" s="277"/>
    </row>
    <row r="2093" spans="16:35" s="185" customFormat="1">
      <c r="P2093" s="277"/>
      <c r="Q2093" s="277"/>
      <c r="R2093" s="277"/>
      <c r="S2093" s="291">
        <v>43639</v>
      </c>
      <c r="T2093" s="279">
        <v>2000</v>
      </c>
      <c r="U2093" s="277"/>
      <c r="V2093" s="277"/>
      <c r="W2093" s="277"/>
      <c r="X2093" s="277"/>
      <c r="Y2093" s="277"/>
      <c r="Z2093" s="277"/>
      <c r="AA2093" s="277"/>
      <c r="AB2093" s="277"/>
      <c r="AC2093" s="277"/>
      <c r="AD2093" s="277"/>
      <c r="AE2093" s="277"/>
      <c r="AF2093" s="277"/>
      <c r="AG2093" s="277"/>
      <c r="AH2093" s="277"/>
      <c r="AI2093" s="277"/>
    </row>
    <row r="2094" spans="16:35" s="185" customFormat="1">
      <c r="P2094" s="277"/>
      <c r="Q2094" s="277"/>
      <c r="R2094" s="277"/>
      <c r="S2094" s="291">
        <v>43640</v>
      </c>
      <c r="T2094" s="279">
        <v>2001</v>
      </c>
      <c r="U2094" s="277"/>
      <c r="V2094" s="277"/>
      <c r="W2094" s="277"/>
      <c r="X2094" s="277"/>
      <c r="Y2094" s="277"/>
      <c r="Z2094" s="277"/>
      <c r="AA2094" s="277"/>
      <c r="AB2094" s="277"/>
      <c r="AC2094" s="277"/>
      <c r="AD2094" s="277"/>
      <c r="AE2094" s="277"/>
      <c r="AF2094" s="277"/>
      <c r="AG2094" s="277"/>
      <c r="AH2094" s="277"/>
      <c r="AI2094" s="277"/>
    </row>
    <row r="2095" spans="16:35" s="185" customFormat="1">
      <c r="P2095" s="277"/>
      <c r="Q2095" s="277"/>
      <c r="R2095" s="277"/>
      <c r="S2095" s="291">
        <v>43641</v>
      </c>
      <c r="T2095" s="279">
        <v>2002</v>
      </c>
      <c r="U2095" s="277"/>
      <c r="V2095" s="277"/>
      <c r="W2095" s="277"/>
      <c r="X2095" s="277"/>
      <c r="Y2095" s="277"/>
      <c r="Z2095" s="277"/>
      <c r="AA2095" s="277"/>
      <c r="AB2095" s="277"/>
      <c r="AC2095" s="277"/>
      <c r="AD2095" s="277"/>
      <c r="AE2095" s="277"/>
      <c r="AF2095" s="277"/>
      <c r="AG2095" s="277"/>
      <c r="AH2095" s="277"/>
      <c r="AI2095" s="277"/>
    </row>
    <row r="2096" spans="16:35" s="185" customFormat="1">
      <c r="P2096" s="277"/>
      <c r="Q2096" s="277"/>
      <c r="R2096" s="277"/>
      <c r="S2096" s="291">
        <v>43642</v>
      </c>
      <c r="T2096" s="279">
        <v>2003</v>
      </c>
      <c r="U2096" s="277"/>
      <c r="V2096" s="277"/>
      <c r="W2096" s="277"/>
      <c r="X2096" s="277"/>
      <c r="Y2096" s="277"/>
      <c r="Z2096" s="277"/>
      <c r="AA2096" s="277"/>
      <c r="AB2096" s="277"/>
      <c r="AC2096" s="277"/>
      <c r="AD2096" s="277"/>
      <c r="AE2096" s="277"/>
      <c r="AF2096" s="277"/>
      <c r="AG2096" s="277"/>
      <c r="AH2096" s="277"/>
      <c r="AI2096" s="277"/>
    </row>
    <row r="2097" spans="16:35" s="185" customFormat="1">
      <c r="P2097" s="277"/>
      <c r="Q2097" s="277"/>
      <c r="R2097" s="277"/>
      <c r="S2097" s="291">
        <v>43643</v>
      </c>
      <c r="T2097" s="279">
        <v>2004</v>
      </c>
      <c r="U2097" s="277"/>
      <c r="V2097" s="277"/>
      <c r="W2097" s="277"/>
      <c r="X2097" s="277"/>
      <c r="Y2097" s="277"/>
      <c r="Z2097" s="277"/>
      <c r="AA2097" s="277"/>
      <c r="AB2097" s="277"/>
      <c r="AC2097" s="277"/>
      <c r="AD2097" s="277"/>
      <c r="AE2097" s="277"/>
      <c r="AF2097" s="277"/>
      <c r="AG2097" s="277"/>
      <c r="AH2097" s="277"/>
      <c r="AI2097" s="277"/>
    </row>
    <row r="2098" spans="16:35" s="185" customFormat="1">
      <c r="P2098" s="277"/>
      <c r="Q2098" s="277"/>
      <c r="R2098" s="277"/>
      <c r="S2098" s="291">
        <v>43644</v>
      </c>
      <c r="T2098" s="279">
        <v>2005</v>
      </c>
      <c r="U2098" s="277"/>
      <c r="V2098" s="277"/>
      <c r="W2098" s="277"/>
      <c r="X2098" s="277"/>
      <c r="Y2098" s="277"/>
      <c r="Z2098" s="277"/>
      <c r="AA2098" s="277"/>
      <c r="AB2098" s="277"/>
      <c r="AC2098" s="277"/>
      <c r="AD2098" s="277"/>
      <c r="AE2098" s="277"/>
      <c r="AF2098" s="277"/>
      <c r="AG2098" s="277"/>
      <c r="AH2098" s="277"/>
      <c r="AI2098" s="277"/>
    </row>
    <row r="2099" spans="16:35" s="185" customFormat="1">
      <c r="P2099" s="277"/>
      <c r="Q2099" s="277"/>
      <c r="R2099" s="277"/>
      <c r="S2099" s="291">
        <v>43645</v>
      </c>
      <c r="T2099" s="279">
        <v>2006</v>
      </c>
      <c r="U2099" s="277"/>
      <c r="V2099" s="277"/>
      <c r="W2099" s="277"/>
      <c r="X2099" s="277"/>
      <c r="Y2099" s="277"/>
      <c r="Z2099" s="277"/>
      <c r="AA2099" s="277"/>
      <c r="AB2099" s="277"/>
      <c r="AC2099" s="277"/>
      <c r="AD2099" s="277"/>
      <c r="AE2099" s="277"/>
      <c r="AF2099" s="277"/>
      <c r="AG2099" s="277"/>
      <c r="AH2099" s="277"/>
      <c r="AI2099" s="277"/>
    </row>
    <row r="2100" spans="16:35" s="185" customFormat="1">
      <c r="P2100" s="277"/>
      <c r="Q2100" s="277"/>
      <c r="R2100" s="277"/>
      <c r="S2100" s="291">
        <v>43646</v>
      </c>
      <c r="T2100" s="279">
        <v>2007</v>
      </c>
      <c r="U2100" s="277"/>
      <c r="V2100" s="277"/>
      <c r="W2100" s="277"/>
      <c r="X2100" s="277"/>
      <c r="Y2100" s="277"/>
      <c r="Z2100" s="277"/>
      <c r="AA2100" s="277"/>
      <c r="AB2100" s="277"/>
      <c r="AC2100" s="277"/>
      <c r="AD2100" s="277"/>
      <c r="AE2100" s="277"/>
      <c r="AF2100" s="277"/>
      <c r="AG2100" s="277"/>
      <c r="AH2100" s="277"/>
      <c r="AI2100" s="277"/>
    </row>
    <row r="2101" spans="16:35" s="185" customFormat="1">
      <c r="P2101" s="277"/>
      <c r="Q2101" s="277"/>
      <c r="R2101" s="277"/>
      <c r="S2101" s="291">
        <v>43647</v>
      </c>
      <c r="T2101" s="279">
        <v>2008</v>
      </c>
      <c r="U2101" s="277"/>
      <c r="V2101" s="277"/>
      <c r="W2101" s="277"/>
      <c r="X2101" s="277"/>
      <c r="Y2101" s="277"/>
      <c r="Z2101" s="277"/>
      <c r="AA2101" s="277"/>
      <c r="AB2101" s="277"/>
      <c r="AC2101" s="277"/>
      <c r="AD2101" s="277"/>
      <c r="AE2101" s="277"/>
      <c r="AF2101" s="277"/>
      <c r="AG2101" s="277"/>
      <c r="AH2101" s="277"/>
      <c r="AI2101" s="277"/>
    </row>
    <row r="2102" spans="16:35" s="185" customFormat="1">
      <c r="P2102" s="277"/>
      <c r="Q2102" s="277"/>
      <c r="R2102" s="277"/>
      <c r="S2102" s="291">
        <v>43648</v>
      </c>
      <c r="T2102" s="279">
        <v>2009</v>
      </c>
      <c r="U2102" s="277"/>
      <c r="V2102" s="277"/>
      <c r="W2102" s="277"/>
      <c r="X2102" s="277"/>
      <c r="Y2102" s="277"/>
      <c r="Z2102" s="277"/>
      <c r="AA2102" s="277"/>
      <c r="AB2102" s="277"/>
      <c r="AC2102" s="277"/>
      <c r="AD2102" s="277"/>
      <c r="AE2102" s="277"/>
      <c r="AF2102" s="277"/>
      <c r="AG2102" s="277"/>
      <c r="AH2102" s="277"/>
      <c r="AI2102" s="277"/>
    </row>
    <row r="2103" spans="16:35" s="185" customFormat="1">
      <c r="P2103" s="277"/>
      <c r="Q2103" s="277"/>
      <c r="R2103" s="277"/>
      <c r="S2103" s="291">
        <v>43649</v>
      </c>
      <c r="T2103" s="279">
        <v>2010</v>
      </c>
      <c r="U2103" s="277"/>
      <c r="V2103" s="277"/>
      <c r="W2103" s="277"/>
      <c r="X2103" s="277"/>
      <c r="Y2103" s="277"/>
      <c r="Z2103" s="277"/>
      <c r="AA2103" s="277"/>
      <c r="AB2103" s="277"/>
      <c r="AC2103" s="277"/>
      <c r="AD2103" s="277"/>
      <c r="AE2103" s="277"/>
      <c r="AF2103" s="277"/>
      <c r="AG2103" s="277"/>
      <c r="AH2103" s="277"/>
      <c r="AI2103" s="277"/>
    </row>
    <row r="2104" spans="16:35" s="185" customFormat="1">
      <c r="P2104" s="277"/>
      <c r="Q2104" s="277"/>
      <c r="R2104" s="277"/>
      <c r="S2104" s="291">
        <v>43650</v>
      </c>
      <c r="T2104" s="279">
        <v>2011</v>
      </c>
      <c r="U2104" s="277"/>
      <c r="V2104" s="277"/>
      <c r="W2104" s="277"/>
      <c r="X2104" s="277"/>
      <c r="Y2104" s="277"/>
      <c r="Z2104" s="277"/>
      <c r="AA2104" s="277"/>
      <c r="AB2104" s="277"/>
      <c r="AC2104" s="277"/>
      <c r="AD2104" s="277"/>
      <c r="AE2104" s="277"/>
      <c r="AF2104" s="277"/>
      <c r="AG2104" s="277"/>
      <c r="AH2104" s="277"/>
      <c r="AI2104" s="277"/>
    </row>
    <row r="2105" spans="16:35" s="185" customFormat="1">
      <c r="P2105" s="277"/>
      <c r="Q2105" s="277"/>
      <c r="R2105" s="277"/>
      <c r="S2105" s="291">
        <v>43651</v>
      </c>
      <c r="T2105" s="279">
        <v>2012</v>
      </c>
      <c r="U2105" s="277"/>
      <c r="V2105" s="277"/>
      <c r="W2105" s="277"/>
      <c r="X2105" s="277"/>
      <c r="Y2105" s="277"/>
      <c r="Z2105" s="277"/>
      <c r="AA2105" s="277"/>
      <c r="AB2105" s="277"/>
      <c r="AC2105" s="277"/>
      <c r="AD2105" s="277"/>
      <c r="AE2105" s="277"/>
      <c r="AF2105" s="277"/>
      <c r="AG2105" s="277"/>
      <c r="AH2105" s="277"/>
      <c r="AI2105" s="277"/>
    </row>
    <row r="2106" spans="16:35" s="185" customFormat="1">
      <c r="P2106" s="277"/>
      <c r="Q2106" s="277"/>
      <c r="R2106" s="277"/>
      <c r="S2106" s="291">
        <v>43652</v>
      </c>
      <c r="T2106" s="279">
        <v>2013</v>
      </c>
      <c r="U2106" s="277"/>
      <c r="V2106" s="277"/>
      <c r="W2106" s="277"/>
      <c r="X2106" s="277"/>
      <c r="Y2106" s="277"/>
      <c r="Z2106" s="277"/>
      <c r="AA2106" s="277"/>
      <c r="AB2106" s="277"/>
      <c r="AC2106" s="277"/>
      <c r="AD2106" s="277"/>
      <c r="AE2106" s="277"/>
      <c r="AF2106" s="277"/>
      <c r="AG2106" s="277"/>
      <c r="AH2106" s="277"/>
      <c r="AI2106" s="277"/>
    </row>
    <row r="2107" spans="16:35" s="185" customFormat="1">
      <c r="P2107" s="277"/>
      <c r="Q2107" s="277"/>
      <c r="R2107" s="277"/>
      <c r="S2107" s="291">
        <v>43653</v>
      </c>
      <c r="T2107" s="279">
        <v>2014</v>
      </c>
      <c r="U2107" s="277"/>
      <c r="V2107" s="277"/>
      <c r="W2107" s="277"/>
      <c r="X2107" s="277"/>
      <c r="Y2107" s="277"/>
      <c r="Z2107" s="277"/>
      <c r="AA2107" s="277"/>
      <c r="AB2107" s="277"/>
      <c r="AC2107" s="277"/>
      <c r="AD2107" s="277"/>
      <c r="AE2107" s="277"/>
      <c r="AF2107" s="277"/>
      <c r="AG2107" s="277"/>
      <c r="AH2107" s="277"/>
      <c r="AI2107" s="277"/>
    </row>
    <row r="2108" spans="16:35" s="185" customFormat="1">
      <c r="P2108" s="277"/>
      <c r="Q2108" s="277"/>
      <c r="R2108" s="277"/>
      <c r="S2108" s="291">
        <v>43654</v>
      </c>
      <c r="T2108" s="279">
        <v>2015</v>
      </c>
      <c r="U2108" s="277"/>
      <c r="V2108" s="277"/>
      <c r="W2108" s="277"/>
      <c r="X2108" s="277"/>
      <c r="Y2108" s="277"/>
      <c r="Z2108" s="277"/>
      <c r="AA2108" s="277"/>
      <c r="AB2108" s="277"/>
      <c r="AC2108" s="277"/>
      <c r="AD2108" s="277"/>
      <c r="AE2108" s="277"/>
      <c r="AF2108" s="277"/>
      <c r="AG2108" s="277"/>
      <c r="AH2108" s="277"/>
      <c r="AI2108" s="277"/>
    </row>
    <row r="2109" spans="16:35" s="185" customFormat="1">
      <c r="P2109" s="277"/>
      <c r="Q2109" s="277"/>
      <c r="R2109" s="277"/>
      <c r="S2109" s="291">
        <v>43655</v>
      </c>
      <c r="T2109" s="279">
        <v>2016</v>
      </c>
      <c r="U2109" s="277"/>
      <c r="V2109" s="277"/>
      <c r="W2109" s="277"/>
      <c r="X2109" s="277"/>
      <c r="Y2109" s="277"/>
      <c r="Z2109" s="277"/>
      <c r="AA2109" s="277"/>
      <c r="AB2109" s="277"/>
      <c r="AC2109" s="277"/>
      <c r="AD2109" s="277"/>
      <c r="AE2109" s="277"/>
      <c r="AF2109" s="277"/>
      <c r="AG2109" s="277"/>
      <c r="AH2109" s="277"/>
      <c r="AI2109" s="277"/>
    </row>
    <row r="2110" spans="16:35" s="185" customFormat="1">
      <c r="P2110" s="277"/>
      <c r="Q2110" s="277"/>
      <c r="R2110" s="277"/>
      <c r="S2110" s="291">
        <v>43656</v>
      </c>
      <c r="T2110" s="279">
        <v>2017</v>
      </c>
      <c r="U2110" s="277"/>
      <c r="V2110" s="277"/>
      <c r="W2110" s="277"/>
      <c r="X2110" s="277"/>
      <c r="Y2110" s="277"/>
      <c r="Z2110" s="277"/>
      <c r="AA2110" s="277"/>
      <c r="AB2110" s="277"/>
      <c r="AC2110" s="277"/>
      <c r="AD2110" s="277"/>
      <c r="AE2110" s="277"/>
      <c r="AF2110" s="277"/>
      <c r="AG2110" s="277"/>
      <c r="AH2110" s="277"/>
      <c r="AI2110" s="277"/>
    </row>
    <row r="2111" spans="16:35" s="185" customFormat="1">
      <c r="P2111" s="277"/>
      <c r="Q2111" s="277"/>
      <c r="R2111" s="277"/>
      <c r="S2111" s="291">
        <v>43657</v>
      </c>
      <c r="T2111" s="279">
        <v>2018</v>
      </c>
      <c r="U2111" s="277"/>
      <c r="V2111" s="277"/>
      <c r="W2111" s="277"/>
      <c r="X2111" s="277"/>
      <c r="Y2111" s="277"/>
      <c r="Z2111" s="277"/>
      <c r="AA2111" s="277"/>
      <c r="AB2111" s="277"/>
      <c r="AC2111" s="277"/>
      <c r="AD2111" s="277"/>
      <c r="AE2111" s="277"/>
      <c r="AF2111" s="277"/>
      <c r="AG2111" s="277"/>
      <c r="AH2111" s="277"/>
      <c r="AI2111" s="277"/>
    </row>
    <row r="2112" spans="16:35" s="185" customFormat="1">
      <c r="P2112" s="277"/>
      <c r="Q2112" s="277"/>
      <c r="R2112" s="277"/>
      <c r="S2112" s="291">
        <v>43658</v>
      </c>
      <c r="T2112" s="279">
        <v>2019</v>
      </c>
      <c r="U2112" s="277"/>
      <c r="V2112" s="277"/>
      <c r="W2112" s="277"/>
      <c r="X2112" s="277"/>
      <c r="Y2112" s="277"/>
      <c r="Z2112" s="277"/>
      <c r="AA2112" s="277"/>
      <c r="AB2112" s="277"/>
      <c r="AC2112" s="277"/>
      <c r="AD2112" s="277"/>
      <c r="AE2112" s="277"/>
      <c r="AF2112" s="277"/>
      <c r="AG2112" s="277"/>
      <c r="AH2112" s="277"/>
      <c r="AI2112" s="277"/>
    </row>
    <row r="2113" spans="16:35" s="185" customFormat="1">
      <c r="P2113" s="277"/>
      <c r="Q2113" s="277"/>
      <c r="R2113" s="277"/>
      <c r="S2113" s="291">
        <v>43659</v>
      </c>
      <c r="T2113" s="279">
        <v>2020</v>
      </c>
      <c r="U2113" s="277"/>
      <c r="V2113" s="277"/>
      <c r="W2113" s="277"/>
      <c r="X2113" s="277"/>
      <c r="Y2113" s="277"/>
      <c r="Z2113" s="277"/>
      <c r="AA2113" s="277"/>
      <c r="AB2113" s="277"/>
      <c r="AC2113" s="277"/>
      <c r="AD2113" s="277"/>
      <c r="AE2113" s="277"/>
      <c r="AF2113" s="277"/>
      <c r="AG2113" s="277"/>
      <c r="AH2113" s="277"/>
      <c r="AI2113" s="277"/>
    </row>
    <row r="2114" spans="16:35" s="185" customFormat="1">
      <c r="P2114" s="277"/>
      <c r="Q2114" s="277"/>
      <c r="R2114" s="277"/>
      <c r="S2114" s="291">
        <v>43660</v>
      </c>
      <c r="T2114" s="279">
        <v>2021</v>
      </c>
      <c r="U2114" s="277"/>
      <c r="V2114" s="277"/>
      <c r="W2114" s="277"/>
      <c r="X2114" s="277"/>
      <c r="Y2114" s="277"/>
      <c r="Z2114" s="277"/>
      <c r="AA2114" s="277"/>
      <c r="AB2114" s="277"/>
      <c r="AC2114" s="277"/>
      <c r="AD2114" s="277"/>
      <c r="AE2114" s="277"/>
      <c r="AF2114" s="277"/>
      <c r="AG2114" s="277"/>
      <c r="AH2114" s="277"/>
      <c r="AI2114" s="277"/>
    </row>
    <row r="2115" spans="16:35" s="185" customFormat="1">
      <c r="P2115" s="277"/>
      <c r="Q2115" s="277"/>
      <c r="R2115" s="277"/>
      <c r="S2115" s="291">
        <v>43661</v>
      </c>
      <c r="T2115" s="279">
        <v>2022</v>
      </c>
      <c r="U2115" s="277"/>
      <c r="V2115" s="277"/>
      <c r="W2115" s="277"/>
      <c r="X2115" s="277"/>
      <c r="Y2115" s="277"/>
      <c r="Z2115" s="277"/>
      <c r="AA2115" s="277"/>
      <c r="AB2115" s="277"/>
      <c r="AC2115" s="277"/>
      <c r="AD2115" s="277"/>
      <c r="AE2115" s="277"/>
      <c r="AF2115" s="277"/>
      <c r="AG2115" s="277"/>
      <c r="AH2115" s="277"/>
      <c r="AI2115" s="277"/>
    </row>
    <row r="2116" spans="16:35" s="185" customFormat="1">
      <c r="P2116" s="277"/>
      <c r="Q2116" s="277"/>
      <c r="R2116" s="277"/>
      <c r="S2116" s="291">
        <v>43662</v>
      </c>
      <c r="T2116" s="279">
        <v>2023</v>
      </c>
      <c r="U2116" s="277"/>
      <c r="V2116" s="277"/>
      <c r="W2116" s="277"/>
      <c r="X2116" s="277"/>
      <c r="Y2116" s="277"/>
      <c r="Z2116" s="277"/>
      <c r="AA2116" s="277"/>
      <c r="AB2116" s="277"/>
      <c r="AC2116" s="277"/>
      <c r="AD2116" s="277"/>
      <c r="AE2116" s="277"/>
      <c r="AF2116" s="277"/>
      <c r="AG2116" s="277"/>
      <c r="AH2116" s="277"/>
      <c r="AI2116" s="277"/>
    </row>
    <row r="2117" spans="16:35" s="185" customFormat="1">
      <c r="P2117" s="277"/>
      <c r="Q2117" s="277"/>
      <c r="R2117" s="277"/>
      <c r="S2117" s="291">
        <v>43663</v>
      </c>
      <c r="T2117" s="279">
        <v>2024</v>
      </c>
      <c r="U2117" s="277"/>
      <c r="V2117" s="277"/>
      <c r="W2117" s="277"/>
      <c r="X2117" s="277"/>
      <c r="Y2117" s="277"/>
      <c r="Z2117" s="277"/>
      <c r="AA2117" s="277"/>
      <c r="AB2117" s="277"/>
      <c r="AC2117" s="277"/>
      <c r="AD2117" s="277"/>
      <c r="AE2117" s="277"/>
      <c r="AF2117" s="277"/>
      <c r="AG2117" s="277"/>
      <c r="AH2117" s="277"/>
      <c r="AI2117" s="277"/>
    </row>
    <row r="2118" spans="16:35" s="185" customFormat="1">
      <c r="P2118" s="277"/>
      <c r="Q2118" s="277"/>
      <c r="R2118" s="277"/>
      <c r="S2118" s="291">
        <v>43664</v>
      </c>
      <c r="T2118" s="279">
        <v>2025</v>
      </c>
      <c r="U2118" s="277"/>
      <c r="V2118" s="277"/>
      <c r="W2118" s="277"/>
      <c r="X2118" s="277"/>
      <c r="Y2118" s="277"/>
      <c r="Z2118" s="277"/>
      <c r="AA2118" s="277"/>
      <c r="AB2118" s="277"/>
      <c r="AC2118" s="277"/>
      <c r="AD2118" s="277"/>
      <c r="AE2118" s="277"/>
      <c r="AF2118" s="277"/>
      <c r="AG2118" s="277"/>
      <c r="AH2118" s="277"/>
      <c r="AI2118" s="277"/>
    </row>
    <row r="2119" spans="16:35" s="185" customFormat="1">
      <c r="P2119" s="277"/>
      <c r="Q2119" s="277"/>
      <c r="R2119" s="277"/>
      <c r="S2119" s="291">
        <v>43665</v>
      </c>
      <c r="T2119" s="279">
        <v>2026</v>
      </c>
      <c r="U2119" s="277"/>
      <c r="V2119" s="277"/>
      <c r="W2119" s="277"/>
      <c r="X2119" s="277"/>
      <c r="Y2119" s="277"/>
      <c r="Z2119" s="277"/>
      <c r="AA2119" s="277"/>
      <c r="AB2119" s="277"/>
      <c r="AC2119" s="277"/>
      <c r="AD2119" s="277"/>
      <c r="AE2119" s="277"/>
      <c r="AF2119" s="277"/>
      <c r="AG2119" s="277"/>
      <c r="AH2119" s="277"/>
      <c r="AI2119" s="277"/>
    </row>
    <row r="2120" spans="16:35" s="185" customFormat="1">
      <c r="P2120" s="277"/>
      <c r="Q2120" s="277"/>
      <c r="R2120" s="277"/>
      <c r="S2120" s="291">
        <v>43666</v>
      </c>
      <c r="T2120" s="279">
        <v>2027</v>
      </c>
      <c r="U2120" s="277"/>
      <c r="V2120" s="277"/>
      <c r="W2120" s="277"/>
      <c r="X2120" s="277"/>
      <c r="Y2120" s="277"/>
      <c r="Z2120" s="277"/>
      <c r="AA2120" s="277"/>
      <c r="AB2120" s="277"/>
      <c r="AC2120" s="277"/>
      <c r="AD2120" s="277"/>
      <c r="AE2120" s="277"/>
      <c r="AF2120" s="277"/>
      <c r="AG2120" s="277"/>
      <c r="AH2120" s="277"/>
      <c r="AI2120" s="277"/>
    </row>
    <row r="2121" spans="16:35" s="185" customFormat="1">
      <c r="P2121" s="277"/>
      <c r="Q2121" s="277"/>
      <c r="R2121" s="277"/>
      <c r="S2121" s="291">
        <v>43667</v>
      </c>
      <c r="T2121" s="279">
        <v>2028</v>
      </c>
      <c r="U2121" s="277"/>
      <c r="V2121" s="277"/>
      <c r="W2121" s="277"/>
      <c r="X2121" s="277"/>
      <c r="Y2121" s="277"/>
      <c r="Z2121" s="277"/>
      <c r="AA2121" s="277"/>
      <c r="AB2121" s="277"/>
      <c r="AC2121" s="277"/>
      <c r="AD2121" s="277"/>
      <c r="AE2121" s="277"/>
      <c r="AF2121" s="277"/>
      <c r="AG2121" s="277"/>
      <c r="AH2121" s="277"/>
      <c r="AI2121" s="277"/>
    </row>
    <row r="2122" spans="16:35" s="185" customFormat="1">
      <c r="P2122" s="277"/>
      <c r="Q2122" s="277"/>
      <c r="R2122" s="277"/>
      <c r="S2122" s="291">
        <v>43668</v>
      </c>
      <c r="T2122" s="279">
        <v>2029</v>
      </c>
      <c r="U2122" s="277"/>
      <c r="V2122" s="277"/>
      <c r="W2122" s="277"/>
      <c r="X2122" s="277"/>
      <c r="Y2122" s="277"/>
      <c r="Z2122" s="277"/>
      <c r="AA2122" s="277"/>
      <c r="AB2122" s="277"/>
      <c r="AC2122" s="277"/>
      <c r="AD2122" s="277"/>
      <c r="AE2122" s="277"/>
      <c r="AF2122" s="277"/>
      <c r="AG2122" s="277"/>
      <c r="AH2122" s="277"/>
      <c r="AI2122" s="277"/>
    </row>
    <row r="2123" spans="16:35" s="185" customFormat="1">
      <c r="P2123" s="277"/>
      <c r="Q2123" s="277"/>
      <c r="R2123" s="277"/>
      <c r="S2123" s="291">
        <v>43669</v>
      </c>
      <c r="T2123" s="279">
        <v>2030</v>
      </c>
      <c r="U2123" s="277"/>
      <c r="V2123" s="277"/>
      <c r="W2123" s="277"/>
      <c r="X2123" s="277"/>
      <c r="Y2123" s="277"/>
      <c r="Z2123" s="277"/>
      <c r="AA2123" s="277"/>
      <c r="AB2123" s="277"/>
      <c r="AC2123" s="277"/>
      <c r="AD2123" s="277"/>
      <c r="AE2123" s="277"/>
      <c r="AF2123" s="277"/>
      <c r="AG2123" s="277"/>
      <c r="AH2123" s="277"/>
      <c r="AI2123" s="277"/>
    </row>
    <row r="2124" spans="16:35" s="185" customFormat="1">
      <c r="P2124" s="277"/>
      <c r="Q2124" s="277"/>
      <c r="R2124" s="277"/>
      <c r="S2124" s="291">
        <v>43670</v>
      </c>
      <c r="T2124" s="279">
        <v>2031</v>
      </c>
      <c r="U2124" s="277"/>
      <c r="V2124" s="277"/>
      <c r="W2124" s="277"/>
      <c r="X2124" s="277"/>
      <c r="Y2124" s="277"/>
      <c r="Z2124" s="277"/>
      <c r="AA2124" s="277"/>
      <c r="AB2124" s="277"/>
      <c r="AC2124" s="277"/>
      <c r="AD2124" s="277"/>
      <c r="AE2124" s="277"/>
      <c r="AF2124" s="277"/>
      <c r="AG2124" s="277"/>
      <c r="AH2124" s="277"/>
      <c r="AI2124" s="277"/>
    </row>
    <row r="2125" spans="16:35" s="185" customFormat="1">
      <c r="P2125" s="277"/>
      <c r="Q2125" s="277"/>
      <c r="R2125" s="277"/>
      <c r="S2125" s="291">
        <v>43671</v>
      </c>
      <c r="T2125" s="279">
        <v>2032</v>
      </c>
      <c r="U2125" s="277"/>
      <c r="V2125" s="277"/>
      <c r="W2125" s="277"/>
      <c r="X2125" s="277"/>
      <c r="Y2125" s="277"/>
      <c r="Z2125" s="277"/>
      <c r="AA2125" s="277"/>
      <c r="AB2125" s="277"/>
      <c r="AC2125" s="277"/>
      <c r="AD2125" s="277"/>
      <c r="AE2125" s="277"/>
      <c r="AF2125" s="277"/>
      <c r="AG2125" s="277"/>
      <c r="AH2125" s="277"/>
      <c r="AI2125" s="277"/>
    </row>
    <row r="2126" spans="16:35" s="185" customFormat="1">
      <c r="P2126" s="277"/>
      <c r="Q2126" s="277"/>
      <c r="R2126" s="277"/>
      <c r="S2126" s="291">
        <v>43672</v>
      </c>
      <c r="T2126" s="279">
        <v>2033</v>
      </c>
      <c r="U2126" s="277"/>
      <c r="V2126" s="277"/>
      <c r="W2126" s="277"/>
      <c r="X2126" s="277"/>
      <c r="Y2126" s="277"/>
      <c r="Z2126" s="277"/>
      <c r="AA2126" s="277"/>
      <c r="AB2126" s="277"/>
      <c r="AC2126" s="277"/>
      <c r="AD2126" s="277"/>
      <c r="AE2126" s="277"/>
      <c r="AF2126" s="277"/>
      <c r="AG2126" s="277"/>
      <c r="AH2126" s="277"/>
      <c r="AI2126" s="277"/>
    </row>
    <row r="2127" spans="16:35" s="185" customFormat="1">
      <c r="P2127" s="277"/>
      <c r="Q2127" s="277"/>
      <c r="R2127" s="277"/>
      <c r="S2127" s="291">
        <v>43673</v>
      </c>
      <c r="T2127" s="279">
        <v>2034</v>
      </c>
      <c r="U2127" s="277"/>
      <c r="V2127" s="277"/>
      <c r="W2127" s="277"/>
      <c r="X2127" s="277"/>
      <c r="Y2127" s="277"/>
      <c r="Z2127" s="277"/>
      <c r="AA2127" s="277"/>
      <c r="AB2127" s="277"/>
      <c r="AC2127" s="277"/>
      <c r="AD2127" s="277"/>
      <c r="AE2127" s="277"/>
      <c r="AF2127" s="277"/>
      <c r="AG2127" s="277"/>
      <c r="AH2127" s="277"/>
      <c r="AI2127" s="277"/>
    </row>
    <row r="2128" spans="16:35" s="185" customFormat="1">
      <c r="P2128" s="277"/>
      <c r="Q2128" s="277"/>
      <c r="R2128" s="277"/>
      <c r="S2128" s="291">
        <v>43674</v>
      </c>
      <c r="T2128" s="279">
        <v>2035</v>
      </c>
      <c r="U2128" s="277"/>
      <c r="V2128" s="277"/>
      <c r="W2128" s="277"/>
      <c r="X2128" s="277"/>
      <c r="Y2128" s="277"/>
      <c r="Z2128" s="277"/>
      <c r="AA2128" s="277"/>
      <c r="AB2128" s="277"/>
      <c r="AC2128" s="277"/>
      <c r="AD2128" s="277"/>
      <c r="AE2128" s="277"/>
      <c r="AF2128" s="277"/>
      <c r="AG2128" s="277"/>
      <c r="AH2128" s="277"/>
      <c r="AI2128" s="277"/>
    </row>
    <row r="2129" spans="16:35" s="185" customFormat="1">
      <c r="P2129" s="277"/>
      <c r="Q2129" s="277"/>
      <c r="R2129" s="277"/>
      <c r="S2129" s="291">
        <v>43675</v>
      </c>
      <c r="T2129" s="279">
        <v>2036</v>
      </c>
      <c r="U2129" s="277"/>
      <c r="V2129" s="277"/>
      <c r="W2129" s="277"/>
      <c r="X2129" s="277"/>
      <c r="Y2129" s="277"/>
      <c r="Z2129" s="277"/>
      <c r="AA2129" s="277"/>
      <c r="AB2129" s="277"/>
      <c r="AC2129" s="277"/>
      <c r="AD2129" s="277"/>
      <c r="AE2129" s="277"/>
      <c r="AF2129" s="277"/>
      <c r="AG2129" s="277"/>
      <c r="AH2129" s="277"/>
      <c r="AI2129" s="277"/>
    </row>
    <row r="2130" spans="16:35" s="185" customFormat="1">
      <c r="P2130" s="277"/>
      <c r="Q2130" s="277"/>
      <c r="R2130" s="277"/>
      <c r="S2130" s="291">
        <v>43676</v>
      </c>
      <c r="T2130" s="279">
        <v>2037</v>
      </c>
      <c r="U2130" s="277"/>
      <c r="V2130" s="277"/>
      <c r="W2130" s="277"/>
      <c r="X2130" s="277"/>
      <c r="Y2130" s="277"/>
      <c r="Z2130" s="277"/>
      <c r="AA2130" s="277"/>
      <c r="AB2130" s="277"/>
      <c r="AC2130" s="277"/>
      <c r="AD2130" s="277"/>
      <c r="AE2130" s="277"/>
      <c r="AF2130" s="277"/>
      <c r="AG2130" s="277"/>
      <c r="AH2130" s="277"/>
      <c r="AI2130" s="277"/>
    </row>
    <row r="2131" spans="16:35" s="185" customFormat="1">
      <c r="P2131" s="277"/>
      <c r="Q2131" s="277"/>
      <c r="R2131" s="277"/>
      <c r="S2131" s="291">
        <v>43677</v>
      </c>
      <c r="T2131" s="279">
        <v>2038</v>
      </c>
      <c r="U2131" s="277"/>
      <c r="V2131" s="277"/>
      <c r="W2131" s="277"/>
      <c r="X2131" s="277"/>
      <c r="Y2131" s="277"/>
      <c r="Z2131" s="277"/>
      <c r="AA2131" s="277"/>
      <c r="AB2131" s="277"/>
      <c r="AC2131" s="277"/>
      <c r="AD2131" s="277"/>
      <c r="AE2131" s="277"/>
      <c r="AF2131" s="277"/>
      <c r="AG2131" s="277"/>
      <c r="AH2131" s="277"/>
      <c r="AI2131" s="277"/>
    </row>
    <row r="2132" spans="16:35" s="185" customFormat="1">
      <c r="P2132" s="277"/>
      <c r="Q2132" s="277"/>
      <c r="R2132" s="277"/>
      <c r="S2132" s="291">
        <v>43678</v>
      </c>
      <c r="T2132" s="279">
        <v>2039</v>
      </c>
      <c r="U2132" s="277"/>
      <c r="V2132" s="277"/>
      <c r="W2132" s="277"/>
      <c r="X2132" s="277"/>
      <c r="Y2132" s="277"/>
      <c r="Z2132" s="277"/>
      <c r="AA2132" s="277"/>
      <c r="AB2132" s="277"/>
      <c r="AC2132" s="277"/>
      <c r="AD2132" s="277"/>
      <c r="AE2132" s="277"/>
      <c r="AF2132" s="277"/>
      <c r="AG2132" s="277"/>
      <c r="AH2132" s="277"/>
      <c r="AI2132" s="277"/>
    </row>
    <row r="2133" spans="16:35" s="185" customFormat="1">
      <c r="P2133" s="277"/>
      <c r="Q2133" s="277"/>
      <c r="R2133" s="277"/>
      <c r="S2133" s="291">
        <v>43679</v>
      </c>
      <c r="T2133" s="279">
        <v>2040</v>
      </c>
      <c r="U2133" s="277"/>
      <c r="V2133" s="277"/>
      <c r="W2133" s="277"/>
      <c r="X2133" s="277"/>
      <c r="Y2133" s="277"/>
      <c r="Z2133" s="277"/>
      <c r="AA2133" s="277"/>
      <c r="AB2133" s="277"/>
      <c r="AC2133" s="277"/>
      <c r="AD2133" s="277"/>
      <c r="AE2133" s="277"/>
      <c r="AF2133" s="277"/>
      <c r="AG2133" s="277"/>
      <c r="AH2133" s="277"/>
      <c r="AI2133" s="277"/>
    </row>
    <row r="2134" spans="16:35" s="185" customFormat="1">
      <c r="P2134" s="277"/>
      <c r="Q2134" s="277"/>
      <c r="R2134" s="277"/>
      <c r="S2134" s="291">
        <v>43680</v>
      </c>
      <c r="T2134" s="279">
        <v>2041</v>
      </c>
      <c r="U2134" s="277"/>
      <c r="V2134" s="277"/>
      <c r="W2134" s="277"/>
      <c r="X2134" s="277"/>
      <c r="Y2134" s="277"/>
      <c r="Z2134" s="277"/>
      <c r="AA2134" s="277"/>
      <c r="AB2134" s="277"/>
      <c r="AC2134" s="277"/>
      <c r="AD2134" s="277"/>
      <c r="AE2134" s="277"/>
      <c r="AF2134" s="277"/>
      <c r="AG2134" s="277"/>
      <c r="AH2134" s="277"/>
      <c r="AI2134" s="277"/>
    </row>
    <row r="2135" spans="16:35" s="185" customFormat="1">
      <c r="P2135" s="277"/>
      <c r="Q2135" s="277"/>
      <c r="R2135" s="277"/>
      <c r="S2135" s="291">
        <v>43681</v>
      </c>
      <c r="T2135" s="279">
        <v>2042</v>
      </c>
      <c r="U2135" s="277"/>
      <c r="V2135" s="277"/>
      <c r="W2135" s="277"/>
      <c r="X2135" s="277"/>
      <c r="Y2135" s="277"/>
      <c r="Z2135" s="277"/>
      <c r="AA2135" s="277"/>
      <c r="AB2135" s="277"/>
      <c r="AC2135" s="277"/>
      <c r="AD2135" s="277"/>
      <c r="AE2135" s="277"/>
      <c r="AF2135" s="277"/>
      <c r="AG2135" s="277"/>
      <c r="AH2135" s="277"/>
      <c r="AI2135" s="277"/>
    </row>
    <row r="2136" spans="16:35" s="185" customFormat="1">
      <c r="P2136" s="277"/>
      <c r="Q2136" s="277"/>
      <c r="R2136" s="277"/>
      <c r="S2136" s="291">
        <v>43682</v>
      </c>
      <c r="T2136" s="279">
        <v>2043</v>
      </c>
      <c r="U2136" s="277"/>
      <c r="V2136" s="277"/>
      <c r="W2136" s="277"/>
      <c r="X2136" s="277"/>
      <c r="Y2136" s="277"/>
      <c r="Z2136" s="277"/>
      <c r="AA2136" s="277"/>
      <c r="AB2136" s="277"/>
      <c r="AC2136" s="277"/>
      <c r="AD2136" s="277"/>
      <c r="AE2136" s="277"/>
      <c r="AF2136" s="277"/>
      <c r="AG2136" s="277"/>
      <c r="AH2136" s="277"/>
      <c r="AI2136" s="277"/>
    </row>
    <row r="2137" spans="16:35" s="185" customFormat="1">
      <c r="P2137" s="277"/>
      <c r="Q2137" s="277"/>
      <c r="R2137" s="277"/>
      <c r="S2137" s="291">
        <v>43683</v>
      </c>
      <c r="T2137" s="279">
        <v>2044</v>
      </c>
      <c r="U2137" s="277"/>
      <c r="V2137" s="277"/>
      <c r="W2137" s="277"/>
      <c r="X2137" s="277"/>
      <c r="Y2137" s="277"/>
      <c r="Z2137" s="277"/>
      <c r="AA2137" s="277"/>
      <c r="AB2137" s="277"/>
      <c r="AC2137" s="277"/>
      <c r="AD2137" s="277"/>
      <c r="AE2137" s="277"/>
      <c r="AF2137" s="277"/>
      <c r="AG2137" s="277"/>
      <c r="AH2137" s="277"/>
      <c r="AI2137" s="277"/>
    </row>
    <row r="2138" spans="16:35" s="185" customFormat="1">
      <c r="P2138" s="277"/>
      <c r="Q2138" s="277"/>
      <c r="R2138" s="277"/>
      <c r="S2138" s="291">
        <v>43684</v>
      </c>
      <c r="T2138" s="279">
        <v>2045</v>
      </c>
      <c r="U2138" s="277"/>
      <c r="V2138" s="277"/>
      <c r="W2138" s="277"/>
      <c r="X2138" s="277"/>
      <c r="Y2138" s="277"/>
      <c r="Z2138" s="277"/>
      <c r="AA2138" s="277"/>
      <c r="AB2138" s="277"/>
      <c r="AC2138" s="277"/>
      <c r="AD2138" s="277"/>
      <c r="AE2138" s="277"/>
      <c r="AF2138" s="277"/>
      <c r="AG2138" s="277"/>
      <c r="AH2138" s="277"/>
      <c r="AI2138" s="277"/>
    </row>
    <row r="2139" spans="16:35" s="185" customFormat="1">
      <c r="P2139" s="277"/>
      <c r="Q2139" s="277"/>
      <c r="R2139" s="277"/>
      <c r="S2139" s="291">
        <v>43685</v>
      </c>
      <c r="T2139" s="279">
        <v>2046</v>
      </c>
      <c r="U2139" s="277"/>
      <c r="V2139" s="277"/>
      <c r="W2139" s="277"/>
      <c r="X2139" s="277"/>
      <c r="Y2139" s="277"/>
      <c r="Z2139" s="277"/>
      <c r="AA2139" s="277"/>
      <c r="AB2139" s="277"/>
      <c r="AC2139" s="277"/>
      <c r="AD2139" s="277"/>
      <c r="AE2139" s="277"/>
      <c r="AF2139" s="277"/>
      <c r="AG2139" s="277"/>
      <c r="AH2139" s="277"/>
      <c r="AI2139" s="277"/>
    </row>
    <row r="2140" spans="16:35" s="185" customFormat="1">
      <c r="P2140" s="277"/>
      <c r="Q2140" s="277"/>
      <c r="R2140" s="277"/>
      <c r="S2140" s="291">
        <v>43686</v>
      </c>
      <c r="T2140" s="279">
        <v>2047</v>
      </c>
      <c r="U2140" s="277"/>
      <c r="V2140" s="277"/>
      <c r="W2140" s="277"/>
      <c r="X2140" s="277"/>
      <c r="Y2140" s="277"/>
      <c r="Z2140" s="277"/>
      <c r="AA2140" s="277"/>
      <c r="AB2140" s="277"/>
      <c r="AC2140" s="277"/>
      <c r="AD2140" s="277"/>
      <c r="AE2140" s="277"/>
      <c r="AF2140" s="277"/>
      <c r="AG2140" s="277"/>
      <c r="AH2140" s="277"/>
      <c r="AI2140" s="277"/>
    </row>
    <row r="2141" spans="16:35" s="185" customFormat="1">
      <c r="P2141" s="277"/>
      <c r="Q2141" s="277"/>
      <c r="R2141" s="277"/>
      <c r="S2141" s="291">
        <v>43687</v>
      </c>
      <c r="T2141" s="279">
        <v>2048</v>
      </c>
      <c r="U2141" s="277"/>
      <c r="V2141" s="277"/>
      <c r="W2141" s="277"/>
      <c r="X2141" s="277"/>
      <c r="Y2141" s="277"/>
      <c r="Z2141" s="277"/>
      <c r="AA2141" s="277"/>
      <c r="AB2141" s="277"/>
      <c r="AC2141" s="277"/>
      <c r="AD2141" s="277"/>
      <c r="AE2141" s="277"/>
      <c r="AF2141" s="277"/>
      <c r="AG2141" s="277"/>
      <c r="AH2141" s="277"/>
      <c r="AI2141" s="277"/>
    </row>
    <row r="2142" spans="16:35" s="185" customFormat="1">
      <c r="P2142" s="277"/>
      <c r="Q2142" s="277"/>
      <c r="R2142" s="277"/>
      <c r="S2142" s="291">
        <v>43688</v>
      </c>
      <c r="T2142" s="279">
        <v>2049</v>
      </c>
      <c r="U2142" s="277"/>
      <c r="V2142" s="277"/>
      <c r="W2142" s="277"/>
      <c r="X2142" s="277"/>
      <c r="Y2142" s="277"/>
      <c r="Z2142" s="277"/>
      <c r="AA2142" s="277"/>
      <c r="AB2142" s="277"/>
      <c r="AC2142" s="277"/>
      <c r="AD2142" s="277"/>
      <c r="AE2142" s="277"/>
      <c r="AF2142" s="277"/>
      <c r="AG2142" s="277"/>
      <c r="AH2142" s="277"/>
      <c r="AI2142" s="277"/>
    </row>
    <row r="2143" spans="16:35" s="185" customFormat="1">
      <c r="P2143" s="277"/>
      <c r="Q2143" s="277"/>
      <c r="R2143" s="277"/>
      <c r="S2143" s="291">
        <v>43689</v>
      </c>
      <c r="T2143" s="279">
        <v>2050</v>
      </c>
      <c r="U2143" s="277"/>
      <c r="V2143" s="277"/>
      <c r="W2143" s="277"/>
      <c r="X2143" s="277"/>
      <c r="Y2143" s="277"/>
      <c r="Z2143" s="277"/>
      <c r="AA2143" s="277"/>
      <c r="AB2143" s="277"/>
      <c r="AC2143" s="277"/>
      <c r="AD2143" s="277"/>
      <c r="AE2143" s="277"/>
      <c r="AF2143" s="277"/>
      <c r="AG2143" s="277"/>
      <c r="AH2143" s="277"/>
      <c r="AI2143" s="277"/>
    </row>
    <row r="2144" spans="16:35" s="185" customFormat="1">
      <c r="P2144" s="277"/>
      <c r="Q2144" s="277"/>
      <c r="R2144" s="277"/>
      <c r="S2144" s="291">
        <v>43690</v>
      </c>
      <c r="T2144" s="279">
        <v>2051</v>
      </c>
      <c r="U2144" s="277"/>
      <c r="V2144" s="277"/>
      <c r="W2144" s="277"/>
      <c r="X2144" s="277"/>
      <c r="Y2144" s="277"/>
      <c r="Z2144" s="277"/>
      <c r="AA2144" s="277"/>
      <c r="AB2144" s="277"/>
      <c r="AC2144" s="277"/>
      <c r="AD2144" s="277"/>
      <c r="AE2144" s="277"/>
      <c r="AF2144" s="277"/>
      <c r="AG2144" s="277"/>
      <c r="AH2144" s="277"/>
      <c r="AI2144" s="277"/>
    </row>
    <row r="2145" spans="16:35" s="185" customFormat="1">
      <c r="P2145" s="277"/>
      <c r="Q2145" s="277"/>
      <c r="R2145" s="277"/>
      <c r="S2145" s="291">
        <v>43691</v>
      </c>
      <c r="T2145" s="279">
        <v>2052</v>
      </c>
      <c r="U2145" s="277"/>
      <c r="V2145" s="277"/>
      <c r="W2145" s="277"/>
      <c r="X2145" s="277"/>
      <c r="Y2145" s="277"/>
      <c r="Z2145" s="277"/>
      <c r="AA2145" s="277"/>
      <c r="AB2145" s="277"/>
      <c r="AC2145" s="277"/>
      <c r="AD2145" s="277"/>
      <c r="AE2145" s="277"/>
      <c r="AF2145" s="277"/>
      <c r="AG2145" s="277"/>
      <c r="AH2145" s="277"/>
      <c r="AI2145" s="277"/>
    </row>
    <row r="2146" spans="16:35" s="185" customFormat="1">
      <c r="P2146" s="277"/>
      <c r="Q2146" s="277"/>
      <c r="R2146" s="277"/>
      <c r="S2146" s="291">
        <v>43692</v>
      </c>
      <c r="T2146" s="279">
        <v>2053</v>
      </c>
      <c r="U2146" s="277"/>
      <c r="V2146" s="277"/>
      <c r="W2146" s="277"/>
      <c r="X2146" s="277"/>
      <c r="Y2146" s="277"/>
      <c r="Z2146" s="277"/>
      <c r="AA2146" s="277"/>
      <c r="AB2146" s="277"/>
      <c r="AC2146" s="277"/>
      <c r="AD2146" s="277"/>
      <c r="AE2146" s="277"/>
      <c r="AF2146" s="277"/>
      <c r="AG2146" s="277"/>
      <c r="AH2146" s="277"/>
      <c r="AI2146" s="277"/>
    </row>
    <row r="2147" spans="16:35" s="185" customFormat="1">
      <c r="P2147" s="277"/>
      <c r="Q2147" s="277"/>
      <c r="R2147" s="277"/>
      <c r="S2147" s="291">
        <v>43693</v>
      </c>
      <c r="T2147" s="279">
        <v>2054</v>
      </c>
      <c r="U2147" s="277"/>
      <c r="V2147" s="277"/>
      <c r="W2147" s="277"/>
      <c r="X2147" s="277"/>
      <c r="Y2147" s="277"/>
      <c r="Z2147" s="277"/>
      <c r="AA2147" s="277"/>
      <c r="AB2147" s="277"/>
      <c r="AC2147" s="277"/>
      <c r="AD2147" s="277"/>
      <c r="AE2147" s="277"/>
      <c r="AF2147" s="277"/>
      <c r="AG2147" s="277"/>
      <c r="AH2147" s="277"/>
      <c r="AI2147" s="277"/>
    </row>
    <row r="2148" spans="16:35" s="185" customFormat="1">
      <c r="P2148" s="277"/>
      <c r="Q2148" s="277"/>
      <c r="R2148" s="277"/>
      <c r="S2148" s="291">
        <v>43694</v>
      </c>
      <c r="T2148" s="279">
        <v>2055</v>
      </c>
      <c r="U2148" s="277"/>
      <c r="V2148" s="277"/>
      <c r="W2148" s="277"/>
      <c r="X2148" s="277"/>
      <c r="Y2148" s="277"/>
      <c r="Z2148" s="277"/>
      <c r="AA2148" s="277"/>
      <c r="AB2148" s="277"/>
      <c r="AC2148" s="277"/>
      <c r="AD2148" s="277"/>
      <c r="AE2148" s="277"/>
      <c r="AF2148" s="277"/>
      <c r="AG2148" s="277"/>
      <c r="AH2148" s="277"/>
      <c r="AI2148" s="277"/>
    </row>
    <row r="2149" spans="16:35" s="185" customFormat="1">
      <c r="P2149" s="277"/>
      <c r="Q2149" s="277"/>
      <c r="R2149" s="277"/>
      <c r="S2149" s="291">
        <v>43695</v>
      </c>
      <c r="T2149" s="279">
        <v>2056</v>
      </c>
      <c r="U2149" s="277"/>
      <c r="V2149" s="277"/>
      <c r="W2149" s="277"/>
      <c r="X2149" s="277"/>
      <c r="Y2149" s="277"/>
      <c r="Z2149" s="277"/>
      <c r="AA2149" s="277"/>
      <c r="AB2149" s="277"/>
      <c r="AC2149" s="277"/>
      <c r="AD2149" s="277"/>
      <c r="AE2149" s="277"/>
      <c r="AF2149" s="277"/>
      <c r="AG2149" s="277"/>
      <c r="AH2149" s="277"/>
      <c r="AI2149" s="277"/>
    </row>
    <row r="2150" spans="16:35" s="185" customFormat="1">
      <c r="P2150" s="277"/>
      <c r="Q2150" s="277"/>
      <c r="R2150" s="277"/>
      <c r="S2150" s="291">
        <v>43696</v>
      </c>
      <c r="T2150" s="279">
        <v>2057</v>
      </c>
      <c r="U2150" s="277"/>
      <c r="V2150" s="277"/>
      <c r="W2150" s="277"/>
      <c r="X2150" s="277"/>
      <c r="Y2150" s="277"/>
      <c r="Z2150" s="277"/>
      <c r="AA2150" s="277"/>
      <c r="AB2150" s="277"/>
      <c r="AC2150" s="277"/>
      <c r="AD2150" s="277"/>
      <c r="AE2150" s="277"/>
      <c r="AF2150" s="277"/>
      <c r="AG2150" s="277"/>
      <c r="AH2150" s="277"/>
      <c r="AI2150" s="277"/>
    </row>
    <row r="2151" spans="16:35" s="185" customFormat="1">
      <c r="P2151" s="277"/>
      <c r="Q2151" s="277"/>
      <c r="R2151" s="277"/>
      <c r="S2151" s="291">
        <v>43697</v>
      </c>
      <c r="T2151" s="279">
        <v>2058</v>
      </c>
      <c r="U2151" s="277"/>
      <c r="V2151" s="277"/>
      <c r="W2151" s="277"/>
      <c r="X2151" s="277"/>
      <c r="Y2151" s="277"/>
      <c r="Z2151" s="277"/>
      <c r="AA2151" s="277"/>
      <c r="AB2151" s="277"/>
      <c r="AC2151" s="277"/>
      <c r="AD2151" s="277"/>
      <c r="AE2151" s="277"/>
      <c r="AF2151" s="277"/>
      <c r="AG2151" s="277"/>
      <c r="AH2151" s="277"/>
      <c r="AI2151" s="277"/>
    </row>
    <row r="2152" spans="16:35" s="185" customFormat="1">
      <c r="P2152" s="277"/>
      <c r="Q2152" s="277"/>
      <c r="R2152" s="277"/>
      <c r="S2152" s="291">
        <v>43698</v>
      </c>
      <c r="T2152" s="279">
        <v>2059</v>
      </c>
      <c r="U2152" s="277"/>
      <c r="V2152" s="277"/>
      <c r="W2152" s="277"/>
      <c r="X2152" s="277"/>
      <c r="Y2152" s="277"/>
      <c r="Z2152" s="277"/>
      <c r="AA2152" s="277"/>
      <c r="AB2152" s="277"/>
      <c r="AC2152" s="277"/>
      <c r="AD2152" s="277"/>
      <c r="AE2152" s="277"/>
      <c r="AF2152" s="277"/>
      <c r="AG2152" s="277"/>
      <c r="AH2152" s="277"/>
      <c r="AI2152" s="277"/>
    </row>
    <row r="2153" spans="16:35" s="185" customFormat="1">
      <c r="P2153" s="277"/>
      <c r="Q2153" s="277"/>
      <c r="R2153" s="277"/>
      <c r="S2153" s="291">
        <v>43699</v>
      </c>
      <c r="T2153" s="279">
        <v>2060</v>
      </c>
      <c r="U2153" s="277"/>
      <c r="V2153" s="277"/>
      <c r="W2153" s="277"/>
      <c r="X2153" s="277"/>
      <c r="Y2153" s="277"/>
      <c r="Z2153" s="277"/>
      <c r="AA2153" s="277"/>
      <c r="AB2153" s="277"/>
      <c r="AC2153" s="277"/>
      <c r="AD2153" s="277"/>
      <c r="AE2153" s="277"/>
      <c r="AF2153" s="277"/>
      <c r="AG2153" s="277"/>
      <c r="AH2153" s="277"/>
      <c r="AI2153" s="277"/>
    </row>
    <row r="2154" spans="16:35" s="185" customFormat="1">
      <c r="P2154" s="277"/>
      <c r="Q2154" s="277"/>
      <c r="R2154" s="277"/>
      <c r="S2154" s="291">
        <v>43700</v>
      </c>
      <c r="T2154" s="279">
        <v>2061</v>
      </c>
      <c r="U2154" s="277"/>
      <c r="V2154" s="277"/>
      <c r="W2154" s="277"/>
      <c r="X2154" s="277"/>
      <c r="Y2154" s="277"/>
      <c r="Z2154" s="277"/>
      <c r="AA2154" s="277"/>
      <c r="AB2154" s="277"/>
      <c r="AC2154" s="277"/>
      <c r="AD2154" s="277"/>
      <c r="AE2154" s="277"/>
      <c r="AF2154" s="277"/>
      <c r="AG2154" s="277"/>
      <c r="AH2154" s="277"/>
      <c r="AI2154" s="277"/>
    </row>
    <row r="2155" spans="16:35" s="185" customFormat="1">
      <c r="P2155" s="277"/>
      <c r="Q2155" s="277"/>
      <c r="R2155" s="277"/>
      <c r="S2155" s="291">
        <v>43701</v>
      </c>
      <c r="T2155" s="279">
        <v>2062</v>
      </c>
      <c r="U2155" s="277"/>
      <c r="V2155" s="277"/>
      <c r="W2155" s="277"/>
      <c r="X2155" s="277"/>
      <c r="Y2155" s="277"/>
      <c r="Z2155" s="277"/>
      <c r="AA2155" s="277"/>
      <c r="AB2155" s="277"/>
      <c r="AC2155" s="277"/>
      <c r="AD2155" s="277"/>
      <c r="AE2155" s="277"/>
      <c r="AF2155" s="277"/>
      <c r="AG2155" s="277"/>
      <c r="AH2155" s="277"/>
      <c r="AI2155" s="277"/>
    </row>
    <row r="2156" spans="16:35" s="185" customFormat="1">
      <c r="P2156" s="277"/>
      <c r="Q2156" s="277"/>
      <c r="R2156" s="277"/>
      <c r="S2156" s="291">
        <v>43702</v>
      </c>
      <c r="T2156" s="279">
        <v>2063</v>
      </c>
      <c r="U2156" s="277"/>
      <c r="V2156" s="277"/>
      <c r="W2156" s="277"/>
      <c r="X2156" s="277"/>
      <c r="Y2156" s="277"/>
      <c r="Z2156" s="277"/>
      <c r="AA2156" s="277"/>
      <c r="AB2156" s="277"/>
      <c r="AC2156" s="277"/>
      <c r="AD2156" s="277"/>
      <c r="AE2156" s="277"/>
      <c r="AF2156" s="277"/>
      <c r="AG2156" s="277"/>
      <c r="AH2156" s="277"/>
      <c r="AI2156" s="277"/>
    </row>
    <row r="2157" spans="16:35" s="185" customFormat="1">
      <c r="P2157" s="277"/>
      <c r="Q2157" s="277"/>
      <c r="R2157" s="277"/>
      <c r="S2157" s="291">
        <v>43703</v>
      </c>
      <c r="T2157" s="279">
        <v>2064</v>
      </c>
      <c r="U2157" s="277"/>
      <c r="V2157" s="277"/>
      <c r="W2157" s="277"/>
      <c r="X2157" s="277"/>
      <c r="Y2157" s="277"/>
      <c r="Z2157" s="277"/>
      <c r="AA2157" s="277"/>
      <c r="AB2157" s="277"/>
      <c r="AC2157" s="277"/>
      <c r="AD2157" s="277"/>
      <c r="AE2157" s="277"/>
      <c r="AF2157" s="277"/>
      <c r="AG2157" s="277"/>
      <c r="AH2157" s="277"/>
      <c r="AI2157" s="277"/>
    </row>
    <row r="2158" spans="16:35" s="185" customFormat="1">
      <c r="P2158" s="277"/>
      <c r="Q2158" s="277"/>
      <c r="R2158" s="277"/>
      <c r="S2158" s="291">
        <v>43704</v>
      </c>
      <c r="T2158" s="279">
        <v>2065</v>
      </c>
      <c r="U2158" s="277"/>
      <c r="V2158" s="277"/>
      <c r="W2158" s="277"/>
      <c r="X2158" s="277"/>
      <c r="Y2158" s="277"/>
      <c r="Z2158" s="277"/>
      <c r="AA2158" s="277"/>
      <c r="AB2158" s="277"/>
      <c r="AC2158" s="277"/>
      <c r="AD2158" s="277"/>
      <c r="AE2158" s="277"/>
      <c r="AF2158" s="277"/>
      <c r="AG2158" s="277"/>
      <c r="AH2158" s="277"/>
      <c r="AI2158" s="277"/>
    </row>
    <row r="2159" spans="16:35" s="185" customFormat="1">
      <c r="P2159" s="277"/>
      <c r="Q2159" s="277"/>
      <c r="R2159" s="277"/>
      <c r="S2159" s="291">
        <v>43705</v>
      </c>
      <c r="T2159" s="279">
        <v>2066</v>
      </c>
      <c r="U2159" s="277"/>
      <c r="V2159" s="277"/>
      <c r="W2159" s="277"/>
      <c r="X2159" s="277"/>
      <c r="Y2159" s="277"/>
      <c r="Z2159" s="277"/>
      <c r="AA2159" s="277"/>
      <c r="AB2159" s="277"/>
      <c r="AC2159" s="277"/>
      <c r="AD2159" s="277"/>
      <c r="AE2159" s="277"/>
      <c r="AF2159" s="277"/>
      <c r="AG2159" s="277"/>
      <c r="AH2159" s="277"/>
      <c r="AI2159" s="277"/>
    </row>
    <row r="2160" spans="16:35" s="185" customFormat="1">
      <c r="P2160" s="277"/>
      <c r="Q2160" s="277"/>
      <c r="R2160" s="277"/>
      <c r="S2160" s="291">
        <v>43706</v>
      </c>
      <c r="T2160" s="279">
        <v>2067</v>
      </c>
      <c r="U2160" s="277"/>
      <c r="V2160" s="277"/>
      <c r="W2160" s="277"/>
      <c r="X2160" s="277"/>
      <c r="Y2160" s="277"/>
      <c r="Z2160" s="277"/>
      <c r="AA2160" s="277"/>
      <c r="AB2160" s="277"/>
      <c r="AC2160" s="277"/>
      <c r="AD2160" s="277"/>
      <c r="AE2160" s="277"/>
      <c r="AF2160" s="277"/>
      <c r="AG2160" s="277"/>
      <c r="AH2160" s="277"/>
      <c r="AI2160" s="277"/>
    </row>
    <row r="2161" spans="16:35" s="185" customFormat="1">
      <c r="P2161" s="277"/>
      <c r="Q2161" s="277"/>
      <c r="R2161" s="277"/>
      <c r="S2161" s="291">
        <v>43707</v>
      </c>
      <c r="T2161" s="279">
        <v>2068</v>
      </c>
      <c r="U2161" s="277"/>
      <c r="V2161" s="277"/>
      <c r="W2161" s="277"/>
      <c r="X2161" s="277"/>
      <c r="Y2161" s="277"/>
      <c r="Z2161" s="277"/>
      <c r="AA2161" s="277"/>
      <c r="AB2161" s="277"/>
      <c r="AC2161" s="277"/>
      <c r="AD2161" s="277"/>
      <c r="AE2161" s="277"/>
      <c r="AF2161" s="277"/>
      <c r="AG2161" s="277"/>
      <c r="AH2161" s="277"/>
      <c r="AI2161" s="277"/>
    </row>
    <row r="2162" spans="16:35" s="185" customFormat="1">
      <c r="P2162" s="277"/>
      <c r="Q2162" s="277"/>
      <c r="R2162" s="277"/>
      <c r="S2162" s="291">
        <v>43708</v>
      </c>
      <c r="T2162" s="279">
        <v>2069</v>
      </c>
      <c r="U2162" s="277"/>
      <c r="V2162" s="277"/>
      <c r="W2162" s="277"/>
      <c r="X2162" s="277"/>
      <c r="Y2162" s="277"/>
      <c r="Z2162" s="277"/>
      <c r="AA2162" s="277"/>
      <c r="AB2162" s="277"/>
      <c r="AC2162" s="277"/>
      <c r="AD2162" s="277"/>
      <c r="AE2162" s="277"/>
      <c r="AF2162" s="277"/>
      <c r="AG2162" s="277"/>
      <c r="AH2162" s="277"/>
      <c r="AI2162" s="277"/>
    </row>
    <row r="2163" spans="16:35" s="185" customFormat="1">
      <c r="P2163" s="277"/>
      <c r="Q2163" s="277"/>
      <c r="R2163" s="277"/>
      <c r="S2163" s="291">
        <v>43709</v>
      </c>
      <c r="T2163" s="279">
        <v>2070</v>
      </c>
      <c r="U2163" s="277"/>
      <c r="V2163" s="277"/>
      <c r="W2163" s="277"/>
      <c r="X2163" s="277"/>
      <c r="Y2163" s="277"/>
      <c r="Z2163" s="277"/>
      <c r="AA2163" s="277"/>
      <c r="AB2163" s="277"/>
      <c r="AC2163" s="277"/>
      <c r="AD2163" s="277"/>
      <c r="AE2163" s="277"/>
      <c r="AF2163" s="277"/>
      <c r="AG2163" s="277"/>
      <c r="AH2163" s="277"/>
      <c r="AI2163" s="277"/>
    </row>
    <row r="2164" spans="16:35" s="185" customFormat="1">
      <c r="P2164" s="277"/>
      <c r="Q2164" s="277"/>
      <c r="R2164" s="277"/>
      <c r="S2164" s="291">
        <v>43710</v>
      </c>
      <c r="T2164" s="279">
        <v>2071</v>
      </c>
      <c r="U2164" s="277"/>
      <c r="V2164" s="277"/>
      <c r="W2164" s="277"/>
      <c r="X2164" s="277"/>
      <c r="Y2164" s="277"/>
      <c r="Z2164" s="277"/>
      <c r="AA2164" s="277"/>
      <c r="AB2164" s="277"/>
      <c r="AC2164" s="277"/>
      <c r="AD2164" s="277"/>
      <c r="AE2164" s="277"/>
      <c r="AF2164" s="277"/>
      <c r="AG2164" s="277"/>
      <c r="AH2164" s="277"/>
      <c r="AI2164" s="277"/>
    </row>
    <row r="2165" spans="16:35" s="185" customFormat="1">
      <c r="P2165" s="277"/>
      <c r="Q2165" s="277"/>
      <c r="R2165" s="277"/>
      <c r="S2165" s="291">
        <v>43711</v>
      </c>
      <c r="T2165" s="279">
        <v>2072</v>
      </c>
      <c r="U2165" s="277"/>
      <c r="V2165" s="277"/>
      <c r="W2165" s="277"/>
      <c r="X2165" s="277"/>
      <c r="Y2165" s="277"/>
      <c r="Z2165" s="277"/>
      <c r="AA2165" s="277"/>
      <c r="AB2165" s="277"/>
      <c r="AC2165" s="277"/>
      <c r="AD2165" s="277"/>
      <c r="AE2165" s="277"/>
      <c r="AF2165" s="277"/>
      <c r="AG2165" s="277"/>
      <c r="AH2165" s="277"/>
      <c r="AI2165" s="277"/>
    </row>
    <row r="2166" spans="16:35" s="185" customFormat="1">
      <c r="P2166" s="277"/>
      <c r="Q2166" s="277"/>
      <c r="R2166" s="277"/>
      <c r="S2166" s="291">
        <v>43712</v>
      </c>
      <c r="T2166" s="279">
        <v>2073</v>
      </c>
      <c r="U2166" s="277"/>
      <c r="V2166" s="277"/>
      <c r="W2166" s="277"/>
      <c r="X2166" s="277"/>
      <c r="Y2166" s="277"/>
      <c r="Z2166" s="277"/>
      <c r="AA2166" s="277"/>
      <c r="AB2166" s="277"/>
      <c r="AC2166" s="277"/>
      <c r="AD2166" s="277"/>
      <c r="AE2166" s="277"/>
      <c r="AF2166" s="277"/>
      <c r="AG2166" s="277"/>
      <c r="AH2166" s="277"/>
      <c r="AI2166" s="277"/>
    </row>
    <row r="2167" spans="16:35" s="185" customFormat="1">
      <c r="P2167" s="277"/>
      <c r="Q2167" s="277"/>
      <c r="R2167" s="277"/>
      <c r="S2167" s="291">
        <v>43713</v>
      </c>
      <c r="T2167" s="279">
        <v>2074</v>
      </c>
      <c r="U2167" s="277"/>
      <c r="V2167" s="277"/>
      <c r="W2167" s="277"/>
      <c r="X2167" s="277"/>
      <c r="Y2167" s="277"/>
      <c r="Z2167" s="277"/>
      <c r="AA2167" s="277"/>
      <c r="AB2167" s="277"/>
      <c r="AC2167" s="277"/>
      <c r="AD2167" s="277"/>
      <c r="AE2167" s="277"/>
      <c r="AF2167" s="277"/>
      <c r="AG2167" s="277"/>
      <c r="AH2167" s="277"/>
      <c r="AI2167" s="277"/>
    </row>
    <row r="2168" spans="16:35" s="185" customFormat="1">
      <c r="P2168" s="277"/>
      <c r="Q2168" s="277"/>
      <c r="R2168" s="277"/>
      <c r="S2168" s="291">
        <v>43714</v>
      </c>
      <c r="T2168" s="279">
        <v>2075</v>
      </c>
      <c r="U2168" s="277"/>
      <c r="V2168" s="277"/>
      <c r="W2168" s="277"/>
      <c r="X2168" s="277"/>
      <c r="Y2168" s="277"/>
      <c r="Z2168" s="277"/>
      <c r="AA2168" s="277"/>
      <c r="AB2168" s="277"/>
      <c r="AC2168" s="277"/>
      <c r="AD2168" s="277"/>
      <c r="AE2168" s="277"/>
      <c r="AF2168" s="277"/>
      <c r="AG2168" s="277"/>
      <c r="AH2168" s="277"/>
      <c r="AI2168" s="277"/>
    </row>
    <row r="2169" spans="16:35" s="185" customFormat="1">
      <c r="P2169" s="277"/>
      <c r="Q2169" s="277"/>
      <c r="R2169" s="277"/>
      <c r="S2169" s="291">
        <v>43715</v>
      </c>
      <c r="T2169" s="279">
        <v>2076</v>
      </c>
      <c r="U2169" s="277"/>
      <c r="V2169" s="277"/>
      <c r="W2169" s="277"/>
      <c r="X2169" s="277"/>
      <c r="Y2169" s="277"/>
      <c r="Z2169" s="277"/>
      <c r="AA2169" s="277"/>
      <c r="AB2169" s="277"/>
      <c r="AC2169" s="277"/>
      <c r="AD2169" s="277"/>
      <c r="AE2169" s="277"/>
      <c r="AF2169" s="277"/>
      <c r="AG2169" s="277"/>
      <c r="AH2169" s="277"/>
      <c r="AI2169" s="277"/>
    </row>
    <row r="2170" spans="16:35" s="185" customFormat="1">
      <c r="P2170" s="277"/>
      <c r="Q2170" s="277"/>
      <c r="R2170" s="277"/>
      <c r="S2170" s="291">
        <v>43716</v>
      </c>
      <c r="T2170" s="279">
        <v>2077</v>
      </c>
      <c r="U2170" s="277"/>
      <c r="V2170" s="277"/>
      <c r="W2170" s="277"/>
      <c r="X2170" s="277"/>
      <c r="Y2170" s="277"/>
      <c r="Z2170" s="277"/>
      <c r="AA2170" s="277"/>
      <c r="AB2170" s="277"/>
      <c r="AC2170" s="277"/>
      <c r="AD2170" s="277"/>
      <c r="AE2170" s="277"/>
      <c r="AF2170" s="277"/>
      <c r="AG2170" s="277"/>
      <c r="AH2170" s="277"/>
      <c r="AI2170" s="277"/>
    </row>
    <row r="2171" spans="16:35" s="185" customFormat="1">
      <c r="P2171" s="277"/>
      <c r="Q2171" s="277"/>
      <c r="R2171" s="277"/>
      <c r="S2171" s="291">
        <v>43717</v>
      </c>
      <c r="T2171" s="279">
        <v>2078</v>
      </c>
      <c r="U2171" s="277"/>
      <c r="V2171" s="277"/>
      <c r="W2171" s="277"/>
      <c r="X2171" s="277"/>
      <c r="Y2171" s="277"/>
      <c r="Z2171" s="277"/>
      <c r="AA2171" s="277"/>
      <c r="AB2171" s="277"/>
      <c r="AC2171" s="277"/>
      <c r="AD2171" s="277"/>
      <c r="AE2171" s="277"/>
      <c r="AF2171" s="277"/>
      <c r="AG2171" s="277"/>
      <c r="AH2171" s="277"/>
      <c r="AI2171" s="277"/>
    </row>
    <row r="2172" spans="16:35" s="185" customFormat="1">
      <c r="P2172" s="277"/>
      <c r="Q2172" s="277"/>
      <c r="R2172" s="277"/>
      <c r="S2172" s="291">
        <v>43718</v>
      </c>
      <c r="T2172" s="279">
        <v>2079</v>
      </c>
      <c r="U2172" s="277"/>
      <c r="V2172" s="277"/>
      <c r="W2172" s="277"/>
      <c r="X2172" s="277"/>
      <c r="Y2172" s="277"/>
      <c r="Z2172" s="277"/>
      <c r="AA2172" s="277"/>
      <c r="AB2172" s="277"/>
      <c r="AC2172" s="277"/>
      <c r="AD2172" s="277"/>
      <c r="AE2172" s="277"/>
      <c r="AF2172" s="277"/>
      <c r="AG2172" s="277"/>
      <c r="AH2172" s="277"/>
      <c r="AI2172" s="277"/>
    </row>
    <row r="2173" spans="16:35" s="185" customFormat="1">
      <c r="P2173" s="277"/>
      <c r="Q2173" s="277"/>
      <c r="R2173" s="277"/>
      <c r="S2173" s="291">
        <v>43719</v>
      </c>
      <c r="T2173" s="279">
        <v>2080</v>
      </c>
      <c r="U2173" s="277"/>
      <c r="V2173" s="277"/>
      <c r="W2173" s="277"/>
      <c r="X2173" s="277"/>
      <c r="Y2173" s="277"/>
      <c r="Z2173" s="277"/>
      <c r="AA2173" s="277"/>
      <c r="AB2173" s="277"/>
      <c r="AC2173" s="277"/>
      <c r="AD2173" s="277"/>
      <c r="AE2173" s="277"/>
      <c r="AF2173" s="277"/>
      <c r="AG2173" s="277"/>
      <c r="AH2173" s="277"/>
      <c r="AI2173" s="277"/>
    </row>
    <row r="2174" spans="16:35" s="185" customFormat="1">
      <c r="P2174" s="277"/>
      <c r="Q2174" s="277"/>
      <c r="R2174" s="277"/>
      <c r="S2174" s="291">
        <v>43720</v>
      </c>
      <c r="T2174" s="279">
        <v>2081</v>
      </c>
      <c r="U2174" s="277"/>
      <c r="V2174" s="277"/>
      <c r="W2174" s="277"/>
      <c r="X2174" s="277"/>
      <c r="Y2174" s="277"/>
      <c r="Z2174" s="277"/>
      <c r="AA2174" s="277"/>
      <c r="AB2174" s="277"/>
      <c r="AC2174" s="277"/>
      <c r="AD2174" s="277"/>
      <c r="AE2174" s="277"/>
      <c r="AF2174" s="277"/>
      <c r="AG2174" s="277"/>
      <c r="AH2174" s="277"/>
      <c r="AI2174" s="277"/>
    </row>
    <row r="2175" spans="16:35" s="185" customFormat="1">
      <c r="P2175" s="277"/>
      <c r="Q2175" s="277"/>
      <c r="R2175" s="277"/>
      <c r="S2175" s="291">
        <v>43721</v>
      </c>
      <c r="T2175" s="279">
        <v>2082</v>
      </c>
      <c r="U2175" s="277"/>
      <c r="V2175" s="277"/>
      <c r="W2175" s="277"/>
      <c r="X2175" s="277"/>
      <c r="Y2175" s="277"/>
      <c r="Z2175" s="277"/>
      <c r="AA2175" s="277"/>
      <c r="AB2175" s="277"/>
      <c r="AC2175" s="277"/>
      <c r="AD2175" s="277"/>
      <c r="AE2175" s="277"/>
      <c r="AF2175" s="277"/>
      <c r="AG2175" s="277"/>
      <c r="AH2175" s="277"/>
      <c r="AI2175" s="277"/>
    </row>
    <row r="2176" spans="16:35" s="185" customFormat="1">
      <c r="P2176" s="277"/>
      <c r="Q2176" s="277"/>
      <c r="R2176" s="277"/>
      <c r="S2176" s="291">
        <v>43722</v>
      </c>
      <c r="T2176" s="279">
        <v>2083</v>
      </c>
      <c r="U2176" s="277"/>
      <c r="V2176" s="277"/>
      <c r="W2176" s="277"/>
      <c r="X2176" s="277"/>
      <c r="Y2176" s="277"/>
      <c r="Z2176" s="277"/>
      <c r="AA2176" s="277"/>
      <c r="AB2176" s="277"/>
      <c r="AC2176" s="277"/>
      <c r="AD2176" s="277"/>
      <c r="AE2176" s="277"/>
      <c r="AF2176" s="277"/>
      <c r="AG2176" s="277"/>
      <c r="AH2176" s="277"/>
      <c r="AI2176" s="277"/>
    </row>
    <row r="2177" spans="16:35" s="185" customFormat="1">
      <c r="P2177" s="277"/>
      <c r="Q2177" s="277"/>
      <c r="R2177" s="277"/>
      <c r="S2177" s="291">
        <v>43723</v>
      </c>
      <c r="T2177" s="279">
        <v>2084</v>
      </c>
      <c r="U2177" s="277"/>
      <c r="V2177" s="277"/>
      <c r="W2177" s="277"/>
      <c r="X2177" s="277"/>
      <c r="Y2177" s="277"/>
      <c r="Z2177" s="277"/>
      <c r="AA2177" s="277"/>
      <c r="AB2177" s="277"/>
      <c r="AC2177" s="277"/>
      <c r="AD2177" s="277"/>
      <c r="AE2177" s="277"/>
      <c r="AF2177" s="277"/>
      <c r="AG2177" s="277"/>
      <c r="AH2177" s="277"/>
      <c r="AI2177" s="277"/>
    </row>
    <row r="2178" spans="16:35" s="185" customFormat="1">
      <c r="P2178" s="277"/>
      <c r="Q2178" s="277"/>
      <c r="R2178" s="277"/>
      <c r="S2178" s="291">
        <v>43724</v>
      </c>
      <c r="T2178" s="279">
        <v>2085</v>
      </c>
      <c r="U2178" s="277"/>
      <c r="V2178" s="277"/>
      <c r="W2178" s="277"/>
      <c r="X2178" s="277"/>
      <c r="Y2178" s="277"/>
      <c r="Z2178" s="277"/>
      <c r="AA2178" s="277"/>
      <c r="AB2178" s="277"/>
      <c r="AC2178" s="277"/>
      <c r="AD2178" s="277"/>
      <c r="AE2178" s="277"/>
      <c r="AF2178" s="277"/>
      <c r="AG2178" s="277"/>
      <c r="AH2178" s="277"/>
      <c r="AI2178" s="277"/>
    </row>
    <row r="2179" spans="16:35" s="185" customFormat="1">
      <c r="P2179" s="277"/>
      <c r="Q2179" s="277"/>
      <c r="R2179" s="277"/>
      <c r="S2179" s="291">
        <v>43725</v>
      </c>
      <c r="T2179" s="279">
        <v>2086</v>
      </c>
      <c r="U2179" s="277"/>
      <c r="V2179" s="277"/>
      <c r="W2179" s="277"/>
      <c r="X2179" s="277"/>
      <c r="Y2179" s="277"/>
      <c r="Z2179" s="277"/>
      <c r="AA2179" s="277"/>
      <c r="AB2179" s="277"/>
      <c r="AC2179" s="277"/>
      <c r="AD2179" s="277"/>
      <c r="AE2179" s="277"/>
      <c r="AF2179" s="277"/>
      <c r="AG2179" s="277"/>
      <c r="AH2179" s="277"/>
      <c r="AI2179" s="277"/>
    </row>
    <row r="2180" spans="16:35" s="185" customFormat="1">
      <c r="P2180" s="277"/>
      <c r="Q2180" s="277"/>
      <c r="R2180" s="277"/>
      <c r="S2180" s="291">
        <v>43726</v>
      </c>
      <c r="T2180" s="279">
        <v>2087</v>
      </c>
      <c r="U2180" s="277"/>
      <c r="V2180" s="277"/>
      <c r="W2180" s="277"/>
      <c r="X2180" s="277"/>
      <c r="Y2180" s="277"/>
      <c r="Z2180" s="277"/>
      <c r="AA2180" s="277"/>
      <c r="AB2180" s="277"/>
      <c r="AC2180" s="277"/>
      <c r="AD2180" s="277"/>
      <c r="AE2180" s="277"/>
      <c r="AF2180" s="277"/>
      <c r="AG2180" s="277"/>
      <c r="AH2180" s="277"/>
      <c r="AI2180" s="277"/>
    </row>
    <row r="2181" spans="16:35" s="185" customFormat="1">
      <c r="P2181" s="277"/>
      <c r="Q2181" s="277"/>
      <c r="R2181" s="277"/>
      <c r="S2181" s="291">
        <v>43727</v>
      </c>
      <c r="T2181" s="279">
        <v>2088</v>
      </c>
      <c r="U2181" s="277"/>
      <c r="V2181" s="277"/>
      <c r="W2181" s="277"/>
      <c r="X2181" s="277"/>
      <c r="Y2181" s="277"/>
      <c r="Z2181" s="277"/>
      <c r="AA2181" s="277"/>
      <c r="AB2181" s="277"/>
      <c r="AC2181" s="277"/>
      <c r="AD2181" s="277"/>
      <c r="AE2181" s="277"/>
      <c r="AF2181" s="277"/>
      <c r="AG2181" s="277"/>
      <c r="AH2181" s="277"/>
      <c r="AI2181" s="277"/>
    </row>
    <row r="2182" spans="16:35" s="185" customFormat="1">
      <c r="P2182" s="277"/>
      <c r="Q2182" s="277"/>
      <c r="R2182" s="277"/>
      <c r="S2182" s="291">
        <v>43728</v>
      </c>
      <c r="T2182" s="279">
        <v>2089</v>
      </c>
      <c r="U2182" s="277"/>
      <c r="V2182" s="277"/>
      <c r="W2182" s="277"/>
      <c r="X2182" s="277"/>
      <c r="Y2182" s="277"/>
      <c r="Z2182" s="277"/>
      <c r="AA2182" s="277"/>
      <c r="AB2182" s="277"/>
      <c r="AC2182" s="277"/>
      <c r="AD2182" s="277"/>
      <c r="AE2182" s="277"/>
      <c r="AF2182" s="277"/>
      <c r="AG2182" s="277"/>
      <c r="AH2182" s="277"/>
      <c r="AI2182" s="277"/>
    </row>
    <row r="2183" spans="16:35" s="185" customFormat="1">
      <c r="P2183" s="277"/>
      <c r="Q2183" s="277"/>
      <c r="R2183" s="277"/>
      <c r="S2183" s="291">
        <v>43729</v>
      </c>
      <c r="T2183" s="279">
        <v>2090</v>
      </c>
      <c r="U2183" s="277"/>
      <c r="V2183" s="277"/>
      <c r="W2183" s="277"/>
      <c r="X2183" s="277"/>
      <c r="Y2183" s="277"/>
      <c r="Z2183" s="277"/>
      <c r="AA2183" s="277"/>
      <c r="AB2183" s="277"/>
      <c r="AC2183" s="277"/>
      <c r="AD2183" s="277"/>
      <c r="AE2183" s="277"/>
      <c r="AF2183" s="277"/>
      <c r="AG2183" s="277"/>
      <c r="AH2183" s="277"/>
      <c r="AI2183" s="277"/>
    </row>
    <row r="2184" spans="16:35" s="185" customFormat="1">
      <c r="P2184" s="277"/>
      <c r="Q2184" s="277"/>
      <c r="R2184" s="277"/>
      <c r="S2184" s="291">
        <v>43730</v>
      </c>
      <c r="T2184" s="279">
        <v>2091</v>
      </c>
      <c r="U2184" s="277"/>
      <c r="V2184" s="277"/>
      <c r="W2184" s="277"/>
      <c r="X2184" s="277"/>
      <c r="Y2184" s="277"/>
      <c r="Z2184" s="277"/>
      <c r="AA2184" s="277"/>
      <c r="AB2184" s="277"/>
      <c r="AC2184" s="277"/>
      <c r="AD2184" s="277"/>
      <c r="AE2184" s="277"/>
      <c r="AF2184" s="277"/>
      <c r="AG2184" s="277"/>
      <c r="AH2184" s="277"/>
      <c r="AI2184" s="277"/>
    </row>
    <row r="2185" spans="16:35" s="185" customFormat="1">
      <c r="P2185" s="277"/>
      <c r="Q2185" s="277"/>
      <c r="R2185" s="277"/>
      <c r="S2185" s="291">
        <v>43731</v>
      </c>
      <c r="T2185" s="279">
        <v>2092</v>
      </c>
      <c r="U2185" s="277"/>
      <c r="V2185" s="277"/>
      <c r="W2185" s="277"/>
      <c r="X2185" s="277"/>
      <c r="Y2185" s="277"/>
      <c r="Z2185" s="277"/>
      <c r="AA2185" s="277"/>
      <c r="AB2185" s="277"/>
      <c r="AC2185" s="277"/>
      <c r="AD2185" s="277"/>
      <c r="AE2185" s="277"/>
      <c r="AF2185" s="277"/>
      <c r="AG2185" s="277"/>
      <c r="AH2185" s="277"/>
      <c r="AI2185" s="277"/>
    </row>
    <row r="2186" spans="16:35" s="185" customFormat="1">
      <c r="P2186" s="277"/>
      <c r="Q2186" s="277"/>
      <c r="R2186" s="277"/>
      <c r="S2186" s="291">
        <v>43732</v>
      </c>
      <c r="T2186" s="279">
        <v>2093</v>
      </c>
      <c r="U2186" s="277"/>
      <c r="V2186" s="277"/>
      <c r="W2186" s="277"/>
      <c r="X2186" s="277"/>
      <c r="Y2186" s="277"/>
      <c r="Z2186" s="277"/>
      <c r="AA2186" s="277"/>
      <c r="AB2186" s="277"/>
      <c r="AC2186" s="277"/>
      <c r="AD2186" s="277"/>
      <c r="AE2186" s="277"/>
      <c r="AF2186" s="277"/>
      <c r="AG2186" s="277"/>
      <c r="AH2186" s="277"/>
      <c r="AI2186" s="277"/>
    </row>
    <row r="2187" spans="16:35" s="185" customFormat="1">
      <c r="P2187" s="277"/>
      <c r="Q2187" s="277"/>
      <c r="R2187" s="277"/>
      <c r="S2187" s="291">
        <v>43733</v>
      </c>
      <c r="T2187" s="279">
        <v>2094</v>
      </c>
      <c r="U2187" s="277"/>
      <c r="V2187" s="277"/>
      <c r="W2187" s="277"/>
      <c r="X2187" s="277"/>
      <c r="Y2187" s="277"/>
      <c r="Z2187" s="277"/>
      <c r="AA2187" s="277"/>
      <c r="AB2187" s="277"/>
      <c r="AC2187" s="277"/>
      <c r="AD2187" s="277"/>
      <c r="AE2187" s="277"/>
      <c r="AF2187" s="277"/>
      <c r="AG2187" s="277"/>
      <c r="AH2187" s="277"/>
      <c r="AI2187" s="277"/>
    </row>
    <row r="2188" spans="16:35" s="185" customFormat="1">
      <c r="P2188" s="277"/>
      <c r="Q2188" s="277"/>
      <c r="R2188" s="277"/>
      <c r="S2188" s="291">
        <v>43734</v>
      </c>
      <c r="T2188" s="279">
        <v>2095</v>
      </c>
      <c r="U2188" s="277"/>
      <c r="V2188" s="277"/>
      <c r="W2188" s="277"/>
      <c r="X2188" s="277"/>
      <c r="Y2188" s="277"/>
      <c r="Z2188" s="277"/>
      <c r="AA2188" s="277"/>
      <c r="AB2188" s="277"/>
      <c r="AC2188" s="277"/>
      <c r="AD2188" s="277"/>
      <c r="AE2188" s="277"/>
      <c r="AF2188" s="277"/>
      <c r="AG2188" s="277"/>
      <c r="AH2188" s="277"/>
      <c r="AI2188" s="277"/>
    </row>
    <row r="2189" spans="16:35" s="185" customFormat="1">
      <c r="P2189" s="277"/>
      <c r="Q2189" s="277"/>
      <c r="R2189" s="277"/>
      <c r="S2189" s="291">
        <v>43735</v>
      </c>
      <c r="T2189" s="279">
        <v>2096</v>
      </c>
      <c r="U2189" s="277"/>
      <c r="V2189" s="277"/>
      <c r="W2189" s="277"/>
      <c r="X2189" s="277"/>
      <c r="Y2189" s="277"/>
      <c r="Z2189" s="277"/>
      <c r="AA2189" s="277"/>
      <c r="AB2189" s="277"/>
      <c r="AC2189" s="277"/>
      <c r="AD2189" s="277"/>
      <c r="AE2189" s="277"/>
      <c r="AF2189" s="277"/>
      <c r="AG2189" s="277"/>
      <c r="AH2189" s="277"/>
      <c r="AI2189" s="277"/>
    </row>
    <row r="2190" spans="16:35" s="185" customFormat="1">
      <c r="P2190" s="277"/>
      <c r="Q2190" s="277"/>
      <c r="R2190" s="277"/>
      <c r="S2190" s="291">
        <v>43736</v>
      </c>
      <c r="T2190" s="279">
        <v>2097</v>
      </c>
      <c r="U2190" s="277"/>
      <c r="V2190" s="277"/>
      <c r="W2190" s="277"/>
      <c r="X2190" s="277"/>
      <c r="Y2190" s="277"/>
      <c r="Z2190" s="277"/>
      <c r="AA2190" s="277"/>
      <c r="AB2190" s="277"/>
      <c r="AC2190" s="277"/>
      <c r="AD2190" s="277"/>
      <c r="AE2190" s="277"/>
      <c r="AF2190" s="277"/>
      <c r="AG2190" s="277"/>
      <c r="AH2190" s="277"/>
      <c r="AI2190" s="277"/>
    </row>
    <row r="2191" spans="16:35" s="185" customFormat="1">
      <c r="P2191" s="277"/>
      <c r="Q2191" s="277"/>
      <c r="R2191" s="277"/>
      <c r="S2191" s="291">
        <v>43737</v>
      </c>
      <c r="T2191" s="279">
        <v>2098</v>
      </c>
      <c r="U2191" s="277"/>
      <c r="V2191" s="277"/>
      <c r="W2191" s="277"/>
      <c r="X2191" s="277"/>
      <c r="Y2191" s="277"/>
      <c r="Z2191" s="277"/>
      <c r="AA2191" s="277"/>
      <c r="AB2191" s="277"/>
      <c r="AC2191" s="277"/>
      <c r="AD2191" s="277"/>
      <c r="AE2191" s="277"/>
      <c r="AF2191" s="277"/>
      <c r="AG2191" s="277"/>
      <c r="AH2191" s="277"/>
      <c r="AI2191" s="277"/>
    </row>
    <row r="2192" spans="16:35" s="185" customFormat="1">
      <c r="P2192" s="277"/>
      <c r="Q2192" s="277"/>
      <c r="R2192" s="277"/>
      <c r="S2192" s="291">
        <v>43738</v>
      </c>
      <c r="T2192" s="279">
        <v>2099</v>
      </c>
      <c r="U2192" s="277"/>
      <c r="V2192" s="277"/>
      <c r="W2192" s="277"/>
      <c r="X2192" s="277"/>
      <c r="Y2192" s="277"/>
      <c r="Z2192" s="277"/>
      <c r="AA2192" s="277"/>
      <c r="AB2192" s="277"/>
      <c r="AC2192" s="277"/>
      <c r="AD2192" s="277"/>
      <c r="AE2192" s="277"/>
      <c r="AF2192" s="277"/>
      <c r="AG2192" s="277"/>
      <c r="AH2192" s="277"/>
      <c r="AI2192" s="277"/>
    </row>
    <row r="2193" spans="16:35" s="185" customFormat="1">
      <c r="P2193" s="277"/>
      <c r="Q2193" s="277"/>
      <c r="R2193" s="277"/>
      <c r="S2193" s="291">
        <v>43739</v>
      </c>
      <c r="T2193" s="279">
        <v>2100</v>
      </c>
      <c r="U2193" s="277"/>
      <c r="V2193" s="277"/>
      <c r="W2193" s="277"/>
      <c r="X2193" s="277"/>
      <c r="Y2193" s="277"/>
      <c r="Z2193" s="277"/>
      <c r="AA2193" s="277"/>
      <c r="AB2193" s="277"/>
      <c r="AC2193" s="277"/>
      <c r="AD2193" s="277"/>
      <c r="AE2193" s="277"/>
      <c r="AF2193" s="277"/>
      <c r="AG2193" s="277"/>
      <c r="AH2193" s="277"/>
      <c r="AI2193" s="277"/>
    </row>
    <row r="2194" spans="16:35" s="185" customFormat="1">
      <c r="P2194" s="277"/>
      <c r="Q2194" s="277"/>
      <c r="R2194" s="277"/>
      <c r="S2194" s="291">
        <v>43740</v>
      </c>
      <c r="T2194" s="279">
        <v>2101</v>
      </c>
      <c r="U2194" s="277"/>
      <c r="V2194" s="277"/>
      <c r="W2194" s="277"/>
      <c r="X2194" s="277"/>
      <c r="Y2194" s="277"/>
      <c r="Z2194" s="277"/>
      <c r="AA2194" s="277"/>
      <c r="AB2194" s="277"/>
      <c r="AC2194" s="277"/>
      <c r="AD2194" s="277"/>
      <c r="AE2194" s="277"/>
      <c r="AF2194" s="277"/>
      <c r="AG2194" s="277"/>
      <c r="AH2194" s="277"/>
      <c r="AI2194" s="277"/>
    </row>
    <row r="2195" spans="16:35" s="185" customFormat="1">
      <c r="P2195" s="277"/>
      <c r="Q2195" s="277"/>
      <c r="R2195" s="277"/>
      <c r="S2195" s="291">
        <v>43741</v>
      </c>
      <c r="T2195" s="279">
        <v>2102</v>
      </c>
      <c r="U2195" s="277"/>
      <c r="V2195" s="277"/>
      <c r="W2195" s="277"/>
      <c r="X2195" s="277"/>
      <c r="Y2195" s="277"/>
      <c r="Z2195" s="277"/>
      <c r="AA2195" s="277"/>
      <c r="AB2195" s="277"/>
      <c r="AC2195" s="277"/>
      <c r="AD2195" s="277"/>
      <c r="AE2195" s="277"/>
      <c r="AF2195" s="277"/>
      <c r="AG2195" s="277"/>
      <c r="AH2195" s="277"/>
      <c r="AI2195" s="277"/>
    </row>
    <row r="2196" spans="16:35" s="185" customFormat="1">
      <c r="P2196" s="277"/>
      <c r="Q2196" s="277"/>
      <c r="R2196" s="277"/>
      <c r="S2196" s="291">
        <v>43742</v>
      </c>
      <c r="T2196" s="279">
        <v>2103</v>
      </c>
      <c r="U2196" s="277"/>
      <c r="V2196" s="277"/>
      <c r="W2196" s="277"/>
      <c r="X2196" s="277"/>
      <c r="Y2196" s="277"/>
      <c r="Z2196" s="277"/>
      <c r="AA2196" s="277"/>
      <c r="AB2196" s="277"/>
      <c r="AC2196" s="277"/>
      <c r="AD2196" s="277"/>
      <c r="AE2196" s="277"/>
      <c r="AF2196" s="277"/>
      <c r="AG2196" s="277"/>
      <c r="AH2196" s="277"/>
      <c r="AI2196" s="277"/>
    </row>
    <row r="2197" spans="16:35" s="185" customFormat="1">
      <c r="P2197" s="277"/>
      <c r="Q2197" s="277"/>
      <c r="R2197" s="277"/>
      <c r="S2197" s="291">
        <v>43743</v>
      </c>
      <c r="T2197" s="279">
        <v>2104</v>
      </c>
      <c r="U2197" s="277"/>
      <c r="V2197" s="277"/>
      <c r="W2197" s="277"/>
      <c r="X2197" s="277"/>
      <c r="Y2197" s="277"/>
      <c r="Z2197" s="277"/>
      <c r="AA2197" s="277"/>
      <c r="AB2197" s="277"/>
      <c r="AC2197" s="277"/>
      <c r="AD2197" s="277"/>
      <c r="AE2197" s="277"/>
      <c r="AF2197" s="277"/>
      <c r="AG2197" s="277"/>
      <c r="AH2197" s="277"/>
      <c r="AI2197" s="277"/>
    </row>
    <row r="2198" spans="16:35" s="185" customFormat="1">
      <c r="P2198" s="277"/>
      <c r="Q2198" s="277"/>
      <c r="R2198" s="277"/>
      <c r="S2198" s="291">
        <v>43744</v>
      </c>
      <c r="T2198" s="279">
        <v>2105</v>
      </c>
      <c r="U2198" s="277"/>
      <c r="V2198" s="277"/>
      <c r="W2198" s="277"/>
      <c r="X2198" s="277"/>
      <c r="Y2198" s="277"/>
      <c r="Z2198" s="277"/>
      <c r="AA2198" s="277"/>
      <c r="AB2198" s="277"/>
      <c r="AC2198" s="277"/>
      <c r="AD2198" s="277"/>
      <c r="AE2198" s="277"/>
      <c r="AF2198" s="277"/>
      <c r="AG2198" s="277"/>
      <c r="AH2198" s="277"/>
      <c r="AI2198" s="277"/>
    </row>
    <row r="2199" spans="16:35" s="185" customFormat="1">
      <c r="P2199" s="277"/>
      <c r="Q2199" s="277"/>
      <c r="R2199" s="277"/>
      <c r="S2199" s="291">
        <v>43745</v>
      </c>
      <c r="T2199" s="279">
        <v>2106</v>
      </c>
      <c r="U2199" s="277"/>
      <c r="V2199" s="277"/>
      <c r="W2199" s="277"/>
      <c r="X2199" s="277"/>
      <c r="Y2199" s="277"/>
      <c r="Z2199" s="277"/>
      <c r="AA2199" s="277"/>
      <c r="AB2199" s="277"/>
      <c r="AC2199" s="277"/>
      <c r="AD2199" s="277"/>
      <c r="AE2199" s="277"/>
      <c r="AF2199" s="277"/>
      <c r="AG2199" s="277"/>
      <c r="AH2199" s="277"/>
      <c r="AI2199" s="277"/>
    </row>
    <row r="2200" spans="16:35" s="185" customFormat="1">
      <c r="P2200" s="277"/>
      <c r="Q2200" s="277"/>
      <c r="R2200" s="277"/>
      <c r="S2200" s="291">
        <v>43746</v>
      </c>
      <c r="T2200" s="279">
        <v>2107</v>
      </c>
      <c r="U2200" s="277"/>
      <c r="V2200" s="277"/>
      <c r="W2200" s="277"/>
      <c r="X2200" s="277"/>
      <c r="Y2200" s="277"/>
      <c r="Z2200" s="277"/>
      <c r="AA2200" s="277"/>
      <c r="AB2200" s="277"/>
      <c r="AC2200" s="277"/>
      <c r="AD2200" s="277"/>
      <c r="AE2200" s="277"/>
      <c r="AF2200" s="277"/>
      <c r="AG2200" s="277"/>
      <c r="AH2200" s="277"/>
      <c r="AI2200" s="277"/>
    </row>
    <row r="2201" spans="16:35" s="185" customFormat="1">
      <c r="P2201" s="277"/>
      <c r="Q2201" s="277"/>
      <c r="R2201" s="277"/>
      <c r="S2201" s="291">
        <v>43747</v>
      </c>
      <c r="T2201" s="279">
        <v>2108</v>
      </c>
      <c r="U2201" s="277"/>
      <c r="V2201" s="277"/>
      <c r="W2201" s="277"/>
      <c r="X2201" s="277"/>
      <c r="Y2201" s="277"/>
      <c r="Z2201" s="277"/>
      <c r="AA2201" s="277"/>
      <c r="AB2201" s="277"/>
      <c r="AC2201" s="277"/>
      <c r="AD2201" s="277"/>
      <c r="AE2201" s="277"/>
      <c r="AF2201" s="277"/>
      <c r="AG2201" s="277"/>
      <c r="AH2201" s="277"/>
      <c r="AI2201" s="277"/>
    </row>
    <row r="2202" spans="16:35" s="185" customFormat="1">
      <c r="P2202" s="277"/>
      <c r="Q2202" s="277"/>
      <c r="R2202" s="277"/>
      <c r="S2202" s="291">
        <v>43748</v>
      </c>
      <c r="T2202" s="279">
        <v>2109</v>
      </c>
      <c r="U2202" s="277"/>
      <c r="V2202" s="277"/>
      <c r="W2202" s="277"/>
      <c r="X2202" s="277"/>
      <c r="Y2202" s="277"/>
      <c r="Z2202" s="277"/>
      <c r="AA2202" s="277"/>
      <c r="AB2202" s="277"/>
      <c r="AC2202" s="277"/>
      <c r="AD2202" s="277"/>
      <c r="AE2202" s="277"/>
      <c r="AF2202" s="277"/>
      <c r="AG2202" s="277"/>
      <c r="AH2202" s="277"/>
      <c r="AI2202" s="277"/>
    </row>
    <row r="2203" spans="16:35" s="185" customFormat="1">
      <c r="P2203" s="277"/>
      <c r="Q2203" s="277"/>
      <c r="R2203" s="277"/>
      <c r="S2203" s="291">
        <v>43749</v>
      </c>
      <c r="T2203" s="279">
        <v>2110</v>
      </c>
      <c r="U2203" s="277"/>
      <c r="V2203" s="277"/>
      <c r="W2203" s="277"/>
      <c r="X2203" s="277"/>
      <c r="Y2203" s="277"/>
      <c r="Z2203" s="277"/>
      <c r="AA2203" s="277"/>
      <c r="AB2203" s="277"/>
      <c r="AC2203" s="277"/>
      <c r="AD2203" s="277"/>
      <c r="AE2203" s="277"/>
      <c r="AF2203" s="277"/>
      <c r="AG2203" s="277"/>
      <c r="AH2203" s="277"/>
      <c r="AI2203" s="277"/>
    </row>
    <row r="2204" spans="16:35" s="185" customFormat="1">
      <c r="P2204" s="277"/>
      <c r="Q2204" s="277"/>
      <c r="R2204" s="277"/>
      <c r="S2204" s="291">
        <v>43750</v>
      </c>
      <c r="T2204" s="279">
        <v>2111</v>
      </c>
      <c r="U2204" s="277"/>
      <c r="V2204" s="277"/>
      <c r="W2204" s="277"/>
      <c r="X2204" s="277"/>
      <c r="Y2204" s="277"/>
      <c r="Z2204" s="277"/>
      <c r="AA2204" s="277"/>
      <c r="AB2204" s="277"/>
      <c r="AC2204" s="277"/>
      <c r="AD2204" s="277"/>
      <c r="AE2204" s="277"/>
      <c r="AF2204" s="277"/>
      <c r="AG2204" s="277"/>
      <c r="AH2204" s="277"/>
      <c r="AI2204" s="277"/>
    </row>
    <row r="2205" spans="16:35" s="185" customFormat="1">
      <c r="P2205" s="277"/>
      <c r="Q2205" s="277"/>
      <c r="R2205" s="277"/>
      <c r="S2205" s="291">
        <v>43751</v>
      </c>
      <c r="T2205" s="279">
        <v>2112</v>
      </c>
      <c r="U2205" s="277"/>
      <c r="V2205" s="277"/>
      <c r="W2205" s="277"/>
      <c r="X2205" s="277"/>
      <c r="Y2205" s="277"/>
      <c r="Z2205" s="277"/>
      <c r="AA2205" s="277"/>
      <c r="AB2205" s="277"/>
      <c r="AC2205" s="277"/>
      <c r="AD2205" s="277"/>
      <c r="AE2205" s="277"/>
      <c r="AF2205" s="277"/>
      <c r="AG2205" s="277"/>
      <c r="AH2205" s="277"/>
      <c r="AI2205" s="277"/>
    </row>
    <row r="2206" spans="16:35" s="185" customFormat="1">
      <c r="P2206" s="277"/>
      <c r="Q2206" s="277"/>
      <c r="R2206" s="277"/>
      <c r="S2206" s="291">
        <v>43752</v>
      </c>
      <c r="T2206" s="279">
        <v>2113</v>
      </c>
      <c r="U2206" s="277"/>
      <c r="V2206" s="277"/>
      <c r="W2206" s="277"/>
      <c r="X2206" s="277"/>
      <c r="Y2206" s="277"/>
      <c r="Z2206" s="277"/>
      <c r="AA2206" s="277"/>
      <c r="AB2206" s="277"/>
      <c r="AC2206" s="277"/>
      <c r="AD2206" s="277"/>
      <c r="AE2206" s="277"/>
      <c r="AF2206" s="277"/>
      <c r="AG2206" s="277"/>
      <c r="AH2206" s="277"/>
      <c r="AI2206" s="277"/>
    </row>
    <row r="2207" spans="16:35" s="185" customFormat="1">
      <c r="P2207" s="277"/>
      <c r="Q2207" s="277"/>
      <c r="R2207" s="277"/>
      <c r="S2207" s="291">
        <v>43753</v>
      </c>
      <c r="T2207" s="279">
        <v>2114</v>
      </c>
      <c r="U2207" s="277"/>
      <c r="V2207" s="277"/>
      <c r="W2207" s="277"/>
      <c r="X2207" s="277"/>
      <c r="Y2207" s="277"/>
      <c r="Z2207" s="277"/>
      <c r="AA2207" s="277"/>
      <c r="AB2207" s="277"/>
      <c r="AC2207" s="277"/>
      <c r="AD2207" s="277"/>
      <c r="AE2207" s="277"/>
      <c r="AF2207" s="277"/>
      <c r="AG2207" s="277"/>
      <c r="AH2207" s="277"/>
      <c r="AI2207" s="277"/>
    </row>
    <row r="2208" spans="16:35" s="185" customFormat="1">
      <c r="P2208" s="277"/>
      <c r="Q2208" s="277"/>
      <c r="R2208" s="277"/>
      <c r="S2208" s="291">
        <v>43754</v>
      </c>
      <c r="T2208" s="279">
        <v>2115</v>
      </c>
      <c r="U2208" s="277"/>
      <c r="V2208" s="277"/>
      <c r="W2208" s="277"/>
      <c r="X2208" s="277"/>
      <c r="Y2208" s="277"/>
      <c r="Z2208" s="277"/>
      <c r="AA2208" s="277"/>
      <c r="AB2208" s="277"/>
      <c r="AC2208" s="277"/>
      <c r="AD2208" s="277"/>
      <c r="AE2208" s="277"/>
      <c r="AF2208" s="277"/>
      <c r="AG2208" s="277"/>
      <c r="AH2208" s="277"/>
      <c r="AI2208" s="277"/>
    </row>
    <row r="2209" spans="16:35" s="185" customFormat="1">
      <c r="P2209" s="277"/>
      <c r="Q2209" s="277"/>
      <c r="R2209" s="277"/>
      <c r="S2209" s="291">
        <v>43755</v>
      </c>
      <c r="T2209" s="279">
        <v>2116</v>
      </c>
      <c r="U2209" s="277"/>
      <c r="V2209" s="277"/>
      <c r="W2209" s="277"/>
      <c r="X2209" s="277"/>
      <c r="Y2209" s="277"/>
      <c r="Z2209" s="277"/>
      <c r="AA2209" s="277"/>
      <c r="AB2209" s="277"/>
      <c r="AC2209" s="277"/>
      <c r="AD2209" s="277"/>
      <c r="AE2209" s="277"/>
      <c r="AF2209" s="277"/>
      <c r="AG2209" s="277"/>
      <c r="AH2209" s="277"/>
      <c r="AI2209" s="277"/>
    </row>
    <row r="2210" spans="16:35" s="185" customFormat="1">
      <c r="P2210" s="277"/>
      <c r="Q2210" s="277"/>
      <c r="R2210" s="277"/>
      <c r="S2210" s="291">
        <v>43756</v>
      </c>
      <c r="T2210" s="279">
        <v>2117</v>
      </c>
      <c r="U2210" s="277"/>
      <c r="V2210" s="277"/>
      <c r="W2210" s="277"/>
      <c r="X2210" s="277"/>
      <c r="Y2210" s="277"/>
      <c r="Z2210" s="277"/>
      <c r="AA2210" s="277"/>
      <c r="AB2210" s="277"/>
      <c r="AC2210" s="277"/>
      <c r="AD2210" s="277"/>
      <c r="AE2210" s="277"/>
      <c r="AF2210" s="277"/>
      <c r="AG2210" s="277"/>
      <c r="AH2210" s="277"/>
      <c r="AI2210" s="277"/>
    </row>
    <row r="2211" spans="16:35" s="185" customFormat="1">
      <c r="P2211" s="277"/>
      <c r="Q2211" s="277"/>
      <c r="R2211" s="277"/>
      <c r="S2211" s="291">
        <v>43757</v>
      </c>
      <c r="T2211" s="279">
        <v>2118</v>
      </c>
      <c r="U2211" s="277"/>
      <c r="V2211" s="277"/>
      <c r="W2211" s="277"/>
      <c r="X2211" s="277"/>
      <c r="Y2211" s="277"/>
      <c r="Z2211" s="277"/>
      <c r="AA2211" s="277"/>
      <c r="AB2211" s="277"/>
      <c r="AC2211" s="277"/>
      <c r="AD2211" s="277"/>
      <c r="AE2211" s="277"/>
      <c r="AF2211" s="277"/>
      <c r="AG2211" s="277"/>
      <c r="AH2211" s="277"/>
      <c r="AI2211" s="277"/>
    </row>
    <row r="2212" spans="16:35" s="185" customFormat="1">
      <c r="P2212" s="277"/>
      <c r="Q2212" s="277"/>
      <c r="R2212" s="277"/>
      <c r="S2212" s="291">
        <v>43758</v>
      </c>
      <c r="T2212" s="279">
        <v>2119</v>
      </c>
      <c r="U2212" s="277"/>
      <c r="V2212" s="277"/>
      <c r="W2212" s="277"/>
      <c r="X2212" s="277"/>
      <c r="Y2212" s="277"/>
      <c r="Z2212" s="277"/>
      <c r="AA2212" s="277"/>
      <c r="AB2212" s="277"/>
      <c r="AC2212" s="277"/>
      <c r="AD2212" s="277"/>
      <c r="AE2212" s="277"/>
      <c r="AF2212" s="277"/>
      <c r="AG2212" s="277"/>
      <c r="AH2212" s="277"/>
      <c r="AI2212" s="277"/>
    </row>
    <row r="2213" spans="16:35" s="185" customFormat="1">
      <c r="P2213" s="277"/>
      <c r="Q2213" s="277"/>
      <c r="R2213" s="277"/>
      <c r="S2213" s="291">
        <v>43759</v>
      </c>
      <c r="T2213" s="279">
        <v>2120</v>
      </c>
      <c r="U2213" s="277"/>
      <c r="V2213" s="277"/>
      <c r="W2213" s="277"/>
      <c r="X2213" s="277"/>
      <c r="Y2213" s="277"/>
      <c r="Z2213" s="277"/>
      <c r="AA2213" s="277"/>
      <c r="AB2213" s="277"/>
      <c r="AC2213" s="277"/>
      <c r="AD2213" s="277"/>
      <c r="AE2213" s="277"/>
      <c r="AF2213" s="277"/>
      <c r="AG2213" s="277"/>
      <c r="AH2213" s="277"/>
      <c r="AI2213" s="277"/>
    </row>
    <row r="2214" spans="16:35" s="185" customFormat="1">
      <c r="P2214" s="277"/>
      <c r="Q2214" s="277"/>
      <c r="R2214" s="277"/>
      <c r="S2214" s="291">
        <v>43760</v>
      </c>
      <c r="T2214" s="279">
        <v>2121</v>
      </c>
      <c r="U2214" s="277"/>
      <c r="V2214" s="277"/>
      <c r="W2214" s="277"/>
      <c r="X2214" s="277"/>
      <c r="Y2214" s="277"/>
      <c r="Z2214" s="277"/>
      <c r="AA2214" s="277"/>
      <c r="AB2214" s="277"/>
      <c r="AC2214" s="277"/>
      <c r="AD2214" s="277"/>
      <c r="AE2214" s="277"/>
      <c r="AF2214" s="277"/>
      <c r="AG2214" s="277"/>
      <c r="AH2214" s="277"/>
      <c r="AI2214" s="277"/>
    </row>
    <row r="2215" spans="16:35" s="185" customFormat="1">
      <c r="P2215" s="277"/>
      <c r="Q2215" s="277"/>
      <c r="R2215" s="277"/>
      <c r="S2215" s="291">
        <v>43761</v>
      </c>
      <c r="T2215" s="279">
        <v>2122</v>
      </c>
      <c r="U2215" s="277"/>
      <c r="V2215" s="277"/>
      <c r="W2215" s="277"/>
      <c r="X2215" s="277"/>
      <c r="Y2215" s="277"/>
      <c r="Z2215" s="277"/>
      <c r="AA2215" s="277"/>
      <c r="AB2215" s="277"/>
      <c r="AC2215" s="277"/>
      <c r="AD2215" s="277"/>
      <c r="AE2215" s="277"/>
      <c r="AF2215" s="277"/>
      <c r="AG2215" s="277"/>
      <c r="AH2215" s="277"/>
      <c r="AI2215" s="277"/>
    </row>
    <row r="2216" spans="16:35" s="185" customFormat="1">
      <c r="P2216" s="277"/>
      <c r="Q2216" s="277"/>
      <c r="R2216" s="277"/>
      <c r="S2216" s="291">
        <v>43762</v>
      </c>
      <c r="T2216" s="279">
        <v>2123</v>
      </c>
      <c r="U2216" s="277"/>
      <c r="V2216" s="277"/>
      <c r="W2216" s="277"/>
      <c r="X2216" s="277"/>
      <c r="Y2216" s="277"/>
      <c r="Z2216" s="277"/>
      <c r="AA2216" s="277"/>
      <c r="AB2216" s="277"/>
      <c r="AC2216" s="277"/>
      <c r="AD2216" s="277"/>
      <c r="AE2216" s="277"/>
      <c r="AF2216" s="277"/>
      <c r="AG2216" s="277"/>
      <c r="AH2216" s="277"/>
      <c r="AI2216" s="277"/>
    </row>
    <row r="2217" spans="16:35" s="185" customFormat="1">
      <c r="P2217" s="277"/>
      <c r="Q2217" s="277"/>
      <c r="R2217" s="277"/>
      <c r="S2217" s="291">
        <v>43763</v>
      </c>
      <c r="T2217" s="279">
        <v>2124</v>
      </c>
      <c r="U2217" s="277"/>
      <c r="V2217" s="277"/>
      <c r="W2217" s="277"/>
      <c r="X2217" s="277"/>
      <c r="Y2217" s="277"/>
      <c r="Z2217" s="277"/>
      <c r="AA2217" s="277"/>
      <c r="AB2217" s="277"/>
      <c r="AC2217" s="277"/>
      <c r="AD2217" s="277"/>
      <c r="AE2217" s="277"/>
      <c r="AF2217" s="277"/>
      <c r="AG2217" s="277"/>
      <c r="AH2217" s="277"/>
      <c r="AI2217" s="277"/>
    </row>
    <row r="2218" spans="16:35" s="185" customFormat="1">
      <c r="P2218" s="277"/>
      <c r="Q2218" s="277"/>
      <c r="R2218" s="277"/>
      <c r="S2218" s="291">
        <v>43764</v>
      </c>
      <c r="T2218" s="279">
        <v>2125</v>
      </c>
      <c r="U2218" s="277"/>
      <c r="V2218" s="277"/>
      <c r="W2218" s="277"/>
      <c r="X2218" s="277"/>
      <c r="Y2218" s="277"/>
      <c r="Z2218" s="277"/>
      <c r="AA2218" s="277"/>
      <c r="AB2218" s="277"/>
      <c r="AC2218" s="277"/>
      <c r="AD2218" s="277"/>
      <c r="AE2218" s="277"/>
      <c r="AF2218" s="277"/>
      <c r="AG2218" s="277"/>
      <c r="AH2218" s="277"/>
      <c r="AI2218" s="277"/>
    </row>
    <row r="2219" spans="16:35" s="185" customFormat="1">
      <c r="P2219" s="277"/>
      <c r="Q2219" s="277"/>
      <c r="R2219" s="277"/>
      <c r="S2219" s="291">
        <v>43765</v>
      </c>
      <c r="T2219" s="279">
        <v>2126</v>
      </c>
      <c r="U2219" s="277"/>
      <c r="V2219" s="277"/>
      <c r="W2219" s="277"/>
      <c r="X2219" s="277"/>
      <c r="Y2219" s="277"/>
      <c r="Z2219" s="277"/>
      <c r="AA2219" s="277"/>
      <c r="AB2219" s="277"/>
      <c r="AC2219" s="277"/>
      <c r="AD2219" s="277"/>
      <c r="AE2219" s="277"/>
      <c r="AF2219" s="277"/>
      <c r="AG2219" s="277"/>
      <c r="AH2219" s="277"/>
      <c r="AI2219" s="277"/>
    </row>
    <row r="2220" spans="16:35" s="185" customFormat="1">
      <c r="P2220" s="277"/>
      <c r="Q2220" s="277"/>
      <c r="R2220" s="277"/>
      <c r="S2220" s="291">
        <v>43766</v>
      </c>
      <c r="T2220" s="279">
        <v>2127</v>
      </c>
      <c r="U2220" s="277"/>
      <c r="V2220" s="277"/>
      <c r="W2220" s="277"/>
      <c r="X2220" s="277"/>
      <c r="Y2220" s="277"/>
      <c r="Z2220" s="277"/>
      <c r="AA2220" s="277"/>
      <c r="AB2220" s="277"/>
      <c r="AC2220" s="277"/>
      <c r="AD2220" s="277"/>
      <c r="AE2220" s="277"/>
      <c r="AF2220" s="277"/>
      <c r="AG2220" s="277"/>
      <c r="AH2220" s="277"/>
      <c r="AI2220" s="277"/>
    </row>
    <row r="2221" spans="16:35" s="185" customFormat="1">
      <c r="P2221" s="277"/>
      <c r="Q2221" s="277"/>
      <c r="R2221" s="277"/>
      <c r="S2221" s="291">
        <v>43767</v>
      </c>
      <c r="T2221" s="279">
        <v>2128</v>
      </c>
      <c r="U2221" s="277"/>
      <c r="V2221" s="277"/>
      <c r="W2221" s="277"/>
      <c r="X2221" s="277"/>
      <c r="Y2221" s="277"/>
      <c r="Z2221" s="277"/>
      <c r="AA2221" s="277"/>
      <c r="AB2221" s="277"/>
      <c r="AC2221" s="277"/>
      <c r="AD2221" s="277"/>
      <c r="AE2221" s="277"/>
      <c r="AF2221" s="277"/>
      <c r="AG2221" s="277"/>
      <c r="AH2221" s="277"/>
      <c r="AI2221" s="277"/>
    </row>
    <row r="2222" spans="16:35" s="185" customFormat="1">
      <c r="P2222" s="277"/>
      <c r="Q2222" s="277"/>
      <c r="R2222" s="277"/>
      <c r="S2222" s="291">
        <v>43768</v>
      </c>
      <c r="T2222" s="279">
        <v>2129</v>
      </c>
      <c r="U2222" s="277"/>
      <c r="V2222" s="277"/>
      <c r="W2222" s="277"/>
      <c r="X2222" s="277"/>
      <c r="Y2222" s="277"/>
      <c r="Z2222" s="277"/>
      <c r="AA2222" s="277"/>
      <c r="AB2222" s="277"/>
      <c r="AC2222" s="277"/>
      <c r="AD2222" s="277"/>
      <c r="AE2222" s="277"/>
      <c r="AF2222" s="277"/>
      <c r="AG2222" s="277"/>
      <c r="AH2222" s="277"/>
      <c r="AI2222" s="277"/>
    </row>
    <row r="2223" spans="16:35" s="185" customFormat="1">
      <c r="P2223" s="277"/>
      <c r="Q2223" s="277"/>
      <c r="R2223" s="277"/>
      <c r="S2223" s="291">
        <v>43769</v>
      </c>
      <c r="T2223" s="279">
        <v>2130</v>
      </c>
      <c r="U2223" s="277"/>
      <c r="V2223" s="277"/>
      <c r="W2223" s="277"/>
      <c r="X2223" s="277"/>
      <c r="Y2223" s="277"/>
      <c r="Z2223" s="277"/>
      <c r="AA2223" s="277"/>
      <c r="AB2223" s="277"/>
      <c r="AC2223" s="277"/>
      <c r="AD2223" s="277"/>
      <c r="AE2223" s="277"/>
      <c r="AF2223" s="277"/>
      <c r="AG2223" s="277"/>
      <c r="AH2223" s="277"/>
      <c r="AI2223" s="277"/>
    </row>
    <row r="2224" spans="16:35" s="185" customFormat="1">
      <c r="P2224" s="277"/>
      <c r="Q2224" s="277"/>
      <c r="R2224" s="277"/>
      <c r="S2224" s="291">
        <v>43770</v>
      </c>
      <c r="T2224" s="279">
        <v>2131</v>
      </c>
      <c r="U2224" s="277"/>
      <c r="V2224" s="277"/>
      <c r="W2224" s="277"/>
      <c r="X2224" s="277"/>
      <c r="Y2224" s="277"/>
      <c r="Z2224" s="277"/>
      <c r="AA2224" s="277"/>
      <c r="AB2224" s="277"/>
      <c r="AC2224" s="277"/>
      <c r="AD2224" s="277"/>
      <c r="AE2224" s="277"/>
      <c r="AF2224" s="277"/>
      <c r="AG2224" s="277"/>
      <c r="AH2224" s="277"/>
      <c r="AI2224" s="277"/>
    </row>
    <row r="2225" spans="16:35" s="185" customFormat="1">
      <c r="P2225" s="277"/>
      <c r="Q2225" s="277"/>
      <c r="R2225" s="277"/>
      <c r="S2225" s="291">
        <v>43771</v>
      </c>
      <c r="T2225" s="279">
        <v>2132</v>
      </c>
      <c r="U2225" s="277"/>
      <c r="V2225" s="277"/>
      <c r="W2225" s="277"/>
      <c r="X2225" s="277"/>
      <c r="Y2225" s="277"/>
      <c r="Z2225" s="277"/>
      <c r="AA2225" s="277"/>
      <c r="AB2225" s="277"/>
      <c r="AC2225" s="277"/>
      <c r="AD2225" s="277"/>
      <c r="AE2225" s="277"/>
      <c r="AF2225" s="277"/>
      <c r="AG2225" s="277"/>
      <c r="AH2225" s="277"/>
      <c r="AI2225" s="277"/>
    </row>
    <row r="2226" spans="16:35" s="185" customFormat="1">
      <c r="P2226" s="277"/>
      <c r="Q2226" s="277"/>
      <c r="R2226" s="277"/>
      <c r="S2226" s="291">
        <v>43772</v>
      </c>
      <c r="T2226" s="279">
        <v>2133</v>
      </c>
      <c r="U2226" s="277"/>
      <c r="V2226" s="277"/>
      <c r="W2226" s="277"/>
      <c r="X2226" s="277"/>
      <c r="Y2226" s="277"/>
      <c r="Z2226" s="277"/>
      <c r="AA2226" s="277"/>
      <c r="AB2226" s="277"/>
      <c r="AC2226" s="277"/>
      <c r="AD2226" s="277"/>
      <c r="AE2226" s="277"/>
      <c r="AF2226" s="277"/>
      <c r="AG2226" s="277"/>
      <c r="AH2226" s="277"/>
      <c r="AI2226" s="277"/>
    </row>
    <row r="2227" spans="16:35" s="185" customFormat="1">
      <c r="P2227" s="277"/>
      <c r="Q2227" s="277"/>
      <c r="R2227" s="277"/>
      <c r="S2227" s="291">
        <v>43773</v>
      </c>
      <c r="T2227" s="279">
        <v>2134</v>
      </c>
      <c r="U2227" s="277"/>
      <c r="V2227" s="277"/>
      <c r="W2227" s="277"/>
      <c r="X2227" s="277"/>
      <c r="Y2227" s="277"/>
      <c r="Z2227" s="277"/>
      <c r="AA2227" s="277"/>
      <c r="AB2227" s="277"/>
      <c r="AC2227" s="277"/>
      <c r="AD2227" s="277"/>
      <c r="AE2227" s="277"/>
      <c r="AF2227" s="277"/>
      <c r="AG2227" s="277"/>
      <c r="AH2227" s="277"/>
      <c r="AI2227" s="277"/>
    </row>
    <row r="2228" spans="16:35" s="185" customFormat="1">
      <c r="P2228" s="277"/>
      <c r="Q2228" s="277"/>
      <c r="R2228" s="277"/>
      <c r="S2228" s="291">
        <v>43774</v>
      </c>
      <c r="T2228" s="279">
        <v>2135</v>
      </c>
      <c r="U2228" s="277"/>
      <c r="V2228" s="277"/>
      <c r="W2228" s="277"/>
      <c r="X2228" s="277"/>
      <c r="Y2228" s="277"/>
      <c r="Z2228" s="277"/>
      <c r="AA2228" s="277"/>
      <c r="AB2228" s="277"/>
      <c r="AC2228" s="277"/>
      <c r="AD2228" s="277"/>
      <c r="AE2228" s="277"/>
      <c r="AF2228" s="277"/>
      <c r="AG2228" s="277"/>
      <c r="AH2228" s="277"/>
      <c r="AI2228" s="277"/>
    </row>
    <row r="2229" spans="16:35" s="185" customFormat="1">
      <c r="P2229" s="277"/>
      <c r="Q2229" s="277"/>
      <c r="R2229" s="277"/>
      <c r="S2229" s="291">
        <v>43775</v>
      </c>
      <c r="T2229" s="279">
        <v>2136</v>
      </c>
      <c r="U2229" s="277"/>
      <c r="V2229" s="277"/>
      <c r="W2229" s="277"/>
      <c r="X2229" s="277"/>
      <c r="Y2229" s="277"/>
      <c r="Z2229" s="277"/>
      <c r="AA2229" s="277"/>
      <c r="AB2229" s="277"/>
      <c r="AC2229" s="277"/>
      <c r="AD2229" s="277"/>
      <c r="AE2229" s="277"/>
      <c r="AF2229" s="277"/>
      <c r="AG2229" s="277"/>
      <c r="AH2229" s="277"/>
      <c r="AI2229" s="277"/>
    </row>
    <row r="2230" spans="16:35" s="185" customFormat="1">
      <c r="P2230" s="277"/>
      <c r="Q2230" s="277"/>
      <c r="R2230" s="277"/>
      <c r="S2230" s="291">
        <v>43776</v>
      </c>
      <c r="T2230" s="279">
        <v>2137</v>
      </c>
      <c r="U2230" s="277"/>
      <c r="V2230" s="277"/>
      <c r="W2230" s="277"/>
      <c r="X2230" s="277"/>
      <c r="Y2230" s="277"/>
      <c r="Z2230" s="277"/>
      <c r="AA2230" s="277"/>
      <c r="AB2230" s="277"/>
      <c r="AC2230" s="277"/>
      <c r="AD2230" s="277"/>
      <c r="AE2230" s="277"/>
      <c r="AF2230" s="277"/>
      <c r="AG2230" s="277"/>
      <c r="AH2230" s="277"/>
      <c r="AI2230" s="277"/>
    </row>
    <row r="2231" spans="16:35" s="185" customFormat="1">
      <c r="P2231" s="277"/>
      <c r="Q2231" s="277"/>
      <c r="R2231" s="277"/>
      <c r="S2231" s="291">
        <v>43777</v>
      </c>
      <c r="T2231" s="279">
        <v>2138</v>
      </c>
      <c r="U2231" s="277"/>
      <c r="V2231" s="277"/>
      <c r="W2231" s="277"/>
      <c r="X2231" s="277"/>
      <c r="Y2231" s="277"/>
      <c r="Z2231" s="277"/>
      <c r="AA2231" s="277"/>
      <c r="AB2231" s="277"/>
      <c r="AC2231" s="277"/>
      <c r="AD2231" s="277"/>
      <c r="AE2231" s="277"/>
      <c r="AF2231" s="277"/>
      <c r="AG2231" s="277"/>
      <c r="AH2231" s="277"/>
      <c r="AI2231" s="277"/>
    </row>
    <row r="2232" spans="16:35" s="185" customFormat="1">
      <c r="P2232" s="277"/>
      <c r="Q2232" s="277"/>
      <c r="R2232" s="277"/>
      <c r="S2232" s="291">
        <v>43778</v>
      </c>
      <c r="T2232" s="279">
        <v>2139</v>
      </c>
      <c r="U2232" s="277"/>
      <c r="V2232" s="277"/>
      <c r="W2232" s="277"/>
      <c r="X2232" s="277"/>
      <c r="Y2232" s="277"/>
      <c r="Z2232" s="277"/>
      <c r="AA2232" s="277"/>
      <c r="AB2232" s="277"/>
      <c r="AC2232" s="277"/>
      <c r="AD2232" s="277"/>
      <c r="AE2232" s="277"/>
      <c r="AF2232" s="277"/>
      <c r="AG2232" s="277"/>
      <c r="AH2232" s="277"/>
      <c r="AI2232" s="277"/>
    </row>
    <row r="2233" spans="16:35" s="185" customFormat="1">
      <c r="P2233" s="277"/>
      <c r="Q2233" s="277"/>
      <c r="R2233" s="277"/>
      <c r="S2233" s="291">
        <v>43779</v>
      </c>
      <c r="T2233" s="279">
        <v>2140</v>
      </c>
      <c r="U2233" s="277"/>
      <c r="V2233" s="277"/>
      <c r="W2233" s="277"/>
      <c r="X2233" s="277"/>
      <c r="Y2233" s="277"/>
      <c r="Z2233" s="277"/>
      <c r="AA2233" s="277"/>
      <c r="AB2233" s="277"/>
      <c r="AC2233" s="277"/>
      <c r="AD2233" s="277"/>
      <c r="AE2233" s="277"/>
      <c r="AF2233" s="277"/>
      <c r="AG2233" s="277"/>
      <c r="AH2233" s="277"/>
      <c r="AI2233" s="277"/>
    </row>
    <row r="2234" spans="16:35" s="185" customFormat="1">
      <c r="P2234" s="277"/>
      <c r="Q2234" s="277"/>
      <c r="R2234" s="277"/>
      <c r="S2234" s="291">
        <v>43780</v>
      </c>
      <c r="T2234" s="279">
        <v>2141</v>
      </c>
      <c r="U2234" s="277"/>
      <c r="V2234" s="277"/>
      <c r="W2234" s="277"/>
      <c r="X2234" s="277"/>
      <c r="Y2234" s="277"/>
      <c r="Z2234" s="277"/>
      <c r="AA2234" s="277"/>
      <c r="AB2234" s="277"/>
      <c r="AC2234" s="277"/>
      <c r="AD2234" s="277"/>
      <c r="AE2234" s="277"/>
      <c r="AF2234" s="277"/>
      <c r="AG2234" s="277"/>
      <c r="AH2234" s="277"/>
      <c r="AI2234" s="277"/>
    </row>
    <row r="2235" spans="16:35" s="185" customFormat="1">
      <c r="P2235" s="277"/>
      <c r="Q2235" s="277"/>
      <c r="R2235" s="277"/>
      <c r="S2235" s="291">
        <v>43781</v>
      </c>
      <c r="T2235" s="279">
        <v>2142</v>
      </c>
      <c r="U2235" s="277"/>
      <c r="V2235" s="277"/>
      <c r="W2235" s="277"/>
      <c r="X2235" s="277"/>
      <c r="Y2235" s="277"/>
      <c r="Z2235" s="277"/>
      <c r="AA2235" s="277"/>
      <c r="AB2235" s="277"/>
      <c r="AC2235" s="277"/>
      <c r="AD2235" s="277"/>
      <c r="AE2235" s="277"/>
      <c r="AF2235" s="277"/>
      <c r="AG2235" s="277"/>
      <c r="AH2235" s="277"/>
      <c r="AI2235" s="277"/>
    </row>
    <row r="2236" spans="16:35" s="185" customFormat="1">
      <c r="P2236" s="277"/>
      <c r="Q2236" s="277"/>
      <c r="R2236" s="277"/>
      <c r="S2236" s="291">
        <v>43782</v>
      </c>
      <c r="T2236" s="279">
        <v>2143</v>
      </c>
      <c r="U2236" s="277"/>
      <c r="V2236" s="277"/>
      <c r="W2236" s="277"/>
      <c r="X2236" s="277"/>
      <c r="Y2236" s="277"/>
      <c r="Z2236" s="277"/>
      <c r="AA2236" s="277"/>
      <c r="AB2236" s="277"/>
      <c r="AC2236" s="277"/>
      <c r="AD2236" s="277"/>
      <c r="AE2236" s="277"/>
      <c r="AF2236" s="277"/>
      <c r="AG2236" s="277"/>
      <c r="AH2236" s="277"/>
      <c r="AI2236" s="277"/>
    </row>
    <row r="2237" spans="16:35" s="185" customFormat="1">
      <c r="P2237" s="277"/>
      <c r="Q2237" s="277"/>
      <c r="R2237" s="277"/>
      <c r="S2237" s="291">
        <v>43783</v>
      </c>
      <c r="T2237" s="279">
        <v>2144</v>
      </c>
      <c r="U2237" s="277"/>
      <c r="V2237" s="277"/>
      <c r="W2237" s="277"/>
      <c r="X2237" s="277"/>
      <c r="Y2237" s="277"/>
      <c r="Z2237" s="277"/>
      <c r="AA2237" s="277"/>
      <c r="AB2237" s="277"/>
      <c r="AC2237" s="277"/>
      <c r="AD2237" s="277"/>
      <c r="AE2237" s="277"/>
      <c r="AF2237" s="277"/>
      <c r="AG2237" s="277"/>
      <c r="AH2237" s="277"/>
      <c r="AI2237" s="277"/>
    </row>
    <row r="2238" spans="16:35" s="185" customFormat="1">
      <c r="P2238" s="277"/>
      <c r="Q2238" s="277"/>
      <c r="R2238" s="277"/>
      <c r="S2238" s="291">
        <v>43784</v>
      </c>
      <c r="T2238" s="279">
        <v>2145</v>
      </c>
      <c r="U2238" s="277"/>
      <c r="V2238" s="277"/>
      <c r="W2238" s="277"/>
      <c r="X2238" s="277"/>
      <c r="Y2238" s="277"/>
      <c r="Z2238" s="277"/>
      <c r="AA2238" s="277"/>
      <c r="AB2238" s="277"/>
      <c r="AC2238" s="277"/>
      <c r="AD2238" s="277"/>
      <c r="AE2238" s="277"/>
      <c r="AF2238" s="277"/>
      <c r="AG2238" s="277"/>
      <c r="AH2238" s="277"/>
      <c r="AI2238" s="277"/>
    </row>
    <row r="2239" spans="16:35" s="185" customFormat="1">
      <c r="P2239" s="277"/>
      <c r="Q2239" s="277"/>
      <c r="R2239" s="277"/>
      <c r="S2239" s="291">
        <v>43785</v>
      </c>
      <c r="T2239" s="279">
        <v>2146</v>
      </c>
      <c r="U2239" s="277"/>
      <c r="V2239" s="277"/>
      <c r="W2239" s="277"/>
      <c r="X2239" s="277"/>
      <c r="Y2239" s="277"/>
      <c r="Z2239" s="277"/>
      <c r="AA2239" s="277"/>
      <c r="AB2239" s="277"/>
      <c r="AC2239" s="277"/>
      <c r="AD2239" s="277"/>
      <c r="AE2239" s="277"/>
      <c r="AF2239" s="277"/>
      <c r="AG2239" s="277"/>
      <c r="AH2239" s="277"/>
      <c r="AI2239" s="277"/>
    </row>
    <row r="2240" spans="16:35" s="185" customFormat="1">
      <c r="P2240" s="277"/>
      <c r="Q2240" s="277"/>
      <c r="R2240" s="277"/>
      <c r="S2240" s="291">
        <v>43786</v>
      </c>
      <c r="T2240" s="279">
        <v>2147</v>
      </c>
      <c r="U2240" s="277"/>
      <c r="V2240" s="277"/>
      <c r="W2240" s="277"/>
      <c r="X2240" s="277"/>
      <c r="Y2240" s="277"/>
      <c r="Z2240" s="277"/>
      <c r="AA2240" s="277"/>
      <c r="AB2240" s="277"/>
      <c r="AC2240" s="277"/>
      <c r="AD2240" s="277"/>
      <c r="AE2240" s="277"/>
      <c r="AF2240" s="277"/>
      <c r="AG2240" s="277"/>
      <c r="AH2240" s="277"/>
      <c r="AI2240" s="277"/>
    </row>
    <row r="2241" spans="16:35" s="185" customFormat="1">
      <c r="P2241" s="277"/>
      <c r="Q2241" s="277"/>
      <c r="R2241" s="277"/>
      <c r="S2241" s="291">
        <v>43787</v>
      </c>
      <c r="T2241" s="279">
        <v>2148</v>
      </c>
      <c r="U2241" s="277"/>
      <c r="V2241" s="277"/>
      <c r="W2241" s="277"/>
      <c r="X2241" s="277"/>
      <c r="Y2241" s="277"/>
      <c r="Z2241" s="277"/>
      <c r="AA2241" s="277"/>
      <c r="AB2241" s="277"/>
      <c r="AC2241" s="277"/>
      <c r="AD2241" s="277"/>
      <c r="AE2241" s="277"/>
      <c r="AF2241" s="277"/>
      <c r="AG2241" s="277"/>
      <c r="AH2241" s="277"/>
      <c r="AI2241" s="277"/>
    </row>
    <row r="2242" spans="16:35" s="185" customFormat="1">
      <c r="P2242" s="277"/>
      <c r="Q2242" s="277"/>
      <c r="R2242" s="277"/>
      <c r="S2242" s="291">
        <v>43788</v>
      </c>
      <c r="T2242" s="279">
        <v>2149</v>
      </c>
      <c r="U2242" s="277"/>
      <c r="V2242" s="277"/>
      <c r="W2242" s="277"/>
      <c r="X2242" s="277"/>
      <c r="Y2242" s="277"/>
      <c r="Z2242" s="277"/>
      <c r="AA2242" s="277"/>
      <c r="AB2242" s="277"/>
      <c r="AC2242" s="277"/>
      <c r="AD2242" s="277"/>
      <c r="AE2242" s="277"/>
      <c r="AF2242" s="277"/>
      <c r="AG2242" s="277"/>
      <c r="AH2242" s="277"/>
      <c r="AI2242" s="277"/>
    </row>
    <row r="2243" spans="16:35" s="185" customFormat="1">
      <c r="P2243" s="277"/>
      <c r="Q2243" s="277"/>
      <c r="R2243" s="277"/>
      <c r="S2243" s="291">
        <v>43789</v>
      </c>
      <c r="T2243" s="279">
        <v>2150</v>
      </c>
      <c r="U2243" s="277"/>
      <c r="V2243" s="277"/>
      <c r="W2243" s="277"/>
      <c r="X2243" s="277"/>
      <c r="Y2243" s="277"/>
      <c r="Z2243" s="277"/>
      <c r="AA2243" s="277"/>
      <c r="AB2243" s="277"/>
      <c r="AC2243" s="277"/>
      <c r="AD2243" s="277"/>
      <c r="AE2243" s="277"/>
      <c r="AF2243" s="277"/>
      <c r="AG2243" s="277"/>
      <c r="AH2243" s="277"/>
      <c r="AI2243" s="277"/>
    </row>
    <row r="2244" spans="16:35" s="185" customFormat="1">
      <c r="P2244" s="277"/>
      <c r="Q2244" s="277"/>
      <c r="R2244" s="277"/>
      <c r="S2244" s="291">
        <v>43790</v>
      </c>
      <c r="T2244" s="279">
        <v>2151</v>
      </c>
      <c r="U2244" s="277"/>
      <c r="V2244" s="277"/>
      <c r="W2244" s="277"/>
      <c r="X2244" s="277"/>
      <c r="Y2244" s="277"/>
      <c r="Z2244" s="277"/>
      <c r="AA2244" s="277"/>
      <c r="AB2244" s="277"/>
      <c r="AC2244" s="277"/>
      <c r="AD2244" s="277"/>
      <c r="AE2244" s="277"/>
      <c r="AF2244" s="277"/>
      <c r="AG2244" s="277"/>
      <c r="AH2244" s="277"/>
      <c r="AI2244" s="277"/>
    </row>
    <row r="2245" spans="16:35" s="185" customFormat="1">
      <c r="P2245" s="277"/>
      <c r="Q2245" s="277"/>
      <c r="R2245" s="277"/>
      <c r="S2245" s="291">
        <v>43791</v>
      </c>
      <c r="T2245" s="279">
        <v>2152</v>
      </c>
      <c r="U2245" s="277"/>
      <c r="V2245" s="277"/>
      <c r="W2245" s="277"/>
      <c r="X2245" s="277"/>
      <c r="Y2245" s="277"/>
      <c r="Z2245" s="277"/>
      <c r="AA2245" s="277"/>
      <c r="AB2245" s="277"/>
      <c r="AC2245" s="277"/>
      <c r="AD2245" s="277"/>
      <c r="AE2245" s="277"/>
      <c r="AF2245" s="277"/>
      <c r="AG2245" s="277"/>
      <c r="AH2245" s="277"/>
      <c r="AI2245" s="277"/>
    </row>
    <row r="2246" spans="16:35" s="185" customFormat="1">
      <c r="P2246" s="277"/>
      <c r="Q2246" s="277"/>
      <c r="R2246" s="277"/>
      <c r="S2246" s="291">
        <v>43792</v>
      </c>
      <c r="T2246" s="279">
        <v>2153</v>
      </c>
      <c r="U2246" s="277"/>
      <c r="V2246" s="277"/>
      <c r="W2246" s="277"/>
      <c r="X2246" s="277"/>
      <c r="Y2246" s="277"/>
      <c r="Z2246" s="277"/>
      <c r="AA2246" s="277"/>
      <c r="AB2246" s="277"/>
      <c r="AC2246" s="277"/>
      <c r="AD2246" s="277"/>
      <c r="AE2246" s="277"/>
      <c r="AF2246" s="277"/>
      <c r="AG2246" s="277"/>
      <c r="AH2246" s="277"/>
      <c r="AI2246" s="277"/>
    </row>
    <row r="2247" spans="16:35" s="185" customFormat="1">
      <c r="P2247" s="277"/>
      <c r="Q2247" s="277"/>
      <c r="R2247" s="277"/>
      <c r="S2247" s="291">
        <v>43793</v>
      </c>
      <c r="T2247" s="279">
        <v>2154</v>
      </c>
      <c r="U2247" s="277"/>
      <c r="V2247" s="277"/>
      <c r="W2247" s="277"/>
      <c r="X2247" s="277"/>
      <c r="Y2247" s="277"/>
      <c r="Z2247" s="277"/>
      <c r="AA2247" s="277"/>
      <c r="AB2247" s="277"/>
      <c r="AC2247" s="277"/>
      <c r="AD2247" s="277"/>
      <c r="AE2247" s="277"/>
      <c r="AF2247" s="277"/>
      <c r="AG2247" s="277"/>
      <c r="AH2247" s="277"/>
      <c r="AI2247" s="277"/>
    </row>
    <row r="2248" spans="16:35" s="185" customFormat="1">
      <c r="P2248" s="277"/>
      <c r="Q2248" s="277"/>
      <c r="R2248" s="277"/>
      <c r="S2248" s="291">
        <v>43794</v>
      </c>
      <c r="T2248" s="279">
        <v>2155</v>
      </c>
      <c r="U2248" s="277"/>
      <c r="V2248" s="277"/>
      <c r="W2248" s="277"/>
      <c r="X2248" s="277"/>
      <c r="Y2248" s="277"/>
      <c r="Z2248" s="277"/>
      <c r="AA2248" s="277"/>
      <c r="AB2248" s="277"/>
      <c r="AC2248" s="277"/>
      <c r="AD2248" s="277"/>
      <c r="AE2248" s="277"/>
      <c r="AF2248" s="277"/>
      <c r="AG2248" s="277"/>
      <c r="AH2248" s="277"/>
      <c r="AI2248" s="277"/>
    </row>
    <row r="2249" spans="16:35" s="185" customFormat="1">
      <c r="P2249" s="277"/>
      <c r="Q2249" s="277"/>
      <c r="R2249" s="277"/>
      <c r="S2249" s="291">
        <v>43795</v>
      </c>
      <c r="T2249" s="279">
        <v>2156</v>
      </c>
      <c r="U2249" s="277"/>
      <c r="V2249" s="277"/>
      <c r="W2249" s="277"/>
      <c r="X2249" s="277"/>
      <c r="Y2249" s="277"/>
      <c r="Z2249" s="277"/>
      <c r="AA2249" s="277"/>
      <c r="AB2249" s="277"/>
      <c r="AC2249" s="277"/>
      <c r="AD2249" s="277"/>
      <c r="AE2249" s="277"/>
      <c r="AF2249" s="277"/>
      <c r="AG2249" s="277"/>
      <c r="AH2249" s="277"/>
      <c r="AI2249" s="277"/>
    </row>
    <row r="2250" spans="16:35" s="185" customFormat="1">
      <c r="P2250" s="277"/>
      <c r="Q2250" s="277"/>
      <c r="R2250" s="277"/>
      <c r="S2250" s="291">
        <v>43796</v>
      </c>
      <c r="T2250" s="279">
        <v>2157</v>
      </c>
      <c r="U2250" s="277"/>
      <c r="V2250" s="277"/>
      <c r="W2250" s="277"/>
      <c r="X2250" s="277"/>
      <c r="Y2250" s="277"/>
      <c r="Z2250" s="277"/>
      <c r="AA2250" s="277"/>
      <c r="AB2250" s="277"/>
      <c r="AC2250" s="277"/>
      <c r="AD2250" s="277"/>
      <c r="AE2250" s="277"/>
      <c r="AF2250" s="277"/>
      <c r="AG2250" s="277"/>
      <c r="AH2250" s="277"/>
      <c r="AI2250" s="277"/>
    </row>
    <row r="2251" spans="16:35" s="185" customFormat="1">
      <c r="P2251" s="277"/>
      <c r="Q2251" s="277"/>
      <c r="R2251" s="277"/>
      <c r="S2251" s="291">
        <v>43797</v>
      </c>
      <c r="T2251" s="279">
        <v>2158</v>
      </c>
      <c r="U2251" s="277"/>
      <c r="V2251" s="277"/>
      <c r="W2251" s="277"/>
      <c r="X2251" s="277"/>
      <c r="Y2251" s="277"/>
      <c r="Z2251" s="277"/>
      <c r="AA2251" s="277"/>
      <c r="AB2251" s="277"/>
      <c r="AC2251" s="277"/>
      <c r="AD2251" s="277"/>
      <c r="AE2251" s="277"/>
      <c r="AF2251" s="277"/>
      <c r="AG2251" s="277"/>
      <c r="AH2251" s="277"/>
      <c r="AI2251" s="277"/>
    </row>
    <row r="2252" spans="16:35" s="185" customFormat="1">
      <c r="P2252" s="277"/>
      <c r="Q2252" s="277"/>
      <c r="R2252" s="277"/>
      <c r="S2252" s="291">
        <v>43798</v>
      </c>
      <c r="T2252" s="279">
        <v>2159</v>
      </c>
      <c r="U2252" s="277"/>
      <c r="V2252" s="277"/>
      <c r="W2252" s="277"/>
      <c r="X2252" s="277"/>
      <c r="Y2252" s="277"/>
      <c r="Z2252" s="277"/>
      <c r="AA2252" s="277"/>
      <c r="AB2252" s="277"/>
      <c r="AC2252" s="277"/>
      <c r="AD2252" s="277"/>
      <c r="AE2252" s="277"/>
      <c r="AF2252" s="277"/>
      <c r="AG2252" s="277"/>
      <c r="AH2252" s="277"/>
      <c r="AI2252" s="277"/>
    </row>
    <row r="2253" spans="16:35" s="185" customFormat="1">
      <c r="P2253" s="277"/>
      <c r="Q2253" s="277"/>
      <c r="R2253" s="277"/>
      <c r="S2253" s="291">
        <v>43799</v>
      </c>
      <c r="T2253" s="279">
        <v>2160</v>
      </c>
      <c r="U2253" s="277"/>
      <c r="V2253" s="277"/>
      <c r="W2253" s="277"/>
      <c r="X2253" s="277"/>
      <c r="Y2253" s="277"/>
      <c r="Z2253" s="277"/>
      <c r="AA2253" s="277"/>
      <c r="AB2253" s="277"/>
      <c r="AC2253" s="277"/>
      <c r="AD2253" s="277"/>
      <c r="AE2253" s="277"/>
      <c r="AF2253" s="277"/>
      <c r="AG2253" s="277"/>
      <c r="AH2253" s="277"/>
      <c r="AI2253" s="277"/>
    </row>
    <row r="2254" spans="16:35" s="185" customFormat="1">
      <c r="P2254" s="277"/>
      <c r="Q2254" s="277"/>
      <c r="R2254" s="277"/>
      <c r="S2254" s="291">
        <v>43800</v>
      </c>
      <c r="T2254" s="279">
        <v>2161</v>
      </c>
      <c r="U2254" s="277"/>
      <c r="V2254" s="277"/>
      <c r="W2254" s="277"/>
      <c r="X2254" s="277"/>
      <c r="Y2254" s="277"/>
      <c r="Z2254" s="277"/>
      <c r="AA2254" s="277"/>
      <c r="AB2254" s="277"/>
      <c r="AC2254" s="277"/>
      <c r="AD2254" s="277"/>
      <c r="AE2254" s="277"/>
      <c r="AF2254" s="277"/>
      <c r="AG2254" s="277"/>
      <c r="AH2254" s="277"/>
      <c r="AI2254" s="277"/>
    </row>
    <row r="2255" spans="16:35" s="185" customFormat="1">
      <c r="P2255" s="277"/>
      <c r="Q2255" s="277"/>
      <c r="R2255" s="277"/>
      <c r="S2255" s="291">
        <v>43801</v>
      </c>
      <c r="T2255" s="279">
        <v>2162</v>
      </c>
      <c r="U2255" s="277"/>
      <c r="V2255" s="277"/>
      <c r="W2255" s="277"/>
      <c r="X2255" s="277"/>
      <c r="Y2255" s="277"/>
      <c r="Z2255" s="277"/>
      <c r="AA2255" s="277"/>
      <c r="AB2255" s="277"/>
      <c r="AC2255" s="277"/>
      <c r="AD2255" s="277"/>
      <c r="AE2255" s="277"/>
      <c r="AF2255" s="277"/>
      <c r="AG2255" s="277"/>
      <c r="AH2255" s="277"/>
      <c r="AI2255" s="277"/>
    </row>
    <row r="2256" spans="16:35" s="185" customFormat="1">
      <c r="P2256" s="277"/>
      <c r="Q2256" s="277"/>
      <c r="R2256" s="277"/>
      <c r="S2256" s="291">
        <v>43802</v>
      </c>
      <c r="T2256" s="279">
        <v>2163</v>
      </c>
      <c r="U2256" s="277"/>
      <c r="V2256" s="277"/>
      <c r="W2256" s="277"/>
      <c r="X2256" s="277"/>
      <c r="Y2256" s="277"/>
      <c r="Z2256" s="277"/>
      <c r="AA2256" s="277"/>
      <c r="AB2256" s="277"/>
      <c r="AC2256" s="277"/>
      <c r="AD2256" s="277"/>
      <c r="AE2256" s="277"/>
      <c r="AF2256" s="277"/>
      <c r="AG2256" s="277"/>
      <c r="AH2256" s="277"/>
      <c r="AI2256" s="277"/>
    </row>
    <row r="2257" spans="16:35" s="185" customFormat="1">
      <c r="P2257" s="277"/>
      <c r="Q2257" s="277"/>
      <c r="R2257" s="277"/>
      <c r="S2257" s="291">
        <v>43803</v>
      </c>
      <c r="T2257" s="279">
        <v>2164</v>
      </c>
      <c r="U2257" s="277"/>
      <c r="V2257" s="277"/>
      <c r="W2257" s="277"/>
      <c r="X2257" s="277"/>
      <c r="Y2257" s="277"/>
      <c r="Z2257" s="277"/>
      <c r="AA2257" s="277"/>
      <c r="AB2257" s="277"/>
      <c r="AC2257" s="277"/>
      <c r="AD2257" s="277"/>
      <c r="AE2257" s="277"/>
      <c r="AF2257" s="277"/>
      <c r="AG2257" s="277"/>
      <c r="AH2257" s="277"/>
      <c r="AI2257" s="277"/>
    </row>
    <row r="2258" spans="16:35" s="185" customFormat="1">
      <c r="P2258" s="277"/>
      <c r="Q2258" s="277"/>
      <c r="R2258" s="277"/>
      <c r="S2258" s="291">
        <v>43804</v>
      </c>
      <c r="T2258" s="279">
        <v>2165</v>
      </c>
      <c r="U2258" s="277"/>
      <c r="V2258" s="277"/>
      <c r="W2258" s="277"/>
      <c r="X2258" s="277"/>
      <c r="Y2258" s="277"/>
      <c r="Z2258" s="277"/>
      <c r="AA2258" s="277"/>
      <c r="AB2258" s="277"/>
      <c r="AC2258" s="277"/>
      <c r="AD2258" s="277"/>
      <c r="AE2258" s="277"/>
      <c r="AF2258" s="277"/>
      <c r="AG2258" s="277"/>
      <c r="AH2258" s="277"/>
      <c r="AI2258" s="277"/>
    </row>
    <row r="2259" spans="16:35" s="185" customFormat="1">
      <c r="P2259" s="277"/>
      <c r="Q2259" s="277"/>
      <c r="R2259" s="277"/>
      <c r="S2259" s="291">
        <v>43805</v>
      </c>
      <c r="T2259" s="279">
        <v>2166</v>
      </c>
      <c r="U2259" s="277"/>
      <c r="V2259" s="277"/>
      <c r="W2259" s="277"/>
      <c r="X2259" s="277"/>
      <c r="Y2259" s="277"/>
      <c r="Z2259" s="277"/>
      <c r="AA2259" s="277"/>
      <c r="AB2259" s="277"/>
      <c r="AC2259" s="277"/>
      <c r="AD2259" s="277"/>
      <c r="AE2259" s="277"/>
      <c r="AF2259" s="277"/>
      <c r="AG2259" s="277"/>
      <c r="AH2259" s="277"/>
      <c r="AI2259" s="277"/>
    </row>
    <row r="2260" spans="16:35" s="185" customFormat="1">
      <c r="P2260" s="277"/>
      <c r="Q2260" s="277"/>
      <c r="R2260" s="277"/>
      <c r="S2260" s="291">
        <v>43806</v>
      </c>
      <c r="T2260" s="279">
        <v>2167</v>
      </c>
      <c r="U2260" s="277"/>
      <c r="V2260" s="277"/>
      <c r="W2260" s="277"/>
      <c r="X2260" s="277"/>
      <c r="Y2260" s="277"/>
      <c r="Z2260" s="277"/>
      <c r="AA2260" s="277"/>
      <c r="AB2260" s="277"/>
      <c r="AC2260" s="277"/>
      <c r="AD2260" s="277"/>
      <c r="AE2260" s="277"/>
      <c r="AF2260" s="277"/>
      <c r="AG2260" s="277"/>
      <c r="AH2260" s="277"/>
      <c r="AI2260" s="277"/>
    </row>
    <row r="2261" spans="16:35" s="185" customFormat="1">
      <c r="P2261" s="277"/>
      <c r="Q2261" s="277"/>
      <c r="R2261" s="277"/>
      <c r="S2261" s="291">
        <v>43807</v>
      </c>
      <c r="T2261" s="279">
        <v>2168</v>
      </c>
      <c r="U2261" s="277"/>
      <c r="V2261" s="277"/>
      <c r="W2261" s="277"/>
      <c r="X2261" s="277"/>
      <c r="Y2261" s="277"/>
      <c r="Z2261" s="277"/>
      <c r="AA2261" s="277"/>
      <c r="AB2261" s="277"/>
      <c r="AC2261" s="277"/>
      <c r="AD2261" s="277"/>
      <c r="AE2261" s="277"/>
      <c r="AF2261" s="277"/>
      <c r="AG2261" s="277"/>
      <c r="AH2261" s="277"/>
      <c r="AI2261" s="277"/>
    </row>
    <row r="2262" spans="16:35" s="185" customFormat="1">
      <c r="P2262" s="277"/>
      <c r="Q2262" s="277"/>
      <c r="R2262" s="277"/>
      <c r="S2262" s="291">
        <v>43808</v>
      </c>
      <c r="T2262" s="279">
        <v>2169</v>
      </c>
      <c r="U2262" s="277"/>
      <c r="V2262" s="277"/>
      <c r="W2262" s="277"/>
      <c r="X2262" s="277"/>
      <c r="Y2262" s="277"/>
      <c r="Z2262" s="277"/>
      <c r="AA2262" s="277"/>
      <c r="AB2262" s="277"/>
      <c r="AC2262" s="277"/>
      <c r="AD2262" s="277"/>
      <c r="AE2262" s="277"/>
      <c r="AF2262" s="277"/>
      <c r="AG2262" s="277"/>
      <c r="AH2262" s="277"/>
      <c r="AI2262" s="277"/>
    </row>
    <row r="2263" spans="16:35" s="185" customFormat="1">
      <c r="P2263" s="277"/>
      <c r="Q2263" s="277"/>
      <c r="R2263" s="277"/>
      <c r="S2263" s="291">
        <v>43809</v>
      </c>
      <c r="T2263" s="279">
        <v>2170</v>
      </c>
      <c r="U2263" s="277"/>
      <c r="V2263" s="277"/>
      <c r="W2263" s="277"/>
      <c r="X2263" s="277"/>
      <c r="Y2263" s="277"/>
      <c r="Z2263" s="277"/>
      <c r="AA2263" s="277"/>
      <c r="AB2263" s="277"/>
      <c r="AC2263" s="277"/>
      <c r="AD2263" s="277"/>
      <c r="AE2263" s="277"/>
      <c r="AF2263" s="277"/>
      <c r="AG2263" s="277"/>
      <c r="AH2263" s="277"/>
      <c r="AI2263" s="277"/>
    </row>
    <row r="2264" spans="16:35" s="185" customFormat="1">
      <c r="P2264" s="277"/>
      <c r="Q2264" s="277"/>
      <c r="R2264" s="277"/>
      <c r="S2264" s="291">
        <v>43810</v>
      </c>
      <c r="T2264" s="279">
        <v>2171</v>
      </c>
      <c r="U2264" s="277"/>
      <c r="V2264" s="277"/>
      <c r="W2264" s="277"/>
      <c r="X2264" s="277"/>
      <c r="Y2264" s="277"/>
      <c r="Z2264" s="277"/>
      <c r="AA2264" s="277"/>
      <c r="AB2264" s="277"/>
      <c r="AC2264" s="277"/>
      <c r="AD2264" s="277"/>
      <c r="AE2264" s="277"/>
      <c r="AF2264" s="277"/>
      <c r="AG2264" s="277"/>
      <c r="AH2264" s="277"/>
      <c r="AI2264" s="277"/>
    </row>
    <row r="2265" spans="16:35" s="185" customFormat="1">
      <c r="P2265" s="277"/>
      <c r="Q2265" s="277"/>
      <c r="R2265" s="277"/>
      <c r="S2265" s="291">
        <v>43811</v>
      </c>
      <c r="T2265" s="279">
        <v>2172</v>
      </c>
      <c r="U2265" s="277"/>
      <c r="V2265" s="277"/>
      <c r="W2265" s="277"/>
      <c r="X2265" s="277"/>
      <c r="Y2265" s="277"/>
      <c r="Z2265" s="277"/>
      <c r="AA2265" s="277"/>
      <c r="AB2265" s="277"/>
      <c r="AC2265" s="277"/>
      <c r="AD2265" s="277"/>
      <c r="AE2265" s="277"/>
      <c r="AF2265" s="277"/>
      <c r="AG2265" s="277"/>
      <c r="AH2265" s="277"/>
      <c r="AI2265" s="277"/>
    </row>
    <row r="2266" spans="16:35" s="185" customFormat="1">
      <c r="P2266" s="277"/>
      <c r="Q2266" s="277"/>
      <c r="R2266" s="277"/>
      <c r="S2266" s="291">
        <v>43812</v>
      </c>
      <c r="T2266" s="279">
        <v>2173</v>
      </c>
      <c r="U2266" s="277"/>
      <c r="V2266" s="277"/>
      <c r="W2266" s="277"/>
      <c r="X2266" s="277"/>
      <c r="Y2266" s="277"/>
      <c r="Z2266" s="277"/>
      <c r="AA2266" s="277"/>
      <c r="AB2266" s="277"/>
      <c r="AC2266" s="277"/>
      <c r="AD2266" s="277"/>
      <c r="AE2266" s="277"/>
      <c r="AF2266" s="277"/>
      <c r="AG2266" s="277"/>
      <c r="AH2266" s="277"/>
      <c r="AI2266" s="277"/>
    </row>
    <row r="2267" spans="16:35" s="185" customFormat="1">
      <c r="P2267" s="277"/>
      <c r="Q2267" s="277"/>
      <c r="R2267" s="277"/>
      <c r="S2267" s="291">
        <v>43813</v>
      </c>
      <c r="T2267" s="279">
        <v>2174</v>
      </c>
      <c r="U2267" s="277"/>
      <c r="V2267" s="277"/>
      <c r="W2267" s="277"/>
      <c r="X2267" s="277"/>
      <c r="Y2267" s="277"/>
      <c r="Z2267" s="277"/>
      <c r="AA2267" s="277"/>
      <c r="AB2267" s="277"/>
      <c r="AC2267" s="277"/>
      <c r="AD2267" s="277"/>
      <c r="AE2267" s="277"/>
      <c r="AF2267" s="277"/>
      <c r="AG2267" s="277"/>
      <c r="AH2267" s="277"/>
      <c r="AI2267" s="277"/>
    </row>
    <row r="2268" spans="16:35" s="185" customFormat="1">
      <c r="P2268" s="277"/>
      <c r="Q2268" s="277"/>
      <c r="R2268" s="277"/>
      <c r="S2268" s="291">
        <v>43814</v>
      </c>
      <c r="T2268" s="279">
        <v>2175</v>
      </c>
      <c r="U2268" s="277"/>
      <c r="V2268" s="277"/>
      <c r="W2268" s="277"/>
      <c r="X2268" s="277"/>
      <c r="Y2268" s="277"/>
      <c r="Z2268" s="277"/>
      <c r="AA2268" s="277"/>
      <c r="AB2268" s="277"/>
      <c r="AC2268" s="277"/>
      <c r="AD2268" s="277"/>
      <c r="AE2268" s="277"/>
      <c r="AF2268" s="277"/>
      <c r="AG2268" s="277"/>
      <c r="AH2268" s="277"/>
      <c r="AI2268" s="277"/>
    </row>
    <row r="2269" spans="16:35" s="185" customFormat="1">
      <c r="P2269" s="277"/>
      <c r="Q2269" s="277"/>
      <c r="R2269" s="277"/>
      <c r="S2269" s="291">
        <v>43815</v>
      </c>
      <c r="T2269" s="279">
        <v>2176</v>
      </c>
      <c r="U2269" s="277"/>
      <c r="V2269" s="277"/>
      <c r="W2269" s="277"/>
      <c r="X2269" s="277"/>
      <c r="Y2269" s="277"/>
      <c r="Z2269" s="277"/>
      <c r="AA2269" s="277"/>
      <c r="AB2269" s="277"/>
      <c r="AC2269" s="277"/>
      <c r="AD2269" s="277"/>
      <c r="AE2269" s="277"/>
      <c r="AF2269" s="277"/>
      <c r="AG2269" s="277"/>
      <c r="AH2269" s="277"/>
      <c r="AI2269" s="277"/>
    </row>
    <row r="2270" spans="16:35" s="185" customFormat="1">
      <c r="P2270" s="277"/>
      <c r="Q2270" s="277"/>
      <c r="R2270" s="277"/>
      <c r="S2270" s="291">
        <v>43816</v>
      </c>
      <c r="T2270" s="279">
        <v>2177</v>
      </c>
      <c r="U2270" s="277"/>
      <c r="V2270" s="277"/>
      <c r="W2270" s="277"/>
      <c r="X2270" s="277"/>
      <c r="Y2270" s="277"/>
      <c r="Z2270" s="277"/>
      <c r="AA2270" s="277"/>
      <c r="AB2270" s="277"/>
      <c r="AC2270" s="277"/>
      <c r="AD2270" s="277"/>
      <c r="AE2270" s="277"/>
      <c r="AF2270" s="277"/>
      <c r="AG2270" s="277"/>
      <c r="AH2270" s="277"/>
      <c r="AI2270" s="277"/>
    </row>
    <row r="2271" spans="16:35" s="185" customFormat="1">
      <c r="P2271" s="277"/>
      <c r="Q2271" s="277"/>
      <c r="R2271" s="277"/>
      <c r="S2271" s="291">
        <v>43817</v>
      </c>
      <c r="T2271" s="279">
        <v>2178</v>
      </c>
      <c r="U2271" s="277"/>
      <c r="V2271" s="277"/>
      <c r="W2271" s="277"/>
      <c r="X2271" s="277"/>
      <c r="Y2271" s="277"/>
      <c r="Z2271" s="277"/>
      <c r="AA2271" s="277"/>
      <c r="AB2271" s="277"/>
      <c r="AC2271" s="277"/>
      <c r="AD2271" s="277"/>
      <c r="AE2271" s="277"/>
      <c r="AF2271" s="277"/>
      <c r="AG2271" s="277"/>
      <c r="AH2271" s="277"/>
      <c r="AI2271" s="277"/>
    </row>
    <row r="2272" spans="16:35" s="185" customFormat="1">
      <c r="P2272" s="277"/>
      <c r="Q2272" s="277"/>
      <c r="R2272" s="277"/>
      <c r="S2272" s="291">
        <v>43818</v>
      </c>
      <c r="T2272" s="279">
        <v>2179</v>
      </c>
      <c r="U2272" s="277"/>
      <c r="V2272" s="277"/>
      <c r="W2272" s="277"/>
      <c r="X2272" s="277"/>
      <c r="Y2272" s="277"/>
      <c r="Z2272" s="277"/>
      <c r="AA2272" s="277"/>
      <c r="AB2272" s="277"/>
      <c r="AC2272" s="277"/>
      <c r="AD2272" s="277"/>
      <c r="AE2272" s="277"/>
      <c r="AF2272" s="277"/>
      <c r="AG2272" s="277"/>
      <c r="AH2272" s="277"/>
      <c r="AI2272" s="277"/>
    </row>
    <row r="2273" spans="16:35" s="185" customFormat="1">
      <c r="P2273" s="277"/>
      <c r="Q2273" s="277"/>
      <c r="R2273" s="277"/>
      <c r="S2273" s="291">
        <v>43819</v>
      </c>
      <c r="T2273" s="279">
        <v>2180</v>
      </c>
      <c r="U2273" s="277"/>
      <c r="V2273" s="277"/>
      <c r="W2273" s="277"/>
      <c r="X2273" s="277"/>
      <c r="Y2273" s="277"/>
      <c r="Z2273" s="277"/>
      <c r="AA2273" s="277"/>
      <c r="AB2273" s="277"/>
      <c r="AC2273" s="277"/>
      <c r="AD2273" s="277"/>
      <c r="AE2273" s="277"/>
      <c r="AF2273" s="277"/>
      <c r="AG2273" s="277"/>
      <c r="AH2273" s="277"/>
      <c r="AI2273" s="277"/>
    </row>
    <row r="2274" spans="16:35" s="185" customFormat="1">
      <c r="P2274" s="277"/>
      <c r="Q2274" s="277"/>
      <c r="R2274" s="277"/>
      <c r="S2274" s="291">
        <v>43820</v>
      </c>
      <c r="T2274" s="279">
        <v>2181</v>
      </c>
      <c r="U2274" s="277"/>
      <c r="V2274" s="277"/>
      <c r="W2274" s="277"/>
      <c r="X2274" s="277"/>
      <c r="Y2274" s="277"/>
      <c r="Z2274" s="277"/>
      <c r="AA2274" s="277"/>
      <c r="AB2274" s="277"/>
      <c r="AC2274" s="277"/>
      <c r="AD2274" s="277"/>
      <c r="AE2274" s="277"/>
      <c r="AF2274" s="277"/>
      <c r="AG2274" s="277"/>
      <c r="AH2274" s="277"/>
      <c r="AI2274" s="277"/>
    </row>
    <row r="2275" spans="16:35" s="185" customFormat="1">
      <c r="P2275" s="277"/>
      <c r="Q2275" s="277"/>
      <c r="R2275" s="277"/>
      <c r="S2275" s="291">
        <v>43821</v>
      </c>
      <c r="T2275" s="279">
        <v>2182</v>
      </c>
      <c r="U2275" s="277"/>
      <c r="V2275" s="277"/>
      <c r="W2275" s="277"/>
      <c r="X2275" s="277"/>
      <c r="Y2275" s="277"/>
      <c r="Z2275" s="277"/>
      <c r="AA2275" s="277"/>
      <c r="AB2275" s="277"/>
      <c r="AC2275" s="277"/>
      <c r="AD2275" s="277"/>
      <c r="AE2275" s="277"/>
      <c r="AF2275" s="277"/>
      <c r="AG2275" s="277"/>
      <c r="AH2275" s="277"/>
      <c r="AI2275" s="277"/>
    </row>
    <row r="2276" spans="16:35" s="185" customFormat="1">
      <c r="P2276" s="277"/>
      <c r="Q2276" s="277"/>
      <c r="R2276" s="277"/>
      <c r="S2276" s="291">
        <v>43822</v>
      </c>
      <c r="T2276" s="279">
        <v>2183</v>
      </c>
      <c r="U2276" s="277"/>
      <c r="V2276" s="277"/>
      <c r="W2276" s="277"/>
      <c r="X2276" s="277"/>
      <c r="Y2276" s="277"/>
      <c r="Z2276" s="277"/>
      <c r="AA2276" s="277"/>
      <c r="AB2276" s="277"/>
      <c r="AC2276" s="277"/>
      <c r="AD2276" s="277"/>
      <c r="AE2276" s="277"/>
      <c r="AF2276" s="277"/>
      <c r="AG2276" s="277"/>
      <c r="AH2276" s="277"/>
      <c r="AI2276" s="277"/>
    </row>
    <row r="2277" spans="16:35" s="185" customFormat="1">
      <c r="P2277" s="277"/>
      <c r="Q2277" s="277"/>
      <c r="R2277" s="277"/>
      <c r="S2277" s="291">
        <v>43823</v>
      </c>
      <c r="T2277" s="279">
        <v>2184</v>
      </c>
      <c r="U2277" s="277"/>
      <c r="V2277" s="277"/>
      <c r="W2277" s="277"/>
      <c r="X2277" s="277"/>
      <c r="Y2277" s="277"/>
      <c r="Z2277" s="277"/>
      <c r="AA2277" s="277"/>
      <c r="AB2277" s="277"/>
      <c r="AC2277" s="277"/>
      <c r="AD2277" s="277"/>
      <c r="AE2277" s="277"/>
      <c r="AF2277" s="277"/>
      <c r="AG2277" s="277"/>
      <c r="AH2277" s="277"/>
      <c r="AI2277" s="277"/>
    </row>
    <row r="2278" spans="16:35" s="185" customFormat="1">
      <c r="P2278" s="277"/>
      <c r="Q2278" s="277"/>
      <c r="R2278" s="277"/>
      <c r="S2278" s="291">
        <v>43824</v>
      </c>
      <c r="T2278" s="279">
        <v>2185</v>
      </c>
      <c r="U2278" s="277"/>
      <c r="V2278" s="277"/>
      <c r="W2278" s="277"/>
      <c r="X2278" s="277"/>
      <c r="Y2278" s="277"/>
      <c r="Z2278" s="277"/>
      <c r="AA2278" s="277"/>
      <c r="AB2278" s="277"/>
      <c r="AC2278" s="277"/>
      <c r="AD2278" s="277"/>
      <c r="AE2278" s="277"/>
      <c r="AF2278" s="277"/>
      <c r="AG2278" s="277"/>
      <c r="AH2278" s="277"/>
      <c r="AI2278" s="277"/>
    </row>
    <row r="2279" spans="16:35" s="185" customFormat="1">
      <c r="P2279" s="277"/>
      <c r="Q2279" s="277"/>
      <c r="R2279" s="277"/>
      <c r="S2279" s="291">
        <v>43825</v>
      </c>
      <c r="T2279" s="279">
        <v>2186</v>
      </c>
      <c r="U2279" s="277"/>
      <c r="V2279" s="277"/>
      <c r="W2279" s="277"/>
      <c r="X2279" s="277"/>
      <c r="Y2279" s="277"/>
      <c r="Z2279" s="277"/>
      <c r="AA2279" s="277"/>
      <c r="AB2279" s="277"/>
      <c r="AC2279" s="277"/>
      <c r="AD2279" s="277"/>
      <c r="AE2279" s="277"/>
      <c r="AF2279" s="277"/>
      <c r="AG2279" s="277"/>
      <c r="AH2279" s="277"/>
      <c r="AI2279" s="277"/>
    </row>
    <row r="2280" spans="16:35" s="185" customFormat="1">
      <c r="P2280" s="277"/>
      <c r="Q2280" s="277"/>
      <c r="R2280" s="277"/>
      <c r="S2280" s="291">
        <v>43826</v>
      </c>
      <c r="T2280" s="279">
        <v>2187</v>
      </c>
      <c r="U2280" s="277"/>
      <c r="V2280" s="277"/>
      <c r="W2280" s="277"/>
      <c r="X2280" s="277"/>
      <c r="Y2280" s="277"/>
      <c r="Z2280" s="277"/>
      <c r="AA2280" s="277"/>
      <c r="AB2280" s="277"/>
      <c r="AC2280" s="277"/>
      <c r="AD2280" s="277"/>
      <c r="AE2280" s="277"/>
      <c r="AF2280" s="277"/>
      <c r="AG2280" s="277"/>
      <c r="AH2280" s="277"/>
      <c r="AI2280" s="277"/>
    </row>
    <row r="2281" spans="16:35" s="185" customFormat="1">
      <c r="P2281" s="277"/>
      <c r="Q2281" s="277"/>
      <c r="R2281" s="277"/>
      <c r="S2281" s="291">
        <v>43827</v>
      </c>
      <c r="T2281" s="279">
        <v>2188</v>
      </c>
      <c r="U2281" s="277"/>
      <c r="V2281" s="277"/>
      <c r="W2281" s="277"/>
      <c r="X2281" s="277"/>
      <c r="Y2281" s="277"/>
      <c r="Z2281" s="277"/>
      <c r="AA2281" s="277"/>
      <c r="AB2281" s="277"/>
      <c r="AC2281" s="277"/>
      <c r="AD2281" s="277"/>
      <c r="AE2281" s="277"/>
      <c r="AF2281" s="277"/>
      <c r="AG2281" s="277"/>
      <c r="AH2281" s="277"/>
      <c r="AI2281" s="277"/>
    </row>
    <row r="2282" spans="16:35" s="185" customFormat="1">
      <c r="P2282" s="277"/>
      <c r="Q2282" s="277"/>
      <c r="R2282" s="277"/>
      <c r="S2282" s="291">
        <v>43828</v>
      </c>
      <c r="T2282" s="279">
        <v>2189</v>
      </c>
      <c r="U2282" s="277"/>
      <c r="V2282" s="277"/>
      <c r="W2282" s="277"/>
      <c r="X2282" s="277"/>
      <c r="Y2282" s="277"/>
      <c r="Z2282" s="277"/>
      <c r="AA2282" s="277"/>
      <c r="AB2282" s="277"/>
      <c r="AC2282" s="277"/>
      <c r="AD2282" s="277"/>
      <c r="AE2282" s="277"/>
      <c r="AF2282" s="277"/>
      <c r="AG2282" s="277"/>
      <c r="AH2282" s="277"/>
      <c r="AI2282" s="277"/>
    </row>
    <row r="2283" spans="16:35" s="185" customFormat="1">
      <c r="P2283" s="277"/>
      <c r="Q2283" s="277"/>
      <c r="R2283" s="277"/>
      <c r="S2283" s="291">
        <v>43829</v>
      </c>
      <c r="T2283" s="279">
        <v>2190</v>
      </c>
      <c r="U2283" s="277"/>
      <c r="V2283" s="277"/>
      <c r="W2283" s="277"/>
      <c r="X2283" s="277"/>
      <c r="Y2283" s="277"/>
      <c r="Z2283" s="277"/>
      <c r="AA2283" s="277"/>
      <c r="AB2283" s="277"/>
      <c r="AC2283" s="277"/>
      <c r="AD2283" s="277"/>
      <c r="AE2283" s="277"/>
      <c r="AF2283" s="277"/>
      <c r="AG2283" s="277"/>
      <c r="AH2283" s="277"/>
      <c r="AI2283" s="277"/>
    </row>
    <row r="2284" spans="16:35" s="185" customFormat="1">
      <c r="P2284" s="277"/>
      <c r="Q2284" s="277"/>
      <c r="R2284" s="277"/>
      <c r="S2284" s="291">
        <v>43830</v>
      </c>
      <c r="T2284" s="279">
        <v>2191</v>
      </c>
      <c r="U2284" s="277"/>
      <c r="V2284" s="277"/>
      <c r="W2284" s="277"/>
      <c r="X2284" s="277"/>
      <c r="Y2284" s="277"/>
      <c r="Z2284" s="277"/>
      <c r="AA2284" s="277"/>
      <c r="AB2284" s="277"/>
      <c r="AC2284" s="277"/>
      <c r="AD2284" s="277"/>
      <c r="AE2284" s="277"/>
      <c r="AF2284" s="277"/>
      <c r="AG2284" s="277"/>
      <c r="AH2284" s="277"/>
      <c r="AI2284" s="277"/>
    </row>
    <row r="2285" spans="16:35" s="185" customFormat="1">
      <c r="P2285" s="277"/>
      <c r="Q2285" s="277"/>
      <c r="R2285" s="277"/>
      <c r="S2285" s="291">
        <v>43831</v>
      </c>
      <c r="T2285" s="279">
        <v>2192</v>
      </c>
      <c r="U2285" s="277"/>
      <c r="V2285" s="277"/>
      <c r="W2285" s="277"/>
      <c r="X2285" s="277"/>
      <c r="Y2285" s="277"/>
      <c r="Z2285" s="277"/>
      <c r="AA2285" s="277"/>
      <c r="AB2285" s="277"/>
      <c r="AC2285" s="277"/>
      <c r="AD2285" s="277"/>
      <c r="AE2285" s="277"/>
      <c r="AF2285" s="277"/>
      <c r="AG2285" s="277"/>
      <c r="AH2285" s="277"/>
      <c r="AI2285" s="277"/>
    </row>
    <row r="2286" spans="16:35" s="185" customFormat="1">
      <c r="P2286" s="277"/>
      <c r="Q2286" s="277"/>
      <c r="R2286" s="277"/>
      <c r="S2286" s="291">
        <v>43832</v>
      </c>
      <c r="T2286" s="279">
        <v>2193</v>
      </c>
      <c r="U2286" s="277"/>
      <c r="V2286" s="277"/>
      <c r="W2286" s="277"/>
      <c r="X2286" s="277"/>
      <c r="Y2286" s="277"/>
      <c r="Z2286" s="277"/>
      <c r="AA2286" s="277"/>
      <c r="AB2286" s="277"/>
      <c r="AC2286" s="277"/>
      <c r="AD2286" s="277"/>
      <c r="AE2286" s="277"/>
      <c r="AF2286" s="277"/>
      <c r="AG2286" s="277"/>
      <c r="AH2286" s="277"/>
      <c r="AI2286" s="277"/>
    </row>
    <row r="2287" spans="16:35" s="185" customFormat="1">
      <c r="P2287" s="277"/>
      <c r="Q2287" s="277"/>
      <c r="R2287" s="277"/>
      <c r="S2287" s="291">
        <v>43833</v>
      </c>
      <c r="T2287" s="279">
        <v>2194</v>
      </c>
      <c r="U2287" s="277"/>
      <c r="V2287" s="277"/>
      <c r="W2287" s="277"/>
      <c r="X2287" s="277"/>
      <c r="Y2287" s="277"/>
      <c r="Z2287" s="277"/>
      <c r="AA2287" s="277"/>
      <c r="AB2287" s="277"/>
      <c r="AC2287" s="277"/>
      <c r="AD2287" s="277"/>
      <c r="AE2287" s="277"/>
      <c r="AF2287" s="277"/>
      <c r="AG2287" s="277"/>
      <c r="AH2287" s="277"/>
      <c r="AI2287" s="277"/>
    </row>
    <row r="2288" spans="16:35" s="185" customFormat="1">
      <c r="P2288" s="277"/>
      <c r="Q2288" s="277"/>
      <c r="R2288" s="277"/>
      <c r="S2288" s="291">
        <v>43834</v>
      </c>
      <c r="T2288" s="279">
        <v>2195</v>
      </c>
      <c r="U2288" s="277"/>
      <c r="V2288" s="277"/>
      <c r="W2288" s="277"/>
      <c r="X2288" s="277"/>
      <c r="Y2288" s="277"/>
      <c r="Z2288" s="277"/>
      <c r="AA2288" s="277"/>
      <c r="AB2288" s="277"/>
      <c r="AC2288" s="277"/>
      <c r="AD2288" s="277"/>
      <c r="AE2288" s="277"/>
      <c r="AF2288" s="277"/>
      <c r="AG2288" s="277"/>
      <c r="AH2288" s="277"/>
      <c r="AI2288" s="277"/>
    </row>
    <row r="2289" spans="16:35" s="185" customFormat="1">
      <c r="P2289" s="277"/>
      <c r="Q2289" s="277"/>
      <c r="R2289" s="277"/>
      <c r="S2289" s="291">
        <v>43835</v>
      </c>
      <c r="T2289" s="279">
        <v>2196</v>
      </c>
      <c r="U2289" s="277"/>
      <c r="V2289" s="277"/>
      <c r="W2289" s="277"/>
      <c r="X2289" s="277"/>
      <c r="Y2289" s="277"/>
      <c r="Z2289" s="277"/>
      <c r="AA2289" s="277"/>
      <c r="AB2289" s="277"/>
      <c r="AC2289" s="277"/>
      <c r="AD2289" s="277"/>
      <c r="AE2289" s="277"/>
      <c r="AF2289" s="277"/>
      <c r="AG2289" s="277"/>
      <c r="AH2289" s="277"/>
      <c r="AI2289" s="277"/>
    </row>
    <row r="2290" spans="16:35" s="185" customFormat="1">
      <c r="P2290" s="277"/>
      <c r="Q2290" s="277"/>
      <c r="R2290" s="277"/>
      <c r="S2290" s="291">
        <v>43836</v>
      </c>
      <c r="T2290" s="279">
        <v>2197</v>
      </c>
      <c r="U2290" s="277"/>
      <c r="V2290" s="277"/>
      <c r="W2290" s="277"/>
      <c r="X2290" s="277"/>
      <c r="Y2290" s="277"/>
      <c r="Z2290" s="277"/>
      <c r="AA2290" s="277"/>
      <c r="AB2290" s="277"/>
      <c r="AC2290" s="277"/>
      <c r="AD2290" s="277"/>
      <c r="AE2290" s="277"/>
      <c r="AF2290" s="277"/>
      <c r="AG2290" s="277"/>
      <c r="AH2290" s="277"/>
      <c r="AI2290" s="277"/>
    </row>
    <row r="2291" spans="16:35" s="185" customFormat="1">
      <c r="P2291" s="277"/>
      <c r="Q2291" s="277"/>
      <c r="R2291" s="277"/>
      <c r="S2291" s="291">
        <v>43837</v>
      </c>
      <c r="T2291" s="279">
        <v>2198</v>
      </c>
      <c r="U2291" s="277"/>
      <c r="V2291" s="277"/>
      <c r="W2291" s="277"/>
      <c r="X2291" s="277"/>
      <c r="Y2291" s="277"/>
      <c r="Z2291" s="277"/>
      <c r="AA2291" s="277"/>
      <c r="AB2291" s="277"/>
      <c r="AC2291" s="277"/>
      <c r="AD2291" s="277"/>
      <c r="AE2291" s="277"/>
      <c r="AF2291" s="277"/>
      <c r="AG2291" s="277"/>
      <c r="AH2291" s="277"/>
      <c r="AI2291" s="277"/>
    </row>
    <row r="2292" spans="16:35" s="185" customFormat="1">
      <c r="P2292" s="277"/>
      <c r="Q2292" s="277"/>
      <c r="R2292" s="277"/>
      <c r="S2292" s="291">
        <v>43838</v>
      </c>
      <c r="T2292" s="279">
        <v>2199</v>
      </c>
      <c r="U2292" s="277"/>
      <c r="V2292" s="277"/>
      <c r="W2292" s="277"/>
      <c r="X2292" s="277"/>
      <c r="Y2292" s="277"/>
      <c r="Z2292" s="277"/>
      <c r="AA2292" s="277"/>
      <c r="AB2292" s="277"/>
      <c r="AC2292" s="277"/>
      <c r="AD2292" s="277"/>
      <c r="AE2292" s="277"/>
      <c r="AF2292" s="277"/>
      <c r="AG2292" s="277"/>
      <c r="AH2292" s="277"/>
      <c r="AI2292" s="277"/>
    </row>
    <row r="2293" spans="16:35" s="185" customFormat="1">
      <c r="P2293" s="277"/>
      <c r="Q2293" s="277"/>
      <c r="R2293" s="277"/>
      <c r="S2293" s="291">
        <v>43839</v>
      </c>
      <c r="T2293" s="279">
        <v>2200</v>
      </c>
      <c r="U2293" s="277"/>
      <c r="V2293" s="277"/>
      <c r="W2293" s="277"/>
      <c r="X2293" s="277"/>
      <c r="Y2293" s="277"/>
      <c r="Z2293" s="277"/>
      <c r="AA2293" s="277"/>
      <c r="AB2293" s="277"/>
      <c r="AC2293" s="277"/>
      <c r="AD2293" s="277"/>
      <c r="AE2293" s="277"/>
      <c r="AF2293" s="277"/>
      <c r="AG2293" s="277"/>
      <c r="AH2293" s="277"/>
      <c r="AI2293" s="277"/>
    </row>
    <row r="2294" spans="16:35" s="185" customFormat="1">
      <c r="P2294" s="277"/>
      <c r="Q2294" s="277"/>
      <c r="R2294" s="277"/>
      <c r="S2294" s="291">
        <v>43840</v>
      </c>
      <c r="T2294" s="279">
        <v>2201</v>
      </c>
      <c r="U2294" s="277"/>
      <c r="V2294" s="277"/>
      <c r="W2294" s="277"/>
      <c r="X2294" s="277"/>
      <c r="Y2294" s="277"/>
      <c r="Z2294" s="277"/>
      <c r="AA2294" s="277"/>
      <c r="AB2294" s="277"/>
      <c r="AC2294" s="277"/>
      <c r="AD2294" s="277"/>
      <c r="AE2294" s="277"/>
      <c r="AF2294" s="277"/>
      <c r="AG2294" s="277"/>
      <c r="AH2294" s="277"/>
      <c r="AI2294" s="277"/>
    </row>
    <row r="2295" spans="16:35" s="185" customFormat="1">
      <c r="P2295" s="277"/>
      <c r="Q2295" s="277"/>
      <c r="R2295" s="277"/>
      <c r="S2295" s="291">
        <v>43841</v>
      </c>
      <c r="T2295" s="279">
        <v>2202</v>
      </c>
      <c r="U2295" s="277"/>
      <c r="V2295" s="277"/>
      <c r="W2295" s="277"/>
      <c r="X2295" s="277"/>
      <c r="Y2295" s="277"/>
      <c r="Z2295" s="277"/>
      <c r="AA2295" s="277"/>
      <c r="AB2295" s="277"/>
      <c r="AC2295" s="277"/>
      <c r="AD2295" s="277"/>
      <c r="AE2295" s="277"/>
      <c r="AF2295" s="277"/>
      <c r="AG2295" s="277"/>
      <c r="AH2295" s="277"/>
      <c r="AI2295" s="277"/>
    </row>
    <row r="2296" spans="16:35" s="185" customFormat="1">
      <c r="P2296" s="277"/>
      <c r="Q2296" s="277"/>
      <c r="R2296" s="277"/>
      <c r="S2296" s="291">
        <v>43842</v>
      </c>
      <c r="T2296" s="279">
        <v>2203</v>
      </c>
      <c r="U2296" s="277"/>
      <c r="V2296" s="277"/>
      <c r="W2296" s="277"/>
      <c r="X2296" s="277"/>
      <c r="Y2296" s="277"/>
      <c r="Z2296" s="277"/>
      <c r="AA2296" s="277"/>
      <c r="AB2296" s="277"/>
      <c r="AC2296" s="277"/>
      <c r="AD2296" s="277"/>
      <c r="AE2296" s="277"/>
      <c r="AF2296" s="277"/>
      <c r="AG2296" s="277"/>
      <c r="AH2296" s="277"/>
      <c r="AI2296" s="277"/>
    </row>
    <row r="2297" spans="16:35" s="185" customFormat="1">
      <c r="P2297" s="277"/>
      <c r="Q2297" s="277"/>
      <c r="R2297" s="277"/>
      <c r="S2297" s="291">
        <v>43843</v>
      </c>
      <c r="T2297" s="279">
        <v>2204</v>
      </c>
      <c r="U2297" s="277"/>
      <c r="V2297" s="277"/>
      <c r="W2297" s="277"/>
      <c r="X2297" s="277"/>
      <c r="Y2297" s="277"/>
      <c r="Z2297" s="277"/>
      <c r="AA2297" s="277"/>
      <c r="AB2297" s="277"/>
      <c r="AC2297" s="277"/>
      <c r="AD2297" s="277"/>
      <c r="AE2297" s="277"/>
      <c r="AF2297" s="277"/>
      <c r="AG2297" s="277"/>
      <c r="AH2297" s="277"/>
      <c r="AI2297" s="277"/>
    </row>
    <row r="2298" spans="16:35" s="185" customFormat="1">
      <c r="P2298" s="277"/>
      <c r="Q2298" s="277"/>
      <c r="R2298" s="277"/>
      <c r="S2298" s="291">
        <v>43844</v>
      </c>
      <c r="T2298" s="279">
        <v>2205</v>
      </c>
      <c r="U2298" s="277"/>
      <c r="V2298" s="277"/>
      <c r="W2298" s="277"/>
      <c r="X2298" s="277"/>
      <c r="Y2298" s="277"/>
      <c r="Z2298" s="277"/>
      <c r="AA2298" s="277"/>
      <c r="AB2298" s="277"/>
      <c r="AC2298" s="277"/>
      <c r="AD2298" s="277"/>
      <c r="AE2298" s="277"/>
      <c r="AF2298" s="277"/>
      <c r="AG2298" s="277"/>
      <c r="AH2298" s="277"/>
      <c r="AI2298" s="277"/>
    </row>
    <row r="2299" spans="16:35" s="185" customFormat="1">
      <c r="P2299" s="277"/>
      <c r="Q2299" s="277"/>
      <c r="R2299" s="277"/>
      <c r="S2299" s="291">
        <v>43845</v>
      </c>
      <c r="T2299" s="279">
        <v>2206</v>
      </c>
      <c r="U2299" s="277"/>
      <c r="V2299" s="277"/>
      <c r="W2299" s="277"/>
      <c r="X2299" s="277"/>
      <c r="Y2299" s="277"/>
      <c r="Z2299" s="277"/>
      <c r="AA2299" s="277"/>
      <c r="AB2299" s="277"/>
      <c r="AC2299" s="277"/>
      <c r="AD2299" s="277"/>
      <c r="AE2299" s="277"/>
      <c r="AF2299" s="277"/>
      <c r="AG2299" s="277"/>
      <c r="AH2299" s="277"/>
      <c r="AI2299" s="277"/>
    </row>
    <row r="2300" spans="16:35" s="185" customFormat="1">
      <c r="P2300" s="277"/>
      <c r="Q2300" s="277"/>
      <c r="R2300" s="277"/>
      <c r="S2300" s="291">
        <v>43846</v>
      </c>
      <c r="T2300" s="279">
        <v>2207</v>
      </c>
      <c r="U2300" s="277"/>
      <c r="V2300" s="277"/>
      <c r="W2300" s="277"/>
      <c r="X2300" s="277"/>
      <c r="Y2300" s="277"/>
      <c r="Z2300" s="277"/>
      <c r="AA2300" s="277"/>
      <c r="AB2300" s="277"/>
      <c r="AC2300" s="277"/>
      <c r="AD2300" s="277"/>
      <c r="AE2300" s="277"/>
      <c r="AF2300" s="277"/>
      <c r="AG2300" s="277"/>
      <c r="AH2300" s="277"/>
      <c r="AI2300" s="277"/>
    </row>
    <row r="2301" spans="16:35" s="185" customFormat="1">
      <c r="P2301" s="277"/>
      <c r="Q2301" s="277"/>
      <c r="R2301" s="277"/>
      <c r="S2301" s="291">
        <v>43847</v>
      </c>
      <c r="T2301" s="279">
        <v>2208</v>
      </c>
      <c r="U2301" s="277"/>
      <c r="V2301" s="277"/>
      <c r="W2301" s="277"/>
      <c r="X2301" s="277"/>
      <c r="Y2301" s="277"/>
      <c r="Z2301" s="277"/>
      <c r="AA2301" s="277"/>
      <c r="AB2301" s="277"/>
      <c r="AC2301" s="277"/>
      <c r="AD2301" s="277"/>
      <c r="AE2301" s="277"/>
      <c r="AF2301" s="277"/>
      <c r="AG2301" s="277"/>
      <c r="AH2301" s="277"/>
      <c r="AI2301" s="277"/>
    </row>
    <row r="2302" spans="16:35" s="185" customFormat="1">
      <c r="P2302" s="277"/>
      <c r="Q2302" s="277"/>
      <c r="R2302" s="277"/>
      <c r="S2302" s="291">
        <v>43848</v>
      </c>
      <c r="T2302" s="279">
        <v>2209</v>
      </c>
      <c r="U2302" s="277"/>
      <c r="V2302" s="277"/>
      <c r="W2302" s="277"/>
      <c r="X2302" s="277"/>
      <c r="Y2302" s="277"/>
      <c r="Z2302" s="277"/>
      <c r="AA2302" s="277"/>
      <c r="AB2302" s="277"/>
      <c r="AC2302" s="277"/>
      <c r="AD2302" s="277"/>
      <c r="AE2302" s="277"/>
      <c r="AF2302" s="277"/>
      <c r="AG2302" s="277"/>
      <c r="AH2302" s="277"/>
      <c r="AI2302" s="277"/>
    </row>
    <row r="2303" spans="16:35" s="185" customFormat="1">
      <c r="P2303" s="277"/>
      <c r="Q2303" s="277"/>
      <c r="R2303" s="277"/>
      <c r="S2303" s="291">
        <v>43849</v>
      </c>
      <c r="T2303" s="279">
        <v>2210</v>
      </c>
      <c r="U2303" s="277"/>
      <c r="V2303" s="277"/>
      <c r="W2303" s="277"/>
      <c r="X2303" s="277"/>
      <c r="Y2303" s="277"/>
      <c r="Z2303" s="277"/>
      <c r="AA2303" s="277"/>
      <c r="AB2303" s="277"/>
      <c r="AC2303" s="277"/>
      <c r="AD2303" s="277"/>
      <c r="AE2303" s="277"/>
      <c r="AF2303" s="277"/>
      <c r="AG2303" s="277"/>
      <c r="AH2303" s="277"/>
      <c r="AI2303" s="277"/>
    </row>
    <row r="2304" spans="16:35" s="185" customFormat="1">
      <c r="P2304" s="277"/>
      <c r="Q2304" s="277"/>
      <c r="R2304" s="277"/>
      <c r="S2304" s="291">
        <v>43850</v>
      </c>
      <c r="T2304" s="279">
        <v>2211</v>
      </c>
      <c r="U2304" s="277"/>
      <c r="V2304" s="277"/>
      <c r="W2304" s="277"/>
      <c r="X2304" s="277"/>
      <c r="Y2304" s="277"/>
      <c r="Z2304" s="277"/>
      <c r="AA2304" s="277"/>
      <c r="AB2304" s="277"/>
      <c r="AC2304" s="277"/>
      <c r="AD2304" s="277"/>
      <c r="AE2304" s="277"/>
      <c r="AF2304" s="277"/>
      <c r="AG2304" s="277"/>
      <c r="AH2304" s="277"/>
      <c r="AI2304" s="277"/>
    </row>
    <row r="2305" spans="16:35" s="185" customFormat="1">
      <c r="P2305" s="277"/>
      <c r="Q2305" s="277"/>
      <c r="R2305" s="277"/>
      <c r="S2305" s="291">
        <v>43851</v>
      </c>
      <c r="T2305" s="279">
        <v>2212</v>
      </c>
      <c r="U2305" s="277"/>
      <c r="V2305" s="277"/>
      <c r="W2305" s="277"/>
      <c r="X2305" s="277"/>
      <c r="Y2305" s="277"/>
      <c r="Z2305" s="277"/>
      <c r="AA2305" s="277"/>
      <c r="AB2305" s="277"/>
      <c r="AC2305" s="277"/>
      <c r="AD2305" s="277"/>
      <c r="AE2305" s="277"/>
      <c r="AF2305" s="277"/>
      <c r="AG2305" s="277"/>
      <c r="AH2305" s="277"/>
      <c r="AI2305" s="277"/>
    </row>
    <row r="2306" spans="16:35" s="185" customFormat="1">
      <c r="P2306" s="277"/>
      <c r="Q2306" s="277"/>
      <c r="R2306" s="277"/>
      <c r="S2306" s="291">
        <v>43852</v>
      </c>
      <c r="T2306" s="279">
        <v>2213</v>
      </c>
      <c r="U2306" s="277"/>
      <c r="V2306" s="277"/>
      <c r="W2306" s="277"/>
      <c r="X2306" s="277"/>
      <c r="Y2306" s="277"/>
      <c r="Z2306" s="277"/>
      <c r="AA2306" s="277"/>
      <c r="AB2306" s="277"/>
      <c r="AC2306" s="277"/>
      <c r="AD2306" s="277"/>
      <c r="AE2306" s="277"/>
      <c r="AF2306" s="277"/>
      <c r="AG2306" s="277"/>
      <c r="AH2306" s="277"/>
      <c r="AI2306" s="277"/>
    </row>
    <row r="2307" spans="16:35" s="185" customFormat="1">
      <c r="P2307" s="277"/>
      <c r="Q2307" s="277"/>
      <c r="R2307" s="277"/>
      <c r="S2307" s="291">
        <v>43853</v>
      </c>
      <c r="T2307" s="279">
        <v>2214</v>
      </c>
      <c r="U2307" s="277"/>
      <c r="V2307" s="277"/>
      <c r="W2307" s="277"/>
      <c r="X2307" s="277"/>
      <c r="Y2307" s="277"/>
      <c r="Z2307" s="277"/>
      <c r="AA2307" s="277"/>
      <c r="AB2307" s="277"/>
      <c r="AC2307" s="277"/>
      <c r="AD2307" s="277"/>
      <c r="AE2307" s="277"/>
      <c r="AF2307" s="277"/>
      <c r="AG2307" s="277"/>
      <c r="AH2307" s="277"/>
      <c r="AI2307" s="277"/>
    </row>
    <row r="2308" spans="16:35" s="185" customFormat="1">
      <c r="P2308" s="277"/>
      <c r="Q2308" s="277"/>
      <c r="R2308" s="277"/>
      <c r="S2308" s="291">
        <v>43854</v>
      </c>
      <c r="T2308" s="279">
        <v>2215</v>
      </c>
      <c r="U2308" s="277"/>
      <c r="V2308" s="277"/>
      <c r="W2308" s="277"/>
      <c r="X2308" s="277"/>
      <c r="Y2308" s="277"/>
      <c r="Z2308" s="277"/>
      <c r="AA2308" s="277"/>
      <c r="AB2308" s="277"/>
      <c r="AC2308" s="277"/>
      <c r="AD2308" s="277"/>
      <c r="AE2308" s="277"/>
      <c r="AF2308" s="277"/>
      <c r="AG2308" s="277"/>
      <c r="AH2308" s="277"/>
      <c r="AI2308" s="277"/>
    </row>
    <row r="2309" spans="16:35" s="185" customFormat="1">
      <c r="P2309" s="277"/>
      <c r="Q2309" s="277"/>
      <c r="R2309" s="277"/>
      <c r="S2309" s="291">
        <v>43855</v>
      </c>
      <c r="T2309" s="279">
        <v>2216</v>
      </c>
      <c r="U2309" s="277"/>
      <c r="V2309" s="277"/>
      <c r="W2309" s="277"/>
      <c r="X2309" s="277"/>
      <c r="Y2309" s="277"/>
      <c r="Z2309" s="277"/>
      <c r="AA2309" s="277"/>
      <c r="AB2309" s="277"/>
      <c r="AC2309" s="277"/>
      <c r="AD2309" s="277"/>
      <c r="AE2309" s="277"/>
      <c r="AF2309" s="277"/>
      <c r="AG2309" s="277"/>
      <c r="AH2309" s="277"/>
      <c r="AI2309" s="277"/>
    </row>
    <row r="2310" spans="16:35" s="185" customFormat="1">
      <c r="P2310" s="277"/>
      <c r="Q2310" s="277"/>
      <c r="R2310" s="277"/>
      <c r="S2310" s="291">
        <v>43856</v>
      </c>
      <c r="T2310" s="279">
        <v>2217</v>
      </c>
      <c r="U2310" s="277"/>
      <c r="V2310" s="277"/>
      <c r="W2310" s="277"/>
      <c r="X2310" s="277"/>
      <c r="Y2310" s="277"/>
      <c r="Z2310" s="277"/>
      <c r="AA2310" s="277"/>
      <c r="AB2310" s="277"/>
      <c r="AC2310" s="277"/>
      <c r="AD2310" s="277"/>
      <c r="AE2310" s="277"/>
      <c r="AF2310" s="277"/>
      <c r="AG2310" s="277"/>
      <c r="AH2310" s="277"/>
      <c r="AI2310" s="277"/>
    </row>
    <row r="2311" spans="16:35" s="185" customFormat="1">
      <c r="P2311" s="277"/>
      <c r="Q2311" s="277"/>
      <c r="R2311" s="277"/>
      <c r="S2311" s="291">
        <v>43857</v>
      </c>
      <c r="T2311" s="279">
        <v>2218</v>
      </c>
      <c r="U2311" s="277"/>
      <c r="V2311" s="277"/>
      <c r="W2311" s="277"/>
      <c r="X2311" s="277"/>
      <c r="Y2311" s="277"/>
      <c r="Z2311" s="277"/>
      <c r="AA2311" s="277"/>
      <c r="AB2311" s="277"/>
      <c r="AC2311" s="277"/>
      <c r="AD2311" s="277"/>
      <c r="AE2311" s="277"/>
      <c r="AF2311" s="277"/>
      <c r="AG2311" s="277"/>
      <c r="AH2311" s="277"/>
      <c r="AI2311" s="277"/>
    </row>
    <row r="2312" spans="16:35" s="185" customFormat="1">
      <c r="P2312" s="277"/>
      <c r="Q2312" s="277"/>
      <c r="R2312" s="277"/>
      <c r="S2312" s="291">
        <v>43858</v>
      </c>
      <c r="T2312" s="279">
        <v>2219</v>
      </c>
      <c r="U2312" s="277"/>
      <c r="V2312" s="277"/>
      <c r="W2312" s="277"/>
      <c r="X2312" s="277"/>
      <c r="Y2312" s="277"/>
      <c r="Z2312" s="277"/>
      <c r="AA2312" s="277"/>
      <c r="AB2312" s="277"/>
      <c r="AC2312" s="277"/>
      <c r="AD2312" s="277"/>
      <c r="AE2312" s="277"/>
      <c r="AF2312" s="277"/>
      <c r="AG2312" s="277"/>
      <c r="AH2312" s="277"/>
      <c r="AI2312" s="277"/>
    </row>
    <row r="2313" spans="16:35" s="185" customFormat="1">
      <c r="P2313" s="277"/>
      <c r="Q2313" s="277"/>
      <c r="R2313" s="277"/>
      <c r="S2313" s="291">
        <v>43859</v>
      </c>
      <c r="T2313" s="279">
        <v>2220</v>
      </c>
      <c r="U2313" s="277"/>
      <c r="V2313" s="277"/>
      <c r="W2313" s="277"/>
      <c r="X2313" s="277"/>
      <c r="Y2313" s="277"/>
      <c r="Z2313" s="277"/>
      <c r="AA2313" s="277"/>
      <c r="AB2313" s="277"/>
      <c r="AC2313" s="277"/>
      <c r="AD2313" s="277"/>
      <c r="AE2313" s="277"/>
      <c r="AF2313" s="277"/>
      <c r="AG2313" s="277"/>
      <c r="AH2313" s="277"/>
      <c r="AI2313" s="277"/>
    </row>
    <row r="2314" spans="16:35" s="185" customFormat="1">
      <c r="P2314" s="277"/>
      <c r="Q2314" s="277"/>
      <c r="R2314" s="277"/>
      <c r="S2314" s="291">
        <v>43860</v>
      </c>
      <c r="T2314" s="279">
        <v>2221</v>
      </c>
      <c r="U2314" s="277"/>
      <c r="V2314" s="277"/>
      <c r="W2314" s="277"/>
      <c r="X2314" s="277"/>
      <c r="Y2314" s="277"/>
      <c r="Z2314" s="277"/>
      <c r="AA2314" s="277"/>
      <c r="AB2314" s="277"/>
      <c r="AC2314" s="277"/>
      <c r="AD2314" s="277"/>
      <c r="AE2314" s="277"/>
      <c r="AF2314" s="277"/>
      <c r="AG2314" s="277"/>
      <c r="AH2314" s="277"/>
      <c r="AI2314" s="277"/>
    </row>
    <row r="2315" spans="16:35" s="185" customFormat="1">
      <c r="P2315" s="277"/>
      <c r="Q2315" s="277"/>
      <c r="R2315" s="277"/>
      <c r="S2315" s="291">
        <v>43861</v>
      </c>
      <c r="T2315" s="279">
        <v>2222</v>
      </c>
      <c r="U2315" s="277"/>
      <c r="V2315" s="277"/>
      <c r="W2315" s="277"/>
      <c r="X2315" s="277"/>
      <c r="Y2315" s="277"/>
      <c r="Z2315" s="277"/>
      <c r="AA2315" s="277"/>
      <c r="AB2315" s="277"/>
      <c r="AC2315" s="277"/>
      <c r="AD2315" s="277"/>
      <c r="AE2315" s="277"/>
      <c r="AF2315" s="277"/>
      <c r="AG2315" s="277"/>
      <c r="AH2315" s="277"/>
      <c r="AI2315" s="277"/>
    </row>
    <row r="2316" spans="16:35" s="185" customFormat="1">
      <c r="P2316" s="277"/>
      <c r="Q2316" s="277"/>
      <c r="R2316" s="277"/>
      <c r="S2316" s="291">
        <v>43862</v>
      </c>
      <c r="T2316" s="279">
        <v>2223</v>
      </c>
      <c r="U2316" s="277"/>
      <c r="V2316" s="277"/>
      <c r="W2316" s="277"/>
      <c r="X2316" s="277"/>
      <c r="Y2316" s="277"/>
      <c r="Z2316" s="277"/>
      <c r="AA2316" s="277"/>
      <c r="AB2316" s="277"/>
      <c r="AC2316" s="277"/>
      <c r="AD2316" s="277"/>
      <c r="AE2316" s="277"/>
      <c r="AF2316" s="277"/>
      <c r="AG2316" s="277"/>
      <c r="AH2316" s="277"/>
      <c r="AI2316" s="277"/>
    </row>
    <row r="2317" spans="16:35" s="185" customFormat="1">
      <c r="P2317" s="277"/>
      <c r="Q2317" s="277"/>
      <c r="R2317" s="277"/>
      <c r="S2317" s="291">
        <v>43863</v>
      </c>
      <c r="T2317" s="279">
        <v>2224</v>
      </c>
      <c r="U2317" s="277"/>
      <c r="V2317" s="277"/>
      <c r="W2317" s="277"/>
      <c r="X2317" s="277"/>
      <c r="Y2317" s="277"/>
      <c r="Z2317" s="277"/>
      <c r="AA2317" s="277"/>
      <c r="AB2317" s="277"/>
      <c r="AC2317" s="277"/>
      <c r="AD2317" s="277"/>
      <c r="AE2317" s="277"/>
      <c r="AF2317" s="277"/>
      <c r="AG2317" s="277"/>
      <c r="AH2317" s="277"/>
      <c r="AI2317" s="277"/>
    </row>
    <row r="2318" spans="16:35" s="185" customFormat="1">
      <c r="P2318" s="277"/>
      <c r="Q2318" s="277"/>
      <c r="R2318" s="277"/>
      <c r="S2318" s="291">
        <v>43864</v>
      </c>
      <c r="T2318" s="279">
        <v>2225</v>
      </c>
      <c r="U2318" s="277"/>
      <c r="V2318" s="277"/>
      <c r="W2318" s="277"/>
      <c r="X2318" s="277"/>
      <c r="Y2318" s="277"/>
      <c r="Z2318" s="277"/>
      <c r="AA2318" s="277"/>
      <c r="AB2318" s="277"/>
      <c r="AC2318" s="277"/>
      <c r="AD2318" s="277"/>
      <c r="AE2318" s="277"/>
      <c r="AF2318" s="277"/>
      <c r="AG2318" s="277"/>
      <c r="AH2318" s="277"/>
      <c r="AI2318" s="277"/>
    </row>
    <row r="2319" spans="16:35" s="185" customFormat="1">
      <c r="P2319" s="277"/>
      <c r="Q2319" s="277"/>
      <c r="R2319" s="277"/>
      <c r="S2319" s="291">
        <v>43865</v>
      </c>
      <c r="T2319" s="279">
        <v>2226</v>
      </c>
      <c r="U2319" s="277"/>
      <c r="V2319" s="277"/>
      <c r="W2319" s="277"/>
      <c r="X2319" s="277"/>
      <c r="Y2319" s="277"/>
      <c r="Z2319" s="277"/>
      <c r="AA2319" s="277"/>
      <c r="AB2319" s="277"/>
      <c r="AC2319" s="277"/>
      <c r="AD2319" s="277"/>
      <c r="AE2319" s="277"/>
      <c r="AF2319" s="277"/>
      <c r="AG2319" s="277"/>
      <c r="AH2319" s="277"/>
      <c r="AI2319" s="277"/>
    </row>
    <row r="2320" spans="16:35" s="185" customFormat="1">
      <c r="P2320" s="277"/>
      <c r="Q2320" s="277"/>
      <c r="R2320" s="277"/>
      <c r="S2320" s="291">
        <v>43866</v>
      </c>
      <c r="T2320" s="279">
        <v>2227</v>
      </c>
      <c r="U2320" s="277"/>
      <c r="V2320" s="277"/>
      <c r="W2320" s="277"/>
      <c r="X2320" s="277"/>
      <c r="Y2320" s="277"/>
      <c r="Z2320" s="277"/>
      <c r="AA2320" s="277"/>
      <c r="AB2320" s="277"/>
      <c r="AC2320" s="277"/>
      <c r="AD2320" s="277"/>
      <c r="AE2320" s="277"/>
      <c r="AF2320" s="277"/>
      <c r="AG2320" s="277"/>
      <c r="AH2320" s="277"/>
      <c r="AI2320" s="277"/>
    </row>
    <row r="2321" spans="16:35" s="185" customFormat="1">
      <c r="P2321" s="277"/>
      <c r="Q2321" s="277"/>
      <c r="R2321" s="277"/>
      <c r="S2321" s="291">
        <v>43867</v>
      </c>
      <c r="T2321" s="279">
        <v>2228</v>
      </c>
      <c r="U2321" s="277"/>
      <c r="V2321" s="277"/>
      <c r="W2321" s="277"/>
      <c r="X2321" s="277"/>
      <c r="Y2321" s="277"/>
      <c r="Z2321" s="277"/>
      <c r="AA2321" s="277"/>
      <c r="AB2321" s="277"/>
      <c r="AC2321" s="277"/>
      <c r="AD2321" s="277"/>
      <c r="AE2321" s="277"/>
      <c r="AF2321" s="277"/>
      <c r="AG2321" s="277"/>
      <c r="AH2321" s="277"/>
      <c r="AI2321" s="277"/>
    </row>
    <row r="2322" spans="16:35" s="185" customFormat="1">
      <c r="P2322" s="277"/>
      <c r="Q2322" s="277"/>
      <c r="R2322" s="277"/>
      <c r="S2322" s="291">
        <v>43868</v>
      </c>
      <c r="T2322" s="279">
        <v>2229</v>
      </c>
      <c r="U2322" s="277"/>
      <c r="V2322" s="277"/>
      <c r="W2322" s="277"/>
      <c r="X2322" s="277"/>
      <c r="Y2322" s="277"/>
      <c r="Z2322" s="277"/>
      <c r="AA2322" s="277"/>
      <c r="AB2322" s="277"/>
      <c r="AC2322" s="277"/>
      <c r="AD2322" s="277"/>
      <c r="AE2322" s="277"/>
      <c r="AF2322" s="277"/>
      <c r="AG2322" s="277"/>
      <c r="AH2322" s="277"/>
      <c r="AI2322" s="277"/>
    </row>
    <row r="2323" spans="16:35" s="185" customFormat="1">
      <c r="P2323" s="277"/>
      <c r="Q2323" s="277"/>
      <c r="R2323" s="277"/>
      <c r="S2323" s="291">
        <v>43869</v>
      </c>
      <c r="T2323" s="279">
        <v>2230</v>
      </c>
      <c r="U2323" s="277"/>
      <c r="V2323" s="277"/>
      <c r="W2323" s="277"/>
      <c r="X2323" s="277"/>
      <c r="Y2323" s="277"/>
      <c r="Z2323" s="277"/>
      <c r="AA2323" s="277"/>
      <c r="AB2323" s="277"/>
      <c r="AC2323" s="277"/>
      <c r="AD2323" s="277"/>
      <c r="AE2323" s="277"/>
      <c r="AF2323" s="277"/>
      <c r="AG2323" s="277"/>
      <c r="AH2323" s="277"/>
      <c r="AI2323" s="277"/>
    </row>
    <row r="2324" spans="16:35" s="185" customFormat="1">
      <c r="P2324" s="277"/>
      <c r="Q2324" s="277"/>
      <c r="R2324" s="277"/>
      <c r="S2324" s="291">
        <v>43870</v>
      </c>
      <c r="T2324" s="279">
        <v>2231</v>
      </c>
      <c r="U2324" s="277"/>
      <c r="V2324" s="277"/>
      <c r="W2324" s="277"/>
      <c r="X2324" s="277"/>
      <c r="Y2324" s="277"/>
      <c r="Z2324" s="277"/>
      <c r="AA2324" s="277"/>
      <c r="AB2324" s="277"/>
      <c r="AC2324" s="277"/>
      <c r="AD2324" s="277"/>
      <c r="AE2324" s="277"/>
      <c r="AF2324" s="277"/>
      <c r="AG2324" s="277"/>
      <c r="AH2324" s="277"/>
      <c r="AI2324" s="277"/>
    </row>
    <row r="2325" spans="16:35" s="185" customFormat="1">
      <c r="P2325" s="277"/>
      <c r="Q2325" s="277"/>
      <c r="R2325" s="277"/>
      <c r="S2325" s="291">
        <v>43871</v>
      </c>
      <c r="T2325" s="279">
        <v>2232</v>
      </c>
      <c r="U2325" s="277"/>
      <c r="V2325" s="277"/>
      <c r="W2325" s="277"/>
      <c r="X2325" s="277"/>
      <c r="Y2325" s="277"/>
      <c r="Z2325" s="277"/>
      <c r="AA2325" s="277"/>
      <c r="AB2325" s="277"/>
      <c r="AC2325" s="277"/>
      <c r="AD2325" s="277"/>
      <c r="AE2325" s="277"/>
      <c r="AF2325" s="277"/>
      <c r="AG2325" s="277"/>
      <c r="AH2325" s="277"/>
      <c r="AI2325" s="277"/>
    </row>
    <row r="2326" spans="16:35" s="185" customFormat="1">
      <c r="P2326" s="277"/>
      <c r="Q2326" s="277"/>
      <c r="R2326" s="277"/>
      <c r="S2326" s="291">
        <v>43872</v>
      </c>
      <c r="T2326" s="279">
        <v>2233</v>
      </c>
      <c r="U2326" s="277"/>
      <c r="V2326" s="277"/>
      <c r="W2326" s="277"/>
      <c r="X2326" s="277"/>
      <c r="Y2326" s="277"/>
      <c r="Z2326" s="277"/>
      <c r="AA2326" s="277"/>
      <c r="AB2326" s="277"/>
      <c r="AC2326" s="277"/>
      <c r="AD2326" s="277"/>
      <c r="AE2326" s="277"/>
      <c r="AF2326" s="277"/>
      <c r="AG2326" s="277"/>
      <c r="AH2326" s="277"/>
      <c r="AI2326" s="277"/>
    </row>
    <row r="2327" spans="16:35" s="185" customFormat="1">
      <c r="P2327" s="277"/>
      <c r="Q2327" s="277"/>
      <c r="R2327" s="277"/>
      <c r="S2327" s="291">
        <v>43873</v>
      </c>
      <c r="T2327" s="279">
        <v>2234</v>
      </c>
      <c r="U2327" s="277"/>
      <c r="V2327" s="277"/>
      <c r="W2327" s="277"/>
      <c r="X2327" s="277"/>
      <c r="Y2327" s="277"/>
      <c r="Z2327" s="277"/>
      <c r="AA2327" s="277"/>
      <c r="AB2327" s="277"/>
      <c r="AC2327" s="277"/>
      <c r="AD2327" s="277"/>
      <c r="AE2327" s="277"/>
      <c r="AF2327" s="277"/>
      <c r="AG2327" s="277"/>
      <c r="AH2327" s="277"/>
      <c r="AI2327" s="277"/>
    </row>
    <row r="2328" spans="16:35" s="185" customFormat="1">
      <c r="P2328" s="277"/>
      <c r="Q2328" s="277"/>
      <c r="R2328" s="277"/>
      <c r="S2328" s="291">
        <v>43874</v>
      </c>
      <c r="T2328" s="279">
        <v>2235</v>
      </c>
      <c r="U2328" s="277"/>
      <c r="V2328" s="277"/>
      <c r="W2328" s="277"/>
      <c r="X2328" s="277"/>
      <c r="Y2328" s="277"/>
      <c r="Z2328" s="277"/>
      <c r="AA2328" s="277"/>
      <c r="AB2328" s="277"/>
      <c r="AC2328" s="277"/>
      <c r="AD2328" s="277"/>
      <c r="AE2328" s="277"/>
      <c r="AF2328" s="277"/>
      <c r="AG2328" s="277"/>
      <c r="AH2328" s="277"/>
      <c r="AI2328" s="277"/>
    </row>
    <row r="2329" spans="16:35" s="185" customFormat="1">
      <c r="P2329" s="277"/>
      <c r="Q2329" s="277"/>
      <c r="R2329" s="277"/>
      <c r="S2329" s="291">
        <v>43875</v>
      </c>
      <c r="T2329" s="279">
        <v>2236</v>
      </c>
      <c r="U2329" s="277"/>
      <c r="V2329" s="277"/>
      <c r="W2329" s="277"/>
      <c r="X2329" s="277"/>
      <c r="Y2329" s="277"/>
      <c r="Z2329" s="277"/>
      <c r="AA2329" s="277"/>
      <c r="AB2329" s="277"/>
      <c r="AC2329" s="277"/>
      <c r="AD2329" s="277"/>
      <c r="AE2329" s="277"/>
      <c r="AF2329" s="277"/>
      <c r="AG2329" s="277"/>
      <c r="AH2329" s="277"/>
      <c r="AI2329" s="277"/>
    </row>
    <row r="2330" spans="16:35" s="185" customFormat="1">
      <c r="P2330" s="277"/>
      <c r="Q2330" s="277"/>
      <c r="R2330" s="277"/>
      <c r="S2330" s="291">
        <v>43876</v>
      </c>
      <c r="T2330" s="279">
        <v>2237</v>
      </c>
      <c r="U2330" s="277"/>
      <c r="V2330" s="277"/>
      <c r="W2330" s="277"/>
      <c r="X2330" s="277"/>
      <c r="Y2330" s="277"/>
      <c r="Z2330" s="277"/>
      <c r="AA2330" s="277"/>
      <c r="AB2330" s="277"/>
      <c r="AC2330" s="277"/>
      <c r="AD2330" s="277"/>
      <c r="AE2330" s="277"/>
      <c r="AF2330" s="277"/>
      <c r="AG2330" s="277"/>
      <c r="AH2330" s="277"/>
      <c r="AI2330" s="277"/>
    </row>
    <row r="2331" spans="16:35" s="185" customFormat="1">
      <c r="P2331" s="277"/>
      <c r="Q2331" s="277"/>
      <c r="R2331" s="277"/>
      <c r="S2331" s="291">
        <v>43877</v>
      </c>
      <c r="T2331" s="279">
        <v>2238</v>
      </c>
      <c r="U2331" s="277"/>
      <c r="V2331" s="277"/>
      <c r="W2331" s="277"/>
      <c r="X2331" s="277"/>
      <c r="Y2331" s="277"/>
      <c r="Z2331" s="277"/>
      <c r="AA2331" s="277"/>
      <c r="AB2331" s="277"/>
      <c r="AC2331" s="277"/>
      <c r="AD2331" s="277"/>
      <c r="AE2331" s="277"/>
      <c r="AF2331" s="277"/>
      <c r="AG2331" s="277"/>
      <c r="AH2331" s="277"/>
      <c r="AI2331" s="277"/>
    </row>
    <row r="2332" spans="16:35" s="185" customFormat="1">
      <c r="P2332" s="277"/>
      <c r="Q2332" s="277"/>
      <c r="R2332" s="277"/>
      <c r="S2332" s="291">
        <v>43878</v>
      </c>
      <c r="T2332" s="279">
        <v>2239</v>
      </c>
      <c r="U2332" s="277"/>
      <c r="V2332" s="277"/>
      <c r="W2332" s="277"/>
      <c r="X2332" s="277"/>
      <c r="Y2332" s="277"/>
      <c r="Z2332" s="277"/>
      <c r="AA2332" s="277"/>
      <c r="AB2332" s="277"/>
      <c r="AC2332" s="277"/>
      <c r="AD2332" s="277"/>
      <c r="AE2332" s="277"/>
      <c r="AF2332" s="277"/>
      <c r="AG2332" s="277"/>
      <c r="AH2332" s="277"/>
      <c r="AI2332" s="277"/>
    </row>
    <row r="2333" spans="16:35" s="185" customFormat="1">
      <c r="P2333" s="277"/>
      <c r="Q2333" s="277"/>
      <c r="R2333" s="277"/>
      <c r="S2333" s="291">
        <v>43879</v>
      </c>
      <c r="T2333" s="279">
        <v>2240</v>
      </c>
      <c r="U2333" s="277"/>
      <c r="V2333" s="277"/>
      <c r="W2333" s="277"/>
      <c r="X2333" s="277"/>
      <c r="Y2333" s="277"/>
      <c r="Z2333" s="277"/>
      <c r="AA2333" s="277"/>
      <c r="AB2333" s="277"/>
      <c r="AC2333" s="277"/>
      <c r="AD2333" s="277"/>
      <c r="AE2333" s="277"/>
      <c r="AF2333" s="277"/>
      <c r="AG2333" s="277"/>
      <c r="AH2333" s="277"/>
      <c r="AI2333" s="277"/>
    </row>
    <row r="2334" spans="16:35" s="185" customFormat="1">
      <c r="P2334" s="277"/>
      <c r="Q2334" s="277"/>
      <c r="R2334" s="277"/>
      <c r="S2334" s="291">
        <v>43880</v>
      </c>
      <c r="T2334" s="279">
        <v>2241</v>
      </c>
      <c r="U2334" s="277"/>
      <c r="V2334" s="277"/>
      <c r="W2334" s="277"/>
      <c r="X2334" s="277"/>
      <c r="Y2334" s="277"/>
      <c r="Z2334" s="277"/>
      <c r="AA2334" s="277"/>
      <c r="AB2334" s="277"/>
      <c r="AC2334" s="277"/>
      <c r="AD2334" s="277"/>
      <c r="AE2334" s="277"/>
      <c r="AF2334" s="277"/>
      <c r="AG2334" s="277"/>
      <c r="AH2334" s="277"/>
      <c r="AI2334" s="277"/>
    </row>
    <row r="2335" spans="16:35" s="185" customFormat="1">
      <c r="P2335" s="277"/>
      <c r="Q2335" s="277"/>
      <c r="R2335" s="277"/>
      <c r="S2335" s="291">
        <v>43881</v>
      </c>
      <c r="T2335" s="279">
        <v>2242</v>
      </c>
      <c r="U2335" s="277"/>
      <c r="V2335" s="277"/>
      <c r="W2335" s="277"/>
      <c r="X2335" s="277"/>
      <c r="Y2335" s="277"/>
      <c r="Z2335" s="277"/>
      <c r="AA2335" s="277"/>
      <c r="AB2335" s="277"/>
      <c r="AC2335" s="277"/>
      <c r="AD2335" s="277"/>
      <c r="AE2335" s="277"/>
      <c r="AF2335" s="277"/>
      <c r="AG2335" s="277"/>
      <c r="AH2335" s="277"/>
      <c r="AI2335" s="277"/>
    </row>
    <row r="2336" spans="16:35" s="185" customFormat="1">
      <c r="P2336" s="277"/>
      <c r="Q2336" s="277"/>
      <c r="R2336" s="277"/>
      <c r="S2336" s="291">
        <v>43882</v>
      </c>
      <c r="T2336" s="279">
        <v>2243</v>
      </c>
      <c r="U2336" s="277"/>
      <c r="V2336" s="277"/>
      <c r="W2336" s="277"/>
      <c r="X2336" s="277"/>
      <c r="Y2336" s="277"/>
      <c r="Z2336" s="277"/>
      <c r="AA2336" s="277"/>
      <c r="AB2336" s="277"/>
      <c r="AC2336" s="277"/>
      <c r="AD2336" s="277"/>
      <c r="AE2336" s="277"/>
      <c r="AF2336" s="277"/>
      <c r="AG2336" s="277"/>
      <c r="AH2336" s="277"/>
      <c r="AI2336" s="277"/>
    </row>
    <row r="2337" spans="16:35" s="185" customFormat="1">
      <c r="P2337" s="277"/>
      <c r="Q2337" s="277"/>
      <c r="R2337" s="277"/>
      <c r="S2337" s="291">
        <v>43883</v>
      </c>
      <c r="T2337" s="279">
        <v>2244</v>
      </c>
      <c r="U2337" s="277"/>
      <c r="V2337" s="277"/>
      <c r="W2337" s="277"/>
      <c r="X2337" s="277"/>
      <c r="Y2337" s="277"/>
      <c r="Z2337" s="277"/>
      <c r="AA2337" s="277"/>
      <c r="AB2337" s="277"/>
      <c r="AC2337" s="277"/>
      <c r="AD2337" s="277"/>
      <c r="AE2337" s="277"/>
      <c r="AF2337" s="277"/>
      <c r="AG2337" s="277"/>
      <c r="AH2337" s="277"/>
      <c r="AI2337" s="277"/>
    </row>
    <row r="2338" spans="16:35" s="185" customFormat="1">
      <c r="P2338" s="277"/>
      <c r="Q2338" s="277"/>
      <c r="R2338" s="277"/>
      <c r="S2338" s="291">
        <v>43884</v>
      </c>
      <c r="T2338" s="279">
        <v>2245</v>
      </c>
      <c r="U2338" s="277"/>
      <c r="V2338" s="277"/>
      <c r="W2338" s="277"/>
      <c r="X2338" s="277"/>
      <c r="Y2338" s="277"/>
      <c r="Z2338" s="277"/>
      <c r="AA2338" s="277"/>
      <c r="AB2338" s="277"/>
      <c r="AC2338" s="277"/>
      <c r="AD2338" s="277"/>
      <c r="AE2338" s="277"/>
      <c r="AF2338" s="277"/>
      <c r="AG2338" s="277"/>
      <c r="AH2338" s="277"/>
      <c r="AI2338" s="277"/>
    </row>
    <row r="2339" spans="16:35" s="185" customFormat="1">
      <c r="P2339" s="277"/>
      <c r="Q2339" s="277"/>
      <c r="R2339" s="277"/>
      <c r="S2339" s="291">
        <v>43885</v>
      </c>
      <c r="T2339" s="279">
        <v>2246</v>
      </c>
      <c r="U2339" s="277"/>
      <c r="V2339" s="277"/>
      <c r="W2339" s="277"/>
      <c r="X2339" s="277"/>
      <c r="Y2339" s="277"/>
      <c r="Z2339" s="277"/>
      <c r="AA2339" s="277"/>
      <c r="AB2339" s="277"/>
      <c r="AC2339" s="277"/>
      <c r="AD2339" s="277"/>
      <c r="AE2339" s="277"/>
      <c r="AF2339" s="277"/>
      <c r="AG2339" s="277"/>
      <c r="AH2339" s="277"/>
      <c r="AI2339" s="277"/>
    </row>
    <row r="2340" spans="16:35" s="185" customFormat="1">
      <c r="P2340" s="277"/>
      <c r="Q2340" s="277"/>
      <c r="R2340" s="277"/>
      <c r="S2340" s="291">
        <v>43886</v>
      </c>
      <c r="T2340" s="279">
        <v>2247</v>
      </c>
      <c r="U2340" s="277"/>
      <c r="V2340" s="277"/>
      <c r="W2340" s="277"/>
      <c r="X2340" s="277"/>
      <c r="Y2340" s="277"/>
      <c r="Z2340" s="277"/>
      <c r="AA2340" s="277"/>
      <c r="AB2340" s="277"/>
      <c r="AC2340" s="277"/>
      <c r="AD2340" s="277"/>
      <c r="AE2340" s="277"/>
      <c r="AF2340" s="277"/>
      <c r="AG2340" s="277"/>
      <c r="AH2340" s="277"/>
      <c r="AI2340" s="277"/>
    </row>
    <row r="2341" spans="16:35" s="185" customFormat="1">
      <c r="P2341" s="277"/>
      <c r="Q2341" s="277"/>
      <c r="R2341" s="277"/>
      <c r="S2341" s="291">
        <v>43887</v>
      </c>
      <c r="T2341" s="279">
        <v>2248</v>
      </c>
      <c r="U2341" s="277"/>
      <c r="V2341" s="277"/>
      <c r="W2341" s="277"/>
      <c r="X2341" s="277"/>
      <c r="Y2341" s="277"/>
      <c r="Z2341" s="277"/>
      <c r="AA2341" s="277"/>
      <c r="AB2341" s="277"/>
      <c r="AC2341" s="277"/>
      <c r="AD2341" s="277"/>
      <c r="AE2341" s="277"/>
      <c r="AF2341" s="277"/>
      <c r="AG2341" s="277"/>
      <c r="AH2341" s="277"/>
      <c r="AI2341" s="277"/>
    </row>
    <row r="2342" spans="16:35" s="185" customFormat="1">
      <c r="P2342" s="277"/>
      <c r="Q2342" s="277"/>
      <c r="R2342" s="277"/>
      <c r="S2342" s="291">
        <v>43888</v>
      </c>
      <c r="T2342" s="279">
        <v>2249</v>
      </c>
      <c r="U2342" s="277"/>
      <c r="V2342" s="277"/>
      <c r="W2342" s="277"/>
      <c r="X2342" s="277"/>
      <c r="Y2342" s="277"/>
      <c r="Z2342" s="277"/>
      <c r="AA2342" s="277"/>
      <c r="AB2342" s="277"/>
      <c r="AC2342" s="277"/>
      <c r="AD2342" s="277"/>
      <c r="AE2342" s="277"/>
      <c r="AF2342" s="277"/>
      <c r="AG2342" s="277"/>
      <c r="AH2342" s="277"/>
      <c r="AI2342" s="277"/>
    </row>
    <row r="2343" spans="16:35" s="185" customFormat="1">
      <c r="P2343" s="277"/>
      <c r="Q2343" s="277"/>
      <c r="R2343" s="277"/>
      <c r="S2343" s="291">
        <v>43889</v>
      </c>
      <c r="T2343" s="279">
        <v>2250</v>
      </c>
      <c r="U2343" s="277"/>
      <c r="V2343" s="277"/>
      <c r="W2343" s="277"/>
      <c r="X2343" s="277"/>
      <c r="Y2343" s="277"/>
      <c r="Z2343" s="277"/>
      <c r="AA2343" s="277"/>
      <c r="AB2343" s="277"/>
      <c r="AC2343" s="277"/>
      <c r="AD2343" s="277"/>
      <c r="AE2343" s="277"/>
      <c r="AF2343" s="277"/>
      <c r="AG2343" s="277"/>
      <c r="AH2343" s="277"/>
      <c r="AI2343" s="277"/>
    </row>
    <row r="2344" spans="16:35" s="185" customFormat="1">
      <c r="P2344" s="277"/>
      <c r="Q2344" s="277"/>
      <c r="R2344" s="277"/>
      <c r="S2344" s="291">
        <v>43890</v>
      </c>
      <c r="T2344" s="279">
        <v>2251</v>
      </c>
      <c r="U2344" s="277"/>
      <c r="V2344" s="277"/>
      <c r="W2344" s="277"/>
      <c r="X2344" s="277"/>
      <c r="Y2344" s="277"/>
      <c r="Z2344" s="277"/>
      <c r="AA2344" s="277"/>
      <c r="AB2344" s="277"/>
      <c r="AC2344" s="277"/>
      <c r="AD2344" s="277"/>
      <c r="AE2344" s="277"/>
      <c r="AF2344" s="277"/>
      <c r="AG2344" s="277"/>
      <c r="AH2344" s="277"/>
      <c r="AI2344" s="277"/>
    </row>
    <row r="2345" spans="16:35" s="185" customFormat="1">
      <c r="P2345" s="277"/>
      <c r="Q2345" s="277"/>
      <c r="R2345" s="277"/>
      <c r="S2345" s="291">
        <v>43891</v>
      </c>
      <c r="T2345" s="279">
        <v>2252</v>
      </c>
      <c r="U2345" s="277"/>
      <c r="V2345" s="277"/>
      <c r="W2345" s="277"/>
      <c r="X2345" s="277"/>
      <c r="Y2345" s="277"/>
      <c r="Z2345" s="277"/>
      <c r="AA2345" s="277"/>
      <c r="AB2345" s="277"/>
      <c r="AC2345" s="277"/>
      <c r="AD2345" s="277"/>
      <c r="AE2345" s="277"/>
      <c r="AF2345" s="277"/>
      <c r="AG2345" s="277"/>
      <c r="AH2345" s="277"/>
      <c r="AI2345" s="277"/>
    </row>
    <row r="2346" spans="16:35" s="185" customFormat="1">
      <c r="P2346" s="277"/>
      <c r="Q2346" s="277"/>
      <c r="R2346" s="277"/>
      <c r="S2346" s="291">
        <v>43892</v>
      </c>
      <c r="T2346" s="279">
        <v>2253</v>
      </c>
      <c r="U2346" s="277"/>
      <c r="V2346" s="277"/>
      <c r="W2346" s="277"/>
      <c r="X2346" s="277"/>
      <c r="Y2346" s="277"/>
      <c r="Z2346" s="277"/>
      <c r="AA2346" s="277"/>
      <c r="AB2346" s="277"/>
      <c r="AC2346" s="277"/>
      <c r="AD2346" s="277"/>
      <c r="AE2346" s="277"/>
      <c r="AF2346" s="277"/>
      <c r="AG2346" s="277"/>
      <c r="AH2346" s="277"/>
      <c r="AI2346" s="277"/>
    </row>
    <row r="2347" spans="16:35" s="185" customFormat="1">
      <c r="P2347" s="277"/>
      <c r="Q2347" s="277"/>
      <c r="R2347" s="277"/>
      <c r="S2347" s="291">
        <v>43893</v>
      </c>
      <c r="T2347" s="279">
        <v>2254</v>
      </c>
      <c r="U2347" s="277"/>
      <c r="V2347" s="277"/>
      <c r="W2347" s="277"/>
      <c r="X2347" s="277"/>
      <c r="Y2347" s="277"/>
      <c r="Z2347" s="277"/>
      <c r="AA2347" s="277"/>
      <c r="AB2347" s="277"/>
      <c r="AC2347" s="277"/>
      <c r="AD2347" s="277"/>
      <c r="AE2347" s="277"/>
      <c r="AF2347" s="277"/>
      <c r="AG2347" s="277"/>
      <c r="AH2347" s="277"/>
      <c r="AI2347" s="277"/>
    </row>
    <row r="2348" spans="16:35" s="185" customFormat="1">
      <c r="P2348" s="277"/>
      <c r="Q2348" s="277"/>
      <c r="R2348" s="277"/>
      <c r="S2348" s="291">
        <v>43894</v>
      </c>
      <c r="T2348" s="279">
        <v>2255</v>
      </c>
      <c r="U2348" s="277"/>
      <c r="V2348" s="277"/>
      <c r="W2348" s="277"/>
      <c r="X2348" s="277"/>
      <c r="Y2348" s="277"/>
      <c r="Z2348" s="277"/>
      <c r="AA2348" s="277"/>
      <c r="AB2348" s="277"/>
      <c r="AC2348" s="277"/>
      <c r="AD2348" s="277"/>
      <c r="AE2348" s="277"/>
      <c r="AF2348" s="277"/>
      <c r="AG2348" s="277"/>
      <c r="AH2348" s="277"/>
      <c r="AI2348" s="277"/>
    </row>
    <row r="2349" spans="16:35" s="185" customFormat="1">
      <c r="P2349" s="277"/>
      <c r="Q2349" s="277"/>
      <c r="R2349" s="277"/>
      <c r="S2349" s="291">
        <v>43895</v>
      </c>
      <c r="T2349" s="279">
        <v>2256</v>
      </c>
      <c r="U2349" s="277"/>
      <c r="V2349" s="277"/>
      <c r="W2349" s="277"/>
      <c r="X2349" s="277"/>
      <c r="Y2349" s="277"/>
      <c r="Z2349" s="277"/>
      <c r="AA2349" s="277"/>
      <c r="AB2349" s="277"/>
      <c r="AC2349" s="277"/>
      <c r="AD2349" s="277"/>
      <c r="AE2349" s="277"/>
      <c r="AF2349" s="277"/>
      <c r="AG2349" s="277"/>
      <c r="AH2349" s="277"/>
      <c r="AI2349" s="277"/>
    </row>
    <row r="2350" spans="16:35" s="185" customFormat="1">
      <c r="P2350" s="277"/>
      <c r="Q2350" s="277"/>
      <c r="R2350" s="277"/>
      <c r="S2350" s="291">
        <v>43896</v>
      </c>
      <c r="T2350" s="279">
        <v>2257</v>
      </c>
      <c r="U2350" s="277"/>
      <c r="V2350" s="277"/>
      <c r="W2350" s="277"/>
      <c r="X2350" s="277"/>
      <c r="Y2350" s="277"/>
      <c r="Z2350" s="277"/>
      <c r="AA2350" s="277"/>
      <c r="AB2350" s="277"/>
      <c r="AC2350" s="277"/>
      <c r="AD2350" s="277"/>
      <c r="AE2350" s="277"/>
      <c r="AF2350" s="277"/>
      <c r="AG2350" s="277"/>
      <c r="AH2350" s="277"/>
      <c r="AI2350" s="277"/>
    </row>
    <row r="2351" spans="16:35" s="185" customFormat="1">
      <c r="P2351" s="277"/>
      <c r="Q2351" s="277"/>
      <c r="R2351" s="277"/>
      <c r="S2351" s="291">
        <v>43897</v>
      </c>
      <c r="T2351" s="279">
        <v>2258</v>
      </c>
      <c r="U2351" s="277"/>
      <c r="V2351" s="277"/>
      <c r="W2351" s="277"/>
      <c r="X2351" s="277"/>
      <c r="Y2351" s="277"/>
      <c r="Z2351" s="277"/>
      <c r="AA2351" s="277"/>
      <c r="AB2351" s="277"/>
      <c r="AC2351" s="277"/>
      <c r="AD2351" s="277"/>
      <c r="AE2351" s="277"/>
      <c r="AF2351" s="277"/>
      <c r="AG2351" s="277"/>
      <c r="AH2351" s="277"/>
      <c r="AI2351" s="277"/>
    </row>
    <row r="2352" spans="16:35" s="185" customFormat="1">
      <c r="P2352" s="277"/>
      <c r="Q2352" s="277"/>
      <c r="R2352" s="277"/>
      <c r="S2352" s="291">
        <v>43898</v>
      </c>
      <c r="T2352" s="279">
        <v>2259</v>
      </c>
      <c r="U2352" s="277"/>
      <c r="V2352" s="277"/>
      <c r="W2352" s="277"/>
      <c r="X2352" s="277"/>
      <c r="Y2352" s="277"/>
      <c r="Z2352" s="277"/>
      <c r="AA2352" s="277"/>
      <c r="AB2352" s="277"/>
      <c r="AC2352" s="277"/>
      <c r="AD2352" s="277"/>
      <c r="AE2352" s="277"/>
      <c r="AF2352" s="277"/>
      <c r="AG2352" s="277"/>
      <c r="AH2352" s="277"/>
      <c r="AI2352" s="277"/>
    </row>
    <row r="2353" spans="16:35" s="185" customFormat="1">
      <c r="P2353" s="277"/>
      <c r="Q2353" s="277"/>
      <c r="R2353" s="277"/>
      <c r="S2353" s="291">
        <v>43899</v>
      </c>
      <c r="T2353" s="279">
        <v>2260</v>
      </c>
      <c r="U2353" s="277"/>
      <c r="V2353" s="277"/>
      <c r="W2353" s="277"/>
      <c r="X2353" s="277"/>
      <c r="Y2353" s="277"/>
      <c r="Z2353" s="277"/>
      <c r="AA2353" s="277"/>
      <c r="AB2353" s="277"/>
      <c r="AC2353" s="277"/>
      <c r="AD2353" s="277"/>
      <c r="AE2353" s="277"/>
      <c r="AF2353" s="277"/>
      <c r="AG2353" s="277"/>
      <c r="AH2353" s="277"/>
      <c r="AI2353" s="277"/>
    </row>
    <row r="2354" spans="16:35" s="185" customFormat="1">
      <c r="P2354" s="277"/>
      <c r="Q2354" s="277"/>
      <c r="R2354" s="277"/>
      <c r="S2354" s="291">
        <v>43900</v>
      </c>
      <c r="T2354" s="279">
        <v>2261</v>
      </c>
      <c r="U2354" s="277"/>
      <c r="V2354" s="277"/>
      <c r="W2354" s="277"/>
      <c r="X2354" s="277"/>
      <c r="Y2354" s="277"/>
      <c r="Z2354" s="277"/>
      <c r="AA2354" s="277"/>
      <c r="AB2354" s="277"/>
      <c r="AC2354" s="277"/>
      <c r="AD2354" s="277"/>
      <c r="AE2354" s="277"/>
      <c r="AF2354" s="277"/>
      <c r="AG2354" s="277"/>
      <c r="AH2354" s="277"/>
      <c r="AI2354" s="277"/>
    </row>
    <row r="2355" spans="16:35" s="185" customFormat="1">
      <c r="P2355" s="277"/>
      <c r="Q2355" s="277"/>
      <c r="R2355" s="277"/>
      <c r="S2355" s="291">
        <v>43901</v>
      </c>
      <c r="T2355" s="279">
        <v>2262</v>
      </c>
      <c r="U2355" s="277"/>
      <c r="V2355" s="277"/>
      <c r="W2355" s="277"/>
      <c r="X2355" s="277"/>
      <c r="Y2355" s="277"/>
      <c r="Z2355" s="277"/>
      <c r="AA2355" s="277"/>
      <c r="AB2355" s="277"/>
      <c r="AC2355" s="277"/>
      <c r="AD2355" s="277"/>
      <c r="AE2355" s="277"/>
      <c r="AF2355" s="277"/>
      <c r="AG2355" s="277"/>
      <c r="AH2355" s="277"/>
      <c r="AI2355" s="277"/>
    </row>
    <row r="2356" spans="16:35" s="185" customFormat="1">
      <c r="P2356" s="277"/>
      <c r="Q2356" s="277"/>
      <c r="R2356" s="277"/>
      <c r="S2356" s="291">
        <v>43902</v>
      </c>
      <c r="T2356" s="279">
        <v>2263</v>
      </c>
      <c r="U2356" s="277"/>
      <c r="V2356" s="277"/>
      <c r="W2356" s="277"/>
      <c r="X2356" s="277"/>
      <c r="Y2356" s="277"/>
      <c r="Z2356" s="277"/>
      <c r="AA2356" s="277"/>
      <c r="AB2356" s="277"/>
      <c r="AC2356" s="277"/>
      <c r="AD2356" s="277"/>
      <c r="AE2356" s="277"/>
      <c r="AF2356" s="277"/>
      <c r="AG2356" s="277"/>
      <c r="AH2356" s="277"/>
      <c r="AI2356" s="277"/>
    </row>
    <row r="2357" spans="16:35" s="185" customFormat="1">
      <c r="P2357" s="277"/>
      <c r="Q2357" s="277"/>
      <c r="R2357" s="277"/>
      <c r="S2357" s="291">
        <v>43903</v>
      </c>
      <c r="T2357" s="279">
        <v>2264</v>
      </c>
      <c r="U2357" s="277"/>
      <c r="V2357" s="277"/>
      <c r="W2357" s="277"/>
      <c r="X2357" s="277"/>
      <c r="Y2357" s="277"/>
      <c r="Z2357" s="277"/>
      <c r="AA2357" s="277"/>
      <c r="AB2357" s="277"/>
      <c r="AC2357" s="277"/>
      <c r="AD2357" s="277"/>
      <c r="AE2357" s="277"/>
      <c r="AF2357" s="277"/>
      <c r="AG2357" s="277"/>
      <c r="AH2357" s="277"/>
      <c r="AI2357" s="277"/>
    </row>
    <row r="2358" spans="16:35" s="185" customFormat="1">
      <c r="P2358" s="277"/>
      <c r="Q2358" s="277"/>
      <c r="R2358" s="277"/>
      <c r="S2358" s="291">
        <v>43904</v>
      </c>
      <c r="T2358" s="279">
        <v>2265</v>
      </c>
      <c r="U2358" s="277"/>
      <c r="V2358" s="277"/>
      <c r="W2358" s="277"/>
      <c r="X2358" s="277"/>
      <c r="Y2358" s="277"/>
      <c r="Z2358" s="277"/>
      <c r="AA2358" s="277"/>
      <c r="AB2358" s="277"/>
      <c r="AC2358" s="277"/>
      <c r="AD2358" s="277"/>
      <c r="AE2358" s="277"/>
      <c r="AF2358" s="277"/>
      <c r="AG2358" s="277"/>
      <c r="AH2358" s="277"/>
      <c r="AI2358" s="277"/>
    </row>
    <row r="2359" spans="16:35" s="185" customFormat="1">
      <c r="P2359" s="277"/>
      <c r="Q2359" s="277"/>
      <c r="R2359" s="277"/>
      <c r="S2359" s="291">
        <v>43905</v>
      </c>
      <c r="T2359" s="279">
        <v>2266</v>
      </c>
      <c r="U2359" s="277"/>
      <c r="V2359" s="277"/>
      <c r="W2359" s="277"/>
      <c r="X2359" s="277"/>
      <c r="Y2359" s="277"/>
      <c r="Z2359" s="277"/>
      <c r="AA2359" s="277"/>
      <c r="AB2359" s="277"/>
      <c r="AC2359" s="277"/>
      <c r="AD2359" s="277"/>
      <c r="AE2359" s="277"/>
      <c r="AF2359" s="277"/>
      <c r="AG2359" s="277"/>
      <c r="AH2359" s="277"/>
      <c r="AI2359" s="277"/>
    </row>
    <row r="2360" spans="16:35" s="185" customFormat="1">
      <c r="P2360" s="277"/>
      <c r="Q2360" s="277"/>
      <c r="R2360" s="277"/>
      <c r="S2360" s="291">
        <v>43906</v>
      </c>
      <c r="T2360" s="279">
        <v>2267</v>
      </c>
      <c r="U2360" s="277"/>
      <c r="V2360" s="277"/>
      <c r="W2360" s="277"/>
      <c r="X2360" s="277"/>
      <c r="Y2360" s="277"/>
      <c r="Z2360" s="277"/>
      <c r="AA2360" s="277"/>
      <c r="AB2360" s="277"/>
      <c r="AC2360" s="277"/>
      <c r="AD2360" s="277"/>
      <c r="AE2360" s="277"/>
      <c r="AF2360" s="277"/>
      <c r="AG2360" s="277"/>
      <c r="AH2360" s="277"/>
      <c r="AI2360" s="277"/>
    </row>
    <row r="2361" spans="16:35" s="185" customFormat="1">
      <c r="P2361" s="277"/>
      <c r="Q2361" s="277"/>
      <c r="R2361" s="277"/>
      <c r="S2361" s="291">
        <v>43907</v>
      </c>
      <c r="T2361" s="279">
        <v>2268</v>
      </c>
      <c r="U2361" s="277"/>
      <c r="V2361" s="277"/>
      <c r="W2361" s="277"/>
      <c r="X2361" s="277"/>
      <c r="Y2361" s="277"/>
      <c r="Z2361" s="277"/>
      <c r="AA2361" s="277"/>
      <c r="AB2361" s="277"/>
      <c r="AC2361" s="277"/>
      <c r="AD2361" s="277"/>
      <c r="AE2361" s="277"/>
      <c r="AF2361" s="277"/>
      <c r="AG2361" s="277"/>
      <c r="AH2361" s="277"/>
      <c r="AI2361" s="277"/>
    </row>
    <row r="2362" spans="16:35" s="185" customFormat="1">
      <c r="P2362" s="277"/>
      <c r="Q2362" s="277"/>
      <c r="R2362" s="277"/>
      <c r="S2362" s="291">
        <v>43908</v>
      </c>
      <c r="T2362" s="279">
        <v>2269</v>
      </c>
      <c r="U2362" s="277"/>
      <c r="V2362" s="277"/>
      <c r="W2362" s="277"/>
      <c r="X2362" s="277"/>
      <c r="Y2362" s="277"/>
      <c r="Z2362" s="277"/>
      <c r="AA2362" s="277"/>
      <c r="AB2362" s="277"/>
      <c r="AC2362" s="277"/>
      <c r="AD2362" s="277"/>
      <c r="AE2362" s="277"/>
      <c r="AF2362" s="277"/>
      <c r="AG2362" s="277"/>
      <c r="AH2362" s="277"/>
      <c r="AI2362" s="277"/>
    </row>
    <row r="2363" spans="16:35" s="185" customFormat="1">
      <c r="P2363" s="277"/>
      <c r="Q2363" s="277"/>
      <c r="R2363" s="277"/>
      <c r="S2363" s="291">
        <v>43909</v>
      </c>
      <c r="T2363" s="279">
        <v>2270</v>
      </c>
      <c r="U2363" s="277"/>
      <c r="V2363" s="277"/>
      <c r="W2363" s="277"/>
      <c r="X2363" s="277"/>
      <c r="Y2363" s="277"/>
      <c r="Z2363" s="277"/>
      <c r="AA2363" s="277"/>
      <c r="AB2363" s="277"/>
      <c r="AC2363" s="277"/>
      <c r="AD2363" s="277"/>
      <c r="AE2363" s="277"/>
      <c r="AF2363" s="277"/>
      <c r="AG2363" s="277"/>
      <c r="AH2363" s="277"/>
      <c r="AI2363" s="277"/>
    </row>
    <row r="2364" spans="16:35" s="185" customFormat="1">
      <c r="P2364" s="277"/>
      <c r="Q2364" s="277"/>
      <c r="R2364" s="277"/>
      <c r="S2364" s="291">
        <v>43910</v>
      </c>
      <c r="T2364" s="279">
        <v>2271</v>
      </c>
      <c r="U2364" s="277"/>
      <c r="V2364" s="277"/>
      <c r="W2364" s="277"/>
      <c r="X2364" s="277"/>
      <c r="Y2364" s="277"/>
      <c r="Z2364" s="277"/>
      <c r="AA2364" s="277"/>
      <c r="AB2364" s="277"/>
      <c r="AC2364" s="277"/>
      <c r="AD2364" s="277"/>
      <c r="AE2364" s="277"/>
      <c r="AF2364" s="277"/>
      <c r="AG2364" s="277"/>
      <c r="AH2364" s="277"/>
      <c r="AI2364" s="277"/>
    </row>
    <row r="2365" spans="16:35" s="185" customFormat="1">
      <c r="P2365" s="277"/>
      <c r="Q2365" s="277"/>
      <c r="R2365" s="277"/>
      <c r="S2365" s="291">
        <v>43911</v>
      </c>
      <c r="T2365" s="279">
        <v>2272</v>
      </c>
      <c r="U2365" s="277"/>
      <c r="V2365" s="277"/>
      <c r="W2365" s="277"/>
      <c r="X2365" s="277"/>
      <c r="Y2365" s="277"/>
      <c r="Z2365" s="277"/>
      <c r="AA2365" s="277"/>
      <c r="AB2365" s="277"/>
      <c r="AC2365" s="277"/>
      <c r="AD2365" s="277"/>
      <c r="AE2365" s="277"/>
      <c r="AF2365" s="277"/>
      <c r="AG2365" s="277"/>
      <c r="AH2365" s="277"/>
      <c r="AI2365" s="277"/>
    </row>
    <row r="2366" spans="16:35" s="185" customFormat="1">
      <c r="P2366" s="277"/>
      <c r="Q2366" s="277"/>
      <c r="R2366" s="277"/>
      <c r="S2366" s="291">
        <v>43912</v>
      </c>
      <c r="T2366" s="279">
        <v>2273</v>
      </c>
      <c r="U2366" s="277"/>
      <c r="V2366" s="277"/>
      <c r="W2366" s="277"/>
      <c r="X2366" s="277"/>
      <c r="Y2366" s="277"/>
      <c r="Z2366" s="277"/>
      <c r="AA2366" s="277"/>
      <c r="AB2366" s="277"/>
      <c r="AC2366" s="277"/>
      <c r="AD2366" s="277"/>
      <c r="AE2366" s="277"/>
      <c r="AF2366" s="277"/>
      <c r="AG2366" s="277"/>
      <c r="AH2366" s="277"/>
      <c r="AI2366" s="277"/>
    </row>
    <row r="2367" spans="16:35" s="185" customFormat="1">
      <c r="P2367" s="277"/>
      <c r="Q2367" s="277"/>
      <c r="R2367" s="277"/>
      <c r="S2367" s="291">
        <v>43913</v>
      </c>
      <c r="T2367" s="279">
        <v>2274</v>
      </c>
      <c r="U2367" s="277"/>
      <c r="V2367" s="277"/>
      <c r="W2367" s="277"/>
      <c r="X2367" s="277"/>
      <c r="Y2367" s="277"/>
      <c r="Z2367" s="277"/>
      <c r="AA2367" s="277"/>
      <c r="AB2367" s="277"/>
      <c r="AC2367" s="277"/>
      <c r="AD2367" s="277"/>
      <c r="AE2367" s="277"/>
      <c r="AF2367" s="277"/>
      <c r="AG2367" s="277"/>
      <c r="AH2367" s="277"/>
      <c r="AI2367" s="277"/>
    </row>
    <row r="2368" spans="16:35" s="185" customFormat="1">
      <c r="P2368" s="277"/>
      <c r="Q2368" s="277"/>
      <c r="R2368" s="277"/>
      <c r="S2368" s="291">
        <v>43914</v>
      </c>
      <c r="T2368" s="279">
        <v>2275</v>
      </c>
      <c r="U2368" s="277"/>
      <c r="V2368" s="277"/>
      <c r="W2368" s="277"/>
      <c r="X2368" s="277"/>
      <c r="Y2368" s="277"/>
      <c r="Z2368" s="277"/>
      <c r="AA2368" s="277"/>
      <c r="AB2368" s="277"/>
      <c r="AC2368" s="277"/>
      <c r="AD2368" s="277"/>
      <c r="AE2368" s="277"/>
      <c r="AF2368" s="277"/>
      <c r="AG2368" s="277"/>
      <c r="AH2368" s="277"/>
      <c r="AI2368" s="277"/>
    </row>
    <row r="2369" spans="16:35" s="185" customFormat="1">
      <c r="P2369" s="277"/>
      <c r="Q2369" s="277"/>
      <c r="R2369" s="277"/>
      <c r="S2369" s="291">
        <v>43915</v>
      </c>
      <c r="T2369" s="279">
        <v>2276</v>
      </c>
      <c r="U2369" s="277"/>
      <c r="V2369" s="277"/>
      <c r="W2369" s="277"/>
      <c r="X2369" s="277"/>
      <c r="Y2369" s="277"/>
      <c r="Z2369" s="277"/>
      <c r="AA2369" s="277"/>
      <c r="AB2369" s="277"/>
      <c r="AC2369" s="277"/>
      <c r="AD2369" s="277"/>
      <c r="AE2369" s="277"/>
      <c r="AF2369" s="277"/>
      <c r="AG2369" s="277"/>
      <c r="AH2369" s="277"/>
      <c r="AI2369" s="277"/>
    </row>
    <row r="2370" spans="16:35" s="185" customFormat="1">
      <c r="P2370" s="277"/>
      <c r="Q2370" s="277"/>
      <c r="R2370" s="277"/>
      <c r="S2370" s="291">
        <v>43916</v>
      </c>
      <c r="T2370" s="279">
        <v>2277</v>
      </c>
      <c r="U2370" s="277"/>
      <c r="V2370" s="277"/>
      <c r="W2370" s="277"/>
      <c r="X2370" s="277"/>
      <c r="Y2370" s="277"/>
      <c r="Z2370" s="277"/>
      <c r="AA2370" s="277"/>
      <c r="AB2370" s="277"/>
      <c r="AC2370" s="277"/>
      <c r="AD2370" s="277"/>
      <c r="AE2370" s="277"/>
      <c r="AF2370" s="277"/>
      <c r="AG2370" s="277"/>
      <c r="AH2370" s="277"/>
      <c r="AI2370" s="277"/>
    </row>
    <row r="2371" spans="16:35" s="185" customFormat="1">
      <c r="P2371" s="277"/>
      <c r="Q2371" s="277"/>
      <c r="R2371" s="277"/>
      <c r="S2371" s="291">
        <v>43917</v>
      </c>
      <c r="T2371" s="279">
        <v>2278</v>
      </c>
      <c r="U2371" s="277"/>
      <c r="V2371" s="277"/>
      <c r="W2371" s="277"/>
      <c r="X2371" s="277"/>
      <c r="Y2371" s="277"/>
      <c r="Z2371" s="277"/>
      <c r="AA2371" s="277"/>
      <c r="AB2371" s="277"/>
      <c r="AC2371" s="277"/>
      <c r="AD2371" s="277"/>
      <c r="AE2371" s="277"/>
      <c r="AF2371" s="277"/>
      <c r="AG2371" s="277"/>
      <c r="AH2371" s="277"/>
      <c r="AI2371" s="277"/>
    </row>
    <row r="2372" spans="16:35" s="185" customFormat="1">
      <c r="P2372" s="277"/>
      <c r="Q2372" s="277"/>
      <c r="R2372" s="277"/>
      <c r="S2372" s="291">
        <v>43918</v>
      </c>
      <c r="T2372" s="279">
        <v>2279</v>
      </c>
      <c r="U2372" s="277"/>
      <c r="V2372" s="277"/>
      <c r="W2372" s="277"/>
      <c r="X2372" s="277"/>
      <c r="Y2372" s="277"/>
      <c r="Z2372" s="277"/>
      <c r="AA2372" s="277"/>
      <c r="AB2372" s="277"/>
      <c r="AC2372" s="277"/>
      <c r="AD2372" s="277"/>
      <c r="AE2372" s="277"/>
      <c r="AF2372" s="277"/>
      <c r="AG2372" s="277"/>
      <c r="AH2372" s="277"/>
      <c r="AI2372" s="277"/>
    </row>
    <row r="2373" spans="16:35" s="185" customFormat="1">
      <c r="P2373" s="277"/>
      <c r="Q2373" s="277"/>
      <c r="R2373" s="277"/>
      <c r="S2373" s="291">
        <v>43919</v>
      </c>
      <c r="T2373" s="279">
        <v>2280</v>
      </c>
      <c r="U2373" s="277"/>
      <c r="V2373" s="277"/>
      <c r="W2373" s="277"/>
      <c r="X2373" s="277"/>
      <c r="Y2373" s="277"/>
      <c r="Z2373" s="277"/>
      <c r="AA2373" s="277"/>
      <c r="AB2373" s="277"/>
      <c r="AC2373" s="277"/>
      <c r="AD2373" s="277"/>
      <c r="AE2373" s="277"/>
      <c r="AF2373" s="277"/>
      <c r="AG2373" s="277"/>
      <c r="AH2373" s="277"/>
      <c r="AI2373" s="277"/>
    </row>
    <row r="2374" spans="16:35" s="185" customFormat="1">
      <c r="P2374" s="277"/>
      <c r="Q2374" s="277"/>
      <c r="R2374" s="277"/>
      <c r="S2374" s="291">
        <v>43920</v>
      </c>
      <c r="T2374" s="279">
        <v>2281</v>
      </c>
      <c r="U2374" s="277"/>
      <c r="V2374" s="277"/>
      <c r="W2374" s="277"/>
      <c r="X2374" s="277"/>
      <c r="Y2374" s="277"/>
      <c r="Z2374" s="277"/>
      <c r="AA2374" s="277"/>
      <c r="AB2374" s="277"/>
      <c r="AC2374" s="277"/>
      <c r="AD2374" s="277"/>
      <c r="AE2374" s="277"/>
      <c r="AF2374" s="277"/>
      <c r="AG2374" s="277"/>
      <c r="AH2374" s="277"/>
      <c r="AI2374" s="277"/>
    </row>
    <row r="2375" spans="16:35" s="185" customFormat="1">
      <c r="P2375" s="277"/>
      <c r="Q2375" s="277"/>
      <c r="R2375" s="277"/>
      <c r="S2375" s="291">
        <v>43921</v>
      </c>
      <c r="T2375" s="279">
        <v>2282</v>
      </c>
      <c r="U2375" s="277"/>
      <c r="V2375" s="277"/>
      <c r="W2375" s="277"/>
      <c r="X2375" s="277"/>
      <c r="Y2375" s="277"/>
      <c r="Z2375" s="277"/>
      <c r="AA2375" s="277"/>
      <c r="AB2375" s="277"/>
      <c r="AC2375" s="277"/>
      <c r="AD2375" s="277"/>
      <c r="AE2375" s="277"/>
      <c r="AF2375" s="277"/>
      <c r="AG2375" s="277"/>
      <c r="AH2375" s="277"/>
      <c r="AI2375" s="277"/>
    </row>
    <row r="2376" spans="16:35" s="185" customFormat="1">
      <c r="P2376" s="277"/>
      <c r="Q2376" s="277"/>
      <c r="R2376" s="277"/>
      <c r="S2376" s="291">
        <v>43922</v>
      </c>
      <c r="T2376" s="279">
        <v>2283</v>
      </c>
      <c r="U2376" s="277"/>
      <c r="V2376" s="277"/>
      <c r="W2376" s="277"/>
      <c r="X2376" s="277"/>
      <c r="Y2376" s="277"/>
      <c r="Z2376" s="277"/>
      <c r="AA2376" s="277"/>
      <c r="AB2376" s="277"/>
      <c r="AC2376" s="277"/>
      <c r="AD2376" s="277"/>
      <c r="AE2376" s="277"/>
      <c r="AF2376" s="277"/>
      <c r="AG2376" s="277"/>
      <c r="AH2376" s="277"/>
      <c r="AI2376" s="277"/>
    </row>
    <row r="2377" spans="16:35" s="185" customFormat="1">
      <c r="P2377" s="277"/>
      <c r="Q2377" s="277"/>
      <c r="R2377" s="277"/>
      <c r="S2377" s="291">
        <v>43923</v>
      </c>
      <c r="T2377" s="279">
        <v>2284</v>
      </c>
      <c r="U2377" s="277"/>
      <c r="V2377" s="277"/>
      <c r="W2377" s="277"/>
      <c r="X2377" s="277"/>
      <c r="Y2377" s="277"/>
      <c r="Z2377" s="277"/>
      <c r="AA2377" s="277"/>
      <c r="AB2377" s="277"/>
      <c r="AC2377" s="277"/>
      <c r="AD2377" s="277"/>
      <c r="AE2377" s="277"/>
      <c r="AF2377" s="277"/>
      <c r="AG2377" s="277"/>
      <c r="AH2377" s="277"/>
      <c r="AI2377" s="277"/>
    </row>
    <row r="2378" spans="16:35" s="185" customFormat="1">
      <c r="P2378" s="277"/>
      <c r="Q2378" s="277"/>
      <c r="R2378" s="277"/>
      <c r="S2378" s="291">
        <v>43924</v>
      </c>
      <c r="T2378" s="279">
        <v>2285</v>
      </c>
      <c r="U2378" s="277"/>
      <c r="V2378" s="277"/>
      <c r="W2378" s="277"/>
      <c r="X2378" s="277"/>
      <c r="Y2378" s="277"/>
      <c r="Z2378" s="277"/>
      <c r="AA2378" s="277"/>
      <c r="AB2378" s="277"/>
      <c r="AC2378" s="277"/>
      <c r="AD2378" s="277"/>
      <c r="AE2378" s="277"/>
      <c r="AF2378" s="277"/>
      <c r="AG2378" s="277"/>
      <c r="AH2378" s="277"/>
      <c r="AI2378" s="277"/>
    </row>
    <row r="2379" spans="16:35" s="185" customFormat="1">
      <c r="P2379" s="277"/>
      <c r="Q2379" s="277"/>
      <c r="R2379" s="277"/>
      <c r="S2379" s="291">
        <v>43925</v>
      </c>
      <c r="T2379" s="279">
        <v>2286</v>
      </c>
      <c r="U2379" s="277"/>
      <c r="V2379" s="277"/>
      <c r="W2379" s="277"/>
      <c r="X2379" s="277"/>
      <c r="Y2379" s="277"/>
      <c r="Z2379" s="277"/>
      <c r="AA2379" s="277"/>
      <c r="AB2379" s="277"/>
      <c r="AC2379" s="277"/>
      <c r="AD2379" s="277"/>
      <c r="AE2379" s="277"/>
      <c r="AF2379" s="277"/>
      <c r="AG2379" s="277"/>
      <c r="AH2379" s="277"/>
      <c r="AI2379" s="277"/>
    </row>
    <row r="2380" spans="16:35" s="185" customFormat="1">
      <c r="P2380" s="277"/>
      <c r="Q2380" s="277"/>
      <c r="R2380" s="277"/>
      <c r="S2380" s="291">
        <v>43926</v>
      </c>
      <c r="T2380" s="279">
        <v>2287</v>
      </c>
      <c r="U2380" s="277"/>
      <c r="V2380" s="277"/>
      <c r="W2380" s="277"/>
      <c r="X2380" s="277"/>
      <c r="Y2380" s="277"/>
      <c r="Z2380" s="277"/>
      <c r="AA2380" s="277"/>
      <c r="AB2380" s="277"/>
      <c r="AC2380" s="277"/>
      <c r="AD2380" s="277"/>
      <c r="AE2380" s="277"/>
      <c r="AF2380" s="277"/>
      <c r="AG2380" s="277"/>
      <c r="AH2380" s="277"/>
      <c r="AI2380" s="277"/>
    </row>
    <row r="2381" spans="16:35" s="185" customFormat="1">
      <c r="P2381" s="277"/>
      <c r="Q2381" s="277"/>
      <c r="R2381" s="277"/>
      <c r="S2381" s="291">
        <v>43927</v>
      </c>
      <c r="T2381" s="279">
        <v>2288</v>
      </c>
      <c r="U2381" s="277"/>
      <c r="V2381" s="277"/>
      <c r="W2381" s="277"/>
      <c r="X2381" s="277"/>
      <c r="Y2381" s="277"/>
      <c r="Z2381" s="277"/>
      <c r="AA2381" s="277"/>
      <c r="AB2381" s="277"/>
      <c r="AC2381" s="277"/>
      <c r="AD2381" s="277"/>
      <c r="AE2381" s="277"/>
      <c r="AF2381" s="277"/>
      <c r="AG2381" s="277"/>
      <c r="AH2381" s="277"/>
      <c r="AI2381" s="277"/>
    </row>
    <row r="2382" spans="16:35" s="185" customFormat="1">
      <c r="P2382" s="277"/>
      <c r="Q2382" s="277"/>
      <c r="R2382" s="277"/>
      <c r="S2382" s="291">
        <v>43928</v>
      </c>
      <c r="T2382" s="279">
        <v>2289</v>
      </c>
      <c r="U2382" s="277"/>
      <c r="V2382" s="277"/>
      <c r="W2382" s="277"/>
      <c r="X2382" s="277"/>
      <c r="Y2382" s="277"/>
      <c r="Z2382" s="277"/>
      <c r="AA2382" s="277"/>
      <c r="AB2382" s="277"/>
      <c r="AC2382" s="277"/>
      <c r="AD2382" s="277"/>
      <c r="AE2382" s="277"/>
      <c r="AF2382" s="277"/>
      <c r="AG2382" s="277"/>
      <c r="AH2382" s="277"/>
      <c r="AI2382" s="277"/>
    </row>
    <row r="2383" spans="16:35" s="185" customFormat="1">
      <c r="P2383" s="277"/>
      <c r="Q2383" s="277"/>
      <c r="R2383" s="277"/>
      <c r="S2383" s="291">
        <v>43929</v>
      </c>
      <c r="T2383" s="279">
        <v>2290</v>
      </c>
      <c r="U2383" s="277"/>
      <c r="V2383" s="277"/>
      <c r="W2383" s="277"/>
      <c r="X2383" s="277"/>
      <c r="Y2383" s="277"/>
      <c r="Z2383" s="277"/>
      <c r="AA2383" s="277"/>
      <c r="AB2383" s="277"/>
      <c r="AC2383" s="277"/>
      <c r="AD2383" s="277"/>
      <c r="AE2383" s="277"/>
      <c r="AF2383" s="277"/>
      <c r="AG2383" s="277"/>
      <c r="AH2383" s="277"/>
      <c r="AI2383" s="277"/>
    </row>
    <row r="2384" spans="16:35" s="185" customFormat="1">
      <c r="P2384" s="277"/>
      <c r="Q2384" s="277"/>
      <c r="R2384" s="277"/>
      <c r="S2384" s="291">
        <v>43930</v>
      </c>
      <c r="T2384" s="279">
        <v>2291</v>
      </c>
      <c r="U2384" s="277"/>
      <c r="V2384" s="277"/>
      <c r="W2384" s="277"/>
      <c r="X2384" s="277"/>
      <c r="Y2384" s="277"/>
      <c r="Z2384" s="277"/>
      <c r="AA2384" s="277"/>
      <c r="AB2384" s="277"/>
      <c r="AC2384" s="277"/>
      <c r="AD2384" s="277"/>
      <c r="AE2384" s="277"/>
      <c r="AF2384" s="277"/>
      <c r="AG2384" s="277"/>
      <c r="AH2384" s="277"/>
      <c r="AI2384" s="277"/>
    </row>
    <row r="2385" spans="16:35" s="185" customFormat="1">
      <c r="P2385" s="277"/>
      <c r="Q2385" s="277"/>
      <c r="R2385" s="277"/>
      <c r="S2385" s="291">
        <v>43931</v>
      </c>
      <c r="T2385" s="279">
        <v>2292</v>
      </c>
      <c r="U2385" s="277"/>
      <c r="V2385" s="277"/>
      <c r="W2385" s="277"/>
      <c r="X2385" s="277"/>
      <c r="Y2385" s="277"/>
      <c r="Z2385" s="277"/>
      <c r="AA2385" s="277"/>
      <c r="AB2385" s="277"/>
      <c r="AC2385" s="277"/>
      <c r="AD2385" s="277"/>
      <c r="AE2385" s="277"/>
      <c r="AF2385" s="277"/>
      <c r="AG2385" s="277"/>
      <c r="AH2385" s="277"/>
      <c r="AI2385" s="277"/>
    </row>
    <row r="2386" spans="16:35" s="185" customFormat="1">
      <c r="P2386" s="277"/>
      <c r="Q2386" s="277"/>
      <c r="R2386" s="277"/>
      <c r="S2386" s="291">
        <v>43932</v>
      </c>
      <c r="T2386" s="279">
        <v>2293</v>
      </c>
      <c r="U2386" s="277"/>
      <c r="V2386" s="277"/>
      <c r="W2386" s="277"/>
      <c r="X2386" s="277"/>
      <c r="Y2386" s="277"/>
      <c r="Z2386" s="277"/>
      <c r="AA2386" s="277"/>
      <c r="AB2386" s="277"/>
      <c r="AC2386" s="277"/>
      <c r="AD2386" s="277"/>
      <c r="AE2386" s="277"/>
      <c r="AF2386" s="277"/>
      <c r="AG2386" s="277"/>
      <c r="AH2386" s="277"/>
      <c r="AI2386" s="277"/>
    </row>
    <row r="2387" spans="16:35" s="185" customFormat="1">
      <c r="P2387" s="277"/>
      <c r="Q2387" s="277"/>
      <c r="R2387" s="277"/>
      <c r="S2387" s="291">
        <v>43933</v>
      </c>
      <c r="T2387" s="279">
        <v>2294</v>
      </c>
      <c r="U2387" s="277"/>
      <c r="V2387" s="277"/>
      <c r="W2387" s="277"/>
      <c r="X2387" s="277"/>
      <c r="Y2387" s="277"/>
      <c r="Z2387" s="277"/>
      <c r="AA2387" s="277"/>
      <c r="AB2387" s="277"/>
      <c r="AC2387" s="277"/>
      <c r="AD2387" s="277"/>
      <c r="AE2387" s="277"/>
      <c r="AF2387" s="277"/>
      <c r="AG2387" s="277"/>
      <c r="AH2387" s="277"/>
      <c r="AI2387" s="277"/>
    </row>
    <row r="2388" spans="16:35" s="185" customFormat="1">
      <c r="P2388" s="277"/>
      <c r="Q2388" s="277"/>
      <c r="R2388" s="277"/>
      <c r="S2388" s="291">
        <v>43934</v>
      </c>
      <c r="T2388" s="279">
        <v>2295</v>
      </c>
      <c r="U2388" s="277"/>
      <c r="V2388" s="277"/>
      <c r="W2388" s="277"/>
      <c r="X2388" s="277"/>
      <c r="Y2388" s="277"/>
      <c r="Z2388" s="277"/>
      <c r="AA2388" s="277"/>
      <c r="AB2388" s="277"/>
      <c r="AC2388" s="277"/>
      <c r="AD2388" s="277"/>
      <c r="AE2388" s="277"/>
      <c r="AF2388" s="277"/>
      <c r="AG2388" s="277"/>
      <c r="AH2388" s="277"/>
      <c r="AI2388" s="277"/>
    </row>
    <row r="2389" spans="16:35" s="185" customFormat="1">
      <c r="P2389" s="277"/>
      <c r="Q2389" s="277"/>
      <c r="R2389" s="277"/>
      <c r="S2389" s="291">
        <v>43935</v>
      </c>
      <c r="T2389" s="279">
        <v>2296</v>
      </c>
      <c r="U2389" s="277"/>
      <c r="V2389" s="277"/>
      <c r="W2389" s="277"/>
      <c r="X2389" s="277"/>
      <c r="Y2389" s="277"/>
      <c r="Z2389" s="277"/>
      <c r="AA2389" s="277"/>
      <c r="AB2389" s="277"/>
      <c r="AC2389" s="277"/>
      <c r="AD2389" s="277"/>
      <c r="AE2389" s="277"/>
      <c r="AF2389" s="277"/>
      <c r="AG2389" s="277"/>
      <c r="AH2389" s="277"/>
      <c r="AI2389" s="277"/>
    </row>
    <row r="2390" spans="16:35" s="185" customFormat="1">
      <c r="P2390" s="277"/>
      <c r="Q2390" s="277"/>
      <c r="R2390" s="277"/>
      <c r="S2390" s="291">
        <v>43936</v>
      </c>
      <c r="T2390" s="279">
        <v>2297</v>
      </c>
      <c r="U2390" s="277"/>
      <c r="V2390" s="277"/>
      <c r="W2390" s="277"/>
      <c r="X2390" s="277"/>
      <c r="Y2390" s="277"/>
      <c r="Z2390" s="277"/>
      <c r="AA2390" s="277"/>
      <c r="AB2390" s="277"/>
      <c r="AC2390" s="277"/>
      <c r="AD2390" s="277"/>
      <c r="AE2390" s="277"/>
      <c r="AF2390" s="277"/>
      <c r="AG2390" s="277"/>
      <c r="AH2390" s="277"/>
      <c r="AI2390" s="277"/>
    </row>
    <row r="2391" spans="16:35" s="185" customFormat="1">
      <c r="P2391" s="277"/>
      <c r="Q2391" s="277"/>
      <c r="R2391" s="277"/>
      <c r="S2391" s="291">
        <v>43937</v>
      </c>
      <c r="T2391" s="279">
        <v>2298</v>
      </c>
      <c r="U2391" s="277"/>
      <c r="V2391" s="277"/>
      <c r="W2391" s="277"/>
      <c r="X2391" s="277"/>
      <c r="Y2391" s="277"/>
      <c r="Z2391" s="277"/>
      <c r="AA2391" s="277"/>
      <c r="AB2391" s="277"/>
      <c r="AC2391" s="277"/>
      <c r="AD2391" s="277"/>
      <c r="AE2391" s="277"/>
      <c r="AF2391" s="277"/>
      <c r="AG2391" s="277"/>
      <c r="AH2391" s="277"/>
      <c r="AI2391" s="277"/>
    </row>
    <row r="2392" spans="16:35" s="185" customFormat="1">
      <c r="P2392" s="277"/>
      <c r="Q2392" s="277"/>
      <c r="R2392" s="277"/>
      <c r="S2392" s="291">
        <v>43938</v>
      </c>
      <c r="T2392" s="279">
        <v>2299</v>
      </c>
      <c r="U2392" s="277"/>
      <c r="V2392" s="277"/>
      <c r="W2392" s="277"/>
      <c r="X2392" s="277"/>
      <c r="Y2392" s="277"/>
      <c r="Z2392" s="277"/>
      <c r="AA2392" s="277"/>
      <c r="AB2392" s="277"/>
      <c r="AC2392" s="277"/>
      <c r="AD2392" s="277"/>
      <c r="AE2392" s="277"/>
      <c r="AF2392" s="277"/>
      <c r="AG2392" s="277"/>
      <c r="AH2392" s="277"/>
      <c r="AI2392" s="277"/>
    </row>
    <row r="2393" spans="16:35" s="185" customFormat="1">
      <c r="P2393" s="277"/>
      <c r="Q2393" s="277"/>
      <c r="R2393" s="277"/>
      <c r="S2393" s="291">
        <v>43939</v>
      </c>
      <c r="T2393" s="279">
        <v>2300</v>
      </c>
      <c r="U2393" s="277"/>
      <c r="V2393" s="277"/>
      <c r="W2393" s="277"/>
      <c r="X2393" s="277"/>
      <c r="Y2393" s="277"/>
      <c r="Z2393" s="277"/>
      <c r="AA2393" s="277"/>
      <c r="AB2393" s="277"/>
      <c r="AC2393" s="277"/>
      <c r="AD2393" s="277"/>
      <c r="AE2393" s="277"/>
      <c r="AF2393" s="277"/>
      <c r="AG2393" s="277"/>
      <c r="AH2393" s="277"/>
      <c r="AI2393" s="277"/>
    </row>
    <row r="2394" spans="16:35" s="185" customFormat="1">
      <c r="P2394" s="277"/>
      <c r="Q2394" s="277"/>
      <c r="R2394" s="277"/>
      <c r="S2394" s="291">
        <v>43940</v>
      </c>
      <c r="T2394" s="279">
        <v>2301</v>
      </c>
      <c r="U2394" s="277"/>
      <c r="V2394" s="277"/>
      <c r="W2394" s="277"/>
      <c r="X2394" s="277"/>
      <c r="Y2394" s="277"/>
      <c r="Z2394" s="277"/>
      <c r="AA2394" s="277"/>
      <c r="AB2394" s="277"/>
      <c r="AC2394" s="277"/>
      <c r="AD2394" s="277"/>
      <c r="AE2394" s="277"/>
      <c r="AF2394" s="277"/>
      <c r="AG2394" s="277"/>
      <c r="AH2394" s="277"/>
      <c r="AI2394" s="277"/>
    </row>
    <row r="2395" spans="16:35" s="185" customFormat="1">
      <c r="P2395" s="277"/>
      <c r="Q2395" s="277"/>
      <c r="R2395" s="277"/>
      <c r="S2395" s="291">
        <v>43941</v>
      </c>
      <c r="T2395" s="279">
        <v>2302</v>
      </c>
      <c r="U2395" s="277"/>
      <c r="V2395" s="277"/>
      <c r="W2395" s="277"/>
      <c r="X2395" s="277"/>
      <c r="Y2395" s="277"/>
      <c r="Z2395" s="277"/>
      <c r="AA2395" s="277"/>
      <c r="AB2395" s="277"/>
      <c r="AC2395" s="277"/>
      <c r="AD2395" s="277"/>
      <c r="AE2395" s="277"/>
      <c r="AF2395" s="277"/>
      <c r="AG2395" s="277"/>
      <c r="AH2395" s="277"/>
      <c r="AI2395" s="277"/>
    </row>
    <row r="2396" spans="16:35" s="185" customFormat="1">
      <c r="P2396" s="277"/>
      <c r="Q2396" s="277"/>
      <c r="R2396" s="277"/>
      <c r="S2396" s="291">
        <v>43942</v>
      </c>
      <c r="T2396" s="279">
        <v>2303</v>
      </c>
      <c r="U2396" s="277"/>
      <c r="V2396" s="277"/>
      <c r="W2396" s="277"/>
      <c r="X2396" s="277"/>
      <c r="Y2396" s="277"/>
      <c r="Z2396" s="277"/>
      <c r="AA2396" s="277"/>
      <c r="AB2396" s="277"/>
      <c r="AC2396" s="277"/>
      <c r="AD2396" s="277"/>
      <c r="AE2396" s="277"/>
      <c r="AF2396" s="277"/>
      <c r="AG2396" s="277"/>
      <c r="AH2396" s="277"/>
      <c r="AI2396" s="277"/>
    </row>
    <row r="2397" spans="16:35" s="185" customFormat="1">
      <c r="P2397" s="277"/>
      <c r="Q2397" s="277"/>
      <c r="R2397" s="277"/>
      <c r="S2397" s="291">
        <v>43943</v>
      </c>
      <c r="T2397" s="279">
        <v>2304</v>
      </c>
      <c r="U2397" s="277"/>
      <c r="V2397" s="277"/>
      <c r="W2397" s="277"/>
      <c r="X2397" s="277"/>
      <c r="Y2397" s="277"/>
      <c r="Z2397" s="277"/>
      <c r="AA2397" s="277"/>
      <c r="AB2397" s="277"/>
      <c r="AC2397" s="277"/>
      <c r="AD2397" s="277"/>
      <c r="AE2397" s="277"/>
      <c r="AF2397" s="277"/>
      <c r="AG2397" s="277"/>
      <c r="AH2397" s="277"/>
      <c r="AI2397" s="277"/>
    </row>
    <row r="2398" spans="16:35" s="185" customFormat="1">
      <c r="P2398" s="277"/>
      <c r="Q2398" s="277"/>
      <c r="R2398" s="277"/>
      <c r="S2398" s="291">
        <v>43944</v>
      </c>
      <c r="T2398" s="279">
        <v>2305</v>
      </c>
      <c r="U2398" s="277"/>
      <c r="V2398" s="277"/>
      <c r="W2398" s="277"/>
      <c r="X2398" s="277"/>
      <c r="Y2398" s="277"/>
      <c r="Z2398" s="277"/>
      <c r="AA2398" s="277"/>
      <c r="AB2398" s="277"/>
      <c r="AC2398" s="277"/>
      <c r="AD2398" s="277"/>
      <c r="AE2398" s="277"/>
      <c r="AF2398" s="277"/>
      <c r="AG2398" s="277"/>
      <c r="AH2398" s="277"/>
      <c r="AI2398" s="277"/>
    </row>
    <row r="2399" spans="16:35" s="185" customFormat="1">
      <c r="P2399" s="277"/>
      <c r="Q2399" s="277"/>
      <c r="R2399" s="277"/>
      <c r="S2399" s="291">
        <v>43945</v>
      </c>
      <c r="T2399" s="279">
        <v>2306</v>
      </c>
      <c r="U2399" s="277"/>
      <c r="V2399" s="277"/>
      <c r="W2399" s="277"/>
      <c r="X2399" s="277"/>
      <c r="Y2399" s="277"/>
      <c r="Z2399" s="277"/>
      <c r="AA2399" s="277"/>
      <c r="AB2399" s="277"/>
      <c r="AC2399" s="277"/>
      <c r="AD2399" s="277"/>
      <c r="AE2399" s="277"/>
      <c r="AF2399" s="277"/>
      <c r="AG2399" s="277"/>
      <c r="AH2399" s="277"/>
      <c r="AI2399" s="277"/>
    </row>
    <row r="2400" spans="16:35" s="185" customFormat="1">
      <c r="P2400" s="277"/>
      <c r="Q2400" s="277"/>
      <c r="R2400" s="277"/>
      <c r="S2400" s="291">
        <v>43946</v>
      </c>
      <c r="T2400" s="279">
        <v>2307</v>
      </c>
      <c r="U2400" s="277"/>
      <c r="V2400" s="277"/>
      <c r="W2400" s="277"/>
      <c r="X2400" s="277"/>
      <c r="Y2400" s="277"/>
      <c r="Z2400" s="277"/>
      <c r="AA2400" s="277"/>
      <c r="AB2400" s="277"/>
      <c r="AC2400" s="277"/>
      <c r="AD2400" s="277"/>
      <c r="AE2400" s="277"/>
      <c r="AF2400" s="277"/>
      <c r="AG2400" s="277"/>
      <c r="AH2400" s="277"/>
      <c r="AI2400" s="277"/>
    </row>
    <row r="2401" spans="16:35" s="185" customFormat="1">
      <c r="P2401" s="277"/>
      <c r="Q2401" s="277"/>
      <c r="R2401" s="277"/>
      <c r="S2401" s="291">
        <v>43947</v>
      </c>
      <c r="T2401" s="279">
        <v>2308</v>
      </c>
      <c r="U2401" s="277"/>
      <c r="V2401" s="277"/>
      <c r="W2401" s="277"/>
      <c r="X2401" s="277"/>
      <c r="Y2401" s="277"/>
      <c r="Z2401" s="277"/>
      <c r="AA2401" s="277"/>
      <c r="AB2401" s="277"/>
      <c r="AC2401" s="277"/>
      <c r="AD2401" s="277"/>
      <c r="AE2401" s="277"/>
      <c r="AF2401" s="277"/>
      <c r="AG2401" s="277"/>
      <c r="AH2401" s="277"/>
      <c r="AI2401" s="277"/>
    </row>
    <row r="2402" spans="16:35" s="185" customFormat="1">
      <c r="P2402" s="277"/>
      <c r="Q2402" s="277"/>
      <c r="R2402" s="277"/>
      <c r="S2402" s="291">
        <v>43948</v>
      </c>
      <c r="T2402" s="279">
        <v>2309</v>
      </c>
      <c r="U2402" s="277"/>
      <c r="V2402" s="277"/>
      <c r="W2402" s="277"/>
      <c r="X2402" s="277"/>
      <c r="Y2402" s="277"/>
      <c r="Z2402" s="277"/>
      <c r="AA2402" s="277"/>
      <c r="AB2402" s="277"/>
      <c r="AC2402" s="277"/>
      <c r="AD2402" s="277"/>
      <c r="AE2402" s="277"/>
      <c r="AF2402" s="277"/>
      <c r="AG2402" s="277"/>
      <c r="AH2402" s="277"/>
      <c r="AI2402" s="277"/>
    </row>
    <row r="2403" spans="16:35" s="185" customFormat="1">
      <c r="P2403" s="277"/>
      <c r="Q2403" s="277"/>
      <c r="R2403" s="277"/>
      <c r="S2403" s="291">
        <v>43949</v>
      </c>
      <c r="T2403" s="279">
        <v>2310</v>
      </c>
      <c r="U2403" s="277"/>
      <c r="V2403" s="277"/>
      <c r="W2403" s="277"/>
      <c r="X2403" s="277"/>
      <c r="Y2403" s="277"/>
      <c r="Z2403" s="277"/>
      <c r="AA2403" s="277"/>
      <c r="AB2403" s="277"/>
      <c r="AC2403" s="277"/>
      <c r="AD2403" s="277"/>
      <c r="AE2403" s="277"/>
      <c r="AF2403" s="277"/>
      <c r="AG2403" s="277"/>
      <c r="AH2403" s="277"/>
      <c r="AI2403" s="277"/>
    </row>
    <row r="2404" spans="16:35" s="185" customFormat="1">
      <c r="P2404" s="277"/>
      <c r="Q2404" s="277"/>
      <c r="R2404" s="277"/>
      <c r="S2404" s="291">
        <v>43950</v>
      </c>
      <c r="T2404" s="279">
        <v>2311</v>
      </c>
      <c r="U2404" s="277"/>
      <c r="V2404" s="277"/>
      <c r="W2404" s="277"/>
      <c r="X2404" s="277"/>
      <c r="Y2404" s="277"/>
      <c r="Z2404" s="277"/>
      <c r="AA2404" s="277"/>
      <c r="AB2404" s="277"/>
      <c r="AC2404" s="277"/>
      <c r="AD2404" s="277"/>
      <c r="AE2404" s="277"/>
      <c r="AF2404" s="277"/>
      <c r="AG2404" s="277"/>
      <c r="AH2404" s="277"/>
      <c r="AI2404" s="277"/>
    </row>
    <row r="2405" spans="16:35" s="185" customFormat="1">
      <c r="P2405" s="277"/>
      <c r="Q2405" s="277"/>
      <c r="R2405" s="277"/>
      <c r="S2405" s="291">
        <v>43951</v>
      </c>
      <c r="T2405" s="279">
        <v>2312</v>
      </c>
      <c r="U2405" s="277"/>
      <c r="V2405" s="277"/>
      <c r="W2405" s="277"/>
      <c r="X2405" s="277"/>
      <c r="Y2405" s="277"/>
      <c r="Z2405" s="277"/>
      <c r="AA2405" s="277"/>
      <c r="AB2405" s="277"/>
      <c r="AC2405" s="277"/>
      <c r="AD2405" s="277"/>
      <c r="AE2405" s="277"/>
      <c r="AF2405" s="277"/>
      <c r="AG2405" s="277"/>
      <c r="AH2405" s="277"/>
      <c r="AI2405" s="277"/>
    </row>
    <row r="2406" spans="16:35" s="185" customFormat="1">
      <c r="P2406" s="277"/>
      <c r="Q2406" s="277"/>
      <c r="R2406" s="277"/>
      <c r="S2406" s="291">
        <v>43952</v>
      </c>
      <c r="T2406" s="279">
        <v>2313</v>
      </c>
      <c r="U2406" s="277"/>
      <c r="V2406" s="277"/>
      <c r="W2406" s="277"/>
      <c r="X2406" s="277"/>
      <c r="Y2406" s="277"/>
      <c r="Z2406" s="277"/>
      <c r="AA2406" s="277"/>
      <c r="AB2406" s="277"/>
      <c r="AC2406" s="277"/>
      <c r="AD2406" s="277"/>
      <c r="AE2406" s="277"/>
      <c r="AF2406" s="277"/>
      <c r="AG2406" s="277"/>
      <c r="AH2406" s="277"/>
      <c r="AI2406" s="277"/>
    </row>
    <row r="2407" spans="16:35" s="185" customFormat="1">
      <c r="P2407" s="277"/>
      <c r="Q2407" s="277"/>
      <c r="R2407" s="277"/>
      <c r="S2407" s="291">
        <v>43953</v>
      </c>
      <c r="T2407" s="279">
        <v>2314</v>
      </c>
      <c r="U2407" s="277"/>
      <c r="V2407" s="277"/>
      <c r="W2407" s="277"/>
      <c r="X2407" s="277"/>
      <c r="Y2407" s="277"/>
      <c r="Z2407" s="277"/>
      <c r="AA2407" s="277"/>
      <c r="AB2407" s="277"/>
      <c r="AC2407" s="277"/>
      <c r="AD2407" s="277"/>
      <c r="AE2407" s="277"/>
      <c r="AF2407" s="277"/>
      <c r="AG2407" s="277"/>
      <c r="AH2407" s="277"/>
      <c r="AI2407" s="277"/>
    </row>
    <row r="2408" spans="16:35" s="185" customFormat="1">
      <c r="P2408" s="277"/>
      <c r="Q2408" s="277"/>
      <c r="R2408" s="277"/>
      <c r="S2408" s="291">
        <v>43954</v>
      </c>
      <c r="T2408" s="279">
        <v>2315</v>
      </c>
      <c r="U2408" s="277"/>
      <c r="V2408" s="277"/>
      <c r="W2408" s="277"/>
      <c r="X2408" s="277"/>
      <c r="Y2408" s="277"/>
      <c r="Z2408" s="277"/>
      <c r="AA2408" s="277"/>
      <c r="AB2408" s="277"/>
      <c r="AC2408" s="277"/>
      <c r="AD2408" s="277"/>
      <c r="AE2408" s="277"/>
      <c r="AF2408" s="277"/>
      <c r="AG2408" s="277"/>
      <c r="AH2408" s="277"/>
      <c r="AI2408" s="277"/>
    </row>
    <row r="2409" spans="16:35" s="185" customFormat="1">
      <c r="P2409" s="277"/>
      <c r="Q2409" s="277"/>
      <c r="R2409" s="277"/>
      <c r="S2409" s="291">
        <v>43955</v>
      </c>
      <c r="T2409" s="279">
        <v>2316</v>
      </c>
      <c r="U2409" s="277"/>
      <c r="V2409" s="277"/>
      <c r="W2409" s="277"/>
      <c r="X2409" s="277"/>
      <c r="Y2409" s="277"/>
      <c r="Z2409" s="277"/>
      <c r="AA2409" s="277"/>
      <c r="AB2409" s="277"/>
      <c r="AC2409" s="277"/>
      <c r="AD2409" s="277"/>
      <c r="AE2409" s="277"/>
      <c r="AF2409" s="277"/>
      <c r="AG2409" s="277"/>
      <c r="AH2409" s="277"/>
      <c r="AI2409" s="277"/>
    </row>
    <row r="2410" spans="16:35" s="185" customFormat="1">
      <c r="P2410" s="277"/>
      <c r="Q2410" s="277"/>
      <c r="R2410" s="277"/>
      <c r="S2410" s="291">
        <v>43956</v>
      </c>
      <c r="T2410" s="279">
        <v>2317</v>
      </c>
      <c r="U2410" s="277"/>
      <c r="V2410" s="277"/>
      <c r="W2410" s="277"/>
      <c r="X2410" s="277"/>
      <c r="Y2410" s="277"/>
      <c r="Z2410" s="277"/>
      <c r="AA2410" s="277"/>
      <c r="AB2410" s="277"/>
      <c r="AC2410" s="277"/>
      <c r="AD2410" s="277"/>
      <c r="AE2410" s="277"/>
      <c r="AF2410" s="277"/>
      <c r="AG2410" s="277"/>
      <c r="AH2410" s="277"/>
      <c r="AI2410" s="277"/>
    </row>
    <row r="2411" spans="16:35" s="185" customFormat="1">
      <c r="P2411" s="277"/>
      <c r="Q2411" s="277"/>
      <c r="R2411" s="277"/>
      <c r="S2411" s="291">
        <v>43957</v>
      </c>
      <c r="T2411" s="279">
        <v>2318</v>
      </c>
      <c r="U2411" s="277"/>
      <c r="V2411" s="277"/>
      <c r="W2411" s="277"/>
      <c r="X2411" s="277"/>
      <c r="Y2411" s="277"/>
      <c r="Z2411" s="277"/>
      <c r="AA2411" s="277"/>
      <c r="AB2411" s="277"/>
      <c r="AC2411" s="277"/>
      <c r="AD2411" s="277"/>
      <c r="AE2411" s="277"/>
      <c r="AF2411" s="277"/>
      <c r="AG2411" s="277"/>
      <c r="AH2411" s="277"/>
      <c r="AI2411" s="277"/>
    </row>
    <row r="2412" spans="16:35" s="185" customFormat="1">
      <c r="P2412" s="277"/>
      <c r="Q2412" s="277"/>
      <c r="R2412" s="277"/>
      <c r="S2412" s="291">
        <v>43958</v>
      </c>
      <c r="T2412" s="279">
        <v>2319</v>
      </c>
      <c r="U2412" s="277"/>
      <c r="V2412" s="277"/>
      <c r="W2412" s="277"/>
      <c r="X2412" s="277"/>
      <c r="Y2412" s="277"/>
      <c r="Z2412" s="277"/>
      <c r="AA2412" s="277"/>
      <c r="AB2412" s="277"/>
      <c r="AC2412" s="277"/>
      <c r="AD2412" s="277"/>
      <c r="AE2412" s="277"/>
      <c r="AF2412" s="277"/>
      <c r="AG2412" s="277"/>
      <c r="AH2412" s="277"/>
      <c r="AI2412" s="277"/>
    </row>
    <row r="2413" spans="16:35" s="185" customFormat="1">
      <c r="P2413" s="277"/>
      <c r="Q2413" s="277"/>
      <c r="R2413" s="277"/>
      <c r="S2413" s="291">
        <v>43959</v>
      </c>
      <c r="T2413" s="279">
        <v>2320</v>
      </c>
      <c r="U2413" s="277"/>
      <c r="V2413" s="277"/>
      <c r="W2413" s="277"/>
      <c r="X2413" s="277"/>
      <c r="Y2413" s="277"/>
      <c r="Z2413" s="277"/>
      <c r="AA2413" s="277"/>
      <c r="AB2413" s="277"/>
      <c r="AC2413" s="277"/>
      <c r="AD2413" s="277"/>
      <c r="AE2413" s="277"/>
      <c r="AF2413" s="277"/>
      <c r="AG2413" s="277"/>
      <c r="AH2413" s="277"/>
      <c r="AI2413" s="277"/>
    </row>
    <row r="2414" spans="16:35" s="185" customFormat="1">
      <c r="P2414" s="277"/>
      <c r="Q2414" s="277"/>
      <c r="R2414" s="277"/>
      <c r="S2414" s="291">
        <v>43960</v>
      </c>
      <c r="T2414" s="279">
        <v>2321</v>
      </c>
      <c r="U2414" s="277"/>
      <c r="V2414" s="277"/>
      <c r="W2414" s="277"/>
      <c r="X2414" s="277"/>
      <c r="Y2414" s="277"/>
      <c r="Z2414" s="277"/>
      <c r="AA2414" s="277"/>
      <c r="AB2414" s="277"/>
      <c r="AC2414" s="277"/>
      <c r="AD2414" s="277"/>
      <c r="AE2414" s="277"/>
      <c r="AF2414" s="277"/>
      <c r="AG2414" s="277"/>
      <c r="AH2414" s="277"/>
      <c r="AI2414" s="277"/>
    </row>
    <row r="2415" spans="16:35" s="185" customFormat="1">
      <c r="P2415" s="277"/>
      <c r="Q2415" s="277"/>
      <c r="R2415" s="277"/>
      <c r="S2415" s="291">
        <v>43961</v>
      </c>
      <c r="T2415" s="279">
        <v>2322</v>
      </c>
      <c r="U2415" s="277"/>
      <c r="V2415" s="277"/>
      <c r="W2415" s="277"/>
      <c r="X2415" s="277"/>
      <c r="Y2415" s="277"/>
      <c r="Z2415" s="277"/>
      <c r="AA2415" s="277"/>
      <c r="AB2415" s="277"/>
      <c r="AC2415" s="277"/>
      <c r="AD2415" s="277"/>
      <c r="AE2415" s="277"/>
      <c r="AF2415" s="277"/>
      <c r="AG2415" s="277"/>
      <c r="AH2415" s="277"/>
      <c r="AI2415" s="277"/>
    </row>
    <row r="2416" spans="16:35" s="185" customFormat="1">
      <c r="P2416" s="277"/>
      <c r="Q2416" s="277"/>
      <c r="R2416" s="277"/>
      <c r="S2416" s="291">
        <v>43962</v>
      </c>
      <c r="T2416" s="279">
        <v>2323</v>
      </c>
      <c r="U2416" s="277"/>
      <c r="V2416" s="277"/>
      <c r="W2416" s="277"/>
      <c r="X2416" s="277"/>
      <c r="Y2416" s="277"/>
      <c r="Z2416" s="277"/>
      <c r="AA2416" s="277"/>
      <c r="AB2416" s="277"/>
      <c r="AC2416" s="277"/>
      <c r="AD2416" s="277"/>
      <c r="AE2416" s="277"/>
      <c r="AF2416" s="277"/>
      <c r="AG2416" s="277"/>
      <c r="AH2416" s="277"/>
      <c r="AI2416" s="277"/>
    </row>
    <row r="2417" spans="16:35" s="185" customFormat="1">
      <c r="P2417" s="277"/>
      <c r="Q2417" s="277"/>
      <c r="R2417" s="277"/>
      <c r="S2417" s="291">
        <v>43963</v>
      </c>
      <c r="T2417" s="279">
        <v>2324</v>
      </c>
      <c r="U2417" s="277"/>
      <c r="V2417" s="277"/>
      <c r="W2417" s="277"/>
      <c r="X2417" s="277"/>
      <c r="Y2417" s="277"/>
      <c r="Z2417" s="277"/>
      <c r="AA2417" s="277"/>
      <c r="AB2417" s="277"/>
      <c r="AC2417" s="277"/>
      <c r="AD2417" s="277"/>
      <c r="AE2417" s="277"/>
      <c r="AF2417" s="277"/>
      <c r="AG2417" s="277"/>
      <c r="AH2417" s="277"/>
      <c r="AI2417" s="277"/>
    </row>
    <row r="2418" spans="16:35" s="185" customFormat="1">
      <c r="P2418" s="277"/>
      <c r="Q2418" s="277"/>
      <c r="R2418" s="277"/>
      <c r="S2418" s="291">
        <v>43964</v>
      </c>
      <c r="T2418" s="279">
        <v>2325</v>
      </c>
      <c r="U2418" s="277"/>
      <c r="V2418" s="277"/>
      <c r="W2418" s="277"/>
      <c r="X2418" s="277"/>
      <c r="Y2418" s="277"/>
      <c r="Z2418" s="277"/>
      <c r="AA2418" s="277"/>
      <c r="AB2418" s="277"/>
      <c r="AC2418" s="277"/>
      <c r="AD2418" s="277"/>
      <c r="AE2418" s="277"/>
      <c r="AF2418" s="277"/>
      <c r="AG2418" s="277"/>
      <c r="AH2418" s="277"/>
      <c r="AI2418" s="277"/>
    </row>
    <row r="2419" spans="16:35" s="185" customFormat="1">
      <c r="P2419" s="277"/>
      <c r="Q2419" s="277"/>
      <c r="R2419" s="277"/>
      <c r="S2419" s="291">
        <v>43965</v>
      </c>
      <c r="T2419" s="279">
        <v>2326</v>
      </c>
      <c r="U2419" s="277"/>
      <c r="V2419" s="277"/>
      <c r="W2419" s="277"/>
      <c r="X2419" s="277"/>
      <c r="Y2419" s="277"/>
      <c r="Z2419" s="277"/>
      <c r="AA2419" s="277"/>
      <c r="AB2419" s="277"/>
      <c r="AC2419" s="277"/>
      <c r="AD2419" s="277"/>
      <c r="AE2419" s="277"/>
      <c r="AF2419" s="277"/>
      <c r="AG2419" s="277"/>
      <c r="AH2419" s="277"/>
      <c r="AI2419" s="277"/>
    </row>
    <row r="2420" spans="16:35" s="185" customFormat="1">
      <c r="P2420" s="277"/>
      <c r="Q2420" s="277"/>
      <c r="R2420" s="277"/>
      <c r="S2420" s="291">
        <v>43966</v>
      </c>
      <c r="T2420" s="279">
        <v>2327</v>
      </c>
      <c r="U2420" s="277"/>
      <c r="V2420" s="277"/>
      <c r="W2420" s="277"/>
      <c r="X2420" s="277"/>
      <c r="Y2420" s="277"/>
      <c r="Z2420" s="277"/>
      <c r="AA2420" s="277"/>
      <c r="AB2420" s="277"/>
      <c r="AC2420" s="277"/>
      <c r="AD2420" s="277"/>
      <c r="AE2420" s="277"/>
      <c r="AF2420" s="277"/>
      <c r="AG2420" s="277"/>
      <c r="AH2420" s="277"/>
      <c r="AI2420" s="277"/>
    </row>
    <row r="2421" spans="16:35" s="185" customFormat="1">
      <c r="P2421" s="277"/>
      <c r="Q2421" s="277"/>
      <c r="R2421" s="277"/>
      <c r="S2421" s="291">
        <v>43967</v>
      </c>
      <c r="T2421" s="279">
        <v>2328</v>
      </c>
      <c r="U2421" s="277"/>
      <c r="V2421" s="277"/>
      <c r="W2421" s="277"/>
      <c r="X2421" s="277"/>
      <c r="Y2421" s="277"/>
      <c r="Z2421" s="277"/>
      <c r="AA2421" s="277"/>
      <c r="AB2421" s="277"/>
      <c r="AC2421" s="277"/>
      <c r="AD2421" s="277"/>
      <c r="AE2421" s="277"/>
      <c r="AF2421" s="277"/>
      <c r="AG2421" s="277"/>
      <c r="AH2421" s="277"/>
      <c r="AI2421" s="277"/>
    </row>
    <row r="2422" spans="16:35" s="185" customFormat="1">
      <c r="P2422" s="277"/>
      <c r="Q2422" s="277"/>
      <c r="R2422" s="277"/>
      <c r="S2422" s="291">
        <v>43968</v>
      </c>
      <c r="T2422" s="279">
        <v>2329</v>
      </c>
      <c r="U2422" s="277"/>
      <c r="V2422" s="277"/>
      <c r="W2422" s="277"/>
      <c r="X2422" s="277"/>
      <c r="Y2422" s="277"/>
      <c r="Z2422" s="277"/>
      <c r="AA2422" s="277"/>
      <c r="AB2422" s="277"/>
      <c r="AC2422" s="277"/>
      <c r="AD2422" s="277"/>
      <c r="AE2422" s="277"/>
      <c r="AF2422" s="277"/>
      <c r="AG2422" s="277"/>
      <c r="AH2422" s="277"/>
      <c r="AI2422" s="277"/>
    </row>
    <row r="2423" spans="16:35" s="185" customFormat="1">
      <c r="P2423" s="277"/>
      <c r="Q2423" s="277"/>
      <c r="R2423" s="277"/>
      <c r="S2423" s="291">
        <v>43969</v>
      </c>
      <c r="T2423" s="279">
        <v>2330</v>
      </c>
      <c r="U2423" s="277"/>
      <c r="V2423" s="277"/>
      <c r="W2423" s="277"/>
      <c r="X2423" s="277"/>
      <c r="Y2423" s="277"/>
      <c r="Z2423" s="277"/>
      <c r="AA2423" s="277"/>
      <c r="AB2423" s="277"/>
      <c r="AC2423" s="277"/>
      <c r="AD2423" s="277"/>
      <c r="AE2423" s="277"/>
      <c r="AF2423" s="277"/>
      <c r="AG2423" s="277"/>
      <c r="AH2423" s="277"/>
      <c r="AI2423" s="277"/>
    </row>
    <row r="2424" spans="16:35" s="185" customFormat="1">
      <c r="P2424" s="277"/>
      <c r="Q2424" s="277"/>
      <c r="R2424" s="277"/>
      <c r="S2424" s="291">
        <v>43970</v>
      </c>
      <c r="T2424" s="279">
        <v>2331</v>
      </c>
      <c r="U2424" s="277"/>
      <c r="V2424" s="277"/>
      <c r="W2424" s="277"/>
      <c r="X2424" s="277"/>
      <c r="Y2424" s="277"/>
      <c r="Z2424" s="277"/>
      <c r="AA2424" s="277"/>
      <c r="AB2424" s="277"/>
      <c r="AC2424" s="277"/>
      <c r="AD2424" s="277"/>
      <c r="AE2424" s="277"/>
      <c r="AF2424" s="277"/>
      <c r="AG2424" s="277"/>
      <c r="AH2424" s="277"/>
      <c r="AI2424" s="277"/>
    </row>
    <row r="2425" spans="16:35" s="185" customFormat="1">
      <c r="P2425" s="277"/>
      <c r="Q2425" s="277"/>
      <c r="R2425" s="277"/>
      <c r="S2425" s="291">
        <v>43971</v>
      </c>
      <c r="T2425" s="279">
        <v>2332</v>
      </c>
      <c r="U2425" s="277"/>
      <c r="V2425" s="277"/>
      <c r="W2425" s="277"/>
      <c r="X2425" s="277"/>
      <c r="Y2425" s="277"/>
      <c r="Z2425" s="277"/>
      <c r="AA2425" s="277"/>
      <c r="AB2425" s="277"/>
      <c r="AC2425" s="277"/>
      <c r="AD2425" s="277"/>
      <c r="AE2425" s="277"/>
      <c r="AF2425" s="277"/>
      <c r="AG2425" s="277"/>
      <c r="AH2425" s="277"/>
      <c r="AI2425" s="277"/>
    </row>
    <row r="2426" spans="16:35" s="185" customFormat="1">
      <c r="P2426" s="277"/>
      <c r="Q2426" s="277"/>
      <c r="R2426" s="277"/>
      <c r="S2426" s="291">
        <v>43972</v>
      </c>
      <c r="T2426" s="279">
        <v>2333</v>
      </c>
      <c r="U2426" s="277"/>
      <c r="V2426" s="277"/>
      <c r="W2426" s="277"/>
      <c r="X2426" s="277"/>
      <c r="Y2426" s="277"/>
      <c r="Z2426" s="277"/>
      <c r="AA2426" s="277"/>
      <c r="AB2426" s="277"/>
      <c r="AC2426" s="277"/>
      <c r="AD2426" s="277"/>
      <c r="AE2426" s="277"/>
      <c r="AF2426" s="277"/>
      <c r="AG2426" s="277"/>
      <c r="AH2426" s="277"/>
      <c r="AI2426" s="277"/>
    </row>
    <row r="2427" spans="16:35" s="185" customFormat="1">
      <c r="P2427" s="277"/>
      <c r="Q2427" s="277"/>
      <c r="R2427" s="277"/>
      <c r="S2427" s="291">
        <v>43973</v>
      </c>
      <c r="T2427" s="279">
        <v>2334</v>
      </c>
      <c r="U2427" s="277"/>
      <c r="V2427" s="277"/>
      <c r="W2427" s="277"/>
      <c r="X2427" s="277"/>
      <c r="Y2427" s="277"/>
      <c r="Z2427" s="277"/>
      <c r="AA2427" s="277"/>
      <c r="AB2427" s="277"/>
      <c r="AC2427" s="277"/>
      <c r="AD2427" s="277"/>
      <c r="AE2427" s="277"/>
      <c r="AF2427" s="277"/>
      <c r="AG2427" s="277"/>
      <c r="AH2427" s="277"/>
      <c r="AI2427" s="277"/>
    </row>
    <row r="2428" spans="16:35" s="185" customFormat="1">
      <c r="P2428" s="277"/>
      <c r="Q2428" s="277"/>
      <c r="R2428" s="277"/>
      <c r="S2428" s="291">
        <v>43974</v>
      </c>
      <c r="T2428" s="279">
        <v>2335</v>
      </c>
      <c r="U2428" s="277"/>
      <c r="V2428" s="277"/>
      <c r="W2428" s="277"/>
      <c r="X2428" s="277"/>
      <c r="Y2428" s="277"/>
      <c r="Z2428" s="277"/>
      <c r="AA2428" s="277"/>
      <c r="AB2428" s="277"/>
      <c r="AC2428" s="277"/>
      <c r="AD2428" s="277"/>
      <c r="AE2428" s="277"/>
      <c r="AF2428" s="277"/>
      <c r="AG2428" s="277"/>
      <c r="AH2428" s="277"/>
      <c r="AI2428" s="277"/>
    </row>
    <row r="2429" spans="16:35" s="185" customFormat="1">
      <c r="P2429" s="277"/>
      <c r="Q2429" s="277"/>
      <c r="R2429" s="277"/>
      <c r="S2429" s="291">
        <v>43975</v>
      </c>
      <c r="T2429" s="279">
        <v>2336</v>
      </c>
      <c r="U2429" s="277"/>
      <c r="V2429" s="277"/>
      <c r="W2429" s="277"/>
      <c r="X2429" s="277"/>
      <c r="Y2429" s="277"/>
      <c r="Z2429" s="277"/>
      <c r="AA2429" s="277"/>
      <c r="AB2429" s="277"/>
      <c r="AC2429" s="277"/>
      <c r="AD2429" s="277"/>
      <c r="AE2429" s="277"/>
      <c r="AF2429" s="277"/>
      <c r="AG2429" s="277"/>
      <c r="AH2429" s="277"/>
      <c r="AI2429" s="277"/>
    </row>
    <row r="2430" spans="16:35" s="185" customFormat="1">
      <c r="P2430" s="277"/>
      <c r="Q2430" s="277"/>
      <c r="R2430" s="277"/>
      <c r="S2430" s="291">
        <v>43976</v>
      </c>
      <c r="T2430" s="279">
        <v>2337</v>
      </c>
      <c r="U2430" s="277"/>
      <c r="V2430" s="277"/>
      <c r="W2430" s="277"/>
      <c r="X2430" s="277"/>
      <c r="Y2430" s="277"/>
      <c r="Z2430" s="277"/>
      <c r="AA2430" s="277"/>
      <c r="AB2430" s="277"/>
      <c r="AC2430" s="277"/>
      <c r="AD2430" s="277"/>
      <c r="AE2430" s="277"/>
      <c r="AF2430" s="277"/>
      <c r="AG2430" s="277"/>
      <c r="AH2430" s="277"/>
      <c r="AI2430" s="277"/>
    </row>
    <row r="2431" spans="16:35" s="185" customFormat="1">
      <c r="P2431" s="277"/>
      <c r="Q2431" s="277"/>
      <c r="R2431" s="277"/>
      <c r="S2431" s="291">
        <v>43977</v>
      </c>
      <c r="T2431" s="279">
        <v>2338</v>
      </c>
      <c r="U2431" s="277"/>
      <c r="V2431" s="277"/>
      <c r="W2431" s="277"/>
      <c r="X2431" s="277"/>
      <c r="Y2431" s="277"/>
      <c r="Z2431" s="277"/>
      <c r="AA2431" s="277"/>
      <c r="AB2431" s="277"/>
      <c r="AC2431" s="277"/>
      <c r="AD2431" s="277"/>
      <c r="AE2431" s="277"/>
      <c r="AF2431" s="277"/>
      <c r="AG2431" s="277"/>
      <c r="AH2431" s="277"/>
      <c r="AI2431" s="277"/>
    </row>
    <row r="2432" spans="16:35" s="185" customFormat="1">
      <c r="P2432" s="277"/>
      <c r="Q2432" s="277"/>
      <c r="R2432" s="277"/>
      <c r="S2432" s="291">
        <v>43978</v>
      </c>
      <c r="T2432" s="279">
        <v>2339</v>
      </c>
      <c r="U2432" s="277"/>
      <c r="V2432" s="277"/>
      <c r="W2432" s="277"/>
      <c r="X2432" s="277"/>
      <c r="Y2432" s="277"/>
      <c r="Z2432" s="277"/>
      <c r="AA2432" s="277"/>
      <c r="AB2432" s="277"/>
      <c r="AC2432" s="277"/>
      <c r="AD2432" s="277"/>
      <c r="AE2432" s="277"/>
      <c r="AF2432" s="277"/>
      <c r="AG2432" s="277"/>
      <c r="AH2432" s="277"/>
      <c r="AI2432" s="277"/>
    </row>
    <row r="2433" spans="16:35" s="185" customFormat="1">
      <c r="P2433" s="277"/>
      <c r="Q2433" s="277"/>
      <c r="R2433" s="277"/>
      <c r="S2433" s="291">
        <v>43979</v>
      </c>
      <c r="T2433" s="279">
        <v>2340</v>
      </c>
      <c r="U2433" s="277"/>
      <c r="V2433" s="277"/>
      <c r="W2433" s="277"/>
      <c r="X2433" s="277"/>
      <c r="Y2433" s="277"/>
      <c r="Z2433" s="277"/>
      <c r="AA2433" s="277"/>
      <c r="AB2433" s="277"/>
      <c r="AC2433" s="277"/>
      <c r="AD2433" s="277"/>
      <c r="AE2433" s="277"/>
      <c r="AF2433" s="277"/>
      <c r="AG2433" s="277"/>
      <c r="AH2433" s="277"/>
      <c r="AI2433" s="277"/>
    </row>
    <row r="2434" spans="16:35" s="185" customFormat="1">
      <c r="P2434" s="277"/>
      <c r="Q2434" s="277"/>
      <c r="R2434" s="277"/>
      <c r="S2434" s="291">
        <v>43980</v>
      </c>
      <c r="T2434" s="279">
        <v>2341</v>
      </c>
      <c r="U2434" s="277"/>
      <c r="V2434" s="277"/>
      <c r="W2434" s="277"/>
      <c r="X2434" s="277"/>
      <c r="Y2434" s="277"/>
      <c r="Z2434" s="277"/>
      <c r="AA2434" s="277"/>
      <c r="AB2434" s="277"/>
      <c r="AC2434" s="277"/>
      <c r="AD2434" s="277"/>
      <c r="AE2434" s="277"/>
      <c r="AF2434" s="277"/>
      <c r="AG2434" s="277"/>
      <c r="AH2434" s="277"/>
      <c r="AI2434" s="277"/>
    </row>
    <row r="2435" spans="16:35" s="185" customFormat="1">
      <c r="P2435" s="277"/>
      <c r="Q2435" s="277"/>
      <c r="R2435" s="277"/>
      <c r="S2435" s="291">
        <v>43981</v>
      </c>
      <c r="T2435" s="279">
        <v>2342</v>
      </c>
      <c r="U2435" s="277"/>
      <c r="V2435" s="277"/>
      <c r="W2435" s="277"/>
      <c r="X2435" s="277"/>
      <c r="Y2435" s="277"/>
      <c r="Z2435" s="277"/>
      <c r="AA2435" s="277"/>
      <c r="AB2435" s="277"/>
      <c r="AC2435" s="277"/>
      <c r="AD2435" s="277"/>
      <c r="AE2435" s="277"/>
      <c r="AF2435" s="277"/>
      <c r="AG2435" s="277"/>
      <c r="AH2435" s="277"/>
      <c r="AI2435" s="277"/>
    </row>
    <row r="2436" spans="16:35" s="185" customFormat="1">
      <c r="P2436" s="277"/>
      <c r="Q2436" s="277"/>
      <c r="R2436" s="277"/>
      <c r="S2436" s="291">
        <v>43982</v>
      </c>
      <c r="T2436" s="279">
        <v>2343</v>
      </c>
      <c r="U2436" s="277"/>
      <c r="V2436" s="277"/>
      <c r="W2436" s="277"/>
      <c r="X2436" s="277"/>
      <c r="Y2436" s="277"/>
      <c r="Z2436" s="277"/>
      <c r="AA2436" s="277"/>
      <c r="AB2436" s="277"/>
      <c r="AC2436" s="277"/>
      <c r="AD2436" s="277"/>
      <c r="AE2436" s="277"/>
      <c r="AF2436" s="277"/>
      <c r="AG2436" s="277"/>
      <c r="AH2436" s="277"/>
      <c r="AI2436" s="277"/>
    </row>
    <row r="2437" spans="16:35" s="185" customFormat="1">
      <c r="P2437" s="277"/>
      <c r="Q2437" s="277"/>
      <c r="R2437" s="277"/>
      <c r="S2437" s="291">
        <v>43983</v>
      </c>
      <c r="T2437" s="279">
        <v>2344</v>
      </c>
      <c r="U2437" s="277"/>
      <c r="V2437" s="277"/>
      <c r="W2437" s="277"/>
      <c r="X2437" s="277"/>
      <c r="Y2437" s="277"/>
      <c r="Z2437" s="277"/>
      <c r="AA2437" s="277"/>
      <c r="AB2437" s="277"/>
      <c r="AC2437" s="277"/>
      <c r="AD2437" s="277"/>
      <c r="AE2437" s="277"/>
      <c r="AF2437" s="277"/>
      <c r="AG2437" s="277"/>
      <c r="AH2437" s="277"/>
      <c r="AI2437" s="277"/>
    </row>
    <row r="2438" spans="16:35" s="185" customFormat="1">
      <c r="P2438" s="277"/>
      <c r="Q2438" s="277"/>
      <c r="R2438" s="277"/>
      <c r="S2438" s="291">
        <v>43984</v>
      </c>
      <c r="T2438" s="279">
        <v>2345</v>
      </c>
      <c r="U2438" s="277"/>
      <c r="V2438" s="277"/>
      <c r="W2438" s="277"/>
      <c r="X2438" s="277"/>
      <c r="Y2438" s="277"/>
      <c r="Z2438" s="277"/>
      <c r="AA2438" s="277"/>
      <c r="AB2438" s="277"/>
      <c r="AC2438" s="277"/>
      <c r="AD2438" s="277"/>
      <c r="AE2438" s="277"/>
      <c r="AF2438" s="277"/>
      <c r="AG2438" s="277"/>
      <c r="AH2438" s="277"/>
      <c r="AI2438" s="277"/>
    </row>
    <row r="2439" spans="16:35" s="185" customFormat="1">
      <c r="P2439" s="277"/>
      <c r="Q2439" s="277"/>
      <c r="R2439" s="277"/>
      <c r="S2439" s="291">
        <v>43985</v>
      </c>
      <c r="T2439" s="279">
        <v>2346</v>
      </c>
      <c r="U2439" s="277"/>
      <c r="V2439" s="277"/>
      <c r="W2439" s="277"/>
      <c r="X2439" s="277"/>
      <c r="Y2439" s="277"/>
      <c r="Z2439" s="277"/>
      <c r="AA2439" s="277"/>
      <c r="AB2439" s="277"/>
      <c r="AC2439" s="277"/>
      <c r="AD2439" s="277"/>
      <c r="AE2439" s="277"/>
      <c r="AF2439" s="277"/>
      <c r="AG2439" s="277"/>
      <c r="AH2439" s="277"/>
      <c r="AI2439" s="277"/>
    </row>
    <row r="2440" spans="16:35" s="185" customFormat="1">
      <c r="P2440" s="277"/>
      <c r="Q2440" s="277"/>
      <c r="R2440" s="277"/>
      <c r="S2440" s="291">
        <v>43986</v>
      </c>
      <c r="T2440" s="279">
        <v>2347</v>
      </c>
      <c r="U2440" s="277"/>
      <c r="V2440" s="277"/>
      <c r="W2440" s="277"/>
      <c r="X2440" s="277"/>
      <c r="Y2440" s="277"/>
      <c r="Z2440" s="277"/>
      <c r="AA2440" s="277"/>
      <c r="AB2440" s="277"/>
      <c r="AC2440" s="277"/>
      <c r="AD2440" s="277"/>
      <c r="AE2440" s="277"/>
      <c r="AF2440" s="277"/>
      <c r="AG2440" s="277"/>
      <c r="AH2440" s="277"/>
      <c r="AI2440" s="277"/>
    </row>
    <row r="2441" spans="16:35" s="185" customFormat="1">
      <c r="P2441" s="277"/>
      <c r="Q2441" s="277"/>
      <c r="R2441" s="277"/>
      <c r="S2441" s="291">
        <v>43987</v>
      </c>
      <c r="T2441" s="279">
        <v>2348</v>
      </c>
      <c r="U2441" s="277"/>
      <c r="V2441" s="277"/>
      <c r="W2441" s="277"/>
      <c r="X2441" s="277"/>
      <c r="Y2441" s="277"/>
      <c r="Z2441" s="277"/>
      <c r="AA2441" s="277"/>
      <c r="AB2441" s="277"/>
      <c r="AC2441" s="277"/>
      <c r="AD2441" s="277"/>
      <c r="AE2441" s="277"/>
      <c r="AF2441" s="277"/>
      <c r="AG2441" s="277"/>
      <c r="AH2441" s="277"/>
      <c r="AI2441" s="277"/>
    </row>
    <row r="2442" spans="16:35" s="185" customFormat="1">
      <c r="P2442" s="277"/>
      <c r="Q2442" s="277"/>
      <c r="R2442" s="277"/>
      <c r="S2442" s="291">
        <v>43988</v>
      </c>
      <c r="T2442" s="279">
        <v>2349</v>
      </c>
      <c r="U2442" s="277"/>
      <c r="V2442" s="277"/>
      <c r="W2442" s="277"/>
      <c r="X2442" s="277"/>
      <c r="Y2442" s="277"/>
      <c r="Z2442" s="277"/>
      <c r="AA2442" s="277"/>
      <c r="AB2442" s="277"/>
      <c r="AC2442" s="277"/>
      <c r="AD2442" s="277"/>
      <c r="AE2442" s="277"/>
      <c r="AF2442" s="277"/>
      <c r="AG2442" s="277"/>
      <c r="AH2442" s="277"/>
      <c r="AI2442" s="277"/>
    </row>
    <row r="2443" spans="16:35" s="185" customFormat="1">
      <c r="P2443" s="277"/>
      <c r="Q2443" s="277"/>
      <c r="R2443" s="277"/>
      <c r="S2443" s="291">
        <v>43989</v>
      </c>
      <c r="T2443" s="279">
        <v>2350</v>
      </c>
      <c r="U2443" s="277"/>
      <c r="V2443" s="277"/>
      <c r="W2443" s="277"/>
      <c r="X2443" s="277"/>
      <c r="Y2443" s="277"/>
      <c r="Z2443" s="277"/>
      <c r="AA2443" s="277"/>
      <c r="AB2443" s="277"/>
      <c r="AC2443" s="277"/>
      <c r="AD2443" s="277"/>
      <c r="AE2443" s="277"/>
      <c r="AF2443" s="277"/>
      <c r="AG2443" s="277"/>
      <c r="AH2443" s="277"/>
      <c r="AI2443" s="277"/>
    </row>
    <row r="2444" spans="16:35" s="185" customFormat="1">
      <c r="P2444" s="277"/>
      <c r="Q2444" s="277"/>
      <c r="R2444" s="277"/>
      <c r="S2444" s="291">
        <v>43990</v>
      </c>
      <c r="T2444" s="279">
        <v>2351</v>
      </c>
      <c r="U2444" s="277"/>
      <c r="V2444" s="277"/>
      <c r="W2444" s="277"/>
      <c r="X2444" s="277"/>
      <c r="Y2444" s="277"/>
      <c r="Z2444" s="277"/>
      <c r="AA2444" s="277"/>
      <c r="AB2444" s="277"/>
      <c r="AC2444" s="277"/>
      <c r="AD2444" s="277"/>
      <c r="AE2444" s="277"/>
      <c r="AF2444" s="277"/>
      <c r="AG2444" s="277"/>
      <c r="AH2444" s="277"/>
      <c r="AI2444" s="277"/>
    </row>
    <row r="2445" spans="16:35" s="185" customFormat="1">
      <c r="P2445" s="277"/>
      <c r="Q2445" s="277"/>
      <c r="R2445" s="277"/>
      <c r="S2445" s="291">
        <v>43991</v>
      </c>
      <c r="T2445" s="279">
        <v>2352</v>
      </c>
      <c r="U2445" s="277"/>
      <c r="V2445" s="277"/>
      <c r="W2445" s="277"/>
      <c r="X2445" s="277"/>
      <c r="Y2445" s="277"/>
      <c r="Z2445" s="277"/>
      <c r="AA2445" s="277"/>
      <c r="AB2445" s="277"/>
      <c r="AC2445" s="277"/>
      <c r="AD2445" s="277"/>
      <c r="AE2445" s="277"/>
      <c r="AF2445" s="277"/>
      <c r="AG2445" s="277"/>
      <c r="AH2445" s="277"/>
      <c r="AI2445" s="277"/>
    </row>
    <row r="2446" spans="16:35" s="185" customFormat="1">
      <c r="P2446" s="277"/>
      <c r="Q2446" s="277"/>
      <c r="R2446" s="277"/>
      <c r="S2446" s="291">
        <v>43992</v>
      </c>
      <c r="T2446" s="279">
        <v>2353</v>
      </c>
      <c r="U2446" s="277"/>
      <c r="V2446" s="277"/>
      <c r="W2446" s="277"/>
      <c r="X2446" s="277"/>
      <c r="Y2446" s="277"/>
      <c r="Z2446" s="277"/>
      <c r="AA2446" s="277"/>
      <c r="AB2446" s="277"/>
      <c r="AC2446" s="277"/>
      <c r="AD2446" s="277"/>
      <c r="AE2446" s="277"/>
      <c r="AF2446" s="277"/>
      <c r="AG2446" s="277"/>
      <c r="AH2446" s="277"/>
      <c r="AI2446" s="277"/>
    </row>
    <row r="2447" spans="16:35" s="185" customFormat="1">
      <c r="P2447" s="277"/>
      <c r="Q2447" s="277"/>
      <c r="R2447" s="277"/>
      <c r="S2447" s="291">
        <v>43993</v>
      </c>
      <c r="T2447" s="279">
        <v>2354</v>
      </c>
      <c r="U2447" s="277"/>
      <c r="V2447" s="277"/>
      <c r="W2447" s="277"/>
      <c r="X2447" s="277"/>
      <c r="Y2447" s="277"/>
      <c r="Z2447" s="277"/>
      <c r="AA2447" s="277"/>
      <c r="AB2447" s="277"/>
      <c r="AC2447" s="277"/>
      <c r="AD2447" s="277"/>
      <c r="AE2447" s="277"/>
      <c r="AF2447" s="277"/>
      <c r="AG2447" s="277"/>
      <c r="AH2447" s="277"/>
      <c r="AI2447" s="277"/>
    </row>
    <row r="2448" spans="16:35" s="185" customFormat="1">
      <c r="P2448" s="277"/>
      <c r="Q2448" s="277"/>
      <c r="R2448" s="277"/>
      <c r="S2448" s="291">
        <v>43994</v>
      </c>
      <c r="T2448" s="279">
        <v>2355</v>
      </c>
      <c r="U2448" s="277"/>
      <c r="V2448" s="277"/>
      <c r="W2448" s="277"/>
      <c r="X2448" s="277"/>
      <c r="Y2448" s="277"/>
      <c r="Z2448" s="277"/>
      <c r="AA2448" s="277"/>
      <c r="AB2448" s="277"/>
      <c r="AC2448" s="277"/>
      <c r="AD2448" s="277"/>
      <c r="AE2448" s="277"/>
      <c r="AF2448" s="277"/>
      <c r="AG2448" s="277"/>
      <c r="AH2448" s="277"/>
      <c r="AI2448" s="277"/>
    </row>
    <row r="2449" spans="16:35" s="185" customFormat="1">
      <c r="P2449" s="277"/>
      <c r="Q2449" s="277"/>
      <c r="R2449" s="277"/>
      <c r="S2449" s="291">
        <v>43995</v>
      </c>
      <c r="T2449" s="279">
        <v>2356</v>
      </c>
      <c r="U2449" s="277"/>
      <c r="V2449" s="277"/>
      <c r="W2449" s="277"/>
      <c r="X2449" s="277"/>
      <c r="Y2449" s="277"/>
      <c r="Z2449" s="277"/>
      <c r="AA2449" s="277"/>
      <c r="AB2449" s="277"/>
      <c r="AC2449" s="277"/>
      <c r="AD2449" s="277"/>
      <c r="AE2449" s="277"/>
      <c r="AF2449" s="277"/>
      <c r="AG2449" s="277"/>
      <c r="AH2449" s="277"/>
      <c r="AI2449" s="277"/>
    </row>
    <row r="2450" spans="16:35" s="185" customFormat="1">
      <c r="P2450" s="277"/>
      <c r="Q2450" s="277"/>
      <c r="R2450" s="277"/>
      <c r="S2450" s="291">
        <v>43996</v>
      </c>
      <c r="T2450" s="279">
        <v>2357</v>
      </c>
      <c r="U2450" s="277"/>
      <c r="V2450" s="277"/>
      <c r="W2450" s="277"/>
      <c r="X2450" s="277"/>
      <c r="Y2450" s="277"/>
      <c r="Z2450" s="277"/>
      <c r="AA2450" s="277"/>
      <c r="AB2450" s="277"/>
      <c r="AC2450" s="277"/>
      <c r="AD2450" s="277"/>
      <c r="AE2450" s="277"/>
      <c r="AF2450" s="277"/>
      <c r="AG2450" s="277"/>
      <c r="AH2450" s="277"/>
      <c r="AI2450" s="277"/>
    </row>
    <row r="2451" spans="16:35" s="185" customFormat="1">
      <c r="P2451" s="277"/>
      <c r="Q2451" s="277"/>
      <c r="R2451" s="277"/>
      <c r="S2451" s="291">
        <v>43997</v>
      </c>
      <c r="T2451" s="279">
        <v>2358</v>
      </c>
      <c r="U2451" s="277"/>
      <c r="V2451" s="277"/>
      <c r="W2451" s="277"/>
      <c r="X2451" s="277"/>
      <c r="Y2451" s="277"/>
      <c r="Z2451" s="277"/>
      <c r="AA2451" s="277"/>
      <c r="AB2451" s="277"/>
      <c r="AC2451" s="277"/>
      <c r="AD2451" s="277"/>
      <c r="AE2451" s="277"/>
      <c r="AF2451" s="277"/>
      <c r="AG2451" s="277"/>
      <c r="AH2451" s="277"/>
      <c r="AI2451" s="277"/>
    </row>
    <row r="2452" spans="16:35" s="185" customFormat="1">
      <c r="P2452" s="277"/>
      <c r="Q2452" s="277"/>
      <c r="R2452" s="277"/>
      <c r="S2452" s="291">
        <v>43998</v>
      </c>
      <c r="T2452" s="279">
        <v>2359</v>
      </c>
      <c r="U2452" s="277"/>
      <c r="V2452" s="277"/>
      <c r="W2452" s="277"/>
      <c r="X2452" s="277"/>
      <c r="Y2452" s="277"/>
      <c r="Z2452" s="277"/>
      <c r="AA2452" s="277"/>
      <c r="AB2452" s="277"/>
      <c r="AC2452" s="277"/>
      <c r="AD2452" s="277"/>
      <c r="AE2452" s="277"/>
      <c r="AF2452" s="277"/>
      <c r="AG2452" s="277"/>
      <c r="AH2452" s="277"/>
      <c r="AI2452" s="277"/>
    </row>
    <row r="2453" spans="16:35" s="185" customFormat="1">
      <c r="P2453" s="277"/>
      <c r="Q2453" s="277"/>
      <c r="R2453" s="277"/>
      <c r="S2453" s="291">
        <v>43999</v>
      </c>
      <c r="T2453" s="279">
        <v>2360</v>
      </c>
      <c r="U2453" s="277"/>
      <c r="V2453" s="277"/>
      <c r="W2453" s="277"/>
      <c r="X2453" s="277"/>
      <c r="Y2453" s="277"/>
      <c r="Z2453" s="277"/>
      <c r="AA2453" s="277"/>
      <c r="AB2453" s="277"/>
      <c r="AC2453" s="277"/>
      <c r="AD2453" s="277"/>
      <c r="AE2453" s="277"/>
      <c r="AF2453" s="277"/>
      <c r="AG2453" s="277"/>
      <c r="AH2453" s="277"/>
      <c r="AI2453" s="277"/>
    </row>
    <row r="2454" spans="16:35" s="185" customFormat="1">
      <c r="P2454" s="277"/>
      <c r="Q2454" s="277"/>
      <c r="R2454" s="277"/>
      <c r="S2454" s="291">
        <v>44000</v>
      </c>
      <c r="T2454" s="279">
        <v>2361</v>
      </c>
      <c r="U2454" s="277"/>
      <c r="V2454" s="277"/>
      <c r="W2454" s="277"/>
      <c r="X2454" s="277"/>
      <c r="Y2454" s="277"/>
      <c r="Z2454" s="277"/>
      <c r="AA2454" s="277"/>
      <c r="AB2454" s="277"/>
      <c r="AC2454" s="277"/>
      <c r="AD2454" s="277"/>
      <c r="AE2454" s="277"/>
      <c r="AF2454" s="277"/>
      <c r="AG2454" s="277"/>
      <c r="AH2454" s="277"/>
      <c r="AI2454" s="277"/>
    </row>
    <row r="2455" spans="16:35" s="185" customFormat="1">
      <c r="P2455" s="277"/>
      <c r="Q2455" s="277"/>
      <c r="R2455" s="277"/>
      <c r="S2455" s="291">
        <v>44001</v>
      </c>
      <c r="T2455" s="279">
        <v>2362</v>
      </c>
      <c r="U2455" s="277"/>
      <c r="V2455" s="277"/>
      <c r="W2455" s="277"/>
      <c r="X2455" s="277"/>
      <c r="Y2455" s="277"/>
      <c r="Z2455" s="277"/>
      <c r="AA2455" s="277"/>
      <c r="AB2455" s="277"/>
      <c r="AC2455" s="277"/>
      <c r="AD2455" s="277"/>
      <c r="AE2455" s="277"/>
      <c r="AF2455" s="277"/>
      <c r="AG2455" s="277"/>
      <c r="AH2455" s="277"/>
      <c r="AI2455" s="277"/>
    </row>
    <row r="2456" spans="16:35" s="185" customFormat="1">
      <c r="P2456" s="277"/>
      <c r="Q2456" s="277"/>
      <c r="R2456" s="277"/>
      <c r="S2456" s="291">
        <v>44002</v>
      </c>
      <c r="T2456" s="279">
        <v>2363</v>
      </c>
      <c r="U2456" s="277"/>
      <c r="V2456" s="277"/>
      <c r="W2456" s="277"/>
      <c r="X2456" s="277"/>
      <c r="Y2456" s="277"/>
      <c r="Z2456" s="277"/>
      <c r="AA2456" s="277"/>
      <c r="AB2456" s="277"/>
      <c r="AC2456" s="277"/>
      <c r="AD2456" s="277"/>
      <c r="AE2456" s="277"/>
      <c r="AF2456" s="277"/>
      <c r="AG2456" s="277"/>
      <c r="AH2456" s="277"/>
      <c r="AI2456" s="277"/>
    </row>
    <row r="2457" spans="16:35" s="185" customFormat="1">
      <c r="P2457" s="277"/>
      <c r="Q2457" s="277"/>
      <c r="R2457" s="277"/>
      <c r="S2457" s="291">
        <v>44003</v>
      </c>
      <c r="T2457" s="279">
        <v>2364</v>
      </c>
      <c r="U2457" s="277"/>
      <c r="V2457" s="277"/>
      <c r="W2457" s="277"/>
      <c r="X2457" s="277"/>
      <c r="Y2457" s="277"/>
      <c r="Z2457" s="277"/>
      <c r="AA2457" s="277"/>
      <c r="AB2457" s="277"/>
      <c r="AC2457" s="277"/>
      <c r="AD2457" s="277"/>
      <c r="AE2457" s="277"/>
      <c r="AF2457" s="277"/>
      <c r="AG2457" s="277"/>
      <c r="AH2457" s="277"/>
      <c r="AI2457" s="277"/>
    </row>
    <row r="2458" spans="16:35" s="185" customFormat="1">
      <c r="P2458" s="277"/>
      <c r="Q2458" s="277"/>
      <c r="R2458" s="277"/>
      <c r="S2458" s="291">
        <v>44004</v>
      </c>
      <c r="T2458" s="279">
        <v>2365</v>
      </c>
      <c r="U2458" s="277"/>
      <c r="V2458" s="277"/>
      <c r="W2458" s="277"/>
      <c r="X2458" s="277"/>
      <c r="Y2458" s="277"/>
      <c r="Z2458" s="277"/>
      <c r="AA2458" s="277"/>
      <c r="AB2458" s="277"/>
      <c r="AC2458" s="277"/>
      <c r="AD2458" s="277"/>
      <c r="AE2458" s="277"/>
      <c r="AF2458" s="277"/>
      <c r="AG2458" s="277"/>
      <c r="AH2458" s="277"/>
      <c r="AI2458" s="277"/>
    </row>
    <row r="2459" spans="16:35" s="185" customFormat="1">
      <c r="P2459" s="277"/>
      <c r="Q2459" s="277"/>
      <c r="R2459" s="277"/>
      <c r="S2459" s="291">
        <v>44005</v>
      </c>
      <c r="T2459" s="279">
        <v>2366</v>
      </c>
      <c r="U2459" s="277"/>
      <c r="V2459" s="277"/>
      <c r="W2459" s="277"/>
      <c r="X2459" s="277"/>
      <c r="Y2459" s="277"/>
      <c r="Z2459" s="277"/>
      <c r="AA2459" s="277"/>
      <c r="AB2459" s="277"/>
      <c r="AC2459" s="277"/>
      <c r="AD2459" s="277"/>
      <c r="AE2459" s="277"/>
      <c r="AF2459" s="277"/>
      <c r="AG2459" s="277"/>
      <c r="AH2459" s="277"/>
      <c r="AI2459" s="277"/>
    </row>
    <row r="2460" spans="16:35" s="185" customFormat="1">
      <c r="P2460" s="277"/>
      <c r="Q2460" s="277"/>
      <c r="R2460" s="277"/>
      <c r="S2460" s="291">
        <v>44006</v>
      </c>
      <c r="T2460" s="279">
        <v>2367</v>
      </c>
      <c r="U2460" s="277"/>
      <c r="V2460" s="277"/>
      <c r="W2460" s="277"/>
      <c r="X2460" s="277"/>
      <c r="Y2460" s="277"/>
      <c r="Z2460" s="277"/>
      <c r="AA2460" s="277"/>
      <c r="AB2460" s="277"/>
      <c r="AC2460" s="277"/>
      <c r="AD2460" s="277"/>
      <c r="AE2460" s="277"/>
      <c r="AF2460" s="277"/>
      <c r="AG2460" s="277"/>
      <c r="AH2460" s="277"/>
      <c r="AI2460" s="277"/>
    </row>
    <row r="2461" spans="16:35" s="185" customFormat="1">
      <c r="P2461" s="277"/>
      <c r="Q2461" s="277"/>
      <c r="R2461" s="277"/>
      <c r="S2461" s="291">
        <v>44007</v>
      </c>
      <c r="T2461" s="279">
        <v>2368</v>
      </c>
      <c r="U2461" s="277"/>
      <c r="V2461" s="277"/>
      <c r="W2461" s="277"/>
      <c r="X2461" s="277"/>
      <c r="Y2461" s="277"/>
      <c r="Z2461" s="277"/>
      <c r="AA2461" s="277"/>
      <c r="AB2461" s="277"/>
      <c r="AC2461" s="277"/>
      <c r="AD2461" s="277"/>
      <c r="AE2461" s="277"/>
      <c r="AF2461" s="277"/>
      <c r="AG2461" s="277"/>
      <c r="AH2461" s="277"/>
      <c r="AI2461" s="277"/>
    </row>
    <row r="2462" spans="16:35" s="185" customFormat="1">
      <c r="P2462" s="277"/>
      <c r="Q2462" s="277"/>
      <c r="R2462" s="277"/>
      <c r="S2462" s="291">
        <v>44008</v>
      </c>
      <c r="T2462" s="279">
        <v>2369</v>
      </c>
      <c r="U2462" s="277"/>
      <c r="V2462" s="277"/>
      <c r="W2462" s="277"/>
      <c r="X2462" s="277"/>
      <c r="Y2462" s="277"/>
      <c r="Z2462" s="277"/>
      <c r="AA2462" s="277"/>
      <c r="AB2462" s="277"/>
      <c r="AC2462" s="277"/>
      <c r="AD2462" s="277"/>
      <c r="AE2462" s="277"/>
      <c r="AF2462" s="277"/>
      <c r="AG2462" s="277"/>
      <c r="AH2462" s="277"/>
      <c r="AI2462" s="277"/>
    </row>
    <row r="2463" spans="16:35" s="185" customFormat="1">
      <c r="P2463" s="277"/>
      <c r="Q2463" s="277"/>
      <c r="R2463" s="277"/>
      <c r="S2463" s="291">
        <v>44009</v>
      </c>
      <c r="T2463" s="279">
        <v>2370</v>
      </c>
      <c r="U2463" s="277"/>
      <c r="V2463" s="277"/>
      <c r="W2463" s="277"/>
      <c r="X2463" s="277"/>
      <c r="Y2463" s="277"/>
      <c r="Z2463" s="277"/>
      <c r="AA2463" s="277"/>
      <c r="AB2463" s="277"/>
      <c r="AC2463" s="277"/>
      <c r="AD2463" s="277"/>
      <c r="AE2463" s="277"/>
      <c r="AF2463" s="277"/>
      <c r="AG2463" s="277"/>
      <c r="AH2463" s="277"/>
      <c r="AI2463" s="277"/>
    </row>
    <row r="2464" spans="16:35" s="185" customFormat="1">
      <c r="P2464" s="277"/>
      <c r="Q2464" s="277"/>
      <c r="R2464" s="277"/>
      <c r="S2464" s="291">
        <v>44010</v>
      </c>
      <c r="T2464" s="279">
        <v>2371</v>
      </c>
      <c r="U2464" s="277"/>
      <c r="V2464" s="277"/>
      <c r="W2464" s="277"/>
      <c r="X2464" s="277"/>
      <c r="Y2464" s="277"/>
      <c r="Z2464" s="277"/>
      <c r="AA2464" s="277"/>
      <c r="AB2464" s="277"/>
      <c r="AC2464" s="277"/>
      <c r="AD2464" s="277"/>
      <c r="AE2464" s="277"/>
      <c r="AF2464" s="277"/>
      <c r="AG2464" s="277"/>
      <c r="AH2464" s="277"/>
      <c r="AI2464" s="277"/>
    </row>
    <row r="2465" spans="16:35" s="185" customFormat="1">
      <c r="P2465" s="277"/>
      <c r="Q2465" s="277"/>
      <c r="R2465" s="277"/>
      <c r="S2465" s="291">
        <v>44011</v>
      </c>
      <c r="T2465" s="279">
        <v>2372</v>
      </c>
      <c r="U2465" s="277"/>
      <c r="V2465" s="277"/>
      <c r="W2465" s="277"/>
      <c r="X2465" s="277"/>
      <c r="Y2465" s="277"/>
      <c r="Z2465" s="277"/>
      <c r="AA2465" s="277"/>
      <c r="AB2465" s="277"/>
      <c r="AC2465" s="277"/>
      <c r="AD2465" s="277"/>
      <c r="AE2465" s="277"/>
      <c r="AF2465" s="277"/>
      <c r="AG2465" s="277"/>
      <c r="AH2465" s="277"/>
      <c r="AI2465" s="277"/>
    </row>
    <row r="2466" spans="16:35" s="185" customFormat="1">
      <c r="P2466" s="277"/>
      <c r="Q2466" s="277"/>
      <c r="R2466" s="277"/>
      <c r="S2466" s="291">
        <v>44012</v>
      </c>
      <c r="T2466" s="279">
        <v>2373</v>
      </c>
      <c r="U2466" s="277"/>
      <c r="V2466" s="277"/>
      <c r="W2466" s="277"/>
      <c r="X2466" s="277"/>
      <c r="Y2466" s="277"/>
      <c r="Z2466" s="277"/>
      <c r="AA2466" s="277"/>
      <c r="AB2466" s="277"/>
      <c r="AC2466" s="277"/>
      <c r="AD2466" s="277"/>
      <c r="AE2466" s="277"/>
      <c r="AF2466" s="277"/>
      <c r="AG2466" s="277"/>
      <c r="AH2466" s="277"/>
      <c r="AI2466" s="277"/>
    </row>
    <row r="2467" spans="16:35" s="185" customFormat="1">
      <c r="P2467" s="277"/>
      <c r="Q2467" s="277"/>
      <c r="R2467" s="277"/>
      <c r="S2467" s="291">
        <v>44013</v>
      </c>
      <c r="T2467" s="279">
        <v>2374</v>
      </c>
      <c r="U2467" s="277"/>
      <c r="V2467" s="277"/>
      <c r="W2467" s="277"/>
      <c r="X2467" s="277"/>
      <c r="Y2467" s="277"/>
      <c r="Z2467" s="277"/>
      <c r="AA2467" s="277"/>
      <c r="AB2467" s="277"/>
      <c r="AC2467" s="277"/>
      <c r="AD2467" s="277"/>
      <c r="AE2467" s="277"/>
      <c r="AF2467" s="277"/>
      <c r="AG2467" s="277"/>
      <c r="AH2467" s="277"/>
      <c r="AI2467" s="277"/>
    </row>
    <row r="2468" spans="16:35" s="185" customFormat="1">
      <c r="P2468" s="277"/>
      <c r="Q2468" s="277"/>
      <c r="R2468" s="277"/>
      <c r="S2468" s="291">
        <v>44014</v>
      </c>
      <c r="T2468" s="279">
        <v>2375</v>
      </c>
      <c r="U2468" s="277"/>
      <c r="V2468" s="277"/>
      <c r="W2468" s="277"/>
      <c r="X2468" s="277"/>
      <c r="Y2468" s="277"/>
      <c r="Z2468" s="277"/>
      <c r="AA2468" s="277"/>
      <c r="AB2468" s="277"/>
      <c r="AC2468" s="277"/>
      <c r="AD2468" s="277"/>
      <c r="AE2468" s="277"/>
      <c r="AF2468" s="277"/>
      <c r="AG2468" s="277"/>
      <c r="AH2468" s="277"/>
      <c r="AI2468" s="277"/>
    </row>
    <row r="2469" spans="16:35" s="185" customFormat="1">
      <c r="P2469" s="277"/>
      <c r="Q2469" s="277"/>
      <c r="R2469" s="277"/>
      <c r="S2469" s="291">
        <v>44015</v>
      </c>
      <c r="T2469" s="279">
        <v>2376</v>
      </c>
      <c r="U2469" s="277"/>
      <c r="V2469" s="277"/>
      <c r="W2469" s="277"/>
      <c r="X2469" s="277"/>
      <c r="Y2469" s="277"/>
      <c r="Z2469" s="277"/>
      <c r="AA2469" s="277"/>
      <c r="AB2469" s="277"/>
      <c r="AC2469" s="277"/>
      <c r="AD2469" s="277"/>
      <c r="AE2469" s="277"/>
      <c r="AF2469" s="277"/>
      <c r="AG2469" s="277"/>
      <c r="AH2469" s="277"/>
      <c r="AI2469" s="277"/>
    </row>
    <row r="2470" spans="16:35" s="185" customFormat="1">
      <c r="P2470" s="277"/>
      <c r="Q2470" s="277"/>
      <c r="R2470" s="277"/>
      <c r="S2470" s="291">
        <v>44016</v>
      </c>
      <c r="T2470" s="279">
        <v>2377</v>
      </c>
      <c r="U2470" s="277"/>
      <c r="V2470" s="277"/>
      <c r="W2470" s="277"/>
      <c r="X2470" s="277"/>
      <c r="Y2470" s="277"/>
      <c r="Z2470" s="277"/>
      <c r="AA2470" s="277"/>
      <c r="AB2470" s="277"/>
      <c r="AC2470" s="277"/>
      <c r="AD2470" s="277"/>
      <c r="AE2470" s="277"/>
      <c r="AF2470" s="277"/>
      <c r="AG2470" s="277"/>
      <c r="AH2470" s="277"/>
      <c r="AI2470" s="277"/>
    </row>
    <row r="2471" spans="16:35" s="185" customFormat="1">
      <c r="P2471" s="277"/>
      <c r="Q2471" s="277"/>
      <c r="R2471" s="277"/>
      <c r="S2471" s="291">
        <v>44017</v>
      </c>
      <c r="T2471" s="279">
        <v>2378</v>
      </c>
      <c r="U2471" s="277"/>
      <c r="V2471" s="277"/>
      <c r="W2471" s="277"/>
      <c r="X2471" s="277"/>
      <c r="Y2471" s="277"/>
      <c r="Z2471" s="277"/>
      <c r="AA2471" s="277"/>
      <c r="AB2471" s="277"/>
      <c r="AC2471" s="277"/>
      <c r="AD2471" s="277"/>
      <c r="AE2471" s="277"/>
      <c r="AF2471" s="277"/>
      <c r="AG2471" s="277"/>
      <c r="AH2471" s="277"/>
      <c r="AI2471" s="277"/>
    </row>
    <row r="2472" spans="16:35" s="185" customFormat="1">
      <c r="P2472" s="277"/>
      <c r="Q2472" s="277"/>
      <c r="R2472" s="277"/>
      <c r="S2472" s="291">
        <v>44018</v>
      </c>
      <c r="T2472" s="279">
        <v>2379</v>
      </c>
      <c r="U2472" s="277"/>
      <c r="V2472" s="277"/>
      <c r="W2472" s="277"/>
      <c r="X2472" s="277"/>
      <c r="Y2472" s="277"/>
      <c r="Z2472" s="277"/>
      <c r="AA2472" s="277"/>
      <c r="AB2472" s="277"/>
      <c r="AC2472" s="277"/>
      <c r="AD2472" s="277"/>
      <c r="AE2472" s="277"/>
      <c r="AF2472" s="277"/>
      <c r="AG2472" s="277"/>
      <c r="AH2472" s="277"/>
      <c r="AI2472" s="277"/>
    </row>
    <row r="2473" spans="16:35" s="185" customFormat="1">
      <c r="P2473" s="277"/>
      <c r="Q2473" s="277"/>
      <c r="R2473" s="277"/>
      <c r="S2473" s="291">
        <v>44019</v>
      </c>
      <c r="T2473" s="279">
        <v>2380</v>
      </c>
      <c r="U2473" s="277"/>
      <c r="V2473" s="277"/>
      <c r="W2473" s="277"/>
      <c r="X2473" s="277"/>
      <c r="Y2473" s="277"/>
      <c r="Z2473" s="277"/>
      <c r="AA2473" s="277"/>
      <c r="AB2473" s="277"/>
      <c r="AC2473" s="277"/>
      <c r="AD2473" s="277"/>
      <c r="AE2473" s="277"/>
      <c r="AF2473" s="277"/>
      <c r="AG2473" s="277"/>
      <c r="AH2473" s="277"/>
      <c r="AI2473" s="277"/>
    </row>
    <row r="2474" spans="16:35" s="185" customFormat="1">
      <c r="P2474" s="277"/>
      <c r="Q2474" s="277"/>
      <c r="R2474" s="277"/>
      <c r="S2474" s="291">
        <v>44020</v>
      </c>
      <c r="T2474" s="279">
        <v>2381</v>
      </c>
      <c r="U2474" s="277"/>
      <c r="V2474" s="277"/>
      <c r="W2474" s="277"/>
      <c r="X2474" s="277"/>
      <c r="Y2474" s="277"/>
      <c r="Z2474" s="277"/>
      <c r="AA2474" s="277"/>
      <c r="AB2474" s="277"/>
      <c r="AC2474" s="277"/>
      <c r="AD2474" s="277"/>
      <c r="AE2474" s="277"/>
      <c r="AF2474" s="277"/>
      <c r="AG2474" s="277"/>
      <c r="AH2474" s="277"/>
      <c r="AI2474" s="277"/>
    </row>
    <row r="2475" spans="16:35" s="185" customFormat="1">
      <c r="P2475" s="277"/>
      <c r="Q2475" s="277"/>
      <c r="R2475" s="277"/>
      <c r="S2475" s="291">
        <v>44021</v>
      </c>
      <c r="T2475" s="279">
        <v>2382</v>
      </c>
      <c r="U2475" s="277"/>
      <c r="V2475" s="277"/>
      <c r="W2475" s="277"/>
      <c r="X2475" s="277"/>
      <c r="Y2475" s="277"/>
      <c r="Z2475" s="277"/>
      <c r="AA2475" s="277"/>
      <c r="AB2475" s="277"/>
      <c r="AC2475" s="277"/>
      <c r="AD2475" s="277"/>
      <c r="AE2475" s="277"/>
      <c r="AF2475" s="277"/>
      <c r="AG2475" s="277"/>
      <c r="AH2475" s="277"/>
      <c r="AI2475" s="277"/>
    </row>
    <row r="2476" spans="16:35" s="185" customFormat="1">
      <c r="P2476" s="277"/>
      <c r="Q2476" s="277"/>
      <c r="R2476" s="277"/>
      <c r="S2476" s="291">
        <v>44022</v>
      </c>
      <c r="T2476" s="279">
        <v>2383</v>
      </c>
      <c r="U2476" s="277"/>
      <c r="V2476" s="277"/>
      <c r="W2476" s="277"/>
      <c r="X2476" s="277"/>
      <c r="Y2476" s="277"/>
      <c r="Z2476" s="277"/>
      <c r="AA2476" s="277"/>
      <c r="AB2476" s="277"/>
      <c r="AC2476" s="277"/>
      <c r="AD2476" s="277"/>
      <c r="AE2476" s="277"/>
      <c r="AF2476" s="277"/>
      <c r="AG2476" s="277"/>
      <c r="AH2476" s="277"/>
      <c r="AI2476" s="277"/>
    </row>
    <row r="2477" spans="16:35" s="185" customFormat="1">
      <c r="P2477" s="277"/>
      <c r="Q2477" s="277"/>
      <c r="R2477" s="277"/>
      <c r="S2477" s="291">
        <v>44023</v>
      </c>
      <c r="T2477" s="279">
        <v>2384</v>
      </c>
      <c r="U2477" s="277"/>
      <c r="V2477" s="277"/>
      <c r="W2477" s="277"/>
      <c r="X2477" s="277"/>
      <c r="Y2477" s="277"/>
      <c r="Z2477" s="277"/>
      <c r="AA2477" s="277"/>
      <c r="AB2477" s="277"/>
      <c r="AC2477" s="277"/>
      <c r="AD2477" s="277"/>
      <c r="AE2477" s="277"/>
      <c r="AF2477" s="277"/>
      <c r="AG2477" s="277"/>
      <c r="AH2477" s="277"/>
      <c r="AI2477" s="277"/>
    </row>
    <row r="2478" spans="16:35" s="185" customFormat="1">
      <c r="P2478" s="277"/>
      <c r="Q2478" s="277"/>
      <c r="R2478" s="277"/>
      <c r="S2478" s="291">
        <v>44024</v>
      </c>
      <c r="T2478" s="279">
        <v>2385</v>
      </c>
      <c r="U2478" s="277"/>
      <c r="V2478" s="277"/>
      <c r="W2478" s="277"/>
      <c r="X2478" s="277"/>
      <c r="Y2478" s="277"/>
      <c r="Z2478" s="277"/>
      <c r="AA2478" s="277"/>
      <c r="AB2478" s="277"/>
      <c r="AC2478" s="277"/>
      <c r="AD2478" s="277"/>
      <c r="AE2478" s="277"/>
      <c r="AF2478" s="277"/>
      <c r="AG2478" s="277"/>
      <c r="AH2478" s="277"/>
      <c r="AI2478" s="277"/>
    </row>
    <row r="2479" spans="16:35" s="185" customFormat="1">
      <c r="P2479" s="277"/>
      <c r="Q2479" s="277"/>
      <c r="R2479" s="277"/>
      <c r="S2479" s="291">
        <v>44025</v>
      </c>
      <c r="T2479" s="279">
        <v>2386</v>
      </c>
      <c r="U2479" s="277"/>
      <c r="V2479" s="277"/>
      <c r="W2479" s="277"/>
      <c r="X2479" s="277"/>
      <c r="Y2479" s="277"/>
      <c r="Z2479" s="277"/>
      <c r="AA2479" s="277"/>
      <c r="AB2479" s="277"/>
      <c r="AC2479" s="277"/>
      <c r="AD2479" s="277"/>
      <c r="AE2479" s="277"/>
      <c r="AF2479" s="277"/>
      <c r="AG2479" s="277"/>
      <c r="AH2479" s="277"/>
      <c r="AI2479" s="277"/>
    </row>
    <row r="2480" spans="16:35" s="185" customFormat="1">
      <c r="P2480" s="277"/>
      <c r="Q2480" s="277"/>
      <c r="R2480" s="277"/>
      <c r="S2480" s="291">
        <v>44026</v>
      </c>
      <c r="T2480" s="279">
        <v>2387</v>
      </c>
      <c r="U2480" s="277"/>
      <c r="V2480" s="277"/>
      <c r="W2480" s="277"/>
      <c r="X2480" s="277"/>
      <c r="Y2480" s="277"/>
      <c r="Z2480" s="277"/>
      <c r="AA2480" s="277"/>
      <c r="AB2480" s="277"/>
      <c r="AC2480" s="277"/>
      <c r="AD2480" s="277"/>
      <c r="AE2480" s="277"/>
      <c r="AF2480" s="277"/>
      <c r="AG2480" s="277"/>
      <c r="AH2480" s="277"/>
      <c r="AI2480" s="277"/>
    </row>
    <row r="2481" spans="16:35" s="185" customFormat="1">
      <c r="P2481" s="277"/>
      <c r="Q2481" s="277"/>
      <c r="R2481" s="277"/>
      <c r="S2481" s="291">
        <v>44027</v>
      </c>
      <c r="T2481" s="279">
        <v>2388</v>
      </c>
      <c r="U2481" s="277"/>
      <c r="V2481" s="277"/>
      <c r="W2481" s="277"/>
      <c r="X2481" s="277"/>
      <c r="Y2481" s="277"/>
      <c r="Z2481" s="277"/>
      <c r="AA2481" s="277"/>
      <c r="AB2481" s="277"/>
      <c r="AC2481" s="277"/>
      <c r="AD2481" s="277"/>
      <c r="AE2481" s="277"/>
      <c r="AF2481" s="277"/>
      <c r="AG2481" s="277"/>
      <c r="AH2481" s="277"/>
      <c r="AI2481" s="277"/>
    </row>
    <row r="2482" spans="16:35" s="185" customFormat="1">
      <c r="P2482" s="277"/>
      <c r="Q2482" s="277"/>
      <c r="R2482" s="277"/>
      <c r="S2482" s="291">
        <v>44028</v>
      </c>
      <c r="T2482" s="279">
        <v>2389</v>
      </c>
      <c r="U2482" s="277"/>
      <c r="V2482" s="277"/>
      <c r="W2482" s="277"/>
      <c r="X2482" s="277"/>
      <c r="Y2482" s="277"/>
      <c r="Z2482" s="277"/>
      <c r="AA2482" s="277"/>
      <c r="AB2482" s="277"/>
      <c r="AC2482" s="277"/>
      <c r="AD2482" s="277"/>
      <c r="AE2482" s="277"/>
      <c r="AF2482" s="277"/>
      <c r="AG2482" s="277"/>
      <c r="AH2482" s="277"/>
      <c r="AI2482" s="277"/>
    </row>
    <row r="2483" spans="16:35" s="185" customFormat="1">
      <c r="P2483" s="277"/>
      <c r="Q2483" s="277"/>
      <c r="R2483" s="277"/>
      <c r="S2483" s="291">
        <v>44029</v>
      </c>
      <c r="T2483" s="279">
        <v>2390</v>
      </c>
      <c r="U2483" s="277"/>
      <c r="V2483" s="277"/>
      <c r="W2483" s="277"/>
      <c r="X2483" s="277"/>
      <c r="Y2483" s="277"/>
      <c r="Z2483" s="277"/>
      <c r="AA2483" s="277"/>
      <c r="AB2483" s="277"/>
      <c r="AC2483" s="277"/>
      <c r="AD2483" s="277"/>
      <c r="AE2483" s="277"/>
      <c r="AF2483" s="277"/>
      <c r="AG2483" s="277"/>
      <c r="AH2483" s="277"/>
      <c r="AI2483" s="277"/>
    </row>
    <row r="2484" spans="16:35" s="185" customFormat="1">
      <c r="P2484" s="277"/>
      <c r="Q2484" s="277"/>
      <c r="R2484" s="277"/>
      <c r="S2484" s="291">
        <v>44030</v>
      </c>
      <c r="T2484" s="279">
        <v>2391</v>
      </c>
      <c r="U2484" s="277"/>
      <c r="V2484" s="277"/>
      <c r="W2484" s="277"/>
      <c r="X2484" s="277"/>
      <c r="Y2484" s="277"/>
      <c r="Z2484" s="277"/>
      <c r="AA2484" s="277"/>
      <c r="AB2484" s="277"/>
      <c r="AC2484" s="277"/>
      <c r="AD2484" s="277"/>
      <c r="AE2484" s="277"/>
      <c r="AF2484" s="277"/>
      <c r="AG2484" s="277"/>
      <c r="AH2484" s="277"/>
      <c r="AI2484" s="277"/>
    </row>
    <row r="2485" spans="16:35" s="185" customFormat="1">
      <c r="P2485" s="277"/>
      <c r="Q2485" s="277"/>
      <c r="R2485" s="277"/>
      <c r="S2485" s="291">
        <v>44031</v>
      </c>
      <c r="T2485" s="279">
        <v>2392</v>
      </c>
      <c r="U2485" s="277"/>
      <c r="V2485" s="277"/>
      <c r="W2485" s="277"/>
      <c r="X2485" s="277"/>
      <c r="Y2485" s="277"/>
      <c r="Z2485" s="277"/>
      <c r="AA2485" s="277"/>
      <c r="AB2485" s="277"/>
      <c r="AC2485" s="277"/>
      <c r="AD2485" s="277"/>
      <c r="AE2485" s="277"/>
      <c r="AF2485" s="277"/>
      <c r="AG2485" s="277"/>
      <c r="AH2485" s="277"/>
      <c r="AI2485" s="277"/>
    </row>
    <row r="2486" spans="16:35" s="185" customFormat="1">
      <c r="P2486" s="277"/>
      <c r="Q2486" s="277"/>
      <c r="R2486" s="277"/>
      <c r="S2486" s="291">
        <v>44032</v>
      </c>
      <c r="T2486" s="279">
        <v>2393</v>
      </c>
      <c r="U2486" s="277"/>
      <c r="V2486" s="277"/>
      <c r="W2486" s="277"/>
      <c r="X2486" s="277"/>
      <c r="Y2486" s="277"/>
      <c r="Z2486" s="277"/>
      <c r="AA2486" s="277"/>
      <c r="AB2486" s="277"/>
      <c r="AC2486" s="277"/>
      <c r="AD2486" s="277"/>
      <c r="AE2486" s="277"/>
      <c r="AF2486" s="277"/>
      <c r="AG2486" s="277"/>
      <c r="AH2486" s="277"/>
      <c r="AI2486" s="277"/>
    </row>
    <row r="2487" spans="16:35" s="185" customFormat="1">
      <c r="P2487" s="277"/>
      <c r="Q2487" s="277"/>
      <c r="R2487" s="277"/>
      <c r="S2487" s="291">
        <v>44033</v>
      </c>
      <c r="T2487" s="279">
        <v>2394</v>
      </c>
      <c r="U2487" s="277"/>
      <c r="V2487" s="277"/>
      <c r="W2487" s="277"/>
      <c r="X2487" s="277"/>
      <c r="Y2487" s="277"/>
      <c r="Z2487" s="277"/>
      <c r="AA2487" s="277"/>
      <c r="AB2487" s="277"/>
      <c r="AC2487" s="277"/>
      <c r="AD2487" s="277"/>
      <c r="AE2487" s="277"/>
      <c r="AF2487" s="277"/>
      <c r="AG2487" s="277"/>
      <c r="AH2487" s="277"/>
      <c r="AI2487" s="277"/>
    </row>
    <row r="2488" spans="16:35" s="185" customFormat="1">
      <c r="P2488" s="277"/>
      <c r="Q2488" s="277"/>
      <c r="R2488" s="277"/>
      <c r="S2488" s="291">
        <v>44034</v>
      </c>
      <c r="T2488" s="279">
        <v>2395</v>
      </c>
      <c r="U2488" s="277"/>
      <c r="V2488" s="277"/>
      <c r="W2488" s="277"/>
      <c r="X2488" s="277"/>
      <c r="Y2488" s="277"/>
      <c r="Z2488" s="277"/>
      <c r="AA2488" s="277"/>
      <c r="AB2488" s="277"/>
      <c r="AC2488" s="277"/>
      <c r="AD2488" s="277"/>
      <c r="AE2488" s="277"/>
      <c r="AF2488" s="277"/>
      <c r="AG2488" s="277"/>
      <c r="AH2488" s="277"/>
      <c r="AI2488" s="277"/>
    </row>
    <row r="2489" spans="16:35" s="185" customFormat="1">
      <c r="P2489" s="277"/>
      <c r="Q2489" s="277"/>
      <c r="R2489" s="277"/>
      <c r="S2489" s="291">
        <v>44035</v>
      </c>
      <c r="T2489" s="279">
        <v>2396</v>
      </c>
      <c r="U2489" s="277"/>
      <c r="V2489" s="277"/>
      <c r="W2489" s="277"/>
      <c r="X2489" s="277"/>
      <c r="Y2489" s="277"/>
      <c r="Z2489" s="277"/>
      <c r="AA2489" s="277"/>
      <c r="AB2489" s="277"/>
      <c r="AC2489" s="277"/>
      <c r="AD2489" s="277"/>
      <c r="AE2489" s="277"/>
      <c r="AF2489" s="277"/>
      <c r="AG2489" s="277"/>
      <c r="AH2489" s="277"/>
      <c r="AI2489" s="277"/>
    </row>
    <row r="2490" spans="16:35" s="185" customFormat="1">
      <c r="P2490" s="277"/>
      <c r="Q2490" s="277"/>
      <c r="R2490" s="277"/>
      <c r="S2490" s="291">
        <v>44036</v>
      </c>
      <c r="T2490" s="279">
        <v>2397</v>
      </c>
      <c r="U2490" s="277"/>
      <c r="V2490" s="277"/>
      <c r="W2490" s="277"/>
      <c r="X2490" s="277"/>
      <c r="Y2490" s="277"/>
      <c r="Z2490" s="277"/>
      <c r="AA2490" s="277"/>
      <c r="AB2490" s="277"/>
      <c r="AC2490" s="277"/>
      <c r="AD2490" s="277"/>
      <c r="AE2490" s="277"/>
      <c r="AF2490" s="277"/>
      <c r="AG2490" s="277"/>
      <c r="AH2490" s="277"/>
      <c r="AI2490" s="277"/>
    </row>
    <row r="2491" spans="16:35" s="185" customFormat="1">
      <c r="P2491" s="277"/>
      <c r="Q2491" s="277"/>
      <c r="R2491" s="277"/>
      <c r="S2491" s="291">
        <v>44037</v>
      </c>
      <c r="T2491" s="279">
        <v>2398</v>
      </c>
      <c r="U2491" s="277"/>
      <c r="V2491" s="277"/>
      <c r="W2491" s="277"/>
      <c r="X2491" s="277"/>
      <c r="Y2491" s="277"/>
      <c r="Z2491" s="277"/>
      <c r="AA2491" s="277"/>
      <c r="AB2491" s="277"/>
      <c r="AC2491" s="277"/>
      <c r="AD2491" s="277"/>
      <c r="AE2491" s="277"/>
      <c r="AF2491" s="277"/>
      <c r="AG2491" s="277"/>
      <c r="AH2491" s="277"/>
      <c r="AI2491" s="277"/>
    </row>
    <row r="2492" spans="16:35" s="185" customFormat="1">
      <c r="P2492" s="277"/>
      <c r="Q2492" s="277"/>
      <c r="R2492" s="277"/>
      <c r="S2492" s="291">
        <v>44038</v>
      </c>
      <c r="T2492" s="279">
        <v>2399</v>
      </c>
      <c r="U2492" s="277"/>
      <c r="V2492" s="277"/>
      <c r="W2492" s="277"/>
      <c r="X2492" s="277"/>
      <c r="Y2492" s="277"/>
      <c r="Z2492" s="277"/>
      <c r="AA2492" s="277"/>
      <c r="AB2492" s="277"/>
      <c r="AC2492" s="277"/>
      <c r="AD2492" s="277"/>
      <c r="AE2492" s="277"/>
      <c r="AF2492" s="277"/>
      <c r="AG2492" s="277"/>
      <c r="AH2492" s="277"/>
      <c r="AI2492" s="277"/>
    </row>
    <row r="2493" spans="16:35" s="185" customFormat="1">
      <c r="P2493" s="277"/>
      <c r="Q2493" s="277"/>
      <c r="R2493" s="277"/>
      <c r="S2493" s="291">
        <v>44039</v>
      </c>
      <c r="T2493" s="279">
        <v>2400</v>
      </c>
      <c r="U2493" s="277"/>
      <c r="V2493" s="277"/>
      <c r="W2493" s="277"/>
      <c r="X2493" s="277"/>
      <c r="Y2493" s="277"/>
      <c r="Z2493" s="277"/>
      <c r="AA2493" s="277"/>
      <c r="AB2493" s="277"/>
      <c r="AC2493" s="277"/>
      <c r="AD2493" s="277"/>
      <c r="AE2493" s="277"/>
      <c r="AF2493" s="277"/>
      <c r="AG2493" s="277"/>
      <c r="AH2493" s="277"/>
      <c r="AI2493" s="277"/>
    </row>
    <row r="2494" spans="16:35" s="185" customFormat="1">
      <c r="P2494" s="277"/>
      <c r="Q2494" s="277"/>
      <c r="R2494" s="277"/>
      <c r="S2494" s="291">
        <v>44040</v>
      </c>
      <c r="T2494" s="279">
        <v>2401</v>
      </c>
      <c r="U2494" s="277"/>
      <c r="V2494" s="277"/>
      <c r="W2494" s="277"/>
      <c r="X2494" s="277"/>
      <c r="Y2494" s="277"/>
      <c r="Z2494" s="277"/>
      <c r="AA2494" s="277"/>
      <c r="AB2494" s="277"/>
      <c r="AC2494" s="277"/>
      <c r="AD2494" s="277"/>
      <c r="AE2494" s="277"/>
      <c r="AF2494" s="277"/>
      <c r="AG2494" s="277"/>
      <c r="AH2494" s="277"/>
      <c r="AI2494" s="277"/>
    </row>
    <row r="2495" spans="16:35" s="185" customFormat="1">
      <c r="P2495" s="277"/>
      <c r="Q2495" s="277"/>
      <c r="R2495" s="277"/>
      <c r="S2495" s="291">
        <v>44041</v>
      </c>
      <c r="T2495" s="279">
        <v>2402</v>
      </c>
      <c r="U2495" s="277"/>
      <c r="V2495" s="277"/>
      <c r="W2495" s="277"/>
      <c r="X2495" s="277"/>
      <c r="Y2495" s="277"/>
      <c r="Z2495" s="277"/>
      <c r="AA2495" s="277"/>
      <c r="AB2495" s="277"/>
      <c r="AC2495" s="277"/>
      <c r="AD2495" s="277"/>
      <c r="AE2495" s="277"/>
      <c r="AF2495" s="277"/>
      <c r="AG2495" s="277"/>
      <c r="AH2495" s="277"/>
      <c r="AI2495" s="277"/>
    </row>
    <row r="2496" spans="16:35" s="185" customFormat="1">
      <c r="P2496" s="277"/>
      <c r="Q2496" s="277"/>
      <c r="R2496" s="277"/>
      <c r="S2496" s="291">
        <v>44042</v>
      </c>
      <c r="T2496" s="279">
        <v>2403</v>
      </c>
      <c r="U2496" s="277"/>
      <c r="V2496" s="277"/>
      <c r="W2496" s="277"/>
      <c r="X2496" s="277"/>
      <c r="Y2496" s="277"/>
      <c r="Z2496" s="277"/>
      <c r="AA2496" s="277"/>
      <c r="AB2496" s="277"/>
      <c r="AC2496" s="277"/>
      <c r="AD2496" s="277"/>
      <c r="AE2496" s="277"/>
      <c r="AF2496" s="277"/>
      <c r="AG2496" s="277"/>
      <c r="AH2496" s="277"/>
      <c r="AI2496" s="277"/>
    </row>
    <row r="2497" spans="16:35" s="185" customFormat="1">
      <c r="P2497" s="277"/>
      <c r="Q2497" s="277"/>
      <c r="R2497" s="277"/>
      <c r="S2497" s="291">
        <v>44043</v>
      </c>
      <c r="T2497" s="279">
        <v>2404</v>
      </c>
      <c r="U2497" s="277"/>
      <c r="V2497" s="277"/>
      <c r="W2497" s="277"/>
      <c r="X2497" s="277"/>
      <c r="Y2497" s="277"/>
      <c r="Z2497" s="277"/>
      <c r="AA2497" s="277"/>
      <c r="AB2497" s="277"/>
      <c r="AC2497" s="277"/>
      <c r="AD2497" s="277"/>
      <c r="AE2497" s="277"/>
      <c r="AF2497" s="277"/>
      <c r="AG2497" s="277"/>
      <c r="AH2497" s="277"/>
      <c r="AI2497" s="277"/>
    </row>
    <row r="2498" spans="16:35" s="185" customFormat="1">
      <c r="P2498" s="277"/>
      <c r="Q2498" s="277"/>
      <c r="R2498" s="277"/>
      <c r="S2498" s="291">
        <v>44044</v>
      </c>
      <c r="T2498" s="279">
        <v>2405</v>
      </c>
      <c r="U2498" s="277"/>
      <c r="V2498" s="277"/>
      <c r="W2498" s="277"/>
      <c r="X2498" s="277"/>
      <c r="Y2498" s="277"/>
      <c r="Z2498" s="277"/>
      <c r="AA2498" s="277"/>
      <c r="AB2498" s="277"/>
      <c r="AC2498" s="277"/>
      <c r="AD2498" s="277"/>
      <c r="AE2498" s="277"/>
      <c r="AF2498" s="277"/>
      <c r="AG2498" s="277"/>
      <c r="AH2498" s="277"/>
      <c r="AI2498" s="277"/>
    </row>
    <row r="2499" spans="16:35" s="185" customFormat="1">
      <c r="P2499" s="277"/>
      <c r="Q2499" s="277"/>
      <c r="R2499" s="277"/>
      <c r="S2499" s="291">
        <v>44045</v>
      </c>
      <c r="T2499" s="279">
        <v>2406</v>
      </c>
      <c r="U2499" s="277"/>
      <c r="V2499" s="277"/>
      <c r="W2499" s="277"/>
      <c r="X2499" s="277"/>
      <c r="Y2499" s="277"/>
      <c r="Z2499" s="277"/>
      <c r="AA2499" s="277"/>
      <c r="AB2499" s="277"/>
      <c r="AC2499" s="277"/>
      <c r="AD2499" s="277"/>
      <c r="AE2499" s="277"/>
      <c r="AF2499" s="277"/>
      <c r="AG2499" s="277"/>
      <c r="AH2499" s="277"/>
      <c r="AI2499" s="277"/>
    </row>
    <row r="2500" spans="16:35" s="185" customFormat="1">
      <c r="P2500" s="277"/>
      <c r="Q2500" s="277"/>
      <c r="R2500" s="277"/>
      <c r="S2500" s="291">
        <v>44046</v>
      </c>
      <c r="T2500" s="279">
        <v>2407</v>
      </c>
      <c r="U2500" s="277"/>
      <c r="V2500" s="277"/>
      <c r="W2500" s="277"/>
      <c r="X2500" s="277"/>
      <c r="Y2500" s="277"/>
      <c r="Z2500" s="277"/>
      <c r="AA2500" s="277"/>
      <c r="AB2500" s="277"/>
      <c r="AC2500" s="277"/>
      <c r="AD2500" s="277"/>
      <c r="AE2500" s="277"/>
      <c r="AF2500" s="277"/>
      <c r="AG2500" s="277"/>
      <c r="AH2500" s="277"/>
      <c r="AI2500" s="277"/>
    </row>
    <row r="2501" spans="16:35" s="185" customFormat="1">
      <c r="P2501" s="277"/>
      <c r="Q2501" s="277"/>
      <c r="R2501" s="277"/>
      <c r="S2501" s="291">
        <v>44047</v>
      </c>
      <c r="T2501" s="279">
        <v>2408</v>
      </c>
      <c r="U2501" s="277"/>
      <c r="V2501" s="277"/>
      <c r="W2501" s="277"/>
      <c r="X2501" s="277"/>
      <c r="Y2501" s="277"/>
      <c r="Z2501" s="277"/>
      <c r="AA2501" s="277"/>
      <c r="AB2501" s="277"/>
      <c r="AC2501" s="277"/>
      <c r="AD2501" s="277"/>
      <c r="AE2501" s="277"/>
      <c r="AF2501" s="277"/>
      <c r="AG2501" s="277"/>
      <c r="AH2501" s="277"/>
      <c r="AI2501" s="277"/>
    </row>
    <row r="2502" spans="16:35" s="185" customFormat="1">
      <c r="P2502" s="277"/>
      <c r="Q2502" s="277"/>
      <c r="R2502" s="277"/>
      <c r="S2502" s="291">
        <v>44048</v>
      </c>
      <c r="T2502" s="279">
        <v>2409</v>
      </c>
      <c r="U2502" s="277"/>
      <c r="V2502" s="277"/>
      <c r="W2502" s="277"/>
      <c r="X2502" s="277"/>
      <c r="Y2502" s="277"/>
      <c r="Z2502" s="277"/>
      <c r="AA2502" s="277"/>
      <c r="AB2502" s="277"/>
      <c r="AC2502" s="277"/>
      <c r="AD2502" s="277"/>
      <c r="AE2502" s="277"/>
      <c r="AF2502" s="277"/>
      <c r="AG2502" s="277"/>
      <c r="AH2502" s="277"/>
      <c r="AI2502" s="277"/>
    </row>
    <row r="2503" spans="16:35" s="185" customFormat="1">
      <c r="P2503" s="277"/>
      <c r="Q2503" s="277"/>
      <c r="R2503" s="277"/>
      <c r="S2503" s="291">
        <v>44049</v>
      </c>
      <c r="T2503" s="279">
        <v>2410</v>
      </c>
      <c r="U2503" s="277"/>
      <c r="V2503" s="277"/>
      <c r="W2503" s="277"/>
      <c r="X2503" s="277"/>
      <c r="Y2503" s="277"/>
      <c r="Z2503" s="277"/>
      <c r="AA2503" s="277"/>
      <c r="AB2503" s="277"/>
      <c r="AC2503" s="277"/>
      <c r="AD2503" s="277"/>
      <c r="AE2503" s="277"/>
      <c r="AF2503" s="277"/>
      <c r="AG2503" s="277"/>
      <c r="AH2503" s="277"/>
      <c r="AI2503" s="277"/>
    </row>
    <row r="2504" spans="16:35" s="185" customFormat="1">
      <c r="P2504" s="277"/>
      <c r="Q2504" s="277"/>
      <c r="R2504" s="277"/>
      <c r="S2504" s="291">
        <v>44050</v>
      </c>
      <c r="T2504" s="279">
        <v>2411</v>
      </c>
      <c r="U2504" s="277"/>
      <c r="V2504" s="277"/>
      <c r="W2504" s="277"/>
      <c r="X2504" s="277"/>
      <c r="Y2504" s="277"/>
      <c r="Z2504" s="277"/>
      <c r="AA2504" s="277"/>
      <c r="AB2504" s="277"/>
      <c r="AC2504" s="277"/>
      <c r="AD2504" s="277"/>
      <c r="AE2504" s="277"/>
      <c r="AF2504" s="277"/>
      <c r="AG2504" s="277"/>
      <c r="AH2504" s="277"/>
      <c r="AI2504" s="277"/>
    </row>
    <row r="2505" spans="16:35" s="185" customFormat="1">
      <c r="P2505" s="277"/>
      <c r="Q2505" s="277"/>
      <c r="R2505" s="277"/>
      <c r="S2505" s="291">
        <v>44051</v>
      </c>
      <c r="T2505" s="279">
        <v>2412</v>
      </c>
      <c r="U2505" s="277"/>
      <c r="V2505" s="277"/>
      <c r="W2505" s="277"/>
      <c r="X2505" s="277"/>
      <c r="Y2505" s="277"/>
      <c r="Z2505" s="277"/>
      <c r="AA2505" s="277"/>
      <c r="AB2505" s="277"/>
      <c r="AC2505" s="277"/>
      <c r="AD2505" s="277"/>
      <c r="AE2505" s="277"/>
      <c r="AF2505" s="277"/>
      <c r="AG2505" s="277"/>
      <c r="AH2505" s="277"/>
      <c r="AI2505" s="277"/>
    </row>
    <row r="2506" spans="16:35" s="185" customFormat="1">
      <c r="P2506" s="277"/>
      <c r="Q2506" s="277"/>
      <c r="R2506" s="277"/>
      <c r="S2506" s="291">
        <v>44052</v>
      </c>
      <c r="T2506" s="279">
        <v>2413</v>
      </c>
      <c r="U2506" s="277"/>
      <c r="V2506" s="277"/>
      <c r="W2506" s="277"/>
      <c r="X2506" s="277"/>
      <c r="Y2506" s="277"/>
      <c r="Z2506" s="277"/>
      <c r="AA2506" s="277"/>
      <c r="AB2506" s="277"/>
      <c r="AC2506" s="277"/>
      <c r="AD2506" s="277"/>
      <c r="AE2506" s="277"/>
      <c r="AF2506" s="277"/>
      <c r="AG2506" s="277"/>
      <c r="AH2506" s="277"/>
      <c r="AI2506" s="277"/>
    </row>
    <row r="2507" spans="16:35" s="185" customFormat="1">
      <c r="P2507" s="277"/>
      <c r="Q2507" s="277"/>
      <c r="R2507" s="277"/>
      <c r="S2507" s="291">
        <v>44053</v>
      </c>
      <c r="T2507" s="279">
        <v>2414</v>
      </c>
      <c r="U2507" s="277"/>
      <c r="V2507" s="277"/>
      <c r="W2507" s="277"/>
      <c r="X2507" s="277"/>
      <c r="Y2507" s="277"/>
      <c r="Z2507" s="277"/>
      <c r="AA2507" s="277"/>
      <c r="AB2507" s="277"/>
      <c r="AC2507" s="277"/>
      <c r="AD2507" s="277"/>
      <c r="AE2507" s="277"/>
      <c r="AF2507" s="277"/>
      <c r="AG2507" s="277"/>
      <c r="AH2507" s="277"/>
      <c r="AI2507" s="277"/>
    </row>
    <row r="2508" spans="16:35" s="185" customFormat="1">
      <c r="P2508" s="277"/>
      <c r="Q2508" s="277"/>
      <c r="R2508" s="277"/>
      <c r="S2508" s="291">
        <v>44054</v>
      </c>
      <c r="T2508" s="279">
        <v>2415</v>
      </c>
      <c r="U2508" s="277"/>
      <c r="V2508" s="277"/>
      <c r="W2508" s="277"/>
      <c r="X2508" s="277"/>
      <c r="Y2508" s="277"/>
      <c r="Z2508" s="277"/>
      <c r="AA2508" s="277"/>
      <c r="AB2508" s="277"/>
      <c r="AC2508" s="277"/>
      <c r="AD2508" s="277"/>
      <c r="AE2508" s="277"/>
      <c r="AF2508" s="277"/>
      <c r="AG2508" s="277"/>
      <c r="AH2508" s="277"/>
      <c r="AI2508" s="277"/>
    </row>
    <row r="2509" spans="16:35" s="185" customFormat="1">
      <c r="P2509" s="277"/>
      <c r="Q2509" s="277"/>
      <c r="R2509" s="277"/>
      <c r="S2509" s="291">
        <v>44055</v>
      </c>
      <c r="T2509" s="279">
        <v>2416</v>
      </c>
      <c r="U2509" s="277"/>
      <c r="V2509" s="277"/>
      <c r="W2509" s="277"/>
      <c r="X2509" s="277"/>
      <c r="Y2509" s="277"/>
      <c r="Z2509" s="277"/>
      <c r="AA2509" s="277"/>
      <c r="AB2509" s="277"/>
      <c r="AC2509" s="277"/>
      <c r="AD2509" s="277"/>
      <c r="AE2509" s="277"/>
      <c r="AF2509" s="277"/>
      <c r="AG2509" s="277"/>
      <c r="AH2509" s="277"/>
      <c r="AI2509" s="277"/>
    </row>
    <row r="2510" spans="16:35" s="185" customFormat="1">
      <c r="P2510" s="277"/>
      <c r="Q2510" s="277"/>
      <c r="R2510" s="277"/>
      <c r="S2510" s="291">
        <v>44056</v>
      </c>
      <c r="T2510" s="279">
        <v>2417</v>
      </c>
      <c r="U2510" s="277"/>
      <c r="V2510" s="277"/>
      <c r="W2510" s="277"/>
      <c r="X2510" s="277"/>
      <c r="Y2510" s="277"/>
      <c r="Z2510" s="277"/>
      <c r="AA2510" s="277"/>
      <c r="AB2510" s="277"/>
      <c r="AC2510" s="277"/>
      <c r="AD2510" s="277"/>
      <c r="AE2510" s="277"/>
      <c r="AF2510" s="277"/>
      <c r="AG2510" s="277"/>
      <c r="AH2510" s="277"/>
      <c r="AI2510" s="277"/>
    </row>
    <row r="2511" spans="16:35" s="185" customFormat="1">
      <c r="P2511" s="277"/>
      <c r="Q2511" s="277"/>
      <c r="R2511" s="277"/>
      <c r="S2511" s="291">
        <v>44057</v>
      </c>
      <c r="T2511" s="279">
        <v>2418</v>
      </c>
      <c r="U2511" s="277"/>
      <c r="V2511" s="277"/>
      <c r="W2511" s="277"/>
      <c r="X2511" s="277"/>
      <c r="Y2511" s="277"/>
      <c r="Z2511" s="277"/>
      <c r="AA2511" s="277"/>
      <c r="AB2511" s="277"/>
      <c r="AC2511" s="277"/>
      <c r="AD2511" s="277"/>
      <c r="AE2511" s="277"/>
      <c r="AF2511" s="277"/>
      <c r="AG2511" s="277"/>
      <c r="AH2511" s="277"/>
      <c r="AI2511" s="277"/>
    </row>
    <row r="2512" spans="16:35" s="185" customFormat="1">
      <c r="P2512" s="277"/>
      <c r="Q2512" s="277"/>
      <c r="R2512" s="277"/>
      <c r="S2512" s="291">
        <v>44058</v>
      </c>
      <c r="T2512" s="279">
        <v>2419</v>
      </c>
      <c r="U2512" s="277"/>
      <c r="V2512" s="277"/>
      <c r="W2512" s="277"/>
      <c r="X2512" s="277"/>
      <c r="Y2512" s="277"/>
      <c r="Z2512" s="277"/>
      <c r="AA2512" s="277"/>
      <c r="AB2512" s="277"/>
      <c r="AC2512" s="277"/>
      <c r="AD2512" s="277"/>
      <c r="AE2512" s="277"/>
      <c r="AF2512" s="277"/>
      <c r="AG2512" s="277"/>
      <c r="AH2512" s="277"/>
      <c r="AI2512" s="277"/>
    </row>
    <row r="2513" spans="16:35" s="185" customFormat="1">
      <c r="P2513" s="277"/>
      <c r="Q2513" s="277"/>
      <c r="R2513" s="277"/>
      <c r="S2513" s="291">
        <v>44059</v>
      </c>
      <c r="T2513" s="279">
        <v>2420</v>
      </c>
      <c r="U2513" s="277"/>
      <c r="V2513" s="277"/>
      <c r="W2513" s="277"/>
      <c r="X2513" s="277"/>
      <c r="Y2513" s="277"/>
      <c r="Z2513" s="277"/>
      <c r="AA2513" s="277"/>
      <c r="AB2513" s="277"/>
      <c r="AC2513" s="277"/>
      <c r="AD2513" s="277"/>
      <c r="AE2513" s="277"/>
      <c r="AF2513" s="277"/>
      <c r="AG2513" s="277"/>
      <c r="AH2513" s="277"/>
      <c r="AI2513" s="277"/>
    </row>
    <row r="2514" spans="16:35" s="185" customFormat="1">
      <c r="P2514" s="277"/>
      <c r="Q2514" s="277"/>
      <c r="R2514" s="277"/>
      <c r="S2514" s="291">
        <v>44060</v>
      </c>
      <c r="T2514" s="279">
        <v>2421</v>
      </c>
      <c r="U2514" s="277"/>
      <c r="V2514" s="277"/>
      <c r="W2514" s="277"/>
      <c r="X2514" s="277"/>
      <c r="Y2514" s="277"/>
      <c r="Z2514" s="277"/>
      <c r="AA2514" s="277"/>
      <c r="AB2514" s="277"/>
      <c r="AC2514" s="277"/>
      <c r="AD2514" s="277"/>
      <c r="AE2514" s="277"/>
      <c r="AF2514" s="277"/>
      <c r="AG2514" s="277"/>
      <c r="AH2514" s="277"/>
      <c r="AI2514" s="277"/>
    </row>
    <row r="2515" spans="16:35" s="185" customFormat="1">
      <c r="P2515" s="277"/>
      <c r="Q2515" s="277"/>
      <c r="R2515" s="277"/>
      <c r="S2515" s="291">
        <v>44061</v>
      </c>
      <c r="T2515" s="279">
        <v>2422</v>
      </c>
      <c r="U2515" s="277"/>
      <c r="V2515" s="277"/>
      <c r="W2515" s="277"/>
      <c r="X2515" s="277"/>
      <c r="Y2515" s="277"/>
      <c r="Z2515" s="277"/>
      <c r="AA2515" s="277"/>
      <c r="AB2515" s="277"/>
      <c r="AC2515" s="277"/>
      <c r="AD2515" s="277"/>
      <c r="AE2515" s="277"/>
      <c r="AF2515" s="277"/>
      <c r="AG2515" s="277"/>
      <c r="AH2515" s="277"/>
      <c r="AI2515" s="277"/>
    </row>
    <row r="2516" spans="16:35" s="185" customFormat="1">
      <c r="P2516" s="277"/>
      <c r="Q2516" s="277"/>
      <c r="R2516" s="277"/>
      <c r="S2516" s="291">
        <v>44062</v>
      </c>
      <c r="T2516" s="279">
        <v>2423</v>
      </c>
      <c r="U2516" s="277"/>
      <c r="V2516" s="277"/>
      <c r="W2516" s="277"/>
      <c r="X2516" s="277"/>
      <c r="Y2516" s="277"/>
      <c r="Z2516" s="277"/>
      <c r="AA2516" s="277"/>
      <c r="AB2516" s="277"/>
      <c r="AC2516" s="277"/>
      <c r="AD2516" s="277"/>
      <c r="AE2516" s="277"/>
      <c r="AF2516" s="277"/>
      <c r="AG2516" s="277"/>
      <c r="AH2516" s="277"/>
      <c r="AI2516" s="277"/>
    </row>
    <row r="2517" spans="16:35" s="185" customFormat="1">
      <c r="P2517" s="277"/>
      <c r="Q2517" s="277"/>
      <c r="R2517" s="277"/>
      <c r="S2517" s="291">
        <v>44063</v>
      </c>
      <c r="T2517" s="279">
        <v>2424</v>
      </c>
      <c r="U2517" s="277"/>
      <c r="V2517" s="277"/>
      <c r="W2517" s="277"/>
      <c r="X2517" s="277"/>
      <c r="Y2517" s="277"/>
      <c r="Z2517" s="277"/>
      <c r="AA2517" s="277"/>
      <c r="AB2517" s="277"/>
      <c r="AC2517" s="277"/>
      <c r="AD2517" s="277"/>
      <c r="AE2517" s="277"/>
      <c r="AF2517" s="277"/>
      <c r="AG2517" s="277"/>
      <c r="AH2517" s="277"/>
      <c r="AI2517" s="277"/>
    </row>
    <row r="2518" spans="16:35" s="185" customFormat="1">
      <c r="P2518" s="277"/>
      <c r="Q2518" s="277"/>
      <c r="R2518" s="277"/>
      <c r="S2518" s="291">
        <v>44064</v>
      </c>
      <c r="T2518" s="279">
        <v>2425</v>
      </c>
      <c r="U2518" s="277"/>
      <c r="V2518" s="277"/>
      <c r="W2518" s="277"/>
      <c r="X2518" s="277"/>
      <c r="Y2518" s="277"/>
      <c r="Z2518" s="277"/>
      <c r="AA2518" s="277"/>
      <c r="AB2518" s="277"/>
      <c r="AC2518" s="277"/>
      <c r="AD2518" s="277"/>
      <c r="AE2518" s="277"/>
      <c r="AF2518" s="277"/>
      <c r="AG2518" s="277"/>
      <c r="AH2518" s="277"/>
      <c r="AI2518" s="277"/>
    </row>
    <row r="2519" spans="16:35" s="185" customFormat="1">
      <c r="P2519" s="277"/>
      <c r="Q2519" s="277"/>
      <c r="R2519" s="277"/>
      <c r="S2519" s="291">
        <v>44065</v>
      </c>
      <c r="T2519" s="279">
        <v>2426</v>
      </c>
      <c r="U2519" s="277"/>
      <c r="V2519" s="277"/>
      <c r="W2519" s="277"/>
      <c r="X2519" s="277"/>
      <c r="Y2519" s="277"/>
      <c r="Z2519" s="277"/>
      <c r="AA2519" s="277"/>
      <c r="AB2519" s="277"/>
      <c r="AC2519" s="277"/>
      <c r="AD2519" s="277"/>
      <c r="AE2519" s="277"/>
      <c r="AF2519" s="277"/>
      <c r="AG2519" s="277"/>
      <c r="AH2519" s="277"/>
      <c r="AI2519" s="277"/>
    </row>
    <row r="2520" spans="16:35" s="185" customFormat="1">
      <c r="P2520" s="277"/>
      <c r="Q2520" s="277"/>
      <c r="R2520" s="277"/>
      <c r="S2520" s="291">
        <v>44066</v>
      </c>
      <c r="T2520" s="279">
        <v>2427</v>
      </c>
      <c r="U2520" s="277"/>
      <c r="V2520" s="277"/>
      <c r="W2520" s="277"/>
      <c r="X2520" s="277"/>
      <c r="Y2520" s="277"/>
      <c r="Z2520" s="277"/>
      <c r="AA2520" s="277"/>
      <c r="AB2520" s="277"/>
      <c r="AC2520" s="277"/>
      <c r="AD2520" s="277"/>
      <c r="AE2520" s="277"/>
      <c r="AF2520" s="277"/>
      <c r="AG2520" s="277"/>
      <c r="AH2520" s="277"/>
      <c r="AI2520" s="277"/>
    </row>
    <row r="2521" spans="16:35" s="185" customFormat="1">
      <c r="P2521" s="277"/>
      <c r="Q2521" s="277"/>
      <c r="R2521" s="277"/>
      <c r="S2521" s="291">
        <v>44067</v>
      </c>
      <c r="T2521" s="279">
        <v>2428</v>
      </c>
      <c r="U2521" s="277"/>
      <c r="V2521" s="277"/>
      <c r="W2521" s="277"/>
      <c r="X2521" s="277"/>
      <c r="Y2521" s="277"/>
      <c r="Z2521" s="277"/>
      <c r="AA2521" s="277"/>
      <c r="AB2521" s="277"/>
      <c r="AC2521" s="277"/>
      <c r="AD2521" s="277"/>
      <c r="AE2521" s="277"/>
      <c r="AF2521" s="277"/>
      <c r="AG2521" s="277"/>
      <c r="AH2521" s="277"/>
      <c r="AI2521" s="277"/>
    </row>
    <row r="2522" spans="16:35" s="185" customFormat="1">
      <c r="P2522" s="277"/>
      <c r="Q2522" s="277"/>
      <c r="R2522" s="277"/>
      <c r="S2522" s="291">
        <v>44068</v>
      </c>
      <c r="T2522" s="279">
        <v>2429</v>
      </c>
      <c r="U2522" s="277"/>
      <c r="V2522" s="277"/>
      <c r="W2522" s="277"/>
      <c r="X2522" s="277"/>
      <c r="Y2522" s="277"/>
      <c r="Z2522" s="277"/>
      <c r="AA2522" s="277"/>
      <c r="AB2522" s="277"/>
      <c r="AC2522" s="277"/>
      <c r="AD2522" s="277"/>
      <c r="AE2522" s="277"/>
      <c r="AF2522" s="277"/>
      <c r="AG2522" s="277"/>
      <c r="AH2522" s="277"/>
      <c r="AI2522" s="277"/>
    </row>
    <row r="2523" spans="16:35" s="185" customFormat="1">
      <c r="P2523" s="277"/>
      <c r="Q2523" s="277"/>
      <c r="R2523" s="277"/>
      <c r="S2523" s="291">
        <v>44069</v>
      </c>
      <c r="T2523" s="279">
        <v>2430</v>
      </c>
      <c r="U2523" s="277"/>
      <c r="V2523" s="277"/>
      <c r="W2523" s="277"/>
      <c r="X2523" s="277"/>
      <c r="Y2523" s="277"/>
      <c r="Z2523" s="277"/>
      <c r="AA2523" s="277"/>
      <c r="AB2523" s="277"/>
      <c r="AC2523" s="277"/>
      <c r="AD2523" s="277"/>
      <c r="AE2523" s="277"/>
      <c r="AF2523" s="277"/>
      <c r="AG2523" s="277"/>
      <c r="AH2523" s="277"/>
      <c r="AI2523" s="277"/>
    </row>
    <row r="2524" spans="16:35" s="185" customFormat="1">
      <c r="P2524" s="277"/>
      <c r="Q2524" s="277"/>
      <c r="R2524" s="277"/>
      <c r="S2524" s="291">
        <v>44070</v>
      </c>
      <c r="T2524" s="279">
        <v>2431</v>
      </c>
      <c r="U2524" s="277"/>
      <c r="V2524" s="277"/>
      <c r="W2524" s="277"/>
      <c r="X2524" s="277"/>
      <c r="Y2524" s="277"/>
      <c r="Z2524" s="277"/>
      <c r="AA2524" s="277"/>
      <c r="AB2524" s="277"/>
      <c r="AC2524" s="277"/>
      <c r="AD2524" s="277"/>
      <c r="AE2524" s="277"/>
      <c r="AF2524" s="277"/>
      <c r="AG2524" s="277"/>
      <c r="AH2524" s="277"/>
      <c r="AI2524" s="277"/>
    </row>
    <row r="2525" spans="16:35" s="185" customFormat="1">
      <c r="P2525" s="277"/>
      <c r="Q2525" s="277"/>
      <c r="R2525" s="277"/>
      <c r="S2525" s="291">
        <v>44071</v>
      </c>
      <c r="T2525" s="279">
        <v>2432</v>
      </c>
      <c r="U2525" s="277"/>
      <c r="V2525" s="277"/>
      <c r="W2525" s="277"/>
      <c r="X2525" s="277"/>
      <c r="Y2525" s="277"/>
      <c r="Z2525" s="277"/>
      <c r="AA2525" s="277"/>
      <c r="AB2525" s="277"/>
      <c r="AC2525" s="277"/>
      <c r="AD2525" s="277"/>
      <c r="AE2525" s="277"/>
      <c r="AF2525" s="277"/>
      <c r="AG2525" s="277"/>
      <c r="AH2525" s="277"/>
      <c r="AI2525" s="277"/>
    </row>
    <row r="2526" spans="16:35" s="185" customFormat="1">
      <c r="P2526" s="277"/>
      <c r="Q2526" s="277"/>
      <c r="R2526" s="277"/>
      <c r="S2526" s="291">
        <v>44072</v>
      </c>
      <c r="T2526" s="279">
        <v>2433</v>
      </c>
      <c r="U2526" s="277"/>
      <c r="V2526" s="277"/>
      <c r="W2526" s="277"/>
      <c r="X2526" s="277"/>
      <c r="Y2526" s="277"/>
      <c r="Z2526" s="277"/>
      <c r="AA2526" s="277"/>
      <c r="AB2526" s="277"/>
      <c r="AC2526" s="277"/>
      <c r="AD2526" s="277"/>
      <c r="AE2526" s="277"/>
      <c r="AF2526" s="277"/>
      <c r="AG2526" s="277"/>
      <c r="AH2526" s="277"/>
      <c r="AI2526" s="277"/>
    </row>
    <row r="2527" spans="16:35" s="185" customFormat="1">
      <c r="P2527" s="277"/>
      <c r="Q2527" s="277"/>
      <c r="R2527" s="277"/>
      <c r="S2527" s="291">
        <v>44073</v>
      </c>
      <c r="T2527" s="279">
        <v>2434</v>
      </c>
      <c r="U2527" s="277"/>
      <c r="V2527" s="277"/>
      <c r="W2527" s="277"/>
      <c r="X2527" s="277"/>
      <c r="Y2527" s="277"/>
      <c r="Z2527" s="277"/>
      <c r="AA2527" s="277"/>
      <c r="AB2527" s="277"/>
      <c r="AC2527" s="277"/>
      <c r="AD2527" s="277"/>
      <c r="AE2527" s="277"/>
      <c r="AF2527" s="277"/>
      <c r="AG2527" s="277"/>
      <c r="AH2527" s="277"/>
      <c r="AI2527" s="277"/>
    </row>
    <row r="2528" spans="16:35" s="185" customFormat="1">
      <c r="P2528" s="277"/>
      <c r="Q2528" s="277"/>
      <c r="R2528" s="277"/>
      <c r="S2528" s="291">
        <v>44074</v>
      </c>
      <c r="T2528" s="279">
        <v>2435</v>
      </c>
      <c r="U2528" s="277"/>
      <c r="V2528" s="277"/>
      <c r="W2528" s="277"/>
      <c r="X2528" s="277"/>
      <c r="Y2528" s="277"/>
      <c r="Z2528" s="277"/>
      <c r="AA2528" s="277"/>
      <c r="AB2528" s="277"/>
      <c r="AC2528" s="277"/>
      <c r="AD2528" s="277"/>
      <c r="AE2528" s="277"/>
      <c r="AF2528" s="277"/>
      <c r="AG2528" s="277"/>
      <c r="AH2528" s="277"/>
      <c r="AI2528" s="277"/>
    </row>
    <row r="2529" spans="16:35" s="185" customFormat="1">
      <c r="P2529" s="277"/>
      <c r="Q2529" s="277"/>
      <c r="R2529" s="277"/>
      <c r="S2529" s="291">
        <v>44075</v>
      </c>
      <c r="T2529" s="279">
        <v>2436</v>
      </c>
      <c r="U2529" s="277"/>
      <c r="V2529" s="277"/>
      <c r="W2529" s="277"/>
      <c r="X2529" s="277"/>
      <c r="Y2529" s="277"/>
      <c r="Z2529" s="277"/>
      <c r="AA2529" s="277"/>
      <c r="AB2529" s="277"/>
      <c r="AC2529" s="277"/>
      <c r="AD2529" s="277"/>
      <c r="AE2529" s="277"/>
      <c r="AF2529" s="277"/>
      <c r="AG2529" s="277"/>
      <c r="AH2529" s="277"/>
      <c r="AI2529" s="277"/>
    </row>
    <row r="2530" spans="16:35" s="185" customFormat="1">
      <c r="P2530" s="277"/>
      <c r="Q2530" s="277"/>
      <c r="R2530" s="277"/>
      <c r="S2530" s="291">
        <v>44076</v>
      </c>
      <c r="T2530" s="279">
        <v>2437</v>
      </c>
      <c r="U2530" s="277"/>
      <c r="V2530" s="277"/>
      <c r="W2530" s="277"/>
      <c r="X2530" s="277"/>
      <c r="Y2530" s="277"/>
      <c r="Z2530" s="277"/>
      <c r="AA2530" s="277"/>
      <c r="AB2530" s="277"/>
      <c r="AC2530" s="277"/>
      <c r="AD2530" s="277"/>
      <c r="AE2530" s="277"/>
      <c r="AF2530" s="277"/>
      <c r="AG2530" s="277"/>
      <c r="AH2530" s="277"/>
      <c r="AI2530" s="277"/>
    </row>
    <row r="2531" spans="16:35" s="185" customFormat="1">
      <c r="P2531" s="277"/>
      <c r="Q2531" s="277"/>
      <c r="R2531" s="277"/>
      <c r="S2531" s="291">
        <v>44077</v>
      </c>
      <c r="T2531" s="279">
        <v>2438</v>
      </c>
      <c r="U2531" s="277"/>
      <c r="V2531" s="277"/>
      <c r="W2531" s="277"/>
      <c r="X2531" s="277"/>
      <c r="Y2531" s="277"/>
      <c r="Z2531" s="277"/>
      <c r="AA2531" s="277"/>
      <c r="AB2531" s="277"/>
      <c r="AC2531" s="277"/>
      <c r="AD2531" s="277"/>
      <c r="AE2531" s="277"/>
      <c r="AF2531" s="277"/>
      <c r="AG2531" s="277"/>
      <c r="AH2531" s="277"/>
      <c r="AI2531" s="277"/>
    </row>
    <row r="2532" spans="16:35" s="185" customFormat="1">
      <c r="P2532" s="277"/>
      <c r="Q2532" s="277"/>
      <c r="R2532" s="277"/>
      <c r="S2532" s="291">
        <v>44078</v>
      </c>
      <c r="T2532" s="279">
        <v>2439</v>
      </c>
      <c r="U2532" s="277"/>
      <c r="V2532" s="277"/>
      <c r="W2532" s="277"/>
      <c r="X2532" s="277"/>
      <c r="Y2532" s="277"/>
      <c r="Z2532" s="277"/>
      <c r="AA2532" s="277"/>
      <c r="AB2532" s="277"/>
      <c r="AC2532" s="277"/>
      <c r="AD2532" s="277"/>
      <c r="AE2532" s="277"/>
      <c r="AF2532" s="277"/>
      <c r="AG2532" s="277"/>
      <c r="AH2532" s="277"/>
      <c r="AI2532" s="277"/>
    </row>
    <row r="2533" spans="16:35" s="185" customFormat="1">
      <c r="P2533" s="277"/>
      <c r="Q2533" s="277"/>
      <c r="R2533" s="277"/>
      <c r="S2533" s="291">
        <v>44079</v>
      </c>
      <c r="T2533" s="279">
        <v>2440</v>
      </c>
      <c r="U2533" s="277"/>
      <c r="V2533" s="277"/>
      <c r="W2533" s="277"/>
      <c r="X2533" s="277"/>
      <c r="Y2533" s="277"/>
      <c r="Z2533" s="277"/>
      <c r="AA2533" s="277"/>
      <c r="AB2533" s="277"/>
      <c r="AC2533" s="277"/>
      <c r="AD2533" s="277"/>
      <c r="AE2533" s="277"/>
      <c r="AF2533" s="277"/>
      <c r="AG2533" s="277"/>
      <c r="AH2533" s="277"/>
      <c r="AI2533" s="277"/>
    </row>
    <row r="2534" spans="16:35" s="185" customFormat="1">
      <c r="P2534" s="277"/>
      <c r="Q2534" s="277"/>
      <c r="R2534" s="277"/>
      <c r="S2534" s="291">
        <v>44080</v>
      </c>
      <c r="T2534" s="279">
        <v>2441</v>
      </c>
      <c r="U2534" s="277"/>
      <c r="V2534" s="277"/>
      <c r="W2534" s="277"/>
      <c r="X2534" s="277"/>
      <c r="Y2534" s="277"/>
      <c r="Z2534" s="277"/>
      <c r="AA2534" s="277"/>
      <c r="AB2534" s="277"/>
      <c r="AC2534" s="277"/>
      <c r="AD2534" s="277"/>
      <c r="AE2534" s="277"/>
      <c r="AF2534" s="277"/>
      <c r="AG2534" s="277"/>
      <c r="AH2534" s="277"/>
      <c r="AI2534" s="277"/>
    </row>
    <row r="2535" spans="16:35" s="185" customFormat="1">
      <c r="P2535" s="277"/>
      <c r="Q2535" s="277"/>
      <c r="R2535" s="277"/>
      <c r="S2535" s="291">
        <v>44081</v>
      </c>
      <c r="T2535" s="279">
        <v>2442</v>
      </c>
      <c r="U2535" s="277"/>
      <c r="V2535" s="277"/>
      <c r="W2535" s="277"/>
      <c r="X2535" s="277"/>
      <c r="Y2535" s="277"/>
      <c r="Z2535" s="277"/>
      <c r="AA2535" s="277"/>
      <c r="AB2535" s="277"/>
      <c r="AC2535" s="277"/>
      <c r="AD2535" s="277"/>
      <c r="AE2535" s="277"/>
      <c r="AF2535" s="277"/>
      <c r="AG2535" s="277"/>
      <c r="AH2535" s="277"/>
      <c r="AI2535" s="277"/>
    </row>
    <row r="2536" spans="16:35" s="185" customFormat="1">
      <c r="P2536" s="277"/>
      <c r="Q2536" s="277"/>
      <c r="R2536" s="277"/>
      <c r="S2536" s="291">
        <v>44082</v>
      </c>
      <c r="T2536" s="279">
        <v>2443</v>
      </c>
      <c r="U2536" s="277"/>
      <c r="V2536" s="277"/>
      <c r="W2536" s="277"/>
      <c r="X2536" s="277"/>
      <c r="Y2536" s="277"/>
      <c r="Z2536" s="277"/>
      <c r="AA2536" s="277"/>
      <c r="AB2536" s="277"/>
      <c r="AC2536" s="277"/>
      <c r="AD2536" s="277"/>
      <c r="AE2536" s="277"/>
      <c r="AF2536" s="277"/>
      <c r="AG2536" s="277"/>
      <c r="AH2536" s="277"/>
      <c r="AI2536" s="277"/>
    </row>
    <row r="2537" spans="16:35" s="185" customFormat="1">
      <c r="P2537" s="277"/>
      <c r="Q2537" s="277"/>
      <c r="R2537" s="277"/>
      <c r="S2537" s="291">
        <v>44083</v>
      </c>
      <c r="T2537" s="279">
        <v>2444</v>
      </c>
      <c r="U2537" s="277"/>
      <c r="V2537" s="277"/>
      <c r="W2537" s="277"/>
      <c r="X2537" s="277"/>
      <c r="Y2537" s="277"/>
      <c r="Z2537" s="277"/>
      <c r="AA2537" s="277"/>
      <c r="AB2537" s="277"/>
      <c r="AC2537" s="277"/>
      <c r="AD2537" s="277"/>
      <c r="AE2537" s="277"/>
      <c r="AF2537" s="277"/>
      <c r="AG2537" s="277"/>
      <c r="AH2537" s="277"/>
      <c r="AI2537" s="277"/>
    </row>
    <row r="2538" spans="16:35" s="185" customFormat="1">
      <c r="P2538" s="277"/>
      <c r="Q2538" s="277"/>
      <c r="R2538" s="277"/>
      <c r="S2538" s="291">
        <v>44084</v>
      </c>
      <c r="T2538" s="279">
        <v>2445</v>
      </c>
      <c r="U2538" s="277"/>
      <c r="V2538" s="277"/>
      <c r="W2538" s="277"/>
      <c r="X2538" s="277"/>
      <c r="Y2538" s="277"/>
      <c r="Z2538" s="277"/>
      <c r="AA2538" s="277"/>
      <c r="AB2538" s="277"/>
      <c r="AC2538" s="277"/>
      <c r="AD2538" s="277"/>
      <c r="AE2538" s="277"/>
      <c r="AF2538" s="277"/>
      <c r="AG2538" s="277"/>
      <c r="AH2538" s="277"/>
      <c r="AI2538" s="277"/>
    </row>
    <row r="2539" spans="16:35" s="185" customFormat="1">
      <c r="P2539" s="277"/>
      <c r="Q2539" s="277"/>
      <c r="R2539" s="277"/>
      <c r="S2539" s="291">
        <v>44085</v>
      </c>
      <c r="T2539" s="279">
        <v>2446</v>
      </c>
      <c r="U2539" s="277"/>
      <c r="V2539" s="277"/>
      <c r="W2539" s="277"/>
      <c r="X2539" s="277"/>
      <c r="Y2539" s="277"/>
      <c r="Z2539" s="277"/>
      <c r="AA2539" s="277"/>
      <c r="AB2539" s="277"/>
      <c r="AC2539" s="277"/>
      <c r="AD2539" s="277"/>
      <c r="AE2539" s="277"/>
      <c r="AF2539" s="277"/>
      <c r="AG2539" s="277"/>
      <c r="AH2539" s="277"/>
      <c r="AI2539" s="277"/>
    </row>
    <row r="2540" spans="16:35" s="185" customFormat="1">
      <c r="P2540" s="277"/>
      <c r="Q2540" s="277"/>
      <c r="R2540" s="277"/>
      <c r="S2540" s="291">
        <v>44086</v>
      </c>
      <c r="T2540" s="279">
        <v>2447</v>
      </c>
      <c r="U2540" s="277"/>
      <c r="V2540" s="277"/>
      <c r="W2540" s="277"/>
      <c r="X2540" s="277"/>
      <c r="Y2540" s="277"/>
      <c r="Z2540" s="277"/>
      <c r="AA2540" s="277"/>
      <c r="AB2540" s="277"/>
      <c r="AC2540" s="277"/>
      <c r="AD2540" s="277"/>
      <c r="AE2540" s="277"/>
      <c r="AF2540" s="277"/>
      <c r="AG2540" s="277"/>
      <c r="AH2540" s="277"/>
      <c r="AI2540" s="277"/>
    </row>
    <row r="2541" spans="16:35" s="185" customFormat="1">
      <c r="P2541" s="277"/>
      <c r="Q2541" s="277"/>
      <c r="R2541" s="277"/>
      <c r="S2541" s="291">
        <v>44087</v>
      </c>
      <c r="T2541" s="279">
        <v>2448</v>
      </c>
      <c r="U2541" s="277"/>
      <c r="V2541" s="277"/>
      <c r="W2541" s="277"/>
      <c r="X2541" s="277"/>
      <c r="Y2541" s="277"/>
      <c r="Z2541" s="277"/>
      <c r="AA2541" s="277"/>
      <c r="AB2541" s="277"/>
      <c r="AC2541" s="277"/>
      <c r="AD2541" s="277"/>
      <c r="AE2541" s="277"/>
      <c r="AF2541" s="277"/>
      <c r="AG2541" s="277"/>
      <c r="AH2541" s="277"/>
      <c r="AI2541" s="277"/>
    </row>
    <row r="2542" spans="16:35" s="185" customFormat="1">
      <c r="P2542" s="277"/>
      <c r="Q2542" s="277"/>
      <c r="R2542" s="277"/>
      <c r="S2542" s="291">
        <v>44088</v>
      </c>
      <c r="T2542" s="279">
        <v>2449</v>
      </c>
      <c r="U2542" s="277"/>
      <c r="V2542" s="277"/>
      <c r="W2542" s="277"/>
      <c r="X2542" s="277"/>
      <c r="Y2542" s="277"/>
      <c r="Z2542" s="277"/>
      <c r="AA2542" s="277"/>
      <c r="AB2542" s="277"/>
      <c r="AC2542" s="277"/>
      <c r="AD2542" s="277"/>
      <c r="AE2542" s="277"/>
      <c r="AF2542" s="277"/>
      <c r="AG2542" s="277"/>
      <c r="AH2542" s="277"/>
      <c r="AI2542" s="277"/>
    </row>
    <row r="2543" spans="16:35" s="185" customFormat="1">
      <c r="P2543" s="277"/>
      <c r="Q2543" s="277"/>
      <c r="R2543" s="277"/>
      <c r="S2543" s="291">
        <v>44089</v>
      </c>
      <c r="T2543" s="279">
        <v>2450</v>
      </c>
      <c r="U2543" s="277"/>
      <c r="V2543" s="277"/>
      <c r="W2543" s="277"/>
      <c r="X2543" s="277"/>
      <c r="Y2543" s="277"/>
      <c r="Z2543" s="277"/>
      <c r="AA2543" s="277"/>
      <c r="AB2543" s="277"/>
      <c r="AC2543" s="277"/>
      <c r="AD2543" s="277"/>
      <c r="AE2543" s="277"/>
      <c r="AF2543" s="277"/>
      <c r="AG2543" s="277"/>
      <c r="AH2543" s="277"/>
      <c r="AI2543" s="277"/>
    </row>
    <row r="2544" spans="16:35" s="185" customFormat="1">
      <c r="P2544" s="277"/>
      <c r="Q2544" s="277"/>
      <c r="R2544" s="277"/>
      <c r="S2544" s="291">
        <v>44090</v>
      </c>
      <c r="T2544" s="279">
        <v>2451</v>
      </c>
      <c r="U2544" s="277"/>
      <c r="V2544" s="277"/>
      <c r="W2544" s="277"/>
      <c r="X2544" s="277"/>
      <c r="Y2544" s="277"/>
      <c r="Z2544" s="277"/>
      <c r="AA2544" s="277"/>
      <c r="AB2544" s="277"/>
      <c r="AC2544" s="277"/>
      <c r="AD2544" s="277"/>
      <c r="AE2544" s="277"/>
      <c r="AF2544" s="277"/>
      <c r="AG2544" s="277"/>
      <c r="AH2544" s="277"/>
      <c r="AI2544" s="277"/>
    </row>
    <row r="2545" spans="16:35" s="185" customFormat="1">
      <c r="P2545" s="277"/>
      <c r="Q2545" s="277"/>
      <c r="R2545" s="277"/>
      <c r="S2545" s="291">
        <v>44091</v>
      </c>
      <c r="T2545" s="279">
        <v>2452</v>
      </c>
      <c r="U2545" s="277"/>
      <c r="V2545" s="277"/>
      <c r="W2545" s="277"/>
      <c r="X2545" s="277"/>
      <c r="Y2545" s="277"/>
      <c r="Z2545" s="277"/>
      <c r="AA2545" s="277"/>
      <c r="AB2545" s="277"/>
      <c r="AC2545" s="277"/>
      <c r="AD2545" s="277"/>
      <c r="AE2545" s="277"/>
      <c r="AF2545" s="277"/>
      <c r="AG2545" s="277"/>
      <c r="AH2545" s="277"/>
      <c r="AI2545" s="277"/>
    </row>
    <row r="2546" spans="16:35" s="185" customFormat="1">
      <c r="P2546" s="277"/>
      <c r="Q2546" s="277"/>
      <c r="R2546" s="277"/>
      <c r="S2546" s="291">
        <v>44092</v>
      </c>
      <c r="T2546" s="279">
        <v>2453</v>
      </c>
      <c r="U2546" s="277"/>
      <c r="V2546" s="277"/>
      <c r="W2546" s="277"/>
      <c r="X2546" s="277"/>
      <c r="Y2546" s="277"/>
      <c r="Z2546" s="277"/>
      <c r="AA2546" s="277"/>
      <c r="AB2546" s="277"/>
      <c r="AC2546" s="277"/>
      <c r="AD2546" s="277"/>
      <c r="AE2546" s="277"/>
      <c r="AF2546" s="277"/>
      <c r="AG2546" s="277"/>
      <c r="AH2546" s="277"/>
      <c r="AI2546" s="277"/>
    </row>
    <row r="2547" spans="16:35" s="185" customFormat="1">
      <c r="P2547" s="277"/>
      <c r="Q2547" s="277"/>
      <c r="R2547" s="277"/>
      <c r="S2547" s="291">
        <v>44093</v>
      </c>
      <c r="T2547" s="279">
        <v>2454</v>
      </c>
      <c r="U2547" s="277"/>
      <c r="V2547" s="277"/>
      <c r="W2547" s="277"/>
      <c r="X2547" s="277"/>
      <c r="Y2547" s="277"/>
      <c r="Z2547" s="277"/>
      <c r="AA2547" s="277"/>
      <c r="AB2547" s="277"/>
      <c r="AC2547" s="277"/>
      <c r="AD2547" s="277"/>
      <c r="AE2547" s="277"/>
      <c r="AF2547" s="277"/>
      <c r="AG2547" s="277"/>
      <c r="AH2547" s="277"/>
      <c r="AI2547" s="277"/>
    </row>
    <row r="2548" spans="16:35" s="185" customFormat="1">
      <c r="P2548" s="277"/>
      <c r="Q2548" s="277"/>
      <c r="R2548" s="277"/>
      <c r="S2548" s="291">
        <v>44094</v>
      </c>
      <c r="T2548" s="279">
        <v>2455</v>
      </c>
      <c r="U2548" s="277"/>
      <c r="V2548" s="277"/>
      <c r="W2548" s="277"/>
      <c r="X2548" s="277"/>
      <c r="Y2548" s="277"/>
      <c r="Z2548" s="277"/>
      <c r="AA2548" s="277"/>
      <c r="AB2548" s="277"/>
      <c r="AC2548" s="277"/>
      <c r="AD2548" s="277"/>
      <c r="AE2548" s="277"/>
      <c r="AF2548" s="277"/>
      <c r="AG2548" s="277"/>
      <c r="AH2548" s="277"/>
      <c r="AI2548" s="277"/>
    </row>
    <row r="2549" spans="16:35" s="185" customFormat="1">
      <c r="P2549" s="277"/>
      <c r="Q2549" s="277"/>
      <c r="R2549" s="277"/>
      <c r="S2549" s="291">
        <v>44095</v>
      </c>
      <c r="T2549" s="279">
        <v>2456</v>
      </c>
      <c r="U2549" s="277"/>
      <c r="V2549" s="277"/>
      <c r="W2549" s="277"/>
      <c r="X2549" s="277"/>
      <c r="Y2549" s="277"/>
      <c r="Z2549" s="277"/>
      <c r="AA2549" s="277"/>
      <c r="AB2549" s="277"/>
      <c r="AC2549" s="277"/>
      <c r="AD2549" s="277"/>
      <c r="AE2549" s="277"/>
      <c r="AF2549" s="277"/>
      <c r="AG2549" s="277"/>
      <c r="AH2549" s="277"/>
      <c r="AI2549" s="277"/>
    </row>
    <row r="2550" spans="16:35" s="185" customFormat="1">
      <c r="P2550" s="277"/>
      <c r="Q2550" s="277"/>
      <c r="R2550" s="277"/>
      <c r="S2550" s="291">
        <v>44096</v>
      </c>
      <c r="T2550" s="279">
        <v>2457</v>
      </c>
      <c r="U2550" s="277"/>
      <c r="V2550" s="277"/>
      <c r="W2550" s="277"/>
      <c r="X2550" s="277"/>
      <c r="Y2550" s="277"/>
      <c r="Z2550" s="277"/>
      <c r="AA2550" s="277"/>
      <c r="AB2550" s="277"/>
      <c r="AC2550" s="277"/>
      <c r="AD2550" s="277"/>
      <c r="AE2550" s="277"/>
      <c r="AF2550" s="277"/>
      <c r="AG2550" s="277"/>
      <c r="AH2550" s="277"/>
      <c r="AI2550" s="277"/>
    </row>
    <row r="2551" spans="16:35" s="185" customFormat="1">
      <c r="P2551" s="277"/>
      <c r="Q2551" s="277"/>
      <c r="R2551" s="277"/>
      <c r="S2551" s="291">
        <v>44097</v>
      </c>
      <c r="T2551" s="279">
        <v>2458</v>
      </c>
      <c r="U2551" s="277"/>
      <c r="V2551" s="277"/>
      <c r="W2551" s="277"/>
      <c r="X2551" s="277"/>
      <c r="Y2551" s="277"/>
      <c r="Z2551" s="277"/>
      <c r="AA2551" s="277"/>
      <c r="AB2551" s="277"/>
      <c r="AC2551" s="277"/>
      <c r="AD2551" s="277"/>
      <c r="AE2551" s="277"/>
      <c r="AF2551" s="277"/>
      <c r="AG2551" s="277"/>
      <c r="AH2551" s="277"/>
      <c r="AI2551" s="277"/>
    </row>
    <row r="2552" spans="16:35" s="185" customFormat="1">
      <c r="P2552" s="277"/>
      <c r="Q2552" s="277"/>
      <c r="R2552" s="277"/>
      <c r="S2552" s="291">
        <v>44098</v>
      </c>
      <c r="T2552" s="279">
        <v>2459</v>
      </c>
      <c r="U2552" s="277"/>
      <c r="V2552" s="277"/>
      <c r="W2552" s="277"/>
      <c r="X2552" s="277"/>
      <c r="Y2552" s="277"/>
      <c r="Z2552" s="277"/>
      <c r="AA2552" s="277"/>
      <c r="AB2552" s="277"/>
      <c r="AC2552" s="277"/>
      <c r="AD2552" s="277"/>
      <c r="AE2552" s="277"/>
      <c r="AF2552" s="277"/>
      <c r="AG2552" s="277"/>
      <c r="AH2552" s="277"/>
      <c r="AI2552" s="277"/>
    </row>
    <row r="2553" spans="16:35" s="185" customFormat="1">
      <c r="P2553" s="277"/>
      <c r="Q2553" s="277"/>
      <c r="R2553" s="277"/>
      <c r="S2553" s="291">
        <v>44099</v>
      </c>
      <c r="T2553" s="279">
        <v>2460</v>
      </c>
      <c r="U2553" s="277"/>
      <c r="V2553" s="277"/>
      <c r="W2553" s="277"/>
      <c r="X2553" s="277"/>
      <c r="Y2553" s="277"/>
      <c r="Z2553" s="277"/>
      <c r="AA2553" s="277"/>
      <c r="AB2553" s="277"/>
      <c r="AC2553" s="277"/>
      <c r="AD2553" s="277"/>
      <c r="AE2553" s="277"/>
      <c r="AF2553" s="277"/>
      <c r="AG2553" s="277"/>
      <c r="AH2553" s="277"/>
      <c r="AI2553" s="277"/>
    </row>
    <row r="2554" spans="16:35" s="185" customFormat="1">
      <c r="P2554" s="277"/>
      <c r="Q2554" s="277"/>
      <c r="R2554" s="277"/>
      <c r="S2554" s="291">
        <v>44100</v>
      </c>
      <c r="T2554" s="279">
        <v>2461</v>
      </c>
      <c r="U2554" s="277"/>
      <c r="V2554" s="277"/>
      <c r="W2554" s="277"/>
      <c r="X2554" s="277"/>
      <c r="Y2554" s="277"/>
      <c r="Z2554" s="277"/>
      <c r="AA2554" s="277"/>
      <c r="AB2554" s="277"/>
      <c r="AC2554" s="277"/>
      <c r="AD2554" s="277"/>
      <c r="AE2554" s="277"/>
      <c r="AF2554" s="277"/>
      <c r="AG2554" s="277"/>
      <c r="AH2554" s="277"/>
      <c r="AI2554" s="277"/>
    </row>
    <row r="2555" spans="16:35" s="185" customFormat="1">
      <c r="P2555" s="277"/>
      <c r="Q2555" s="277"/>
      <c r="R2555" s="277"/>
      <c r="S2555" s="291">
        <v>44101</v>
      </c>
      <c r="T2555" s="279">
        <v>2462</v>
      </c>
      <c r="U2555" s="277"/>
      <c r="V2555" s="277"/>
      <c r="W2555" s="277"/>
      <c r="X2555" s="277"/>
      <c r="Y2555" s="277"/>
      <c r="Z2555" s="277"/>
      <c r="AA2555" s="277"/>
      <c r="AB2555" s="277"/>
      <c r="AC2555" s="277"/>
      <c r="AD2555" s="277"/>
      <c r="AE2555" s="277"/>
      <c r="AF2555" s="277"/>
      <c r="AG2555" s="277"/>
      <c r="AH2555" s="277"/>
      <c r="AI2555" s="277"/>
    </row>
    <row r="2556" spans="16:35" s="185" customFormat="1">
      <c r="P2556" s="277"/>
      <c r="Q2556" s="277"/>
      <c r="R2556" s="277"/>
      <c r="S2556" s="291">
        <v>44102</v>
      </c>
      <c r="T2556" s="279">
        <v>2463</v>
      </c>
      <c r="U2556" s="277"/>
      <c r="V2556" s="277"/>
      <c r="W2556" s="277"/>
      <c r="X2556" s="277"/>
      <c r="Y2556" s="277"/>
      <c r="Z2556" s="277"/>
      <c r="AA2556" s="277"/>
      <c r="AB2556" s="277"/>
      <c r="AC2556" s="277"/>
      <c r="AD2556" s="277"/>
      <c r="AE2556" s="277"/>
      <c r="AF2556" s="277"/>
      <c r="AG2556" s="277"/>
      <c r="AH2556" s="277"/>
      <c r="AI2556" s="277"/>
    </row>
    <row r="2557" spans="16:35" s="185" customFormat="1">
      <c r="P2557" s="277"/>
      <c r="Q2557" s="277"/>
      <c r="R2557" s="277"/>
      <c r="S2557" s="291">
        <v>44103</v>
      </c>
      <c r="T2557" s="279">
        <v>2464</v>
      </c>
      <c r="U2557" s="277"/>
      <c r="V2557" s="277"/>
      <c r="W2557" s="277"/>
      <c r="X2557" s="277"/>
      <c r="Y2557" s="277"/>
      <c r="Z2557" s="277"/>
      <c r="AA2557" s="277"/>
      <c r="AB2557" s="277"/>
      <c r="AC2557" s="277"/>
      <c r="AD2557" s="277"/>
      <c r="AE2557" s="277"/>
      <c r="AF2557" s="277"/>
      <c r="AG2557" s="277"/>
      <c r="AH2557" s="277"/>
      <c r="AI2557" s="277"/>
    </row>
    <row r="2558" spans="16:35" s="185" customFormat="1">
      <c r="P2558" s="277"/>
      <c r="Q2558" s="277"/>
      <c r="R2558" s="277"/>
      <c r="S2558" s="291">
        <v>44104</v>
      </c>
      <c r="T2558" s="279">
        <v>2465</v>
      </c>
      <c r="U2558" s="277"/>
      <c r="V2558" s="277"/>
      <c r="W2558" s="277"/>
      <c r="X2558" s="277"/>
      <c r="Y2558" s="277"/>
      <c r="Z2558" s="277"/>
      <c r="AA2558" s="277"/>
      <c r="AB2558" s="277"/>
      <c r="AC2558" s="277"/>
      <c r="AD2558" s="277"/>
      <c r="AE2558" s="277"/>
      <c r="AF2558" s="277"/>
      <c r="AG2558" s="277"/>
      <c r="AH2558" s="277"/>
      <c r="AI2558" s="277"/>
    </row>
    <row r="2559" spans="16:35" s="185" customFormat="1">
      <c r="P2559" s="277"/>
      <c r="Q2559" s="277"/>
      <c r="R2559" s="277"/>
      <c r="S2559" s="291">
        <v>44105</v>
      </c>
      <c r="T2559" s="279">
        <v>2466</v>
      </c>
      <c r="U2559" s="277"/>
      <c r="V2559" s="277"/>
      <c r="W2559" s="277"/>
      <c r="X2559" s="277"/>
      <c r="Y2559" s="277"/>
      <c r="Z2559" s="277"/>
      <c r="AA2559" s="277"/>
      <c r="AB2559" s="277"/>
      <c r="AC2559" s="277"/>
      <c r="AD2559" s="277"/>
      <c r="AE2559" s="277"/>
      <c r="AF2559" s="277"/>
      <c r="AG2559" s="277"/>
      <c r="AH2559" s="277"/>
      <c r="AI2559" s="277"/>
    </row>
    <row r="2560" spans="16:35" s="185" customFormat="1">
      <c r="P2560" s="277"/>
      <c r="Q2560" s="277"/>
      <c r="R2560" s="277"/>
      <c r="S2560" s="291">
        <v>44106</v>
      </c>
      <c r="T2560" s="279">
        <v>2467</v>
      </c>
      <c r="U2560" s="277"/>
      <c r="V2560" s="277"/>
      <c r="W2560" s="277"/>
      <c r="X2560" s="277"/>
      <c r="Y2560" s="277"/>
      <c r="Z2560" s="277"/>
      <c r="AA2560" s="277"/>
      <c r="AB2560" s="277"/>
      <c r="AC2560" s="277"/>
      <c r="AD2560" s="277"/>
      <c r="AE2560" s="277"/>
      <c r="AF2560" s="277"/>
      <c r="AG2560" s="277"/>
      <c r="AH2560" s="277"/>
      <c r="AI2560" s="277"/>
    </row>
    <row r="2561" spans="16:35" s="185" customFormat="1">
      <c r="P2561" s="277"/>
      <c r="Q2561" s="277"/>
      <c r="R2561" s="277"/>
      <c r="S2561" s="291">
        <v>44107</v>
      </c>
      <c r="T2561" s="279">
        <v>2468</v>
      </c>
      <c r="U2561" s="277"/>
      <c r="V2561" s="277"/>
      <c r="W2561" s="277"/>
      <c r="X2561" s="277"/>
      <c r="Y2561" s="277"/>
      <c r="Z2561" s="277"/>
      <c r="AA2561" s="277"/>
      <c r="AB2561" s="277"/>
      <c r="AC2561" s="277"/>
      <c r="AD2561" s="277"/>
      <c r="AE2561" s="277"/>
      <c r="AF2561" s="277"/>
      <c r="AG2561" s="277"/>
      <c r="AH2561" s="277"/>
      <c r="AI2561" s="277"/>
    </row>
    <row r="2562" spans="16:35" s="185" customFormat="1">
      <c r="P2562" s="277"/>
      <c r="Q2562" s="277"/>
      <c r="R2562" s="277"/>
      <c r="S2562" s="291">
        <v>44108</v>
      </c>
      <c r="T2562" s="279">
        <v>2469</v>
      </c>
      <c r="U2562" s="277"/>
      <c r="V2562" s="277"/>
      <c r="W2562" s="277"/>
      <c r="X2562" s="277"/>
      <c r="Y2562" s="277"/>
      <c r="Z2562" s="277"/>
      <c r="AA2562" s="277"/>
      <c r="AB2562" s="277"/>
      <c r="AC2562" s="277"/>
      <c r="AD2562" s="277"/>
      <c r="AE2562" s="277"/>
      <c r="AF2562" s="277"/>
      <c r="AG2562" s="277"/>
      <c r="AH2562" s="277"/>
      <c r="AI2562" s="277"/>
    </row>
    <row r="2563" spans="16:35" s="185" customFormat="1">
      <c r="P2563" s="277"/>
      <c r="Q2563" s="277"/>
      <c r="R2563" s="277"/>
      <c r="S2563" s="291">
        <v>44109</v>
      </c>
      <c r="T2563" s="279">
        <v>2470</v>
      </c>
      <c r="U2563" s="277"/>
      <c r="V2563" s="277"/>
      <c r="W2563" s="277"/>
      <c r="X2563" s="277"/>
      <c r="Y2563" s="277"/>
      <c r="Z2563" s="277"/>
      <c r="AA2563" s="277"/>
      <c r="AB2563" s="277"/>
      <c r="AC2563" s="277"/>
      <c r="AD2563" s="277"/>
      <c r="AE2563" s="277"/>
      <c r="AF2563" s="277"/>
      <c r="AG2563" s="277"/>
      <c r="AH2563" s="277"/>
      <c r="AI2563" s="277"/>
    </row>
    <row r="2564" spans="16:35" s="185" customFormat="1">
      <c r="P2564" s="277"/>
      <c r="Q2564" s="277"/>
      <c r="R2564" s="277"/>
      <c r="S2564" s="291">
        <v>44110</v>
      </c>
      <c r="T2564" s="279">
        <v>2471</v>
      </c>
      <c r="U2564" s="277"/>
      <c r="V2564" s="277"/>
      <c r="W2564" s="277"/>
      <c r="X2564" s="277"/>
      <c r="Y2564" s="277"/>
      <c r="Z2564" s="277"/>
      <c r="AA2564" s="277"/>
      <c r="AB2564" s="277"/>
      <c r="AC2564" s="277"/>
      <c r="AD2564" s="277"/>
      <c r="AE2564" s="277"/>
      <c r="AF2564" s="277"/>
      <c r="AG2564" s="277"/>
      <c r="AH2564" s="277"/>
      <c r="AI2564" s="277"/>
    </row>
    <row r="2565" spans="16:35" s="185" customFormat="1">
      <c r="P2565" s="277"/>
      <c r="Q2565" s="277"/>
      <c r="R2565" s="277"/>
      <c r="S2565" s="291">
        <v>44111</v>
      </c>
      <c r="T2565" s="279">
        <v>2472</v>
      </c>
      <c r="U2565" s="277"/>
      <c r="V2565" s="277"/>
      <c r="W2565" s="277"/>
      <c r="X2565" s="277"/>
      <c r="Y2565" s="277"/>
      <c r="Z2565" s="277"/>
      <c r="AA2565" s="277"/>
      <c r="AB2565" s="277"/>
      <c r="AC2565" s="277"/>
      <c r="AD2565" s="277"/>
      <c r="AE2565" s="277"/>
      <c r="AF2565" s="277"/>
      <c r="AG2565" s="277"/>
      <c r="AH2565" s="277"/>
      <c r="AI2565" s="277"/>
    </row>
    <row r="2566" spans="16:35" s="185" customFormat="1">
      <c r="P2566" s="277"/>
      <c r="Q2566" s="277"/>
      <c r="R2566" s="277"/>
      <c r="S2566" s="291">
        <v>44112</v>
      </c>
      <c r="T2566" s="279">
        <v>2473</v>
      </c>
      <c r="U2566" s="277"/>
      <c r="V2566" s="277"/>
      <c r="W2566" s="277"/>
      <c r="X2566" s="277"/>
      <c r="Y2566" s="277"/>
      <c r="Z2566" s="277"/>
      <c r="AA2566" s="277"/>
      <c r="AB2566" s="277"/>
      <c r="AC2566" s="277"/>
      <c r="AD2566" s="277"/>
      <c r="AE2566" s="277"/>
      <c r="AF2566" s="277"/>
      <c r="AG2566" s="277"/>
      <c r="AH2566" s="277"/>
      <c r="AI2566" s="277"/>
    </row>
    <row r="2567" spans="16:35" s="185" customFormat="1">
      <c r="P2567" s="277"/>
      <c r="Q2567" s="277"/>
      <c r="R2567" s="277"/>
      <c r="S2567" s="291">
        <v>44113</v>
      </c>
      <c r="T2567" s="279">
        <v>2474</v>
      </c>
      <c r="U2567" s="277"/>
      <c r="V2567" s="277"/>
      <c r="W2567" s="277"/>
      <c r="X2567" s="277"/>
      <c r="Y2567" s="277"/>
      <c r="Z2567" s="277"/>
      <c r="AA2567" s="277"/>
      <c r="AB2567" s="277"/>
      <c r="AC2567" s="277"/>
      <c r="AD2567" s="277"/>
      <c r="AE2567" s="277"/>
      <c r="AF2567" s="277"/>
      <c r="AG2567" s="277"/>
      <c r="AH2567" s="277"/>
      <c r="AI2567" s="277"/>
    </row>
    <row r="2568" spans="16:35" s="185" customFormat="1">
      <c r="P2568" s="277"/>
      <c r="Q2568" s="277"/>
      <c r="R2568" s="277"/>
      <c r="S2568" s="291">
        <v>44114</v>
      </c>
      <c r="T2568" s="279">
        <v>2475</v>
      </c>
      <c r="U2568" s="277"/>
      <c r="V2568" s="277"/>
      <c r="W2568" s="277"/>
      <c r="X2568" s="277"/>
      <c r="Y2568" s="277"/>
      <c r="Z2568" s="277"/>
      <c r="AA2568" s="277"/>
      <c r="AB2568" s="277"/>
      <c r="AC2568" s="277"/>
      <c r="AD2568" s="277"/>
      <c r="AE2568" s="277"/>
      <c r="AF2568" s="277"/>
      <c r="AG2568" s="277"/>
      <c r="AH2568" s="277"/>
      <c r="AI2568" s="277"/>
    </row>
    <row r="2569" spans="16:35" s="185" customFormat="1">
      <c r="P2569" s="277"/>
      <c r="Q2569" s="277"/>
      <c r="R2569" s="277"/>
      <c r="S2569" s="291">
        <v>44115</v>
      </c>
      <c r="T2569" s="279">
        <v>2476</v>
      </c>
      <c r="U2569" s="277"/>
      <c r="V2569" s="277"/>
      <c r="W2569" s="277"/>
      <c r="X2569" s="277"/>
      <c r="Y2569" s="277"/>
      <c r="Z2569" s="277"/>
      <c r="AA2569" s="277"/>
      <c r="AB2569" s="277"/>
      <c r="AC2569" s="277"/>
      <c r="AD2569" s="277"/>
      <c r="AE2569" s="277"/>
      <c r="AF2569" s="277"/>
      <c r="AG2569" s="277"/>
      <c r="AH2569" s="277"/>
      <c r="AI2569" s="277"/>
    </row>
    <row r="2570" spans="16:35" s="185" customFormat="1">
      <c r="P2570" s="277"/>
      <c r="Q2570" s="277"/>
      <c r="R2570" s="277"/>
      <c r="S2570" s="291">
        <v>44116</v>
      </c>
      <c r="T2570" s="279">
        <v>2477</v>
      </c>
      <c r="U2570" s="277"/>
      <c r="V2570" s="277"/>
      <c r="W2570" s="277"/>
      <c r="X2570" s="277"/>
      <c r="Y2570" s="277"/>
      <c r="Z2570" s="277"/>
      <c r="AA2570" s="277"/>
      <c r="AB2570" s="277"/>
      <c r="AC2570" s="277"/>
      <c r="AD2570" s="277"/>
      <c r="AE2570" s="277"/>
      <c r="AF2570" s="277"/>
      <c r="AG2570" s="277"/>
      <c r="AH2570" s="277"/>
      <c r="AI2570" s="277"/>
    </row>
    <row r="2571" spans="16:35" s="185" customFormat="1">
      <c r="P2571" s="277"/>
      <c r="Q2571" s="277"/>
      <c r="R2571" s="277"/>
      <c r="S2571" s="291">
        <v>44117</v>
      </c>
      <c r="T2571" s="279">
        <v>2478</v>
      </c>
      <c r="U2571" s="277"/>
      <c r="V2571" s="277"/>
      <c r="W2571" s="277"/>
      <c r="X2571" s="277"/>
      <c r="Y2571" s="277"/>
      <c r="Z2571" s="277"/>
      <c r="AA2571" s="277"/>
      <c r="AB2571" s="277"/>
      <c r="AC2571" s="277"/>
      <c r="AD2571" s="277"/>
      <c r="AE2571" s="277"/>
      <c r="AF2571" s="277"/>
      <c r="AG2571" s="277"/>
      <c r="AH2571" s="277"/>
      <c r="AI2571" s="277"/>
    </row>
    <row r="2572" spans="16:35" s="185" customFormat="1">
      <c r="P2572" s="277"/>
      <c r="Q2572" s="277"/>
      <c r="R2572" s="277"/>
      <c r="S2572" s="291">
        <v>44118</v>
      </c>
      <c r="T2572" s="279">
        <v>2479</v>
      </c>
      <c r="U2572" s="277"/>
      <c r="V2572" s="277"/>
      <c r="W2572" s="277"/>
      <c r="X2572" s="277"/>
      <c r="Y2572" s="277"/>
      <c r="Z2572" s="277"/>
      <c r="AA2572" s="277"/>
      <c r="AB2572" s="277"/>
      <c r="AC2572" s="277"/>
      <c r="AD2572" s="277"/>
      <c r="AE2572" s="277"/>
      <c r="AF2572" s="277"/>
      <c r="AG2572" s="277"/>
      <c r="AH2572" s="277"/>
      <c r="AI2572" s="277"/>
    </row>
    <row r="2573" spans="16:35" s="185" customFormat="1">
      <c r="P2573" s="277"/>
      <c r="Q2573" s="277"/>
      <c r="R2573" s="277"/>
      <c r="S2573" s="291">
        <v>44119</v>
      </c>
      <c r="T2573" s="279">
        <v>2480</v>
      </c>
      <c r="U2573" s="277"/>
      <c r="V2573" s="277"/>
      <c r="W2573" s="277"/>
      <c r="X2573" s="277"/>
      <c r="Y2573" s="277"/>
      <c r="Z2573" s="277"/>
      <c r="AA2573" s="277"/>
      <c r="AB2573" s="277"/>
      <c r="AC2573" s="277"/>
      <c r="AD2573" s="277"/>
      <c r="AE2573" s="277"/>
      <c r="AF2573" s="277"/>
      <c r="AG2573" s="277"/>
      <c r="AH2573" s="277"/>
      <c r="AI2573" s="277"/>
    </row>
    <row r="2574" spans="16:35" s="185" customFormat="1">
      <c r="P2574" s="277"/>
      <c r="Q2574" s="277"/>
      <c r="R2574" s="277"/>
      <c r="S2574" s="291">
        <v>44120</v>
      </c>
      <c r="T2574" s="279">
        <v>2481</v>
      </c>
      <c r="U2574" s="277"/>
      <c r="V2574" s="277"/>
      <c r="W2574" s="277"/>
      <c r="X2574" s="277"/>
      <c r="Y2574" s="277"/>
      <c r="Z2574" s="277"/>
      <c r="AA2574" s="277"/>
      <c r="AB2574" s="277"/>
      <c r="AC2574" s="277"/>
      <c r="AD2574" s="277"/>
      <c r="AE2574" s="277"/>
      <c r="AF2574" s="277"/>
      <c r="AG2574" s="277"/>
      <c r="AH2574" s="277"/>
      <c r="AI2574" s="277"/>
    </row>
    <row r="2575" spans="16:35" s="185" customFormat="1">
      <c r="P2575" s="277"/>
      <c r="Q2575" s="277"/>
      <c r="R2575" s="277"/>
      <c r="S2575" s="291">
        <v>44121</v>
      </c>
      <c r="T2575" s="279">
        <v>2482</v>
      </c>
      <c r="U2575" s="277"/>
      <c r="V2575" s="277"/>
      <c r="W2575" s="277"/>
      <c r="X2575" s="277"/>
      <c r="Y2575" s="277"/>
      <c r="Z2575" s="277"/>
      <c r="AA2575" s="277"/>
      <c r="AB2575" s="277"/>
      <c r="AC2575" s="277"/>
      <c r="AD2575" s="277"/>
      <c r="AE2575" s="277"/>
      <c r="AF2575" s="277"/>
      <c r="AG2575" s="277"/>
      <c r="AH2575" s="277"/>
      <c r="AI2575" s="277"/>
    </row>
    <row r="2576" spans="16:35" s="185" customFormat="1">
      <c r="P2576" s="277"/>
      <c r="Q2576" s="277"/>
      <c r="R2576" s="277"/>
      <c r="S2576" s="291">
        <v>44122</v>
      </c>
      <c r="T2576" s="279">
        <v>2483</v>
      </c>
      <c r="U2576" s="277"/>
      <c r="V2576" s="277"/>
      <c r="W2576" s="277"/>
      <c r="X2576" s="277"/>
      <c r="Y2576" s="277"/>
      <c r="Z2576" s="277"/>
      <c r="AA2576" s="277"/>
      <c r="AB2576" s="277"/>
      <c r="AC2576" s="277"/>
      <c r="AD2576" s="277"/>
      <c r="AE2576" s="277"/>
      <c r="AF2576" s="277"/>
      <c r="AG2576" s="277"/>
      <c r="AH2576" s="277"/>
      <c r="AI2576" s="277"/>
    </row>
    <row r="2577" spans="16:35" s="185" customFormat="1">
      <c r="P2577" s="277"/>
      <c r="Q2577" s="277"/>
      <c r="R2577" s="277"/>
      <c r="S2577" s="291">
        <v>44123</v>
      </c>
      <c r="T2577" s="279">
        <v>2484</v>
      </c>
      <c r="U2577" s="277"/>
      <c r="V2577" s="277"/>
      <c r="W2577" s="277"/>
      <c r="X2577" s="277"/>
      <c r="Y2577" s="277"/>
      <c r="Z2577" s="277"/>
      <c r="AA2577" s="277"/>
      <c r="AB2577" s="277"/>
      <c r="AC2577" s="277"/>
      <c r="AD2577" s="277"/>
      <c r="AE2577" s="277"/>
      <c r="AF2577" s="277"/>
      <c r="AG2577" s="277"/>
      <c r="AH2577" s="277"/>
      <c r="AI2577" s="277"/>
    </row>
    <row r="2578" spans="16:35" s="185" customFormat="1">
      <c r="P2578" s="277"/>
      <c r="Q2578" s="277"/>
      <c r="R2578" s="277"/>
      <c r="S2578" s="291">
        <v>44124</v>
      </c>
      <c r="T2578" s="279">
        <v>2485</v>
      </c>
      <c r="U2578" s="277"/>
      <c r="V2578" s="277"/>
      <c r="W2578" s="277"/>
      <c r="X2578" s="277"/>
      <c r="Y2578" s="277"/>
      <c r="Z2578" s="277"/>
      <c r="AA2578" s="277"/>
      <c r="AB2578" s="277"/>
      <c r="AC2578" s="277"/>
      <c r="AD2578" s="277"/>
      <c r="AE2578" s="277"/>
      <c r="AF2578" s="277"/>
      <c r="AG2578" s="277"/>
      <c r="AH2578" s="277"/>
      <c r="AI2578" s="277"/>
    </row>
    <row r="2579" spans="16:35" s="185" customFormat="1">
      <c r="P2579" s="277"/>
      <c r="Q2579" s="277"/>
      <c r="R2579" s="277"/>
      <c r="S2579" s="291">
        <v>44125</v>
      </c>
      <c r="T2579" s="279">
        <v>2486</v>
      </c>
      <c r="U2579" s="277"/>
      <c r="V2579" s="277"/>
      <c r="W2579" s="277"/>
      <c r="X2579" s="277"/>
      <c r="Y2579" s="277"/>
      <c r="Z2579" s="277"/>
      <c r="AA2579" s="277"/>
      <c r="AB2579" s="277"/>
      <c r="AC2579" s="277"/>
      <c r="AD2579" s="277"/>
      <c r="AE2579" s="277"/>
      <c r="AF2579" s="277"/>
      <c r="AG2579" s="277"/>
      <c r="AH2579" s="277"/>
      <c r="AI2579" s="277"/>
    </row>
    <row r="2580" spans="16:35" s="185" customFormat="1">
      <c r="P2580" s="277"/>
      <c r="Q2580" s="277"/>
      <c r="R2580" s="277"/>
      <c r="S2580" s="291">
        <v>44126</v>
      </c>
      <c r="T2580" s="279">
        <v>2487</v>
      </c>
      <c r="U2580" s="277"/>
      <c r="V2580" s="277"/>
      <c r="W2580" s="277"/>
      <c r="X2580" s="277"/>
      <c r="Y2580" s="277"/>
      <c r="Z2580" s="277"/>
      <c r="AA2580" s="277"/>
      <c r="AB2580" s="277"/>
      <c r="AC2580" s="277"/>
      <c r="AD2580" s="277"/>
      <c r="AE2580" s="277"/>
      <c r="AF2580" s="277"/>
      <c r="AG2580" s="277"/>
      <c r="AH2580" s="277"/>
      <c r="AI2580" s="277"/>
    </row>
    <row r="2581" spans="16:35" s="185" customFormat="1">
      <c r="P2581" s="277"/>
      <c r="Q2581" s="277"/>
      <c r="R2581" s="277"/>
      <c r="S2581" s="291">
        <v>44127</v>
      </c>
      <c r="T2581" s="279">
        <v>2488</v>
      </c>
      <c r="U2581" s="277"/>
      <c r="V2581" s="277"/>
      <c r="W2581" s="277"/>
      <c r="X2581" s="277"/>
      <c r="Y2581" s="277"/>
      <c r="Z2581" s="277"/>
      <c r="AA2581" s="277"/>
      <c r="AB2581" s="277"/>
      <c r="AC2581" s="277"/>
      <c r="AD2581" s="277"/>
      <c r="AE2581" s="277"/>
      <c r="AF2581" s="277"/>
      <c r="AG2581" s="277"/>
      <c r="AH2581" s="277"/>
      <c r="AI2581" s="277"/>
    </row>
    <row r="2582" spans="16:35" s="185" customFormat="1">
      <c r="P2582" s="277"/>
      <c r="Q2582" s="277"/>
      <c r="R2582" s="277"/>
      <c r="S2582" s="291">
        <v>44128</v>
      </c>
      <c r="T2582" s="279">
        <v>2489</v>
      </c>
      <c r="U2582" s="277"/>
      <c r="V2582" s="277"/>
      <c r="W2582" s="277"/>
      <c r="X2582" s="277"/>
      <c r="Y2582" s="277"/>
      <c r="Z2582" s="277"/>
      <c r="AA2582" s="277"/>
      <c r="AB2582" s="277"/>
      <c r="AC2582" s="277"/>
      <c r="AD2582" s="277"/>
      <c r="AE2582" s="277"/>
      <c r="AF2582" s="277"/>
      <c r="AG2582" s="277"/>
      <c r="AH2582" s="277"/>
      <c r="AI2582" s="277"/>
    </row>
    <row r="2583" spans="16:35" s="185" customFormat="1">
      <c r="P2583" s="277"/>
      <c r="Q2583" s="277"/>
      <c r="R2583" s="277"/>
      <c r="S2583" s="291">
        <v>44129</v>
      </c>
      <c r="T2583" s="279">
        <v>2490</v>
      </c>
      <c r="U2583" s="277"/>
      <c r="V2583" s="277"/>
      <c r="W2583" s="277"/>
      <c r="X2583" s="277"/>
      <c r="Y2583" s="277"/>
      <c r="Z2583" s="277"/>
      <c r="AA2583" s="277"/>
      <c r="AB2583" s="277"/>
      <c r="AC2583" s="277"/>
      <c r="AD2583" s="277"/>
      <c r="AE2583" s="277"/>
      <c r="AF2583" s="277"/>
      <c r="AG2583" s="277"/>
      <c r="AH2583" s="277"/>
      <c r="AI2583" s="277"/>
    </row>
    <row r="2584" spans="16:35" s="185" customFormat="1">
      <c r="P2584" s="277"/>
      <c r="Q2584" s="277"/>
      <c r="R2584" s="277"/>
      <c r="S2584" s="291">
        <v>44130</v>
      </c>
      <c r="T2584" s="279">
        <v>2491</v>
      </c>
      <c r="U2584" s="277"/>
      <c r="V2584" s="277"/>
      <c r="W2584" s="277"/>
      <c r="X2584" s="277"/>
      <c r="Y2584" s="277"/>
      <c r="Z2584" s="277"/>
      <c r="AA2584" s="277"/>
      <c r="AB2584" s="277"/>
      <c r="AC2584" s="277"/>
      <c r="AD2584" s="277"/>
      <c r="AE2584" s="277"/>
      <c r="AF2584" s="277"/>
      <c r="AG2584" s="277"/>
      <c r="AH2584" s="277"/>
      <c r="AI2584" s="277"/>
    </row>
    <row r="2585" spans="16:35" s="185" customFormat="1">
      <c r="P2585" s="277"/>
      <c r="Q2585" s="277"/>
      <c r="R2585" s="277"/>
      <c r="S2585" s="291">
        <v>44131</v>
      </c>
      <c r="T2585" s="279">
        <v>2492</v>
      </c>
      <c r="U2585" s="277"/>
      <c r="V2585" s="277"/>
      <c r="W2585" s="277"/>
      <c r="X2585" s="277"/>
      <c r="Y2585" s="277"/>
      <c r="Z2585" s="277"/>
      <c r="AA2585" s="277"/>
      <c r="AB2585" s="277"/>
      <c r="AC2585" s="277"/>
      <c r="AD2585" s="277"/>
      <c r="AE2585" s="277"/>
      <c r="AF2585" s="277"/>
      <c r="AG2585" s="277"/>
      <c r="AH2585" s="277"/>
      <c r="AI2585" s="277"/>
    </row>
    <row r="2586" spans="16:35" s="185" customFormat="1">
      <c r="P2586" s="277"/>
      <c r="Q2586" s="277"/>
      <c r="R2586" s="277"/>
      <c r="S2586" s="291">
        <v>44132</v>
      </c>
      <c r="T2586" s="279">
        <v>2493</v>
      </c>
      <c r="U2586" s="277"/>
      <c r="V2586" s="277"/>
      <c r="W2586" s="277"/>
      <c r="X2586" s="277"/>
      <c r="Y2586" s="277"/>
      <c r="Z2586" s="277"/>
      <c r="AA2586" s="277"/>
      <c r="AB2586" s="277"/>
      <c r="AC2586" s="277"/>
      <c r="AD2586" s="277"/>
      <c r="AE2586" s="277"/>
      <c r="AF2586" s="277"/>
      <c r="AG2586" s="277"/>
      <c r="AH2586" s="277"/>
      <c r="AI2586" s="277"/>
    </row>
    <row r="2587" spans="16:35" s="185" customFormat="1">
      <c r="P2587" s="277"/>
      <c r="Q2587" s="277"/>
      <c r="R2587" s="277"/>
      <c r="S2587" s="291">
        <v>44133</v>
      </c>
      <c r="T2587" s="279">
        <v>2494</v>
      </c>
      <c r="U2587" s="277"/>
      <c r="V2587" s="277"/>
      <c r="W2587" s="277"/>
      <c r="X2587" s="277"/>
      <c r="Y2587" s="277"/>
      <c r="Z2587" s="277"/>
      <c r="AA2587" s="277"/>
      <c r="AB2587" s="277"/>
      <c r="AC2587" s="277"/>
      <c r="AD2587" s="277"/>
      <c r="AE2587" s="277"/>
      <c r="AF2587" s="277"/>
      <c r="AG2587" s="277"/>
      <c r="AH2587" s="277"/>
      <c r="AI2587" s="277"/>
    </row>
    <row r="2588" spans="16:35" s="185" customFormat="1">
      <c r="P2588" s="277"/>
      <c r="Q2588" s="277"/>
      <c r="R2588" s="277"/>
      <c r="S2588" s="291">
        <v>44134</v>
      </c>
      <c r="T2588" s="279">
        <v>2495</v>
      </c>
      <c r="U2588" s="277"/>
      <c r="V2588" s="277"/>
      <c r="W2588" s="277"/>
      <c r="X2588" s="277"/>
      <c r="Y2588" s="277"/>
      <c r="Z2588" s="277"/>
      <c r="AA2588" s="277"/>
      <c r="AB2588" s="277"/>
      <c r="AC2588" s="277"/>
      <c r="AD2588" s="277"/>
      <c r="AE2588" s="277"/>
      <c r="AF2588" s="277"/>
      <c r="AG2588" s="277"/>
      <c r="AH2588" s="277"/>
      <c r="AI2588" s="277"/>
    </row>
    <row r="2589" spans="16:35" s="185" customFormat="1">
      <c r="P2589" s="277"/>
      <c r="Q2589" s="277"/>
      <c r="R2589" s="277"/>
      <c r="S2589" s="291">
        <v>44135</v>
      </c>
      <c r="T2589" s="279">
        <v>2496</v>
      </c>
      <c r="U2589" s="277"/>
      <c r="V2589" s="277"/>
      <c r="W2589" s="277"/>
      <c r="X2589" s="277"/>
      <c r="Y2589" s="277"/>
      <c r="Z2589" s="277"/>
      <c r="AA2589" s="277"/>
      <c r="AB2589" s="277"/>
      <c r="AC2589" s="277"/>
      <c r="AD2589" s="277"/>
      <c r="AE2589" s="277"/>
      <c r="AF2589" s="277"/>
      <c r="AG2589" s="277"/>
      <c r="AH2589" s="277"/>
      <c r="AI2589" s="277"/>
    </row>
    <row r="2590" spans="16:35" s="185" customFormat="1">
      <c r="P2590" s="277"/>
      <c r="Q2590" s="277"/>
      <c r="R2590" s="277"/>
      <c r="S2590" s="291">
        <v>44136</v>
      </c>
      <c r="T2590" s="279">
        <v>2497</v>
      </c>
      <c r="U2590" s="277"/>
      <c r="V2590" s="277"/>
      <c r="W2590" s="277"/>
      <c r="X2590" s="277"/>
      <c r="Y2590" s="277"/>
      <c r="Z2590" s="277"/>
      <c r="AA2590" s="277"/>
      <c r="AB2590" s="277"/>
      <c r="AC2590" s="277"/>
      <c r="AD2590" s="277"/>
      <c r="AE2590" s="277"/>
      <c r="AF2590" s="277"/>
      <c r="AG2590" s="277"/>
      <c r="AH2590" s="277"/>
      <c r="AI2590" s="277"/>
    </row>
    <row r="2591" spans="16:35" s="185" customFormat="1">
      <c r="P2591" s="277"/>
      <c r="Q2591" s="277"/>
      <c r="R2591" s="277"/>
      <c r="S2591" s="291">
        <v>44137</v>
      </c>
      <c r="T2591" s="279">
        <v>2498</v>
      </c>
      <c r="U2591" s="277"/>
      <c r="V2591" s="277"/>
      <c r="W2591" s="277"/>
      <c r="X2591" s="277"/>
      <c r="Y2591" s="277"/>
      <c r="Z2591" s="277"/>
      <c r="AA2591" s="277"/>
      <c r="AB2591" s="277"/>
      <c r="AC2591" s="277"/>
      <c r="AD2591" s="277"/>
      <c r="AE2591" s="277"/>
      <c r="AF2591" s="277"/>
      <c r="AG2591" s="277"/>
      <c r="AH2591" s="277"/>
      <c r="AI2591" s="277"/>
    </row>
    <row r="2592" spans="16:35" s="185" customFormat="1">
      <c r="P2592" s="277"/>
      <c r="Q2592" s="277"/>
      <c r="R2592" s="277"/>
      <c r="S2592" s="291">
        <v>44138</v>
      </c>
      <c r="T2592" s="279">
        <v>2499</v>
      </c>
      <c r="U2592" s="277"/>
      <c r="V2592" s="277"/>
      <c r="W2592" s="277"/>
      <c r="X2592" s="277"/>
      <c r="Y2592" s="277"/>
      <c r="Z2592" s="277"/>
      <c r="AA2592" s="277"/>
      <c r="AB2592" s="277"/>
      <c r="AC2592" s="277"/>
      <c r="AD2592" s="277"/>
      <c r="AE2592" s="277"/>
      <c r="AF2592" s="277"/>
      <c r="AG2592" s="277"/>
      <c r="AH2592" s="277"/>
      <c r="AI2592" s="277"/>
    </row>
    <row r="2593" spans="16:35" s="185" customFormat="1">
      <c r="P2593" s="277"/>
      <c r="Q2593" s="277"/>
      <c r="R2593" s="277"/>
      <c r="S2593" s="291">
        <v>44139</v>
      </c>
      <c r="T2593" s="279">
        <v>2500</v>
      </c>
      <c r="U2593" s="277"/>
      <c r="V2593" s="277"/>
      <c r="W2593" s="277"/>
      <c r="X2593" s="277"/>
      <c r="Y2593" s="277"/>
      <c r="Z2593" s="277"/>
      <c r="AA2593" s="277"/>
      <c r="AB2593" s="277"/>
      <c r="AC2593" s="277"/>
      <c r="AD2593" s="277"/>
      <c r="AE2593" s="277"/>
      <c r="AF2593" s="277"/>
      <c r="AG2593" s="277"/>
      <c r="AH2593" s="277"/>
      <c r="AI2593" s="277"/>
    </row>
    <row r="2594" spans="16:35" s="185" customFormat="1">
      <c r="P2594" s="277"/>
      <c r="Q2594" s="277"/>
      <c r="R2594" s="277"/>
      <c r="S2594" s="291">
        <v>44140</v>
      </c>
      <c r="T2594" s="279">
        <v>2501</v>
      </c>
      <c r="U2594" s="277"/>
      <c r="V2594" s="277"/>
      <c r="W2594" s="277"/>
      <c r="X2594" s="277"/>
      <c r="Y2594" s="277"/>
      <c r="Z2594" s="277"/>
      <c r="AA2594" s="277"/>
      <c r="AB2594" s="277"/>
      <c r="AC2594" s="277"/>
      <c r="AD2594" s="277"/>
      <c r="AE2594" s="277"/>
      <c r="AF2594" s="277"/>
      <c r="AG2594" s="277"/>
      <c r="AH2594" s="277"/>
      <c r="AI2594" s="277"/>
    </row>
    <row r="2595" spans="16:35" s="185" customFormat="1">
      <c r="P2595" s="277"/>
      <c r="Q2595" s="277"/>
      <c r="R2595" s="277"/>
      <c r="S2595" s="291">
        <v>44141</v>
      </c>
      <c r="T2595" s="279">
        <v>2502</v>
      </c>
      <c r="U2595" s="277"/>
      <c r="V2595" s="277"/>
      <c r="W2595" s="277"/>
      <c r="X2595" s="277"/>
      <c r="Y2595" s="277"/>
      <c r="Z2595" s="277"/>
      <c r="AA2595" s="277"/>
      <c r="AB2595" s="277"/>
      <c r="AC2595" s="277"/>
      <c r="AD2595" s="277"/>
      <c r="AE2595" s="277"/>
      <c r="AF2595" s="277"/>
      <c r="AG2595" s="277"/>
      <c r="AH2595" s="277"/>
      <c r="AI2595" s="277"/>
    </row>
    <row r="2596" spans="16:35" s="185" customFormat="1">
      <c r="P2596" s="277"/>
      <c r="Q2596" s="277"/>
      <c r="R2596" s="277"/>
      <c r="S2596" s="291">
        <v>44142</v>
      </c>
      <c r="T2596" s="279">
        <v>2503</v>
      </c>
      <c r="U2596" s="277"/>
      <c r="V2596" s="277"/>
      <c r="W2596" s="277"/>
      <c r="X2596" s="277"/>
      <c r="Y2596" s="277"/>
      <c r="Z2596" s="277"/>
      <c r="AA2596" s="277"/>
      <c r="AB2596" s="277"/>
      <c r="AC2596" s="277"/>
      <c r="AD2596" s="277"/>
      <c r="AE2596" s="277"/>
      <c r="AF2596" s="277"/>
      <c r="AG2596" s="277"/>
      <c r="AH2596" s="277"/>
      <c r="AI2596" s="277"/>
    </row>
    <row r="2597" spans="16:35" s="185" customFormat="1">
      <c r="P2597" s="277"/>
      <c r="Q2597" s="277"/>
      <c r="R2597" s="277"/>
      <c r="S2597" s="291">
        <v>44143</v>
      </c>
      <c r="T2597" s="279">
        <v>2504</v>
      </c>
      <c r="U2597" s="277"/>
      <c r="V2597" s="277"/>
      <c r="W2597" s="277"/>
      <c r="X2597" s="277"/>
      <c r="Y2597" s="277"/>
      <c r="Z2597" s="277"/>
      <c r="AA2597" s="277"/>
      <c r="AB2597" s="277"/>
      <c r="AC2597" s="277"/>
      <c r="AD2597" s="277"/>
      <c r="AE2597" s="277"/>
      <c r="AF2597" s="277"/>
      <c r="AG2597" s="277"/>
      <c r="AH2597" s="277"/>
      <c r="AI2597" s="277"/>
    </row>
    <row r="2598" spans="16:35" s="185" customFormat="1">
      <c r="P2598" s="277"/>
      <c r="Q2598" s="277"/>
      <c r="R2598" s="277"/>
      <c r="S2598" s="291">
        <v>44144</v>
      </c>
      <c r="T2598" s="279">
        <v>2505</v>
      </c>
      <c r="U2598" s="277"/>
      <c r="V2598" s="277"/>
      <c r="W2598" s="277"/>
      <c r="X2598" s="277"/>
      <c r="Y2598" s="277"/>
      <c r="Z2598" s="277"/>
      <c r="AA2598" s="277"/>
      <c r="AB2598" s="277"/>
      <c r="AC2598" s="277"/>
      <c r="AD2598" s="277"/>
      <c r="AE2598" s="277"/>
      <c r="AF2598" s="277"/>
      <c r="AG2598" s="277"/>
      <c r="AH2598" s="277"/>
      <c r="AI2598" s="277"/>
    </row>
    <row r="2599" spans="16:35" s="185" customFormat="1">
      <c r="P2599" s="277"/>
      <c r="Q2599" s="277"/>
      <c r="R2599" s="277"/>
      <c r="S2599" s="291">
        <v>44145</v>
      </c>
      <c r="T2599" s="279">
        <v>2506</v>
      </c>
      <c r="U2599" s="277"/>
      <c r="V2599" s="277"/>
      <c r="W2599" s="277"/>
      <c r="X2599" s="277"/>
      <c r="Y2599" s="277"/>
      <c r="Z2599" s="277"/>
      <c r="AA2599" s="277"/>
      <c r="AB2599" s="277"/>
      <c r="AC2599" s="277"/>
      <c r="AD2599" s="277"/>
      <c r="AE2599" s="277"/>
      <c r="AF2599" s="277"/>
      <c r="AG2599" s="277"/>
      <c r="AH2599" s="277"/>
      <c r="AI2599" s="277"/>
    </row>
    <row r="2600" spans="16:35" s="185" customFormat="1">
      <c r="P2600" s="277"/>
      <c r="Q2600" s="277"/>
      <c r="R2600" s="277"/>
      <c r="S2600" s="291">
        <v>44146</v>
      </c>
      <c r="T2600" s="279">
        <v>2507</v>
      </c>
      <c r="U2600" s="277"/>
      <c r="V2600" s="277"/>
      <c r="W2600" s="277"/>
      <c r="X2600" s="277"/>
      <c r="Y2600" s="277"/>
      <c r="Z2600" s="277"/>
      <c r="AA2600" s="277"/>
      <c r="AB2600" s="277"/>
      <c r="AC2600" s="277"/>
      <c r="AD2600" s="277"/>
      <c r="AE2600" s="277"/>
      <c r="AF2600" s="277"/>
      <c r="AG2600" s="277"/>
      <c r="AH2600" s="277"/>
      <c r="AI2600" s="277"/>
    </row>
    <row r="2601" spans="16:35" s="185" customFormat="1">
      <c r="P2601" s="277"/>
      <c r="Q2601" s="277"/>
      <c r="R2601" s="277"/>
      <c r="S2601" s="291">
        <v>44147</v>
      </c>
      <c r="T2601" s="279">
        <v>2508</v>
      </c>
      <c r="U2601" s="277"/>
      <c r="V2601" s="277"/>
      <c r="W2601" s="277"/>
      <c r="X2601" s="277"/>
      <c r="Y2601" s="277"/>
      <c r="Z2601" s="277"/>
      <c r="AA2601" s="277"/>
      <c r="AB2601" s="277"/>
      <c r="AC2601" s="277"/>
      <c r="AD2601" s="277"/>
      <c r="AE2601" s="277"/>
      <c r="AF2601" s="277"/>
      <c r="AG2601" s="277"/>
      <c r="AH2601" s="277"/>
      <c r="AI2601" s="277"/>
    </row>
    <row r="2602" spans="16:35" s="185" customFormat="1">
      <c r="P2602" s="277"/>
      <c r="Q2602" s="277"/>
      <c r="R2602" s="277"/>
      <c r="S2602" s="291">
        <v>44148</v>
      </c>
      <c r="T2602" s="279">
        <v>2509</v>
      </c>
      <c r="U2602" s="277"/>
      <c r="V2602" s="277"/>
      <c r="W2602" s="277"/>
      <c r="X2602" s="277"/>
      <c r="Y2602" s="277"/>
      <c r="Z2602" s="277"/>
      <c r="AA2602" s="277"/>
      <c r="AB2602" s="277"/>
      <c r="AC2602" s="277"/>
      <c r="AD2602" s="277"/>
      <c r="AE2602" s="277"/>
      <c r="AF2602" s="277"/>
      <c r="AG2602" s="277"/>
      <c r="AH2602" s="277"/>
      <c r="AI2602" s="277"/>
    </row>
    <row r="2603" spans="16:35" s="185" customFormat="1">
      <c r="P2603" s="277"/>
      <c r="Q2603" s="277"/>
      <c r="R2603" s="277"/>
      <c r="S2603" s="291">
        <v>44149</v>
      </c>
      <c r="T2603" s="279">
        <v>2510</v>
      </c>
      <c r="U2603" s="277"/>
      <c r="V2603" s="277"/>
      <c r="W2603" s="277"/>
      <c r="X2603" s="277"/>
      <c r="Y2603" s="277"/>
      <c r="Z2603" s="277"/>
      <c r="AA2603" s="277"/>
      <c r="AB2603" s="277"/>
      <c r="AC2603" s="277"/>
      <c r="AD2603" s="277"/>
      <c r="AE2603" s="277"/>
      <c r="AF2603" s="277"/>
      <c r="AG2603" s="277"/>
      <c r="AH2603" s="277"/>
      <c r="AI2603" s="277"/>
    </row>
    <row r="2604" spans="16:35" s="185" customFormat="1">
      <c r="P2604" s="277"/>
      <c r="Q2604" s="277"/>
      <c r="R2604" s="277"/>
      <c r="S2604" s="291">
        <v>44150</v>
      </c>
      <c r="T2604" s="279">
        <v>2511</v>
      </c>
      <c r="U2604" s="277"/>
      <c r="V2604" s="277"/>
      <c r="W2604" s="277"/>
      <c r="X2604" s="277"/>
      <c r="Y2604" s="277"/>
      <c r="Z2604" s="277"/>
      <c r="AA2604" s="277"/>
      <c r="AB2604" s="277"/>
      <c r="AC2604" s="277"/>
      <c r="AD2604" s="277"/>
      <c r="AE2604" s="277"/>
      <c r="AF2604" s="277"/>
      <c r="AG2604" s="277"/>
      <c r="AH2604" s="277"/>
      <c r="AI2604" s="277"/>
    </row>
    <row r="2605" spans="16:35" s="185" customFormat="1">
      <c r="P2605" s="277"/>
      <c r="Q2605" s="277"/>
      <c r="R2605" s="277"/>
      <c r="S2605" s="291">
        <v>44151</v>
      </c>
      <c r="T2605" s="279">
        <v>2512</v>
      </c>
      <c r="U2605" s="277"/>
      <c r="V2605" s="277"/>
      <c r="W2605" s="277"/>
      <c r="X2605" s="277"/>
      <c r="Y2605" s="277"/>
      <c r="Z2605" s="277"/>
      <c r="AA2605" s="277"/>
      <c r="AB2605" s="277"/>
      <c r="AC2605" s="277"/>
      <c r="AD2605" s="277"/>
      <c r="AE2605" s="277"/>
      <c r="AF2605" s="277"/>
      <c r="AG2605" s="277"/>
      <c r="AH2605" s="277"/>
      <c r="AI2605" s="277"/>
    </row>
    <row r="2606" spans="16:35" s="185" customFormat="1">
      <c r="P2606" s="277"/>
      <c r="Q2606" s="277"/>
      <c r="R2606" s="277"/>
      <c r="S2606" s="291">
        <v>44152</v>
      </c>
      <c r="T2606" s="279">
        <v>2513</v>
      </c>
      <c r="U2606" s="277"/>
      <c r="V2606" s="277"/>
      <c r="W2606" s="277"/>
      <c r="X2606" s="277"/>
      <c r="Y2606" s="277"/>
      <c r="Z2606" s="277"/>
      <c r="AA2606" s="277"/>
      <c r="AB2606" s="277"/>
      <c r="AC2606" s="277"/>
      <c r="AD2606" s="277"/>
      <c r="AE2606" s="277"/>
      <c r="AF2606" s="277"/>
      <c r="AG2606" s="277"/>
      <c r="AH2606" s="277"/>
      <c r="AI2606" s="277"/>
    </row>
    <row r="2607" spans="16:35" s="185" customFormat="1">
      <c r="P2607" s="277"/>
      <c r="Q2607" s="277"/>
      <c r="R2607" s="277"/>
      <c r="S2607" s="291">
        <v>44153</v>
      </c>
      <c r="T2607" s="279">
        <v>2514</v>
      </c>
      <c r="U2607" s="277"/>
      <c r="V2607" s="277"/>
      <c r="W2607" s="277"/>
      <c r="X2607" s="277"/>
      <c r="Y2607" s="277"/>
      <c r="Z2607" s="277"/>
      <c r="AA2607" s="277"/>
      <c r="AB2607" s="277"/>
      <c r="AC2607" s="277"/>
      <c r="AD2607" s="277"/>
      <c r="AE2607" s="277"/>
      <c r="AF2607" s="277"/>
      <c r="AG2607" s="277"/>
      <c r="AH2607" s="277"/>
      <c r="AI2607" s="277"/>
    </row>
    <row r="2608" spans="16:35" s="185" customFormat="1">
      <c r="P2608" s="277"/>
      <c r="Q2608" s="277"/>
      <c r="R2608" s="277"/>
      <c r="S2608" s="291">
        <v>44154</v>
      </c>
      <c r="T2608" s="279">
        <v>2515</v>
      </c>
      <c r="U2608" s="277"/>
      <c r="V2608" s="277"/>
      <c r="W2608" s="277"/>
      <c r="X2608" s="277"/>
      <c r="Y2608" s="277"/>
      <c r="Z2608" s="277"/>
      <c r="AA2608" s="277"/>
      <c r="AB2608" s="277"/>
      <c r="AC2608" s="277"/>
      <c r="AD2608" s="277"/>
      <c r="AE2608" s="277"/>
      <c r="AF2608" s="277"/>
      <c r="AG2608" s="277"/>
      <c r="AH2608" s="277"/>
      <c r="AI2608" s="277"/>
    </row>
    <row r="2609" spans="16:35" s="185" customFormat="1">
      <c r="P2609" s="277"/>
      <c r="Q2609" s="277"/>
      <c r="R2609" s="277"/>
      <c r="S2609" s="291">
        <v>44155</v>
      </c>
      <c r="T2609" s="279">
        <v>2516</v>
      </c>
      <c r="U2609" s="277"/>
      <c r="V2609" s="277"/>
      <c r="W2609" s="277"/>
      <c r="X2609" s="277"/>
      <c r="Y2609" s="277"/>
      <c r="Z2609" s="277"/>
      <c r="AA2609" s="277"/>
      <c r="AB2609" s="277"/>
      <c r="AC2609" s="277"/>
      <c r="AD2609" s="277"/>
      <c r="AE2609" s="277"/>
      <c r="AF2609" s="277"/>
      <c r="AG2609" s="277"/>
      <c r="AH2609" s="277"/>
      <c r="AI2609" s="277"/>
    </row>
    <row r="2610" spans="16:35" s="185" customFormat="1">
      <c r="P2610" s="277"/>
      <c r="Q2610" s="277"/>
      <c r="R2610" s="277"/>
      <c r="S2610" s="291">
        <v>44156</v>
      </c>
      <c r="T2610" s="279">
        <v>2517</v>
      </c>
      <c r="U2610" s="277"/>
      <c r="V2610" s="277"/>
      <c r="W2610" s="277"/>
      <c r="X2610" s="277"/>
      <c r="Y2610" s="277"/>
      <c r="Z2610" s="277"/>
      <c r="AA2610" s="277"/>
      <c r="AB2610" s="277"/>
      <c r="AC2610" s="277"/>
      <c r="AD2610" s="277"/>
      <c r="AE2610" s="277"/>
      <c r="AF2610" s="277"/>
      <c r="AG2610" s="277"/>
      <c r="AH2610" s="277"/>
      <c r="AI2610" s="277"/>
    </row>
    <row r="2611" spans="16:35" s="185" customFormat="1">
      <c r="P2611" s="277"/>
      <c r="Q2611" s="277"/>
      <c r="R2611" s="277"/>
      <c r="S2611" s="291">
        <v>44157</v>
      </c>
      <c r="T2611" s="279">
        <v>2518</v>
      </c>
      <c r="U2611" s="277"/>
      <c r="V2611" s="277"/>
      <c r="W2611" s="277"/>
      <c r="X2611" s="277"/>
      <c r="Y2611" s="277"/>
      <c r="Z2611" s="277"/>
      <c r="AA2611" s="277"/>
      <c r="AB2611" s="277"/>
      <c r="AC2611" s="277"/>
      <c r="AD2611" s="277"/>
      <c r="AE2611" s="277"/>
      <c r="AF2611" s="277"/>
      <c r="AG2611" s="277"/>
      <c r="AH2611" s="277"/>
      <c r="AI2611" s="277"/>
    </row>
    <row r="2612" spans="16:35" s="185" customFormat="1">
      <c r="P2612" s="277"/>
      <c r="Q2612" s="277"/>
      <c r="R2612" s="277"/>
      <c r="S2612" s="291">
        <v>44158</v>
      </c>
      <c r="T2612" s="279">
        <v>2519</v>
      </c>
      <c r="U2612" s="277"/>
      <c r="V2612" s="277"/>
      <c r="W2612" s="277"/>
      <c r="X2612" s="277"/>
      <c r="Y2612" s="277"/>
      <c r="Z2612" s="277"/>
      <c r="AA2612" s="277"/>
      <c r="AB2612" s="277"/>
      <c r="AC2612" s="277"/>
      <c r="AD2612" s="277"/>
      <c r="AE2612" s="277"/>
      <c r="AF2612" s="277"/>
      <c r="AG2612" s="277"/>
      <c r="AH2612" s="277"/>
      <c r="AI2612" s="277"/>
    </row>
    <row r="2613" spans="16:35" s="185" customFormat="1">
      <c r="P2613" s="277"/>
      <c r="Q2613" s="277"/>
      <c r="R2613" s="277"/>
      <c r="S2613" s="291">
        <v>44159</v>
      </c>
      <c r="T2613" s="279">
        <v>2520</v>
      </c>
      <c r="U2613" s="277"/>
      <c r="V2613" s="277"/>
      <c r="W2613" s="277"/>
      <c r="X2613" s="277"/>
      <c r="Y2613" s="277"/>
      <c r="Z2613" s="277"/>
      <c r="AA2613" s="277"/>
      <c r="AB2613" s="277"/>
      <c r="AC2613" s="277"/>
      <c r="AD2613" s="277"/>
      <c r="AE2613" s="277"/>
      <c r="AF2613" s="277"/>
      <c r="AG2613" s="277"/>
      <c r="AH2613" s="277"/>
      <c r="AI2613" s="277"/>
    </row>
    <row r="2614" spans="16:35" s="185" customFormat="1">
      <c r="P2614" s="277"/>
      <c r="Q2614" s="277"/>
      <c r="R2614" s="277"/>
      <c r="S2614" s="291">
        <v>44160</v>
      </c>
      <c r="T2614" s="279">
        <v>2521</v>
      </c>
      <c r="U2614" s="277"/>
      <c r="V2614" s="277"/>
      <c r="W2614" s="277"/>
      <c r="X2614" s="277"/>
      <c r="Y2614" s="277"/>
      <c r="Z2614" s="277"/>
      <c r="AA2614" s="277"/>
      <c r="AB2614" s="277"/>
      <c r="AC2614" s="277"/>
      <c r="AD2614" s="277"/>
      <c r="AE2614" s="277"/>
      <c r="AF2614" s="277"/>
      <c r="AG2614" s="277"/>
      <c r="AH2614" s="277"/>
      <c r="AI2614" s="277"/>
    </row>
    <row r="2615" spans="16:35" s="185" customFormat="1">
      <c r="P2615" s="277"/>
      <c r="Q2615" s="277"/>
      <c r="R2615" s="277"/>
      <c r="S2615" s="291">
        <v>44161</v>
      </c>
      <c r="T2615" s="279">
        <v>2522</v>
      </c>
      <c r="U2615" s="277"/>
      <c r="V2615" s="277"/>
      <c r="W2615" s="277"/>
      <c r="X2615" s="277"/>
      <c r="Y2615" s="277"/>
      <c r="Z2615" s="277"/>
      <c r="AA2615" s="277"/>
      <c r="AB2615" s="277"/>
      <c r="AC2615" s="277"/>
      <c r="AD2615" s="277"/>
      <c r="AE2615" s="277"/>
      <c r="AF2615" s="277"/>
      <c r="AG2615" s="277"/>
      <c r="AH2615" s="277"/>
      <c r="AI2615" s="277"/>
    </row>
    <row r="2616" spans="16:35" s="185" customFormat="1">
      <c r="P2616" s="277"/>
      <c r="Q2616" s="277"/>
      <c r="R2616" s="277"/>
      <c r="S2616" s="291">
        <v>44162</v>
      </c>
      <c r="T2616" s="279">
        <v>2523</v>
      </c>
      <c r="U2616" s="277"/>
      <c r="V2616" s="277"/>
      <c r="W2616" s="277"/>
      <c r="X2616" s="277"/>
      <c r="Y2616" s="277"/>
      <c r="Z2616" s="277"/>
      <c r="AA2616" s="277"/>
      <c r="AB2616" s="277"/>
      <c r="AC2616" s="277"/>
      <c r="AD2616" s="277"/>
      <c r="AE2616" s="277"/>
      <c r="AF2616" s="277"/>
      <c r="AG2616" s="277"/>
      <c r="AH2616" s="277"/>
      <c r="AI2616" s="277"/>
    </row>
    <row r="2617" spans="16:35" s="185" customFormat="1">
      <c r="P2617" s="277"/>
      <c r="Q2617" s="277"/>
      <c r="R2617" s="277"/>
      <c r="S2617" s="291">
        <v>44163</v>
      </c>
      <c r="T2617" s="279">
        <v>2524</v>
      </c>
      <c r="U2617" s="277"/>
      <c r="V2617" s="277"/>
      <c r="W2617" s="277"/>
      <c r="X2617" s="277"/>
      <c r="Y2617" s="277"/>
      <c r="Z2617" s="277"/>
      <c r="AA2617" s="277"/>
      <c r="AB2617" s="277"/>
      <c r="AC2617" s="277"/>
      <c r="AD2617" s="277"/>
      <c r="AE2617" s="277"/>
      <c r="AF2617" s="277"/>
      <c r="AG2617" s="277"/>
      <c r="AH2617" s="277"/>
      <c r="AI2617" s="277"/>
    </row>
    <row r="2618" spans="16:35" s="185" customFormat="1">
      <c r="P2618" s="277"/>
      <c r="Q2618" s="277"/>
      <c r="R2618" s="277"/>
      <c r="S2618" s="291">
        <v>44164</v>
      </c>
      <c r="T2618" s="279">
        <v>2525</v>
      </c>
      <c r="U2618" s="277"/>
      <c r="V2618" s="277"/>
      <c r="W2618" s="277"/>
      <c r="X2618" s="277"/>
      <c r="Y2618" s="277"/>
      <c r="Z2618" s="277"/>
      <c r="AA2618" s="277"/>
      <c r="AB2618" s="277"/>
      <c r="AC2618" s="277"/>
      <c r="AD2618" s="277"/>
      <c r="AE2618" s="277"/>
      <c r="AF2618" s="277"/>
      <c r="AG2618" s="277"/>
      <c r="AH2618" s="277"/>
      <c r="AI2618" s="277"/>
    </row>
    <row r="2619" spans="16:35" s="185" customFormat="1">
      <c r="P2619" s="277"/>
      <c r="Q2619" s="277"/>
      <c r="R2619" s="277"/>
      <c r="S2619" s="291">
        <v>44165</v>
      </c>
      <c r="T2619" s="279">
        <v>2526</v>
      </c>
      <c r="U2619" s="277"/>
      <c r="V2619" s="277"/>
      <c r="W2619" s="277"/>
      <c r="X2619" s="277"/>
      <c r="Y2619" s="277"/>
      <c r="Z2619" s="277"/>
      <c r="AA2619" s="277"/>
      <c r="AB2619" s="277"/>
      <c r="AC2619" s="277"/>
      <c r="AD2619" s="277"/>
      <c r="AE2619" s="277"/>
      <c r="AF2619" s="277"/>
      <c r="AG2619" s="277"/>
      <c r="AH2619" s="277"/>
      <c r="AI2619" s="277"/>
    </row>
    <row r="2620" spans="16:35" s="185" customFormat="1">
      <c r="P2620" s="277"/>
      <c r="Q2620" s="277"/>
      <c r="R2620" s="277"/>
      <c r="S2620" s="291">
        <v>44166</v>
      </c>
      <c r="T2620" s="279">
        <v>2527</v>
      </c>
      <c r="U2620" s="277"/>
      <c r="V2620" s="277"/>
      <c r="W2620" s="277"/>
      <c r="X2620" s="277"/>
      <c r="Y2620" s="277"/>
      <c r="Z2620" s="277"/>
      <c r="AA2620" s="277"/>
      <c r="AB2620" s="277"/>
      <c r="AC2620" s="277"/>
      <c r="AD2620" s="277"/>
      <c r="AE2620" s="277"/>
      <c r="AF2620" s="277"/>
      <c r="AG2620" s="277"/>
      <c r="AH2620" s="277"/>
      <c r="AI2620" s="277"/>
    </row>
    <row r="2621" spans="16:35" s="185" customFormat="1">
      <c r="P2621" s="277"/>
      <c r="Q2621" s="277"/>
      <c r="R2621" s="277"/>
      <c r="S2621" s="291">
        <v>44167</v>
      </c>
      <c r="T2621" s="279">
        <v>2528</v>
      </c>
      <c r="U2621" s="277"/>
      <c r="V2621" s="277"/>
      <c r="W2621" s="277"/>
      <c r="X2621" s="277"/>
      <c r="Y2621" s="277"/>
      <c r="Z2621" s="277"/>
      <c r="AA2621" s="277"/>
      <c r="AB2621" s="277"/>
      <c r="AC2621" s="277"/>
      <c r="AD2621" s="277"/>
      <c r="AE2621" s="277"/>
      <c r="AF2621" s="277"/>
      <c r="AG2621" s="277"/>
      <c r="AH2621" s="277"/>
      <c r="AI2621" s="277"/>
    </row>
    <row r="2622" spans="16:35" s="185" customFormat="1">
      <c r="P2622" s="277"/>
      <c r="Q2622" s="277"/>
      <c r="R2622" s="277"/>
      <c r="S2622" s="291">
        <v>44168</v>
      </c>
      <c r="T2622" s="279">
        <v>2529</v>
      </c>
      <c r="U2622" s="277"/>
      <c r="V2622" s="277"/>
      <c r="W2622" s="277"/>
      <c r="X2622" s="277"/>
      <c r="Y2622" s="277"/>
      <c r="Z2622" s="277"/>
      <c r="AA2622" s="277"/>
      <c r="AB2622" s="277"/>
      <c r="AC2622" s="277"/>
      <c r="AD2622" s="277"/>
      <c r="AE2622" s="277"/>
      <c r="AF2622" s="277"/>
      <c r="AG2622" s="277"/>
      <c r="AH2622" s="277"/>
      <c r="AI2622" s="277"/>
    </row>
    <row r="2623" spans="16:35" s="185" customFormat="1">
      <c r="P2623" s="277"/>
      <c r="Q2623" s="277"/>
      <c r="R2623" s="277"/>
      <c r="S2623" s="291">
        <v>44169</v>
      </c>
      <c r="T2623" s="279">
        <v>2530</v>
      </c>
      <c r="U2623" s="277"/>
      <c r="V2623" s="277"/>
      <c r="W2623" s="277"/>
      <c r="X2623" s="277"/>
      <c r="Y2623" s="277"/>
      <c r="Z2623" s="277"/>
      <c r="AA2623" s="277"/>
      <c r="AB2623" s="277"/>
      <c r="AC2623" s="277"/>
      <c r="AD2623" s="277"/>
      <c r="AE2623" s="277"/>
      <c r="AF2623" s="277"/>
      <c r="AG2623" s="277"/>
      <c r="AH2623" s="277"/>
      <c r="AI2623" s="277"/>
    </row>
    <row r="2624" spans="16:35" s="185" customFormat="1">
      <c r="P2624" s="277"/>
      <c r="Q2624" s="277"/>
      <c r="R2624" s="277"/>
      <c r="S2624" s="291">
        <v>44170</v>
      </c>
      <c r="T2624" s="279">
        <v>2531</v>
      </c>
      <c r="U2624" s="277"/>
      <c r="V2624" s="277"/>
      <c r="W2624" s="277"/>
      <c r="X2624" s="277"/>
      <c r="Y2624" s="277"/>
      <c r="Z2624" s="277"/>
      <c r="AA2624" s="277"/>
      <c r="AB2624" s="277"/>
      <c r="AC2624" s="277"/>
      <c r="AD2624" s="277"/>
      <c r="AE2624" s="277"/>
      <c r="AF2624" s="277"/>
      <c r="AG2624" s="277"/>
      <c r="AH2624" s="277"/>
      <c r="AI2624" s="277"/>
    </row>
    <row r="2625" spans="16:35" s="185" customFormat="1">
      <c r="P2625" s="277"/>
      <c r="Q2625" s="277"/>
      <c r="R2625" s="277"/>
      <c r="S2625" s="291">
        <v>44171</v>
      </c>
      <c r="T2625" s="279">
        <v>2532</v>
      </c>
      <c r="U2625" s="277"/>
      <c r="V2625" s="277"/>
      <c r="W2625" s="277"/>
      <c r="X2625" s="277"/>
      <c r="Y2625" s="277"/>
      <c r="Z2625" s="277"/>
      <c r="AA2625" s="277"/>
      <c r="AB2625" s="277"/>
      <c r="AC2625" s="277"/>
      <c r="AD2625" s="277"/>
      <c r="AE2625" s="277"/>
      <c r="AF2625" s="277"/>
      <c r="AG2625" s="277"/>
      <c r="AH2625" s="277"/>
      <c r="AI2625" s="277"/>
    </row>
    <row r="2626" spans="16:35" s="185" customFormat="1">
      <c r="P2626" s="277"/>
      <c r="Q2626" s="277"/>
      <c r="R2626" s="277"/>
      <c r="S2626" s="291">
        <v>44172</v>
      </c>
      <c r="T2626" s="279">
        <v>2533</v>
      </c>
      <c r="U2626" s="277"/>
      <c r="V2626" s="277"/>
      <c r="W2626" s="277"/>
      <c r="X2626" s="277"/>
      <c r="Y2626" s="277"/>
      <c r="Z2626" s="277"/>
      <c r="AA2626" s="277"/>
      <c r="AB2626" s="277"/>
      <c r="AC2626" s="277"/>
      <c r="AD2626" s="277"/>
      <c r="AE2626" s="277"/>
      <c r="AF2626" s="277"/>
      <c r="AG2626" s="277"/>
      <c r="AH2626" s="277"/>
      <c r="AI2626" s="277"/>
    </row>
    <row r="2627" spans="16:35" s="185" customFormat="1">
      <c r="P2627" s="277"/>
      <c r="Q2627" s="277"/>
      <c r="R2627" s="277"/>
      <c r="S2627" s="291">
        <v>44173</v>
      </c>
      <c r="T2627" s="279">
        <v>2534</v>
      </c>
      <c r="U2627" s="277"/>
      <c r="V2627" s="277"/>
      <c r="W2627" s="277"/>
      <c r="X2627" s="277"/>
      <c r="Y2627" s="277"/>
      <c r="Z2627" s="277"/>
      <c r="AA2627" s="277"/>
      <c r="AB2627" s="277"/>
      <c r="AC2627" s="277"/>
      <c r="AD2627" s="277"/>
      <c r="AE2627" s="277"/>
      <c r="AF2627" s="277"/>
      <c r="AG2627" s="277"/>
      <c r="AH2627" s="277"/>
      <c r="AI2627" s="277"/>
    </row>
    <row r="2628" spans="16:35" s="185" customFormat="1">
      <c r="P2628" s="277"/>
      <c r="Q2628" s="277"/>
      <c r="R2628" s="277"/>
      <c r="S2628" s="291">
        <v>44174</v>
      </c>
      <c r="T2628" s="279">
        <v>2535</v>
      </c>
      <c r="U2628" s="277"/>
      <c r="V2628" s="277"/>
      <c r="W2628" s="277"/>
      <c r="X2628" s="277"/>
      <c r="Y2628" s="277"/>
      <c r="Z2628" s="277"/>
      <c r="AA2628" s="277"/>
      <c r="AB2628" s="277"/>
      <c r="AC2628" s="277"/>
      <c r="AD2628" s="277"/>
      <c r="AE2628" s="277"/>
      <c r="AF2628" s="277"/>
      <c r="AG2628" s="277"/>
      <c r="AH2628" s="277"/>
      <c r="AI2628" s="277"/>
    </row>
    <row r="2629" spans="16:35" s="185" customFormat="1">
      <c r="P2629" s="277"/>
      <c r="Q2629" s="277"/>
      <c r="R2629" s="277"/>
      <c r="S2629" s="291">
        <v>44175</v>
      </c>
      <c r="T2629" s="279">
        <v>2536</v>
      </c>
      <c r="U2629" s="277"/>
      <c r="V2629" s="277"/>
      <c r="W2629" s="277"/>
      <c r="X2629" s="277"/>
      <c r="Y2629" s="277"/>
      <c r="Z2629" s="277"/>
      <c r="AA2629" s="277"/>
      <c r="AB2629" s="277"/>
      <c r="AC2629" s="277"/>
      <c r="AD2629" s="277"/>
      <c r="AE2629" s="277"/>
      <c r="AF2629" s="277"/>
      <c r="AG2629" s="277"/>
      <c r="AH2629" s="277"/>
      <c r="AI2629" s="277"/>
    </row>
    <row r="2630" spans="16:35" s="185" customFormat="1">
      <c r="P2630" s="277"/>
      <c r="Q2630" s="277"/>
      <c r="R2630" s="277"/>
      <c r="S2630" s="291">
        <v>44176</v>
      </c>
      <c r="T2630" s="279">
        <v>2537</v>
      </c>
      <c r="U2630" s="277"/>
      <c r="V2630" s="277"/>
      <c r="W2630" s="277"/>
      <c r="X2630" s="277"/>
      <c r="Y2630" s="277"/>
      <c r="Z2630" s="277"/>
      <c r="AA2630" s="277"/>
      <c r="AB2630" s="277"/>
      <c r="AC2630" s="277"/>
      <c r="AD2630" s="277"/>
      <c r="AE2630" s="277"/>
      <c r="AF2630" s="277"/>
      <c r="AG2630" s="277"/>
      <c r="AH2630" s="277"/>
      <c r="AI2630" s="277"/>
    </row>
    <row r="2631" spans="16:35" s="185" customFormat="1">
      <c r="P2631" s="277"/>
      <c r="Q2631" s="277"/>
      <c r="R2631" s="277"/>
      <c r="S2631" s="291">
        <v>44177</v>
      </c>
      <c r="T2631" s="279">
        <v>2538</v>
      </c>
      <c r="U2631" s="277"/>
      <c r="V2631" s="277"/>
      <c r="W2631" s="277"/>
      <c r="X2631" s="277"/>
      <c r="Y2631" s="277"/>
      <c r="Z2631" s="277"/>
      <c r="AA2631" s="277"/>
      <c r="AB2631" s="277"/>
      <c r="AC2631" s="277"/>
      <c r="AD2631" s="277"/>
      <c r="AE2631" s="277"/>
      <c r="AF2631" s="277"/>
      <c r="AG2631" s="277"/>
      <c r="AH2631" s="277"/>
      <c r="AI2631" s="277"/>
    </row>
    <row r="2632" spans="16:35" s="185" customFormat="1">
      <c r="P2632" s="277"/>
      <c r="Q2632" s="277"/>
      <c r="R2632" s="277"/>
      <c r="S2632" s="291">
        <v>44178</v>
      </c>
      <c r="T2632" s="279">
        <v>2539</v>
      </c>
      <c r="U2632" s="277"/>
      <c r="V2632" s="277"/>
      <c r="W2632" s="277"/>
      <c r="X2632" s="277"/>
      <c r="Y2632" s="277"/>
      <c r="Z2632" s="277"/>
      <c r="AA2632" s="277"/>
      <c r="AB2632" s="277"/>
      <c r="AC2632" s="277"/>
      <c r="AD2632" s="277"/>
      <c r="AE2632" s="277"/>
      <c r="AF2632" s="277"/>
      <c r="AG2632" s="277"/>
      <c r="AH2632" s="277"/>
      <c r="AI2632" s="277"/>
    </row>
    <row r="2633" spans="16:35" s="185" customFormat="1">
      <c r="P2633" s="277"/>
      <c r="Q2633" s="277"/>
      <c r="R2633" s="277"/>
      <c r="S2633" s="291">
        <v>44179</v>
      </c>
      <c r="T2633" s="279">
        <v>2540</v>
      </c>
      <c r="U2633" s="277"/>
      <c r="V2633" s="277"/>
      <c r="W2633" s="277"/>
      <c r="X2633" s="277"/>
      <c r="Y2633" s="277"/>
      <c r="Z2633" s="277"/>
      <c r="AA2633" s="277"/>
      <c r="AB2633" s="277"/>
      <c r="AC2633" s="277"/>
      <c r="AD2633" s="277"/>
      <c r="AE2633" s="277"/>
      <c r="AF2633" s="277"/>
      <c r="AG2633" s="277"/>
      <c r="AH2633" s="277"/>
      <c r="AI2633" s="277"/>
    </row>
    <row r="2634" spans="16:35" s="185" customFormat="1">
      <c r="P2634" s="277"/>
      <c r="Q2634" s="277"/>
      <c r="R2634" s="277"/>
      <c r="S2634" s="291">
        <v>44180</v>
      </c>
      <c r="T2634" s="279">
        <v>2541</v>
      </c>
      <c r="U2634" s="277"/>
      <c r="V2634" s="277"/>
      <c r="W2634" s="277"/>
      <c r="X2634" s="277"/>
      <c r="Y2634" s="277"/>
      <c r="Z2634" s="277"/>
      <c r="AA2634" s="277"/>
      <c r="AB2634" s="277"/>
      <c r="AC2634" s="277"/>
      <c r="AD2634" s="277"/>
      <c r="AE2634" s="277"/>
      <c r="AF2634" s="277"/>
      <c r="AG2634" s="277"/>
      <c r="AH2634" s="277"/>
      <c r="AI2634" s="277"/>
    </row>
    <row r="2635" spans="16:35" s="185" customFormat="1">
      <c r="P2635" s="277"/>
      <c r="Q2635" s="277"/>
      <c r="R2635" s="277"/>
      <c r="S2635" s="291">
        <v>44181</v>
      </c>
      <c r="T2635" s="279">
        <v>2542</v>
      </c>
      <c r="U2635" s="277"/>
      <c r="V2635" s="277"/>
      <c r="W2635" s="277"/>
      <c r="X2635" s="277"/>
      <c r="Y2635" s="277"/>
      <c r="Z2635" s="277"/>
      <c r="AA2635" s="277"/>
      <c r="AB2635" s="277"/>
      <c r="AC2635" s="277"/>
      <c r="AD2635" s="277"/>
      <c r="AE2635" s="277"/>
      <c r="AF2635" s="277"/>
      <c r="AG2635" s="277"/>
      <c r="AH2635" s="277"/>
      <c r="AI2635" s="277"/>
    </row>
    <row r="2636" spans="16:35" s="185" customFormat="1">
      <c r="P2636" s="277"/>
      <c r="Q2636" s="277"/>
      <c r="R2636" s="277"/>
      <c r="S2636" s="291">
        <v>44182</v>
      </c>
      <c r="T2636" s="279">
        <v>2543</v>
      </c>
      <c r="U2636" s="277"/>
      <c r="V2636" s="277"/>
      <c r="W2636" s="277"/>
      <c r="X2636" s="277"/>
      <c r="Y2636" s="277"/>
      <c r="Z2636" s="277"/>
      <c r="AA2636" s="277"/>
      <c r="AB2636" s="277"/>
      <c r="AC2636" s="277"/>
      <c r="AD2636" s="277"/>
      <c r="AE2636" s="277"/>
      <c r="AF2636" s="277"/>
      <c r="AG2636" s="277"/>
      <c r="AH2636" s="277"/>
      <c r="AI2636" s="277"/>
    </row>
    <row r="2637" spans="16:35" s="185" customFormat="1">
      <c r="P2637" s="277"/>
      <c r="Q2637" s="277"/>
      <c r="R2637" s="277"/>
      <c r="S2637" s="291">
        <v>44183</v>
      </c>
      <c r="T2637" s="279">
        <v>2544</v>
      </c>
      <c r="U2637" s="277"/>
      <c r="V2637" s="277"/>
      <c r="W2637" s="277"/>
      <c r="X2637" s="277"/>
      <c r="Y2637" s="277"/>
      <c r="Z2637" s="277"/>
      <c r="AA2637" s="277"/>
      <c r="AB2637" s="277"/>
      <c r="AC2637" s="277"/>
      <c r="AD2637" s="277"/>
      <c r="AE2637" s="277"/>
      <c r="AF2637" s="277"/>
      <c r="AG2637" s="277"/>
      <c r="AH2637" s="277"/>
      <c r="AI2637" s="277"/>
    </row>
    <row r="2638" spans="16:35" s="185" customFormat="1">
      <c r="P2638" s="277"/>
      <c r="Q2638" s="277"/>
      <c r="R2638" s="277"/>
      <c r="S2638" s="291">
        <v>44184</v>
      </c>
      <c r="T2638" s="279">
        <v>2545</v>
      </c>
      <c r="U2638" s="277"/>
      <c r="V2638" s="277"/>
      <c r="W2638" s="277"/>
      <c r="X2638" s="277"/>
      <c r="Y2638" s="277"/>
      <c r="Z2638" s="277"/>
      <c r="AA2638" s="277"/>
      <c r="AB2638" s="277"/>
      <c r="AC2638" s="277"/>
      <c r="AD2638" s="277"/>
      <c r="AE2638" s="277"/>
      <c r="AF2638" s="277"/>
      <c r="AG2638" s="277"/>
      <c r="AH2638" s="277"/>
      <c r="AI2638" s="277"/>
    </row>
    <row r="2639" spans="16:35" s="185" customFormat="1">
      <c r="P2639" s="277"/>
      <c r="Q2639" s="277"/>
      <c r="R2639" s="277"/>
      <c r="S2639" s="291">
        <v>44185</v>
      </c>
      <c r="T2639" s="279">
        <v>2546</v>
      </c>
      <c r="U2639" s="277"/>
      <c r="V2639" s="277"/>
      <c r="W2639" s="277"/>
      <c r="X2639" s="277"/>
      <c r="Y2639" s="277"/>
      <c r="Z2639" s="277"/>
      <c r="AA2639" s="277"/>
      <c r="AB2639" s="277"/>
      <c r="AC2639" s="277"/>
      <c r="AD2639" s="277"/>
      <c r="AE2639" s="277"/>
      <c r="AF2639" s="277"/>
      <c r="AG2639" s="277"/>
      <c r="AH2639" s="277"/>
      <c r="AI2639" s="277"/>
    </row>
    <row r="2640" spans="16:35" s="185" customFormat="1">
      <c r="P2640" s="277"/>
      <c r="Q2640" s="277"/>
      <c r="R2640" s="277"/>
      <c r="S2640" s="291">
        <v>44186</v>
      </c>
      <c r="T2640" s="279">
        <v>2547</v>
      </c>
      <c r="U2640" s="277"/>
      <c r="V2640" s="277"/>
      <c r="W2640" s="277"/>
      <c r="X2640" s="277"/>
      <c r="Y2640" s="277"/>
      <c r="Z2640" s="277"/>
      <c r="AA2640" s="277"/>
      <c r="AB2640" s="277"/>
      <c r="AC2640" s="277"/>
      <c r="AD2640" s="277"/>
      <c r="AE2640" s="277"/>
      <c r="AF2640" s="277"/>
      <c r="AG2640" s="277"/>
      <c r="AH2640" s="277"/>
      <c r="AI2640" s="277"/>
    </row>
    <row r="2641" spans="16:35" s="185" customFormat="1">
      <c r="P2641" s="277"/>
      <c r="Q2641" s="277"/>
      <c r="R2641" s="277"/>
      <c r="S2641" s="291">
        <v>44187</v>
      </c>
      <c r="T2641" s="279">
        <v>2548</v>
      </c>
      <c r="U2641" s="277"/>
      <c r="V2641" s="277"/>
      <c r="W2641" s="277"/>
      <c r="X2641" s="277"/>
      <c r="Y2641" s="277"/>
      <c r="Z2641" s="277"/>
      <c r="AA2641" s="277"/>
      <c r="AB2641" s="277"/>
      <c r="AC2641" s="277"/>
      <c r="AD2641" s="277"/>
      <c r="AE2641" s="277"/>
      <c r="AF2641" s="277"/>
      <c r="AG2641" s="277"/>
      <c r="AH2641" s="277"/>
      <c r="AI2641" s="277"/>
    </row>
    <row r="2642" spans="16:35" s="185" customFormat="1">
      <c r="P2642" s="277"/>
      <c r="Q2642" s="277"/>
      <c r="R2642" s="277"/>
      <c r="S2642" s="291">
        <v>44188</v>
      </c>
      <c r="T2642" s="279">
        <v>2549</v>
      </c>
      <c r="U2642" s="277"/>
      <c r="V2642" s="277"/>
      <c r="W2642" s="277"/>
      <c r="X2642" s="277"/>
      <c r="Y2642" s="277"/>
      <c r="Z2642" s="277"/>
      <c r="AA2642" s="277"/>
      <c r="AB2642" s="277"/>
      <c r="AC2642" s="277"/>
      <c r="AD2642" s="277"/>
      <c r="AE2642" s="277"/>
      <c r="AF2642" s="277"/>
      <c r="AG2642" s="277"/>
      <c r="AH2642" s="277"/>
      <c r="AI2642" s="277"/>
    </row>
    <row r="2643" spans="16:35" s="185" customFormat="1">
      <c r="P2643" s="277"/>
      <c r="Q2643" s="277"/>
      <c r="R2643" s="277"/>
      <c r="S2643" s="291">
        <v>44189</v>
      </c>
      <c r="T2643" s="279">
        <v>2550</v>
      </c>
      <c r="U2643" s="277"/>
      <c r="V2643" s="277"/>
      <c r="W2643" s="277"/>
      <c r="X2643" s="277"/>
      <c r="Y2643" s="277"/>
      <c r="Z2643" s="277"/>
      <c r="AA2643" s="277"/>
      <c r="AB2643" s="277"/>
      <c r="AC2643" s="277"/>
      <c r="AD2643" s="277"/>
      <c r="AE2643" s="277"/>
      <c r="AF2643" s="277"/>
      <c r="AG2643" s="277"/>
      <c r="AH2643" s="277"/>
      <c r="AI2643" s="277"/>
    </row>
    <row r="2644" spans="16:35" s="185" customFormat="1">
      <c r="P2644" s="277"/>
      <c r="Q2644" s="277"/>
      <c r="R2644" s="277"/>
      <c r="S2644" s="291">
        <v>44190</v>
      </c>
      <c r="T2644" s="279">
        <v>2551</v>
      </c>
      <c r="U2644" s="277"/>
      <c r="V2644" s="277"/>
      <c r="W2644" s="277"/>
      <c r="X2644" s="277"/>
      <c r="Y2644" s="277"/>
      <c r="Z2644" s="277"/>
      <c r="AA2644" s="277"/>
      <c r="AB2644" s="277"/>
      <c r="AC2644" s="277"/>
      <c r="AD2644" s="277"/>
      <c r="AE2644" s="277"/>
      <c r="AF2644" s="277"/>
      <c r="AG2644" s="277"/>
      <c r="AH2644" s="277"/>
      <c r="AI2644" s="277"/>
    </row>
    <row r="2645" spans="16:35" s="185" customFormat="1">
      <c r="P2645" s="277"/>
      <c r="Q2645" s="277"/>
      <c r="R2645" s="277"/>
      <c r="S2645" s="291">
        <v>44191</v>
      </c>
      <c r="T2645" s="279">
        <v>2552</v>
      </c>
      <c r="U2645" s="277"/>
      <c r="V2645" s="277"/>
      <c r="W2645" s="277"/>
      <c r="X2645" s="277"/>
      <c r="Y2645" s="277"/>
      <c r="Z2645" s="277"/>
      <c r="AA2645" s="277"/>
      <c r="AB2645" s="277"/>
      <c r="AC2645" s="277"/>
      <c r="AD2645" s="277"/>
      <c r="AE2645" s="277"/>
      <c r="AF2645" s="277"/>
      <c r="AG2645" s="277"/>
      <c r="AH2645" s="277"/>
      <c r="AI2645" s="277"/>
    </row>
    <row r="2646" spans="16:35" s="185" customFormat="1">
      <c r="P2646" s="277"/>
      <c r="Q2646" s="277"/>
      <c r="R2646" s="277"/>
      <c r="S2646" s="291">
        <v>44192</v>
      </c>
      <c r="T2646" s="279">
        <v>2553</v>
      </c>
      <c r="U2646" s="277"/>
      <c r="V2646" s="277"/>
      <c r="W2646" s="277"/>
      <c r="X2646" s="277"/>
      <c r="Y2646" s="277"/>
      <c r="Z2646" s="277"/>
      <c r="AA2646" s="277"/>
      <c r="AB2646" s="277"/>
      <c r="AC2646" s="277"/>
      <c r="AD2646" s="277"/>
      <c r="AE2646" s="277"/>
      <c r="AF2646" s="277"/>
      <c r="AG2646" s="277"/>
      <c r="AH2646" s="277"/>
      <c r="AI2646" s="277"/>
    </row>
    <row r="2647" spans="16:35" s="185" customFormat="1">
      <c r="P2647" s="277"/>
      <c r="Q2647" s="277"/>
      <c r="R2647" s="277"/>
      <c r="S2647" s="291">
        <v>44193</v>
      </c>
      <c r="T2647" s="279">
        <v>2554</v>
      </c>
      <c r="U2647" s="277"/>
      <c r="V2647" s="277"/>
      <c r="W2647" s="277"/>
      <c r="X2647" s="277"/>
      <c r="Y2647" s="277"/>
      <c r="Z2647" s="277"/>
      <c r="AA2647" s="277"/>
      <c r="AB2647" s="277"/>
      <c r="AC2647" s="277"/>
      <c r="AD2647" s="277"/>
      <c r="AE2647" s="277"/>
      <c r="AF2647" s="277"/>
      <c r="AG2647" s="277"/>
      <c r="AH2647" s="277"/>
      <c r="AI2647" s="277"/>
    </row>
    <row r="2648" spans="16:35" s="185" customFormat="1">
      <c r="P2648" s="277"/>
      <c r="Q2648" s="277"/>
      <c r="R2648" s="277"/>
      <c r="S2648" s="291">
        <v>44194</v>
      </c>
      <c r="T2648" s="279">
        <v>2555</v>
      </c>
      <c r="U2648" s="277"/>
      <c r="V2648" s="277"/>
      <c r="W2648" s="277"/>
      <c r="X2648" s="277"/>
      <c r="Y2648" s="277"/>
      <c r="Z2648" s="277"/>
      <c r="AA2648" s="277"/>
      <c r="AB2648" s="277"/>
      <c r="AC2648" s="277"/>
      <c r="AD2648" s="277"/>
      <c r="AE2648" s="277"/>
      <c r="AF2648" s="277"/>
      <c r="AG2648" s="277"/>
      <c r="AH2648" s="277"/>
      <c r="AI2648" s="277"/>
    </row>
    <row r="2649" spans="16:35" s="185" customFormat="1">
      <c r="P2649" s="277"/>
      <c r="Q2649" s="277"/>
      <c r="R2649" s="277"/>
      <c r="S2649" s="291">
        <v>44195</v>
      </c>
      <c r="T2649" s="279">
        <v>2556</v>
      </c>
      <c r="U2649" s="277"/>
      <c r="V2649" s="277"/>
      <c r="W2649" s="277"/>
      <c r="X2649" s="277"/>
      <c r="Y2649" s="277"/>
      <c r="Z2649" s="277"/>
      <c r="AA2649" s="277"/>
      <c r="AB2649" s="277"/>
      <c r="AC2649" s="277"/>
      <c r="AD2649" s="277"/>
      <c r="AE2649" s="277"/>
      <c r="AF2649" s="277"/>
      <c r="AG2649" s="277"/>
      <c r="AH2649" s="277"/>
      <c r="AI2649" s="277"/>
    </row>
    <row r="2650" spans="16:35" s="185" customFormat="1">
      <c r="P2650" s="277"/>
      <c r="Q2650" s="277"/>
      <c r="R2650" s="277"/>
      <c r="S2650" s="291">
        <v>44196</v>
      </c>
      <c r="T2650" s="279">
        <v>2557</v>
      </c>
      <c r="U2650" s="277"/>
      <c r="V2650" s="277"/>
      <c r="W2650" s="277"/>
      <c r="X2650" s="277"/>
      <c r="Y2650" s="277"/>
      <c r="Z2650" s="277"/>
      <c r="AA2650" s="277"/>
      <c r="AB2650" s="277"/>
      <c r="AC2650" s="277"/>
      <c r="AD2650" s="277"/>
      <c r="AE2650" s="277"/>
      <c r="AF2650" s="277"/>
      <c r="AG2650" s="277"/>
      <c r="AH2650" s="277"/>
      <c r="AI2650" s="277"/>
    </row>
    <row r="2651" spans="16:35" s="185" customFormat="1">
      <c r="P2651" s="277"/>
      <c r="Q2651" s="277"/>
      <c r="R2651" s="277"/>
      <c r="S2651" s="291">
        <v>44197</v>
      </c>
      <c r="T2651" s="279">
        <v>2558</v>
      </c>
      <c r="U2651" s="277"/>
      <c r="V2651" s="277"/>
      <c r="W2651" s="277"/>
      <c r="X2651" s="277"/>
      <c r="Y2651" s="277"/>
      <c r="Z2651" s="277"/>
      <c r="AA2651" s="277"/>
      <c r="AB2651" s="277"/>
      <c r="AC2651" s="277"/>
      <c r="AD2651" s="277"/>
      <c r="AE2651" s="277"/>
      <c r="AF2651" s="277"/>
      <c r="AG2651" s="277"/>
      <c r="AH2651" s="277"/>
      <c r="AI2651" s="277"/>
    </row>
    <row r="2652" spans="16:35" s="185" customFormat="1">
      <c r="P2652" s="277"/>
      <c r="Q2652" s="277"/>
      <c r="R2652" s="277"/>
      <c r="S2652" s="291">
        <v>44198</v>
      </c>
      <c r="T2652" s="279">
        <v>2559</v>
      </c>
      <c r="U2652" s="277"/>
      <c r="V2652" s="277"/>
      <c r="W2652" s="277"/>
      <c r="X2652" s="277"/>
      <c r="Y2652" s="277"/>
      <c r="Z2652" s="277"/>
      <c r="AA2652" s="277"/>
      <c r="AB2652" s="277"/>
      <c r="AC2652" s="277"/>
      <c r="AD2652" s="277"/>
      <c r="AE2652" s="277"/>
      <c r="AF2652" s="277"/>
      <c r="AG2652" s="277"/>
      <c r="AH2652" s="277"/>
      <c r="AI2652" s="277"/>
    </row>
    <row r="2653" spans="16:35" s="185" customFormat="1">
      <c r="P2653" s="277"/>
      <c r="Q2653" s="277"/>
      <c r="R2653" s="277"/>
      <c r="S2653" s="291">
        <v>44199</v>
      </c>
      <c r="T2653" s="279">
        <v>2560</v>
      </c>
      <c r="U2653" s="277"/>
      <c r="V2653" s="277"/>
      <c r="W2653" s="277"/>
      <c r="X2653" s="277"/>
      <c r="Y2653" s="277"/>
      <c r="Z2653" s="277"/>
      <c r="AA2653" s="277"/>
      <c r="AB2653" s="277"/>
      <c r="AC2653" s="277"/>
      <c r="AD2653" s="277"/>
      <c r="AE2653" s="277"/>
      <c r="AF2653" s="277"/>
      <c r="AG2653" s="277"/>
      <c r="AH2653" s="277"/>
      <c r="AI2653" s="277"/>
    </row>
    <row r="2654" spans="16:35" s="185" customFormat="1">
      <c r="P2654" s="277"/>
      <c r="Q2654" s="277"/>
      <c r="R2654" s="277"/>
      <c r="S2654" s="291">
        <v>44200</v>
      </c>
      <c r="T2654" s="279">
        <v>2561</v>
      </c>
      <c r="U2654" s="277"/>
      <c r="V2654" s="277"/>
      <c r="W2654" s="277"/>
      <c r="X2654" s="277"/>
      <c r="Y2654" s="277"/>
      <c r="Z2654" s="277"/>
      <c r="AA2654" s="277"/>
      <c r="AB2654" s="277"/>
      <c r="AC2654" s="277"/>
      <c r="AD2654" s="277"/>
      <c r="AE2654" s="277"/>
      <c r="AF2654" s="277"/>
      <c r="AG2654" s="277"/>
      <c r="AH2654" s="277"/>
      <c r="AI2654" s="277"/>
    </row>
    <row r="2655" spans="16:35" s="185" customFormat="1">
      <c r="P2655" s="277"/>
      <c r="Q2655" s="277"/>
      <c r="R2655" s="277"/>
      <c r="S2655" s="291">
        <v>44201</v>
      </c>
      <c r="T2655" s="279">
        <v>2562</v>
      </c>
      <c r="U2655" s="277"/>
      <c r="V2655" s="277"/>
      <c r="W2655" s="277"/>
      <c r="X2655" s="277"/>
      <c r="Y2655" s="277"/>
      <c r="Z2655" s="277"/>
      <c r="AA2655" s="277"/>
      <c r="AB2655" s="277"/>
      <c r="AC2655" s="277"/>
      <c r="AD2655" s="277"/>
      <c r="AE2655" s="277"/>
      <c r="AF2655" s="277"/>
      <c r="AG2655" s="277"/>
      <c r="AH2655" s="277"/>
      <c r="AI2655" s="277"/>
    </row>
    <row r="2656" spans="16:35" s="185" customFormat="1">
      <c r="P2656" s="277"/>
      <c r="Q2656" s="277"/>
      <c r="R2656" s="277"/>
      <c r="S2656" s="291">
        <v>44202</v>
      </c>
      <c r="T2656" s="279">
        <v>2563</v>
      </c>
      <c r="U2656" s="277"/>
      <c r="V2656" s="277"/>
      <c r="W2656" s="277"/>
      <c r="X2656" s="277"/>
      <c r="Y2656" s="277"/>
      <c r="Z2656" s="277"/>
      <c r="AA2656" s="277"/>
      <c r="AB2656" s="277"/>
      <c r="AC2656" s="277"/>
      <c r="AD2656" s="277"/>
      <c r="AE2656" s="277"/>
      <c r="AF2656" s="277"/>
      <c r="AG2656" s="277"/>
      <c r="AH2656" s="277"/>
      <c r="AI2656" s="277"/>
    </row>
    <row r="2657" spans="16:35" s="185" customFormat="1">
      <c r="P2657" s="277"/>
      <c r="Q2657" s="277"/>
      <c r="R2657" s="277"/>
      <c r="S2657" s="291">
        <v>44203</v>
      </c>
      <c r="T2657" s="279">
        <v>2564</v>
      </c>
      <c r="U2657" s="277"/>
      <c r="V2657" s="277"/>
      <c r="W2657" s="277"/>
      <c r="X2657" s="277"/>
      <c r="Y2657" s="277"/>
      <c r="Z2657" s="277"/>
      <c r="AA2657" s="277"/>
      <c r="AB2657" s="277"/>
      <c r="AC2657" s="277"/>
      <c r="AD2657" s="277"/>
      <c r="AE2657" s="277"/>
      <c r="AF2657" s="277"/>
      <c r="AG2657" s="277"/>
      <c r="AH2657" s="277"/>
      <c r="AI2657" s="277"/>
    </row>
    <row r="2658" spans="16:35" s="185" customFormat="1">
      <c r="P2658" s="277"/>
      <c r="Q2658" s="277"/>
      <c r="R2658" s="277"/>
      <c r="S2658" s="291">
        <v>44204</v>
      </c>
      <c r="T2658" s="279">
        <v>2565</v>
      </c>
      <c r="U2658" s="277"/>
      <c r="V2658" s="277"/>
      <c r="W2658" s="277"/>
      <c r="X2658" s="277"/>
      <c r="Y2658" s="277"/>
      <c r="Z2658" s="277"/>
      <c r="AA2658" s="277"/>
      <c r="AB2658" s="277"/>
      <c r="AC2658" s="277"/>
      <c r="AD2658" s="277"/>
      <c r="AE2658" s="277"/>
      <c r="AF2658" s="277"/>
      <c r="AG2658" s="277"/>
      <c r="AH2658" s="277"/>
      <c r="AI2658" s="277"/>
    </row>
    <row r="2659" spans="16:35" s="185" customFormat="1">
      <c r="P2659" s="277"/>
      <c r="Q2659" s="277"/>
      <c r="R2659" s="277"/>
      <c r="S2659" s="291">
        <v>44205</v>
      </c>
      <c r="T2659" s="279">
        <v>2566</v>
      </c>
      <c r="U2659" s="277"/>
      <c r="V2659" s="277"/>
      <c r="W2659" s="277"/>
      <c r="X2659" s="277"/>
      <c r="Y2659" s="277"/>
      <c r="Z2659" s="277"/>
      <c r="AA2659" s="277"/>
      <c r="AB2659" s="277"/>
      <c r="AC2659" s="277"/>
      <c r="AD2659" s="277"/>
      <c r="AE2659" s="277"/>
      <c r="AF2659" s="277"/>
      <c r="AG2659" s="277"/>
      <c r="AH2659" s="277"/>
      <c r="AI2659" s="277"/>
    </row>
    <row r="2660" spans="16:35" s="185" customFormat="1">
      <c r="P2660" s="277"/>
      <c r="Q2660" s="277"/>
      <c r="R2660" s="277"/>
      <c r="S2660" s="291">
        <v>44206</v>
      </c>
      <c r="T2660" s="279">
        <v>2567</v>
      </c>
      <c r="U2660" s="277"/>
      <c r="V2660" s="277"/>
      <c r="W2660" s="277"/>
      <c r="X2660" s="277"/>
      <c r="Y2660" s="277"/>
      <c r="Z2660" s="277"/>
      <c r="AA2660" s="277"/>
      <c r="AB2660" s="277"/>
      <c r="AC2660" s="277"/>
      <c r="AD2660" s="277"/>
      <c r="AE2660" s="277"/>
      <c r="AF2660" s="277"/>
      <c r="AG2660" s="277"/>
      <c r="AH2660" s="277"/>
      <c r="AI2660" s="277"/>
    </row>
    <row r="2661" spans="16:35" s="185" customFormat="1">
      <c r="P2661" s="277"/>
      <c r="Q2661" s="277"/>
      <c r="R2661" s="277"/>
      <c r="S2661" s="291">
        <v>44207</v>
      </c>
      <c r="T2661" s="279">
        <v>2568</v>
      </c>
      <c r="U2661" s="277"/>
      <c r="V2661" s="277"/>
      <c r="W2661" s="277"/>
      <c r="X2661" s="277"/>
      <c r="Y2661" s="277"/>
      <c r="Z2661" s="277"/>
      <c r="AA2661" s="277"/>
      <c r="AB2661" s="277"/>
      <c r="AC2661" s="277"/>
      <c r="AD2661" s="277"/>
      <c r="AE2661" s="277"/>
      <c r="AF2661" s="277"/>
      <c r="AG2661" s="277"/>
      <c r="AH2661" s="277"/>
      <c r="AI2661" s="277"/>
    </row>
    <row r="2662" spans="16:35" s="185" customFormat="1">
      <c r="P2662" s="277"/>
      <c r="Q2662" s="277"/>
      <c r="R2662" s="277"/>
      <c r="S2662" s="291">
        <v>44208</v>
      </c>
      <c r="T2662" s="279">
        <v>2569</v>
      </c>
      <c r="U2662" s="277"/>
      <c r="V2662" s="277"/>
      <c r="W2662" s="277"/>
      <c r="X2662" s="277"/>
      <c r="Y2662" s="277"/>
      <c r="Z2662" s="277"/>
      <c r="AA2662" s="277"/>
      <c r="AB2662" s="277"/>
      <c r="AC2662" s="277"/>
      <c r="AD2662" s="277"/>
      <c r="AE2662" s="277"/>
      <c r="AF2662" s="277"/>
      <c r="AG2662" s="277"/>
      <c r="AH2662" s="277"/>
      <c r="AI2662" s="277"/>
    </row>
    <row r="2663" spans="16:35" s="185" customFormat="1">
      <c r="P2663" s="277"/>
      <c r="Q2663" s="277"/>
      <c r="R2663" s="277"/>
      <c r="S2663" s="291">
        <v>44209</v>
      </c>
      <c r="T2663" s="279">
        <v>2570</v>
      </c>
      <c r="U2663" s="277"/>
      <c r="V2663" s="277"/>
      <c r="W2663" s="277"/>
      <c r="X2663" s="277"/>
      <c r="Y2663" s="277"/>
      <c r="Z2663" s="277"/>
      <c r="AA2663" s="277"/>
      <c r="AB2663" s="277"/>
      <c r="AC2663" s="277"/>
      <c r="AD2663" s="277"/>
      <c r="AE2663" s="277"/>
      <c r="AF2663" s="277"/>
      <c r="AG2663" s="277"/>
      <c r="AH2663" s="277"/>
      <c r="AI2663" s="277"/>
    </row>
    <row r="2664" spans="16:35" s="185" customFormat="1">
      <c r="P2664" s="277"/>
      <c r="Q2664" s="277"/>
      <c r="R2664" s="277"/>
      <c r="S2664" s="291">
        <v>44210</v>
      </c>
      <c r="T2664" s="279">
        <v>2571</v>
      </c>
      <c r="U2664" s="277"/>
      <c r="V2664" s="277"/>
      <c r="W2664" s="277"/>
      <c r="X2664" s="277"/>
      <c r="Y2664" s="277"/>
      <c r="Z2664" s="277"/>
      <c r="AA2664" s="277"/>
      <c r="AB2664" s="277"/>
      <c r="AC2664" s="277"/>
      <c r="AD2664" s="277"/>
      <c r="AE2664" s="277"/>
      <c r="AF2664" s="277"/>
      <c r="AG2664" s="277"/>
      <c r="AH2664" s="277"/>
      <c r="AI2664" s="277"/>
    </row>
    <row r="2665" spans="16:35" s="185" customFormat="1">
      <c r="P2665" s="277"/>
      <c r="Q2665" s="277"/>
      <c r="R2665" s="277"/>
      <c r="S2665" s="291">
        <v>44211</v>
      </c>
      <c r="T2665" s="279">
        <v>2572</v>
      </c>
      <c r="U2665" s="277"/>
      <c r="V2665" s="277"/>
      <c r="W2665" s="277"/>
      <c r="X2665" s="277"/>
      <c r="Y2665" s="277"/>
      <c r="Z2665" s="277"/>
      <c r="AA2665" s="277"/>
      <c r="AB2665" s="277"/>
      <c r="AC2665" s="277"/>
      <c r="AD2665" s="277"/>
      <c r="AE2665" s="277"/>
      <c r="AF2665" s="277"/>
      <c r="AG2665" s="277"/>
      <c r="AH2665" s="277"/>
      <c r="AI2665" s="277"/>
    </row>
    <row r="2666" spans="16:35" s="185" customFormat="1">
      <c r="P2666" s="277"/>
      <c r="Q2666" s="277"/>
      <c r="R2666" s="277"/>
      <c r="S2666" s="291">
        <v>44212</v>
      </c>
      <c r="T2666" s="279">
        <v>2573</v>
      </c>
      <c r="U2666" s="277"/>
      <c r="V2666" s="277"/>
      <c r="W2666" s="277"/>
      <c r="X2666" s="277"/>
      <c r="Y2666" s="277"/>
      <c r="Z2666" s="277"/>
      <c r="AA2666" s="277"/>
      <c r="AB2666" s="277"/>
      <c r="AC2666" s="277"/>
      <c r="AD2666" s="277"/>
      <c r="AE2666" s="277"/>
      <c r="AF2666" s="277"/>
      <c r="AG2666" s="277"/>
      <c r="AH2666" s="277"/>
      <c r="AI2666" s="277"/>
    </row>
    <row r="2667" spans="16:35" s="185" customFormat="1">
      <c r="P2667" s="277"/>
      <c r="Q2667" s="277"/>
      <c r="R2667" s="277"/>
      <c r="S2667" s="291">
        <v>44213</v>
      </c>
      <c r="T2667" s="279">
        <v>2574</v>
      </c>
      <c r="U2667" s="277"/>
      <c r="V2667" s="277"/>
      <c r="W2667" s="277"/>
      <c r="X2667" s="277"/>
      <c r="Y2667" s="277"/>
      <c r="Z2667" s="277"/>
      <c r="AA2667" s="277"/>
      <c r="AB2667" s="277"/>
      <c r="AC2667" s="277"/>
      <c r="AD2667" s="277"/>
      <c r="AE2667" s="277"/>
      <c r="AF2667" s="277"/>
      <c r="AG2667" s="277"/>
      <c r="AH2667" s="277"/>
      <c r="AI2667" s="277"/>
    </row>
    <row r="2668" spans="16:35" s="185" customFormat="1">
      <c r="P2668" s="277"/>
      <c r="Q2668" s="277"/>
      <c r="R2668" s="277"/>
      <c r="S2668" s="291">
        <v>44214</v>
      </c>
      <c r="T2668" s="279">
        <v>2575</v>
      </c>
      <c r="U2668" s="277"/>
      <c r="V2668" s="277"/>
      <c r="W2668" s="277"/>
      <c r="X2668" s="277"/>
      <c r="Y2668" s="277"/>
      <c r="Z2668" s="277"/>
      <c r="AA2668" s="277"/>
      <c r="AB2668" s="277"/>
      <c r="AC2668" s="277"/>
      <c r="AD2668" s="277"/>
      <c r="AE2668" s="277"/>
      <c r="AF2668" s="277"/>
      <c r="AG2668" s="277"/>
      <c r="AH2668" s="277"/>
      <c r="AI2668" s="277"/>
    </row>
    <row r="2669" spans="16:35" s="185" customFormat="1">
      <c r="P2669" s="277"/>
      <c r="Q2669" s="277"/>
      <c r="R2669" s="277"/>
      <c r="S2669" s="291">
        <v>44215</v>
      </c>
      <c r="T2669" s="279">
        <v>2576</v>
      </c>
      <c r="U2669" s="277"/>
      <c r="V2669" s="277"/>
      <c r="W2669" s="277"/>
      <c r="X2669" s="277"/>
      <c r="Y2669" s="277"/>
      <c r="Z2669" s="277"/>
      <c r="AA2669" s="277"/>
      <c r="AB2669" s="277"/>
      <c r="AC2669" s="277"/>
      <c r="AD2669" s="277"/>
      <c r="AE2669" s="277"/>
      <c r="AF2669" s="277"/>
      <c r="AG2669" s="277"/>
      <c r="AH2669" s="277"/>
      <c r="AI2669" s="277"/>
    </row>
    <row r="2670" spans="16:35" s="185" customFormat="1">
      <c r="P2670" s="277"/>
      <c r="Q2670" s="277"/>
      <c r="R2670" s="277"/>
      <c r="S2670" s="291">
        <v>44216</v>
      </c>
      <c r="T2670" s="279">
        <v>2577</v>
      </c>
      <c r="U2670" s="277"/>
      <c r="V2670" s="277"/>
      <c r="W2670" s="277"/>
      <c r="X2670" s="277"/>
      <c r="Y2670" s="277"/>
      <c r="Z2670" s="277"/>
      <c r="AA2670" s="277"/>
      <c r="AB2670" s="277"/>
      <c r="AC2670" s="277"/>
      <c r="AD2670" s="277"/>
      <c r="AE2670" s="277"/>
      <c r="AF2670" s="277"/>
      <c r="AG2670" s="277"/>
      <c r="AH2670" s="277"/>
      <c r="AI2670" s="277"/>
    </row>
    <row r="2671" spans="16:35" s="185" customFormat="1">
      <c r="P2671" s="277"/>
      <c r="Q2671" s="277"/>
      <c r="R2671" s="277"/>
      <c r="S2671" s="291">
        <v>44217</v>
      </c>
      <c r="T2671" s="279">
        <v>2578</v>
      </c>
      <c r="U2671" s="277"/>
      <c r="V2671" s="277"/>
      <c r="W2671" s="277"/>
      <c r="X2671" s="277"/>
      <c r="Y2671" s="277"/>
      <c r="Z2671" s="277"/>
      <c r="AA2671" s="277"/>
      <c r="AB2671" s="277"/>
      <c r="AC2671" s="277"/>
      <c r="AD2671" s="277"/>
      <c r="AE2671" s="277"/>
      <c r="AF2671" s="277"/>
      <c r="AG2671" s="277"/>
      <c r="AH2671" s="277"/>
      <c r="AI2671" s="277"/>
    </row>
    <row r="2672" spans="16:35" s="185" customFormat="1">
      <c r="P2672" s="277"/>
      <c r="Q2672" s="277"/>
      <c r="R2672" s="277"/>
      <c r="S2672" s="291">
        <v>44218</v>
      </c>
      <c r="T2672" s="279">
        <v>2579</v>
      </c>
      <c r="U2672" s="277"/>
      <c r="V2672" s="277"/>
      <c r="W2672" s="277"/>
      <c r="X2672" s="277"/>
      <c r="Y2672" s="277"/>
      <c r="Z2672" s="277"/>
      <c r="AA2672" s="277"/>
      <c r="AB2672" s="277"/>
      <c r="AC2672" s="277"/>
      <c r="AD2672" s="277"/>
      <c r="AE2672" s="277"/>
      <c r="AF2672" s="277"/>
      <c r="AG2672" s="277"/>
      <c r="AH2672" s="277"/>
      <c r="AI2672" s="277"/>
    </row>
    <row r="2673" spans="16:35" s="185" customFormat="1">
      <c r="P2673" s="277"/>
      <c r="Q2673" s="277"/>
      <c r="R2673" s="277"/>
      <c r="S2673" s="291">
        <v>44219</v>
      </c>
      <c r="T2673" s="279">
        <v>2580</v>
      </c>
      <c r="U2673" s="277"/>
      <c r="V2673" s="277"/>
      <c r="W2673" s="277"/>
      <c r="X2673" s="277"/>
      <c r="Y2673" s="277"/>
      <c r="Z2673" s="277"/>
      <c r="AA2673" s="277"/>
      <c r="AB2673" s="277"/>
      <c r="AC2673" s="277"/>
      <c r="AD2673" s="277"/>
      <c r="AE2673" s="277"/>
      <c r="AF2673" s="277"/>
      <c r="AG2673" s="277"/>
      <c r="AH2673" s="277"/>
      <c r="AI2673" s="277"/>
    </row>
    <row r="2674" spans="16:35" s="185" customFormat="1">
      <c r="P2674" s="277"/>
      <c r="Q2674" s="277"/>
      <c r="R2674" s="277"/>
      <c r="S2674" s="291">
        <v>44220</v>
      </c>
      <c r="T2674" s="279">
        <v>2581</v>
      </c>
      <c r="U2674" s="277"/>
      <c r="V2674" s="277"/>
      <c r="W2674" s="277"/>
      <c r="X2674" s="277"/>
      <c r="Y2674" s="277"/>
      <c r="Z2674" s="277"/>
      <c r="AA2674" s="277"/>
      <c r="AB2674" s="277"/>
      <c r="AC2674" s="277"/>
      <c r="AD2674" s="277"/>
      <c r="AE2674" s="277"/>
      <c r="AF2674" s="277"/>
      <c r="AG2674" s="277"/>
      <c r="AH2674" s="277"/>
      <c r="AI2674" s="277"/>
    </row>
    <row r="2675" spans="16:35" s="185" customFormat="1">
      <c r="P2675" s="277"/>
      <c r="Q2675" s="277"/>
      <c r="R2675" s="277"/>
      <c r="S2675" s="291">
        <v>44221</v>
      </c>
      <c r="T2675" s="279">
        <v>2582</v>
      </c>
      <c r="U2675" s="277"/>
      <c r="V2675" s="277"/>
      <c r="W2675" s="277"/>
      <c r="X2675" s="277"/>
      <c r="Y2675" s="277"/>
      <c r="Z2675" s="277"/>
      <c r="AA2675" s="277"/>
      <c r="AB2675" s="277"/>
      <c r="AC2675" s="277"/>
      <c r="AD2675" s="277"/>
      <c r="AE2675" s="277"/>
      <c r="AF2675" s="277"/>
      <c r="AG2675" s="277"/>
      <c r="AH2675" s="277"/>
      <c r="AI2675" s="277"/>
    </row>
    <row r="2676" spans="16:35" s="185" customFormat="1">
      <c r="P2676" s="277"/>
      <c r="Q2676" s="277"/>
      <c r="R2676" s="277"/>
      <c r="S2676" s="291">
        <v>44222</v>
      </c>
      <c r="T2676" s="279">
        <v>2583</v>
      </c>
      <c r="U2676" s="277"/>
      <c r="V2676" s="277"/>
      <c r="W2676" s="277"/>
      <c r="X2676" s="277"/>
      <c r="Y2676" s="277"/>
      <c r="Z2676" s="277"/>
      <c r="AA2676" s="277"/>
      <c r="AB2676" s="277"/>
      <c r="AC2676" s="277"/>
      <c r="AD2676" s="277"/>
      <c r="AE2676" s="277"/>
      <c r="AF2676" s="277"/>
      <c r="AG2676" s="277"/>
      <c r="AH2676" s="277"/>
      <c r="AI2676" s="277"/>
    </row>
    <row r="2677" spans="16:35" s="185" customFormat="1">
      <c r="P2677" s="277"/>
      <c r="Q2677" s="277"/>
      <c r="R2677" s="277"/>
      <c r="S2677" s="291">
        <v>44223</v>
      </c>
      <c r="T2677" s="279">
        <v>2584</v>
      </c>
      <c r="U2677" s="277"/>
      <c r="V2677" s="277"/>
      <c r="W2677" s="277"/>
      <c r="X2677" s="277"/>
      <c r="Y2677" s="277"/>
      <c r="Z2677" s="277"/>
      <c r="AA2677" s="277"/>
      <c r="AB2677" s="277"/>
      <c r="AC2677" s="277"/>
      <c r="AD2677" s="277"/>
      <c r="AE2677" s="277"/>
      <c r="AF2677" s="277"/>
      <c r="AG2677" s="277"/>
      <c r="AH2677" s="277"/>
      <c r="AI2677" s="277"/>
    </row>
    <row r="2678" spans="16:35" s="185" customFormat="1">
      <c r="P2678" s="277"/>
      <c r="Q2678" s="277"/>
      <c r="R2678" s="277"/>
      <c r="S2678" s="291">
        <v>44224</v>
      </c>
      <c r="T2678" s="279">
        <v>2585</v>
      </c>
      <c r="U2678" s="277"/>
      <c r="V2678" s="277"/>
      <c r="W2678" s="277"/>
      <c r="X2678" s="277"/>
      <c r="Y2678" s="277"/>
      <c r="Z2678" s="277"/>
      <c r="AA2678" s="277"/>
      <c r="AB2678" s="277"/>
      <c r="AC2678" s="277"/>
      <c r="AD2678" s="277"/>
      <c r="AE2678" s="277"/>
      <c r="AF2678" s="277"/>
      <c r="AG2678" s="277"/>
      <c r="AH2678" s="277"/>
      <c r="AI2678" s="277"/>
    </row>
    <row r="2679" spans="16:35" s="185" customFormat="1">
      <c r="P2679" s="277"/>
      <c r="Q2679" s="277"/>
      <c r="R2679" s="277"/>
      <c r="S2679" s="291">
        <v>44225</v>
      </c>
      <c r="T2679" s="279">
        <v>2586</v>
      </c>
      <c r="U2679" s="277"/>
      <c r="V2679" s="277"/>
      <c r="W2679" s="277"/>
      <c r="X2679" s="277"/>
      <c r="Y2679" s="277"/>
      <c r="Z2679" s="277"/>
      <c r="AA2679" s="277"/>
      <c r="AB2679" s="277"/>
      <c r="AC2679" s="277"/>
      <c r="AD2679" s="277"/>
      <c r="AE2679" s="277"/>
      <c r="AF2679" s="277"/>
      <c r="AG2679" s="277"/>
      <c r="AH2679" s="277"/>
      <c r="AI2679" s="277"/>
    </row>
    <row r="2680" spans="16:35" s="185" customFormat="1">
      <c r="P2680" s="277"/>
      <c r="Q2680" s="277"/>
      <c r="R2680" s="277"/>
      <c r="S2680" s="291">
        <v>44226</v>
      </c>
      <c r="T2680" s="279">
        <v>2587</v>
      </c>
      <c r="U2680" s="277"/>
      <c r="V2680" s="277"/>
      <c r="W2680" s="277"/>
      <c r="X2680" s="277"/>
      <c r="Y2680" s="277"/>
      <c r="Z2680" s="277"/>
      <c r="AA2680" s="277"/>
      <c r="AB2680" s="277"/>
      <c r="AC2680" s="277"/>
      <c r="AD2680" s="277"/>
      <c r="AE2680" s="277"/>
      <c r="AF2680" s="277"/>
      <c r="AG2680" s="277"/>
      <c r="AH2680" s="277"/>
      <c r="AI2680" s="277"/>
    </row>
    <row r="2681" spans="16:35" s="185" customFormat="1">
      <c r="P2681" s="277"/>
      <c r="Q2681" s="277"/>
      <c r="R2681" s="277"/>
      <c r="S2681" s="291">
        <v>44227</v>
      </c>
      <c r="T2681" s="279">
        <v>2588</v>
      </c>
      <c r="U2681" s="277"/>
      <c r="V2681" s="277"/>
      <c r="W2681" s="277"/>
      <c r="X2681" s="277"/>
      <c r="Y2681" s="277"/>
      <c r="Z2681" s="277"/>
      <c r="AA2681" s="277"/>
      <c r="AB2681" s="277"/>
      <c r="AC2681" s="277"/>
      <c r="AD2681" s="277"/>
      <c r="AE2681" s="277"/>
      <c r="AF2681" s="277"/>
      <c r="AG2681" s="277"/>
      <c r="AH2681" s="277"/>
      <c r="AI2681" s="277"/>
    </row>
    <row r="2682" spans="16:35" s="185" customFormat="1">
      <c r="P2682" s="277"/>
      <c r="Q2682" s="277"/>
      <c r="R2682" s="277"/>
      <c r="S2682" s="291">
        <v>44228</v>
      </c>
      <c r="T2682" s="279">
        <v>2589</v>
      </c>
      <c r="U2682" s="277"/>
      <c r="V2682" s="277"/>
      <c r="W2682" s="277"/>
      <c r="X2682" s="277"/>
      <c r="Y2682" s="277"/>
      <c r="Z2682" s="277"/>
      <c r="AA2682" s="277"/>
      <c r="AB2682" s="277"/>
      <c r="AC2682" s="277"/>
      <c r="AD2682" s="277"/>
      <c r="AE2682" s="277"/>
      <c r="AF2682" s="277"/>
      <c r="AG2682" s="277"/>
      <c r="AH2682" s="277"/>
      <c r="AI2682" s="277"/>
    </row>
    <row r="2683" spans="16:35" s="185" customFormat="1">
      <c r="P2683" s="277"/>
      <c r="Q2683" s="277"/>
      <c r="R2683" s="277"/>
      <c r="S2683" s="291">
        <v>44229</v>
      </c>
      <c r="T2683" s="279">
        <v>2590</v>
      </c>
      <c r="U2683" s="277"/>
      <c r="V2683" s="277"/>
      <c r="W2683" s="277"/>
      <c r="X2683" s="277"/>
      <c r="Y2683" s="277"/>
      <c r="Z2683" s="277"/>
      <c r="AA2683" s="277"/>
      <c r="AB2683" s="277"/>
      <c r="AC2683" s="277"/>
      <c r="AD2683" s="277"/>
      <c r="AE2683" s="277"/>
      <c r="AF2683" s="277"/>
      <c r="AG2683" s="277"/>
      <c r="AH2683" s="277"/>
      <c r="AI2683" s="277"/>
    </row>
    <row r="2684" spans="16:35" s="185" customFormat="1">
      <c r="P2684" s="277"/>
      <c r="Q2684" s="277"/>
      <c r="R2684" s="277"/>
      <c r="S2684" s="291">
        <v>44230</v>
      </c>
      <c r="T2684" s="279">
        <v>2591</v>
      </c>
      <c r="U2684" s="277"/>
      <c r="V2684" s="277"/>
      <c r="W2684" s="277"/>
      <c r="X2684" s="277"/>
      <c r="Y2684" s="277"/>
      <c r="Z2684" s="277"/>
      <c r="AA2684" s="277"/>
      <c r="AB2684" s="277"/>
      <c r="AC2684" s="277"/>
      <c r="AD2684" s="277"/>
      <c r="AE2684" s="277"/>
      <c r="AF2684" s="277"/>
      <c r="AG2684" s="277"/>
      <c r="AH2684" s="277"/>
      <c r="AI2684" s="277"/>
    </row>
    <row r="2685" spans="16:35" s="185" customFormat="1">
      <c r="P2685" s="277"/>
      <c r="Q2685" s="277"/>
      <c r="R2685" s="277"/>
      <c r="S2685" s="291">
        <v>44231</v>
      </c>
      <c r="T2685" s="279">
        <v>2592</v>
      </c>
      <c r="U2685" s="277"/>
      <c r="V2685" s="277"/>
      <c r="W2685" s="277"/>
      <c r="X2685" s="277"/>
      <c r="Y2685" s="277"/>
      <c r="Z2685" s="277"/>
      <c r="AA2685" s="277"/>
      <c r="AB2685" s="277"/>
      <c r="AC2685" s="277"/>
      <c r="AD2685" s="277"/>
      <c r="AE2685" s="277"/>
      <c r="AF2685" s="277"/>
      <c r="AG2685" s="277"/>
      <c r="AH2685" s="277"/>
      <c r="AI2685" s="277"/>
    </row>
    <row r="2686" spans="16:35" s="185" customFormat="1">
      <c r="P2686" s="277"/>
      <c r="Q2686" s="277"/>
      <c r="R2686" s="277"/>
      <c r="S2686" s="291">
        <v>44232</v>
      </c>
      <c r="T2686" s="279">
        <v>2593</v>
      </c>
      <c r="U2686" s="277"/>
      <c r="V2686" s="277"/>
      <c r="W2686" s="277"/>
      <c r="X2686" s="277"/>
      <c r="Y2686" s="277"/>
      <c r="Z2686" s="277"/>
      <c r="AA2686" s="277"/>
      <c r="AB2686" s="277"/>
      <c r="AC2686" s="277"/>
      <c r="AD2686" s="277"/>
      <c r="AE2686" s="277"/>
      <c r="AF2686" s="277"/>
      <c r="AG2686" s="277"/>
      <c r="AH2686" s="277"/>
      <c r="AI2686" s="277"/>
    </row>
    <row r="2687" spans="16:35" s="185" customFormat="1">
      <c r="P2687" s="277"/>
      <c r="Q2687" s="277"/>
      <c r="R2687" s="277"/>
      <c r="S2687" s="291">
        <v>44233</v>
      </c>
      <c r="T2687" s="279">
        <v>2594</v>
      </c>
      <c r="U2687" s="277"/>
      <c r="V2687" s="277"/>
      <c r="W2687" s="277"/>
      <c r="X2687" s="277"/>
      <c r="Y2687" s="277"/>
      <c r="Z2687" s="277"/>
      <c r="AA2687" s="277"/>
      <c r="AB2687" s="277"/>
      <c r="AC2687" s="277"/>
      <c r="AD2687" s="277"/>
      <c r="AE2687" s="277"/>
      <c r="AF2687" s="277"/>
      <c r="AG2687" s="277"/>
      <c r="AH2687" s="277"/>
      <c r="AI2687" s="277"/>
    </row>
    <row r="2688" spans="16:35" s="185" customFormat="1">
      <c r="P2688" s="277"/>
      <c r="Q2688" s="277"/>
      <c r="R2688" s="277"/>
      <c r="S2688" s="291">
        <v>44234</v>
      </c>
      <c r="T2688" s="279">
        <v>2595</v>
      </c>
      <c r="U2688" s="277"/>
      <c r="V2688" s="277"/>
      <c r="W2688" s="277"/>
      <c r="X2688" s="277"/>
      <c r="Y2688" s="277"/>
      <c r="Z2688" s="277"/>
      <c r="AA2688" s="277"/>
      <c r="AB2688" s="277"/>
      <c r="AC2688" s="277"/>
      <c r="AD2688" s="277"/>
      <c r="AE2688" s="277"/>
      <c r="AF2688" s="277"/>
      <c r="AG2688" s="277"/>
      <c r="AH2688" s="277"/>
      <c r="AI2688" s="277"/>
    </row>
    <row r="2689" spans="16:35" s="185" customFormat="1">
      <c r="P2689" s="277"/>
      <c r="Q2689" s="277"/>
      <c r="R2689" s="277"/>
      <c r="S2689" s="291">
        <v>44235</v>
      </c>
      <c r="T2689" s="279">
        <v>2596</v>
      </c>
      <c r="U2689" s="277"/>
      <c r="V2689" s="277"/>
      <c r="W2689" s="277"/>
      <c r="X2689" s="277"/>
      <c r="Y2689" s="277"/>
      <c r="Z2689" s="277"/>
      <c r="AA2689" s="277"/>
      <c r="AB2689" s="277"/>
      <c r="AC2689" s="277"/>
      <c r="AD2689" s="277"/>
      <c r="AE2689" s="277"/>
      <c r="AF2689" s="277"/>
      <c r="AG2689" s="277"/>
      <c r="AH2689" s="277"/>
      <c r="AI2689" s="277"/>
    </row>
    <row r="2690" spans="16:35" s="185" customFormat="1">
      <c r="P2690" s="277"/>
      <c r="Q2690" s="277"/>
      <c r="R2690" s="277"/>
      <c r="S2690" s="291">
        <v>44236</v>
      </c>
      <c r="T2690" s="279">
        <v>2597</v>
      </c>
      <c r="U2690" s="277"/>
      <c r="V2690" s="277"/>
      <c r="W2690" s="277"/>
      <c r="X2690" s="277"/>
      <c r="Y2690" s="277"/>
      <c r="Z2690" s="277"/>
      <c r="AA2690" s="277"/>
      <c r="AB2690" s="277"/>
      <c r="AC2690" s="277"/>
      <c r="AD2690" s="277"/>
      <c r="AE2690" s="277"/>
      <c r="AF2690" s="277"/>
      <c r="AG2690" s="277"/>
      <c r="AH2690" s="277"/>
      <c r="AI2690" s="277"/>
    </row>
    <row r="2691" spans="16:35" s="185" customFormat="1">
      <c r="P2691" s="277"/>
      <c r="Q2691" s="277"/>
      <c r="R2691" s="277"/>
      <c r="S2691" s="291">
        <v>44237</v>
      </c>
      <c r="T2691" s="279">
        <v>2598</v>
      </c>
      <c r="U2691" s="277"/>
      <c r="V2691" s="277"/>
      <c r="W2691" s="277"/>
      <c r="X2691" s="277"/>
      <c r="Y2691" s="277"/>
      <c r="Z2691" s="277"/>
      <c r="AA2691" s="277"/>
      <c r="AB2691" s="277"/>
      <c r="AC2691" s="277"/>
      <c r="AD2691" s="277"/>
      <c r="AE2691" s="277"/>
      <c r="AF2691" s="277"/>
      <c r="AG2691" s="277"/>
      <c r="AH2691" s="277"/>
      <c r="AI2691" s="277"/>
    </row>
    <row r="2692" spans="16:35" s="185" customFormat="1">
      <c r="P2692" s="277"/>
      <c r="Q2692" s="277"/>
      <c r="R2692" s="277"/>
      <c r="S2692" s="291">
        <v>44238</v>
      </c>
      <c r="T2692" s="279">
        <v>2599</v>
      </c>
      <c r="U2692" s="277"/>
      <c r="V2692" s="277"/>
      <c r="W2692" s="277"/>
      <c r="X2692" s="277"/>
      <c r="Y2692" s="277"/>
      <c r="Z2692" s="277"/>
      <c r="AA2692" s="277"/>
      <c r="AB2692" s="277"/>
      <c r="AC2692" s="277"/>
      <c r="AD2692" s="277"/>
      <c r="AE2692" s="277"/>
      <c r="AF2692" s="277"/>
      <c r="AG2692" s="277"/>
      <c r="AH2692" s="277"/>
      <c r="AI2692" s="277"/>
    </row>
    <row r="2693" spans="16:35" s="185" customFormat="1">
      <c r="P2693" s="277"/>
      <c r="Q2693" s="277"/>
      <c r="R2693" s="277"/>
      <c r="S2693" s="291">
        <v>44239</v>
      </c>
      <c r="T2693" s="279">
        <v>2600</v>
      </c>
      <c r="U2693" s="277"/>
      <c r="V2693" s="277"/>
      <c r="W2693" s="277"/>
      <c r="X2693" s="277"/>
      <c r="Y2693" s="277"/>
      <c r="Z2693" s="277"/>
      <c r="AA2693" s="277"/>
      <c r="AB2693" s="277"/>
      <c r="AC2693" s="277"/>
      <c r="AD2693" s="277"/>
      <c r="AE2693" s="277"/>
      <c r="AF2693" s="277"/>
      <c r="AG2693" s="277"/>
      <c r="AH2693" s="277"/>
      <c r="AI2693" s="277"/>
    </row>
    <row r="2694" spans="16:35" s="185" customFormat="1">
      <c r="P2694" s="277"/>
      <c r="Q2694" s="277"/>
      <c r="R2694" s="277"/>
      <c r="S2694" s="291">
        <v>44240</v>
      </c>
      <c r="T2694" s="279">
        <v>2601</v>
      </c>
      <c r="U2694" s="277"/>
      <c r="V2694" s="277"/>
      <c r="W2694" s="277"/>
      <c r="X2694" s="277"/>
      <c r="Y2694" s="277"/>
      <c r="Z2694" s="277"/>
      <c r="AA2694" s="277"/>
      <c r="AB2694" s="277"/>
      <c r="AC2694" s="277"/>
      <c r="AD2694" s="277"/>
      <c r="AE2694" s="277"/>
      <c r="AF2694" s="277"/>
      <c r="AG2694" s="277"/>
      <c r="AH2694" s="277"/>
      <c r="AI2694" s="277"/>
    </row>
    <row r="2695" spans="16:35" s="185" customFormat="1">
      <c r="P2695" s="277"/>
      <c r="Q2695" s="277"/>
      <c r="R2695" s="277"/>
      <c r="S2695" s="291">
        <v>44241</v>
      </c>
      <c r="T2695" s="279">
        <v>2602</v>
      </c>
      <c r="U2695" s="277"/>
      <c r="V2695" s="277"/>
      <c r="W2695" s="277"/>
      <c r="X2695" s="277"/>
      <c r="Y2695" s="277"/>
      <c r="Z2695" s="277"/>
      <c r="AA2695" s="277"/>
      <c r="AB2695" s="277"/>
      <c r="AC2695" s="277"/>
      <c r="AD2695" s="277"/>
      <c r="AE2695" s="277"/>
      <c r="AF2695" s="277"/>
      <c r="AG2695" s="277"/>
      <c r="AH2695" s="277"/>
      <c r="AI2695" s="277"/>
    </row>
    <row r="2696" spans="16:35" s="185" customFormat="1">
      <c r="P2696" s="277"/>
      <c r="Q2696" s="277"/>
      <c r="R2696" s="277"/>
      <c r="S2696" s="291">
        <v>44242</v>
      </c>
      <c r="T2696" s="279">
        <v>2603</v>
      </c>
      <c r="U2696" s="277"/>
      <c r="V2696" s="277"/>
      <c r="W2696" s="277"/>
      <c r="X2696" s="277"/>
      <c r="Y2696" s="277"/>
      <c r="Z2696" s="277"/>
      <c r="AA2696" s="277"/>
      <c r="AB2696" s="277"/>
      <c r="AC2696" s="277"/>
      <c r="AD2696" s="277"/>
      <c r="AE2696" s="277"/>
      <c r="AF2696" s="277"/>
      <c r="AG2696" s="277"/>
      <c r="AH2696" s="277"/>
      <c r="AI2696" s="277"/>
    </row>
    <row r="2697" spans="16:35" s="185" customFormat="1">
      <c r="P2697" s="277"/>
      <c r="Q2697" s="277"/>
      <c r="R2697" s="277"/>
      <c r="S2697" s="291">
        <v>44243</v>
      </c>
      <c r="T2697" s="279">
        <v>2604</v>
      </c>
      <c r="U2697" s="277"/>
      <c r="V2697" s="277"/>
      <c r="W2697" s="277"/>
      <c r="X2697" s="277"/>
      <c r="Y2697" s="277"/>
      <c r="Z2697" s="277"/>
      <c r="AA2697" s="277"/>
      <c r="AB2697" s="277"/>
      <c r="AC2697" s="277"/>
      <c r="AD2697" s="277"/>
      <c r="AE2697" s="277"/>
      <c r="AF2697" s="277"/>
      <c r="AG2697" s="277"/>
      <c r="AH2697" s="277"/>
      <c r="AI2697" s="277"/>
    </row>
    <row r="2698" spans="16:35" s="185" customFormat="1">
      <c r="P2698" s="277"/>
      <c r="Q2698" s="277"/>
      <c r="R2698" s="277"/>
      <c r="S2698" s="291">
        <v>44244</v>
      </c>
      <c r="T2698" s="279">
        <v>2605</v>
      </c>
      <c r="U2698" s="277"/>
      <c r="V2698" s="277"/>
      <c r="W2698" s="277"/>
      <c r="X2698" s="277"/>
      <c r="Y2698" s="277"/>
      <c r="Z2698" s="277"/>
      <c r="AA2698" s="277"/>
      <c r="AB2698" s="277"/>
      <c r="AC2698" s="277"/>
      <c r="AD2698" s="277"/>
      <c r="AE2698" s="277"/>
      <c r="AF2698" s="277"/>
      <c r="AG2698" s="277"/>
      <c r="AH2698" s="277"/>
      <c r="AI2698" s="277"/>
    </row>
    <row r="2699" spans="16:35" s="185" customFormat="1">
      <c r="P2699" s="277"/>
      <c r="Q2699" s="277"/>
      <c r="R2699" s="277"/>
      <c r="S2699" s="291">
        <v>44245</v>
      </c>
      <c r="T2699" s="279">
        <v>2606</v>
      </c>
      <c r="U2699" s="277"/>
      <c r="V2699" s="277"/>
      <c r="W2699" s="277"/>
      <c r="X2699" s="277"/>
      <c r="Y2699" s="277"/>
      <c r="Z2699" s="277"/>
      <c r="AA2699" s="277"/>
      <c r="AB2699" s="277"/>
      <c r="AC2699" s="277"/>
      <c r="AD2699" s="277"/>
      <c r="AE2699" s="277"/>
      <c r="AF2699" s="277"/>
      <c r="AG2699" s="277"/>
      <c r="AH2699" s="277"/>
      <c r="AI2699" s="277"/>
    </row>
    <row r="2700" spans="16:35" s="185" customFormat="1">
      <c r="P2700" s="277"/>
      <c r="Q2700" s="277"/>
      <c r="R2700" s="277"/>
      <c r="S2700" s="291">
        <v>44246</v>
      </c>
      <c r="T2700" s="279">
        <v>2607</v>
      </c>
      <c r="U2700" s="277"/>
      <c r="V2700" s="277"/>
      <c r="W2700" s="277"/>
      <c r="X2700" s="277"/>
      <c r="Y2700" s="277"/>
      <c r="Z2700" s="277"/>
      <c r="AA2700" s="277"/>
      <c r="AB2700" s="277"/>
      <c r="AC2700" s="277"/>
      <c r="AD2700" s="277"/>
      <c r="AE2700" s="277"/>
      <c r="AF2700" s="277"/>
      <c r="AG2700" s="277"/>
      <c r="AH2700" s="277"/>
      <c r="AI2700" s="277"/>
    </row>
    <row r="2701" spans="16:35" s="185" customFormat="1">
      <c r="P2701" s="277"/>
      <c r="Q2701" s="277"/>
      <c r="R2701" s="277"/>
      <c r="S2701" s="291">
        <v>44247</v>
      </c>
      <c r="T2701" s="279">
        <v>2608</v>
      </c>
      <c r="U2701" s="277"/>
      <c r="V2701" s="277"/>
      <c r="W2701" s="277"/>
      <c r="X2701" s="277"/>
      <c r="Y2701" s="277"/>
      <c r="Z2701" s="277"/>
      <c r="AA2701" s="277"/>
      <c r="AB2701" s="277"/>
      <c r="AC2701" s="277"/>
      <c r="AD2701" s="277"/>
      <c r="AE2701" s="277"/>
      <c r="AF2701" s="277"/>
      <c r="AG2701" s="277"/>
      <c r="AH2701" s="277"/>
      <c r="AI2701" s="277"/>
    </row>
    <row r="2702" spans="16:35" s="185" customFormat="1">
      <c r="P2702" s="277"/>
      <c r="Q2702" s="277"/>
      <c r="R2702" s="277"/>
      <c r="S2702" s="291">
        <v>44248</v>
      </c>
      <c r="T2702" s="279">
        <v>2609</v>
      </c>
      <c r="U2702" s="277"/>
      <c r="V2702" s="277"/>
      <c r="W2702" s="277"/>
      <c r="X2702" s="277"/>
      <c r="Y2702" s="277"/>
      <c r="Z2702" s="277"/>
      <c r="AA2702" s="277"/>
      <c r="AB2702" s="277"/>
      <c r="AC2702" s="277"/>
      <c r="AD2702" s="277"/>
      <c r="AE2702" s="277"/>
      <c r="AF2702" s="277"/>
      <c r="AG2702" s="277"/>
      <c r="AH2702" s="277"/>
      <c r="AI2702" s="277"/>
    </row>
    <row r="2703" spans="16:35" s="185" customFormat="1">
      <c r="P2703" s="277"/>
      <c r="Q2703" s="277"/>
      <c r="R2703" s="277"/>
      <c r="S2703" s="291">
        <v>44249</v>
      </c>
      <c r="T2703" s="279">
        <v>2610</v>
      </c>
      <c r="U2703" s="277"/>
      <c r="V2703" s="277"/>
      <c r="W2703" s="277"/>
      <c r="X2703" s="277"/>
      <c r="Y2703" s="277"/>
      <c r="Z2703" s="277"/>
      <c r="AA2703" s="277"/>
      <c r="AB2703" s="277"/>
      <c r="AC2703" s="277"/>
      <c r="AD2703" s="277"/>
      <c r="AE2703" s="277"/>
      <c r="AF2703" s="277"/>
      <c r="AG2703" s="277"/>
      <c r="AH2703" s="277"/>
      <c r="AI2703" s="277"/>
    </row>
    <row r="2704" spans="16:35" s="185" customFormat="1">
      <c r="P2704" s="277"/>
      <c r="Q2704" s="277"/>
      <c r="R2704" s="277"/>
      <c r="S2704" s="291">
        <v>44250</v>
      </c>
      <c r="T2704" s="279">
        <v>2611</v>
      </c>
      <c r="U2704" s="277"/>
      <c r="V2704" s="277"/>
      <c r="W2704" s="277"/>
      <c r="X2704" s="277"/>
      <c r="Y2704" s="277"/>
      <c r="Z2704" s="277"/>
      <c r="AA2704" s="277"/>
      <c r="AB2704" s="277"/>
      <c r="AC2704" s="277"/>
      <c r="AD2704" s="277"/>
      <c r="AE2704" s="277"/>
      <c r="AF2704" s="277"/>
      <c r="AG2704" s="277"/>
      <c r="AH2704" s="277"/>
      <c r="AI2704" s="277"/>
    </row>
    <row r="2705" spans="16:35" s="185" customFormat="1">
      <c r="P2705" s="277"/>
      <c r="Q2705" s="277"/>
      <c r="R2705" s="277"/>
      <c r="S2705" s="291">
        <v>44251</v>
      </c>
      <c r="T2705" s="279">
        <v>2612</v>
      </c>
      <c r="U2705" s="277"/>
      <c r="V2705" s="277"/>
      <c r="W2705" s="277"/>
      <c r="X2705" s="277"/>
      <c r="Y2705" s="277"/>
      <c r="Z2705" s="277"/>
      <c r="AA2705" s="277"/>
      <c r="AB2705" s="277"/>
      <c r="AC2705" s="277"/>
      <c r="AD2705" s="277"/>
      <c r="AE2705" s="277"/>
      <c r="AF2705" s="277"/>
      <c r="AG2705" s="277"/>
      <c r="AH2705" s="277"/>
      <c r="AI2705" s="277"/>
    </row>
    <row r="2706" spans="16:35" s="185" customFormat="1">
      <c r="P2706" s="277"/>
      <c r="Q2706" s="277"/>
      <c r="R2706" s="277"/>
      <c r="S2706" s="291">
        <v>44252</v>
      </c>
      <c r="T2706" s="279">
        <v>2613</v>
      </c>
      <c r="U2706" s="277"/>
      <c r="V2706" s="277"/>
      <c r="W2706" s="277"/>
      <c r="X2706" s="277"/>
      <c r="Y2706" s="277"/>
      <c r="Z2706" s="277"/>
      <c r="AA2706" s="277"/>
      <c r="AB2706" s="277"/>
      <c r="AC2706" s="277"/>
      <c r="AD2706" s="277"/>
      <c r="AE2706" s="277"/>
      <c r="AF2706" s="277"/>
      <c r="AG2706" s="277"/>
      <c r="AH2706" s="277"/>
      <c r="AI2706" s="277"/>
    </row>
    <row r="2707" spans="16:35" s="185" customFormat="1">
      <c r="P2707" s="277"/>
      <c r="Q2707" s="277"/>
      <c r="R2707" s="277"/>
      <c r="S2707" s="291">
        <v>44253</v>
      </c>
      <c r="T2707" s="279">
        <v>2614</v>
      </c>
      <c r="U2707" s="277"/>
      <c r="V2707" s="277"/>
      <c r="W2707" s="277"/>
      <c r="X2707" s="277"/>
      <c r="Y2707" s="277"/>
      <c r="Z2707" s="277"/>
      <c r="AA2707" s="277"/>
      <c r="AB2707" s="277"/>
      <c r="AC2707" s="277"/>
      <c r="AD2707" s="277"/>
      <c r="AE2707" s="277"/>
      <c r="AF2707" s="277"/>
      <c r="AG2707" s="277"/>
      <c r="AH2707" s="277"/>
      <c r="AI2707" s="277"/>
    </row>
    <row r="2708" spans="16:35" s="185" customFormat="1">
      <c r="P2708" s="277"/>
      <c r="Q2708" s="277"/>
      <c r="R2708" s="277"/>
      <c r="S2708" s="291">
        <v>44254</v>
      </c>
      <c r="T2708" s="279">
        <v>2615</v>
      </c>
      <c r="U2708" s="277"/>
      <c r="V2708" s="277"/>
      <c r="W2708" s="277"/>
      <c r="X2708" s="277"/>
      <c r="Y2708" s="277"/>
      <c r="Z2708" s="277"/>
      <c r="AA2708" s="277"/>
      <c r="AB2708" s="277"/>
      <c r="AC2708" s="277"/>
      <c r="AD2708" s="277"/>
      <c r="AE2708" s="277"/>
      <c r="AF2708" s="277"/>
      <c r="AG2708" s="277"/>
      <c r="AH2708" s="277"/>
      <c r="AI2708" s="277"/>
    </row>
    <row r="2709" spans="16:35" s="185" customFormat="1">
      <c r="P2709" s="277"/>
      <c r="Q2709" s="277"/>
      <c r="R2709" s="277"/>
      <c r="S2709" s="291">
        <v>44255</v>
      </c>
      <c r="T2709" s="279">
        <v>2616</v>
      </c>
      <c r="U2709" s="277"/>
      <c r="V2709" s="277"/>
      <c r="W2709" s="277"/>
      <c r="X2709" s="277"/>
      <c r="Y2709" s="277"/>
      <c r="Z2709" s="277"/>
      <c r="AA2709" s="277"/>
      <c r="AB2709" s="277"/>
      <c r="AC2709" s="277"/>
      <c r="AD2709" s="277"/>
      <c r="AE2709" s="277"/>
      <c r="AF2709" s="277"/>
      <c r="AG2709" s="277"/>
      <c r="AH2709" s="277"/>
      <c r="AI2709" s="277"/>
    </row>
    <row r="2710" spans="16:35" s="185" customFormat="1">
      <c r="P2710" s="277"/>
      <c r="Q2710" s="277"/>
      <c r="R2710" s="277"/>
      <c r="S2710" s="291">
        <v>44256</v>
      </c>
      <c r="T2710" s="279">
        <v>2617</v>
      </c>
      <c r="U2710" s="277"/>
      <c r="V2710" s="277"/>
      <c r="W2710" s="277"/>
      <c r="X2710" s="277"/>
      <c r="Y2710" s="277"/>
      <c r="Z2710" s="277"/>
      <c r="AA2710" s="277"/>
      <c r="AB2710" s="277"/>
      <c r="AC2710" s="277"/>
      <c r="AD2710" s="277"/>
      <c r="AE2710" s="277"/>
      <c r="AF2710" s="277"/>
      <c r="AG2710" s="277"/>
      <c r="AH2710" s="277"/>
      <c r="AI2710" s="277"/>
    </row>
    <row r="2711" spans="16:35" s="185" customFormat="1">
      <c r="P2711" s="277"/>
      <c r="Q2711" s="277"/>
      <c r="R2711" s="277"/>
      <c r="S2711" s="291">
        <v>44257</v>
      </c>
      <c r="T2711" s="279">
        <v>2618</v>
      </c>
      <c r="U2711" s="277"/>
      <c r="V2711" s="277"/>
      <c r="W2711" s="277"/>
      <c r="X2711" s="277"/>
      <c r="Y2711" s="277"/>
      <c r="Z2711" s="277"/>
      <c r="AA2711" s="277"/>
      <c r="AB2711" s="277"/>
      <c r="AC2711" s="277"/>
      <c r="AD2711" s="277"/>
      <c r="AE2711" s="277"/>
      <c r="AF2711" s="277"/>
      <c r="AG2711" s="277"/>
      <c r="AH2711" s="277"/>
      <c r="AI2711" s="277"/>
    </row>
    <row r="2712" spans="16:35" s="185" customFormat="1">
      <c r="P2712" s="277"/>
      <c r="Q2712" s="277"/>
      <c r="R2712" s="277"/>
      <c r="S2712" s="291">
        <v>44258</v>
      </c>
      <c r="T2712" s="279">
        <v>2619</v>
      </c>
      <c r="U2712" s="277"/>
      <c r="V2712" s="277"/>
      <c r="W2712" s="277"/>
      <c r="X2712" s="277"/>
      <c r="Y2712" s="277"/>
      <c r="Z2712" s="277"/>
      <c r="AA2712" s="277"/>
      <c r="AB2712" s="277"/>
      <c r="AC2712" s="277"/>
      <c r="AD2712" s="277"/>
      <c r="AE2712" s="277"/>
      <c r="AF2712" s="277"/>
      <c r="AG2712" s="277"/>
      <c r="AH2712" s="277"/>
      <c r="AI2712" s="277"/>
    </row>
    <row r="2713" spans="16:35" s="185" customFormat="1">
      <c r="P2713" s="277"/>
      <c r="Q2713" s="277"/>
      <c r="R2713" s="277"/>
      <c r="S2713" s="291">
        <v>44259</v>
      </c>
      <c r="T2713" s="279">
        <v>2620</v>
      </c>
      <c r="U2713" s="277"/>
      <c r="V2713" s="277"/>
      <c r="W2713" s="277"/>
      <c r="X2713" s="277"/>
      <c r="Y2713" s="277"/>
      <c r="Z2713" s="277"/>
      <c r="AA2713" s="277"/>
      <c r="AB2713" s="277"/>
      <c r="AC2713" s="277"/>
      <c r="AD2713" s="277"/>
      <c r="AE2713" s="277"/>
      <c r="AF2713" s="277"/>
      <c r="AG2713" s="277"/>
      <c r="AH2713" s="277"/>
      <c r="AI2713" s="277"/>
    </row>
    <row r="2714" spans="16:35" s="185" customFormat="1">
      <c r="P2714" s="277"/>
      <c r="Q2714" s="277"/>
      <c r="R2714" s="277"/>
      <c r="S2714" s="291">
        <v>44260</v>
      </c>
      <c r="T2714" s="279">
        <v>2621</v>
      </c>
      <c r="U2714" s="277"/>
      <c r="V2714" s="277"/>
      <c r="W2714" s="277"/>
      <c r="X2714" s="277"/>
      <c r="Y2714" s="277"/>
      <c r="Z2714" s="277"/>
      <c r="AA2714" s="277"/>
      <c r="AB2714" s="277"/>
      <c r="AC2714" s="277"/>
      <c r="AD2714" s="277"/>
      <c r="AE2714" s="277"/>
      <c r="AF2714" s="277"/>
      <c r="AG2714" s="277"/>
      <c r="AH2714" s="277"/>
      <c r="AI2714" s="277"/>
    </row>
    <row r="2715" spans="16:35" s="185" customFormat="1">
      <c r="P2715" s="277"/>
      <c r="Q2715" s="277"/>
      <c r="R2715" s="277"/>
      <c r="S2715" s="291">
        <v>44261</v>
      </c>
      <c r="T2715" s="279">
        <v>2622</v>
      </c>
      <c r="U2715" s="277"/>
      <c r="V2715" s="277"/>
      <c r="W2715" s="277"/>
      <c r="X2715" s="277"/>
      <c r="Y2715" s="277"/>
      <c r="Z2715" s="277"/>
      <c r="AA2715" s="277"/>
      <c r="AB2715" s="277"/>
      <c r="AC2715" s="277"/>
      <c r="AD2715" s="277"/>
      <c r="AE2715" s="277"/>
      <c r="AF2715" s="277"/>
      <c r="AG2715" s="277"/>
      <c r="AH2715" s="277"/>
      <c r="AI2715" s="277"/>
    </row>
    <row r="2716" spans="16:35" s="185" customFormat="1">
      <c r="P2716" s="277"/>
      <c r="Q2716" s="277"/>
      <c r="R2716" s="277"/>
      <c r="S2716" s="291">
        <v>44262</v>
      </c>
      <c r="T2716" s="279">
        <v>2623</v>
      </c>
      <c r="U2716" s="277"/>
      <c r="V2716" s="277"/>
      <c r="W2716" s="277"/>
      <c r="X2716" s="277"/>
      <c r="Y2716" s="277"/>
      <c r="Z2716" s="277"/>
      <c r="AA2716" s="277"/>
      <c r="AB2716" s="277"/>
      <c r="AC2716" s="277"/>
      <c r="AD2716" s="277"/>
      <c r="AE2716" s="277"/>
      <c r="AF2716" s="277"/>
      <c r="AG2716" s="277"/>
      <c r="AH2716" s="277"/>
      <c r="AI2716" s="277"/>
    </row>
    <row r="2717" spans="16:35" s="185" customFormat="1">
      <c r="P2717" s="277"/>
      <c r="Q2717" s="277"/>
      <c r="R2717" s="277"/>
      <c r="S2717" s="291">
        <v>44263</v>
      </c>
      <c r="T2717" s="279">
        <v>2624</v>
      </c>
      <c r="U2717" s="277"/>
      <c r="V2717" s="277"/>
      <c r="W2717" s="277"/>
      <c r="X2717" s="277"/>
      <c r="Y2717" s="277"/>
      <c r="Z2717" s="277"/>
      <c r="AA2717" s="277"/>
      <c r="AB2717" s="277"/>
      <c r="AC2717" s="277"/>
      <c r="AD2717" s="277"/>
      <c r="AE2717" s="277"/>
      <c r="AF2717" s="277"/>
      <c r="AG2717" s="277"/>
      <c r="AH2717" s="277"/>
      <c r="AI2717" s="277"/>
    </row>
    <row r="2718" spans="16:35" s="185" customFormat="1">
      <c r="P2718" s="277"/>
      <c r="Q2718" s="277"/>
      <c r="R2718" s="277"/>
      <c r="S2718" s="291">
        <v>44264</v>
      </c>
      <c r="T2718" s="279">
        <v>2625</v>
      </c>
      <c r="U2718" s="277"/>
      <c r="V2718" s="277"/>
      <c r="W2718" s="277"/>
      <c r="X2718" s="277"/>
      <c r="Y2718" s="277"/>
      <c r="Z2718" s="277"/>
      <c r="AA2718" s="277"/>
      <c r="AB2718" s="277"/>
      <c r="AC2718" s="277"/>
      <c r="AD2718" s="277"/>
      <c r="AE2718" s="277"/>
      <c r="AF2718" s="277"/>
      <c r="AG2718" s="277"/>
      <c r="AH2718" s="277"/>
      <c r="AI2718" s="277"/>
    </row>
    <row r="2719" spans="16:35" s="185" customFormat="1">
      <c r="P2719" s="277"/>
      <c r="Q2719" s="277"/>
      <c r="R2719" s="277"/>
      <c r="S2719" s="291">
        <v>44265</v>
      </c>
      <c r="T2719" s="279">
        <v>2626</v>
      </c>
      <c r="U2719" s="277"/>
      <c r="V2719" s="277"/>
      <c r="W2719" s="277"/>
      <c r="X2719" s="277"/>
      <c r="Y2719" s="277"/>
      <c r="Z2719" s="277"/>
      <c r="AA2719" s="277"/>
      <c r="AB2719" s="277"/>
      <c r="AC2719" s="277"/>
      <c r="AD2719" s="277"/>
      <c r="AE2719" s="277"/>
      <c r="AF2719" s="277"/>
      <c r="AG2719" s="277"/>
      <c r="AH2719" s="277"/>
      <c r="AI2719" s="277"/>
    </row>
    <row r="2720" spans="16:35" s="185" customFormat="1">
      <c r="P2720" s="277"/>
      <c r="Q2720" s="277"/>
      <c r="R2720" s="277"/>
      <c r="S2720" s="291">
        <v>44266</v>
      </c>
      <c r="T2720" s="279">
        <v>2627</v>
      </c>
      <c r="U2720" s="277"/>
      <c r="V2720" s="277"/>
      <c r="W2720" s="277"/>
      <c r="X2720" s="277"/>
      <c r="Y2720" s="277"/>
      <c r="Z2720" s="277"/>
      <c r="AA2720" s="277"/>
      <c r="AB2720" s="277"/>
      <c r="AC2720" s="277"/>
      <c r="AD2720" s="277"/>
      <c r="AE2720" s="277"/>
      <c r="AF2720" s="277"/>
      <c r="AG2720" s="277"/>
      <c r="AH2720" s="277"/>
      <c r="AI2720" s="277"/>
    </row>
    <row r="2721" spans="16:35" s="185" customFormat="1">
      <c r="P2721" s="277"/>
      <c r="Q2721" s="277"/>
      <c r="R2721" s="277"/>
      <c r="S2721" s="291">
        <v>44267</v>
      </c>
      <c r="T2721" s="279">
        <v>2628</v>
      </c>
      <c r="U2721" s="277"/>
      <c r="V2721" s="277"/>
      <c r="W2721" s="277"/>
      <c r="X2721" s="277"/>
      <c r="Y2721" s="277"/>
      <c r="Z2721" s="277"/>
      <c r="AA2721" s="277"/>
      <c r="AB2721" s="277"/>
      <c r="AC2721" s="277"/>
      <c r="AD2721" s="277"/>
      <c r="AE2721" s="277"/>
      <c r="AF2721" s="277"/>
      <c r="AG2721" s="277"/>
      <c r="AH2721" s="277"/>
      <c r="AI2721" s="277"/>
    </row>
    <row r="2722" spans="16:35" s="185" customFormat="1">
      <c r="P2722" s="277"/>
      <c r="Q2722" s="277"/>
      <c r="R2722" s="277"/>
      <c r="S2722" s="291">
        <v>44268</v>
      </c>
      <c r="T2722" s="279">
        <v>2629</v>
      </c>
      <c r="U2722" s="277"/>
      <c r="V2722" s="277"/>
      <c r="W2722" s="277"/>
      <c r="X2722" s="277"/>
      <c r="Y2722" s="277"/>
      <c r="Z2722" s="277"/>
      <c r="AA2722" s="277"/>
      <c r="AB2722" s="277"/>
      <c r="AC2722" s="277"/>
      <c r="AD2722" s="277"/>
      <c r="AE2722" s="277"/>
      <c r="AF2722" s="277"/>
      <c r="AG2722" s="277"/>
      <c r="AH2722" s="277"/>
      <c r="AI2722" s="277"/>
    </row>
    <row r="2723" spans="16:35" s="185" customFormat="1">
      <c r="P2723" s="277"/>
      <c r="Q2723" s="277"/>
      <c r="R2723" s="277"/>
      <c r="S2723" s="291">
        <v>44269</v>
      </c>
      <c r="T2723" s="279">
        <v>2630</v>
      </c>
      <c r="U2723" s="277"/>
      <c r="V2723" s="277"/>
      <c r="W2723" s="277"/>
      <c r="X2723" s="277"/>
      <c r="Y2723" s="277"/>
      <c r="Z2723" s="277"/>
      <c r="AA2723" s="277"/>
      <c r="AB2723" s="277"/>
      <c r="AC2723" s="277"/>
      <c r="AD2723" s="277"/>
      <c r="AE2723" s="277"/>
      <c r="AF2723" s="277"/>
      <c r="AG2723" s="277"/>
      <c r="AH2723" s="277"/>
      <c r="AI2723" s="277"/>
    </row>
    <row r="2724" spans="16:35" s="185" customFormat="1">
      <c r="P2724" s="277"/>
      <c r="Q2724" s="277"/>
      <c r="R2724" s="277"/>
      <c r="S2724" s="291">
        <v>44270</v>
      </c>
      <c r="T2724" s="279">
        <v>2631</v>
      </c>
      <c r="U2724" s="277"/>
      <c r="V2724" s="277"/>
      <c r="W2724" s="277"/>
      <c r="X2724" s="277"/>
      <c r="Y2724" s="277"/>
      <c r="Z2724" s="277"/>
      <c r="AA2724" s="277"/>
      <c r="AB2724" s="277"/>
      <c r="AC2724" s="277"/>
      <c r="AD2724" s="277"/>
      <c r="AE2724" s="277"/>
      <c r="AF2724" s="277"/>
      <c r="AG2724" s="277"/>
      <c r="AH2724" s="277"/>
      <c r="AI2724" s="277"/>
    </row>
    <row r="2725" spans="16:35" s="185" customFormat="1">
      <c r="P2725" s="277"/>
      <c r="Q2725" s="277"/>
      <c r="R2725" s="277"/>
      <c r="S2725" s="291">
        <v>44271</v>
      </c>
      <c r="T2725" s="279">
        <v>2632</v>
      </c>
      <c r="U2725" s="277"/>
      <c r="V2725" s="277"/>
      <c r="W2725" s="277"/>
      <c r="X2725" s="277"/>
      <c r="Y2725" s="277"/>
      <c r="Z2725" s="277"/>
      <c r="AA2725" s="277"/>
      <c r="AB2725" s="277"/>
      <c r="AC2725" s="277"/>
      <c r="AD2725" s="277"/>
      <c r="AE2725" s="277"/>
      <c r="AF2725" s="277"/>
      <c r="AG2725" s="277"/>
      <c r="AH2725" s="277"/>
      <c r="AI2725" s="277"/>
    </row>
    <row r="2726" spans="16:35" s="185" customFormat="1">
      <c r="P2726" s="277"/>
      <c r="Q2726" s="277"/>
      <c r="R2726" s="277"/>
      <c r="S2726" s="291">
        <v>44272</v>
      </c>
      <c r="T2726" s="279">
        <v>2633</v>
      </c>
      <c r="U2726" s="277"/>
      <c r="V2726" s="277"/>
      <c r="W2726" s="277"/>
      <c r="X2726" s="277"/>
      <c r="Y2726" s="277"/>
      <c r="Z2726" s="277"/>
      <c r="AA2726" s="277"/>
      <c r="AB2726" s="277"/>
      <c r="AC2726" s="277"/>
      <c r="AD2726" s="277"/>
      <c r="AE2726" s="277"/>
      <c r="AF2726" s="277"/>
      <c r="AG2726" s="277"/>
      <c r="AH2726" s="277"/>
      <c r="AI2726" s="277"/>
    </row>
    <row r="2727" spans="16:35" s="185" customFormat="1">
      <c r="P2727" s="277"/>
      <c r="Q2727" s="277"/>
      <c r="R2727" s="277"/>
      <c r="S2727" s="291">
        <v>44273</v>
      </c>
      <c r="T2727" s="279">
        <v>2634</v>
      </c>
      <c r="U2727" s="277"/>
      <c r="V2727" s="277"/>
      <c r="W2727" s="277"/>
      <c r="X2727" s="277"/>
      <c r="Y2727" s="277"/>
      <c r="Z2727" s="277"/>
      <c r="AA2727" s="277"/>
      <c r="AB2727" s="277"/>
      <c r="AC2727" s="277"/>
      <c r="AD2727" s="277"/>
      <c r="AE2727" s="277"/>
      <c r="AF2727" s="277"/>
      <c r="AG2727" s="277"/>
      <c r="AH2727" s="277"/>
      <c r="AI2727" s="277"/>
    </row>
    <row r="2728" spans="16:35" s="185" customFormat="1">
      <c r="P2728" s="277"/>
      <c r="Q2728" s="277"/>
      <c r="R2728" s="277"/>
      <c r="S2728" s="291">
        <v>44274</v>
      </c>
      <c r="T2728" s="279">
        <v>2635</v>
      </c>
      <c r="U2728" s="277"/>
      <c r="V2728" s="277"/>
      <c r="W2728" s="277"/>
      <c r="X2728" s="277"/>
      <c r="Y2728" s="277"/>
      <c r="Z2728" s="277"/>
      <c r="AA2728" s="277"/>
      <c r="AB2728" s="277"/>
      <c r="AC2728" s="277"/>
      <c r="AD2728" s="277"/>
      <c r="AE2728" s="277"/>
      <c r="AF2728" s="277"/>
      <c r="AG2728" s="277"/>
      <c r="AH2728" s="277"/>
      <c r="AI2728" s="277"/>
    </row>
    <row r="2729" spans="16:35" s="185" customFormat="1">
      <c r="P2729" s="277"/>
      <c r="Q2729" s="277"/>
      <c r="R2729" s="277"/>
      <c r="S2729" s="291">
        <v>44275</v>
      </c>
      <c r="T2729" s="279">
        <v>2636</v>
      </c>
      <c r="U2729" s="277"/>
      <c r="V2729" s="277"/>
      <c r="W2729" s="277"/>
      <c r="X2729" s="277"/>
      <c r="Y2729" s="277"/>
      <c r="Z2729" s="277"/>
      <c r="AA2729" s="277"/>
      <c r="AB2729" s="277"/>
      <c r="AC2729" s="277"/>
      <c r="AD2729" s="277"/>
      <c r="AE2729" s="277"/>
      <c r="AF2729" s="277"/>
      <c r="AG2729" s="277"/>
      <c r="AH2729" s="277"/>
      <c r="AI2729" s="277"/>
    </row>
    <row r="2730" spans="16:35" s="185" customFormat="1">
      <c r="P2730" s="277"/>
      <c r="Q2730" s="277"/>
      <c r="R2730" s="277"/>
      <c r="S2730" s="291">
        <v>44276</v>
      </c>
      <c r="T2730" s="279">
        <v>2637</v>
      </c>
      <c r="U2730" s="277"/>
      <c r="V2730" s="277"/>
      <c r="W2730" s="277"/>
      <c r="X2730" s="277"/>
      <c r="Y2730" s="277"/>
      <c r="Z2730" s="277"/>
      <c r="AA2730" s="277"/>
      <c r="AB2730" s="277"/>
      <c r="AC2730" s="277"/>
      <c r="AD2730" s="277"/>
      <c r="AE2730" s="277"/>
      <c r="AF2730" s="277"/>
      <c r="AG2730" s="277"/>
      <c r="AH2730" s="277"/>
      <c r="AI2730" s="277"/>
    </row>
    <row r="2731" spans="16:35" s="185" customFormat="1">
      <c r="P2731" s="277"/>
      <c r="Q2731" s="277"/>
      <c r="R2731" s="277"/>
      <c r="S2731" s="291">
        <v>44277</v>
      </c>
      <c r="T2731" s="279">
        <v>2638</v>
      </c>
      <c r="U2731" s="277"/>
      <c r="V2731" s="277"/>
      <c r="W2731" s="277"/>
      <c r="X2731" s="277"/>
      <c r="Y2731" s="277"/>
      <c r="Z2731" s="277"/>
      <c r="AA2731" s="277"/>
      <c r="AB2731" s="277"/>
      <c r="AC2731" s="277"/>
      <c r="AD2731" s="277"/>
      <c r="AE2731" s="277"/>
      <c r="AF2731" s="277"/>
      <c r="AG2731" s="277"/>
      <c r="AH2731" s="277"/>
      <c r="AI2731" s="277"/>
    </row>
    <row r="2732" spans="16:35" s="185" customFormat="1">
      <c r="P2732" s="277"/>
      <c r="Q2732" s="277"/>
      <c r="R2732" s="277"/>
      <c r="S2732" s="291">
        <v>44278</v>
      </c>
      <c r="T2732" s="279">
        <v>2639</v>
      </c>
      <c r="U2732" s="277"/>
      <c r="V2732" s="277"/>
      <c r="W2732" s="277"/>
      <c r="X2732" s="277"/>
      <c r="Y2732" s="277"/>
      <c r="Z2732" s="277"/>
      <c r="AA2732" s="277"/>
      <c r="AB2732" s="277"/>
      <c r="AC2732" s="277"/>
      <c r="AD2732" s="277"/>
      <c r="AE2732" s="277"/>
      <c r="AF2732" s="277"/>
      <c r="AG2732" s="277"/>
      <c r="AH2732" s="277"/>
      <c r="AI2732" s="277"/>
    </row>
    <row r="2733" spans="16:35" s="185" customFormat="1">
      <c r="P2733" s="277"/>
      <c r="Q2733" s="277"/>
      <c r="R2733" s="277"/>
      <c r="S2733" s="291">
        <v>44279</v>
      </c>
      <c r="T2733" s="279">
        <v>2640</v>
      </c>
      <c r="U2733" s="277"/>
      <c r="V2733" s="277"/>
      <c r="W2733" s="277"/>
      <c r="X2733" s="277"/>
      <c r="Y2733" s="277"/>
      <c r="Z2733" s="277"/>
      <c r="AA2733" s="277"/>
      <c r="AB2733" s="277"/>
      <c r="AC2733" s="277"/>
      <c r="AD2733" s="277"/>
      <c r="AE2733" s="277"/>
      <c r="AF2733" s="277"/>
      <c r="AG2733" s="277"/>
      <c r="AH2733" s="277"/>
      <c r="AI2733" s="277"/>
    </row>
    <row r="2734" spans="16:35" s="185" customFormat="1">
      <c r="P2734" s="277"/>
      <c r="Q2734" s="277"/>
      <c r="R2734" s="277"/>
      <c r="S2734" s="291">
        <v>44280</v>
      </c>
      <c r="T2734" s="279">
        <v>2641</v>
      </c>
      <c r="U2734" s="277"/>
      <c r="V2734" s="277"/>
      <c r="W2734" s="277"/>
      <c r="X2734" s="277"/>
      <c r="Y2734" s="277"/>
      <c r="Z2734" s="277"/>
      <c r="AA2734" s="277"/>
      <c r="AB2734" s="277"/>
      <c r="AC2734" s="277"/>
      <c r="AD2734" s="277"/>
      <c r="AE2734" s="277"/>
      <c r="AF2734" s="277"/>
      <c r="AG2734" s="277"/>
      <c r="AH2734" s="277"/>
      <c r="AI2734" s="277"/>
    </row>
    <row r="2735" spans="16:35" s="185" customFormat="1">
      <c r="P2735" s="277"/>
      <c r="Q2735" s="277"/>
      <c r="R2735" s="277"/>
      <c r="S2735" s="291">
        <v>44281</v>
      </c>
      <c r="T2735" s="279">
        <v>2642</v>
      </c>
      <c r="U2735" s="277"/>
      <c r="V2735" s="277"/>
      <c r="W2735" s="277"/>
      <c r="X2735" s="277"/>
      <c r="Y2735" s="277"/>
      <c r="Z2735" s="277"/>
      <c r="AA2735" s="277"/>
      <c r="AB2735" s="277"/>
      <c r="AC2735" s="277"/>
      <c r="AD2735" s="277"/>
      <c r="AE2735" s="277"/>
      <c r="AF2735" s="277"/>
      <c r="AG2735" s="277"/>
      <c r="AH2735" s="277"/>
      <c r="AI2735" s="277"/>
    </row>
    <row r="2736" spans="16:35" s="185" customFormat="1">
      <c r="P2736" s="277"/>
      <c r="Q2736" s="277"/>
      <c r="R2736" s="277"/>
      <c r="S2736" s="291">
        <v>44282</v>
      </c>
      <c r="T2736" s="279">
        <v>2643</v>
      </c>
      <c r="U2736" s="277"/>
      <c r="V2736" s="277"/>
      <c r="W2736" s="277"/>
      <c r="X2736" s="277"/>
      <c r="Y2736" s="277"/>
      <c r="Z2736" s="277"/>
      <c r="AA2736" s="277"/>
      <c r="AB2736" s="277"/>
      <c r="AC2736" s="277"/>
      <c r="AD2736" s="277"/>
      <c r="AE2736" s="277"/>
      <c r="AF2736" s="277"/>
      <c r="AG2736" s="277"/>
      <c r="AH2736" s="277"/>
      <c r="AI2736" s="277"/>
    </row>
    <row r="2737" spans="16:35" s="185" customFormat="1">
      <c r="P2737" s="277"/>
      <c r="Q2737" s="277"/>
      <c r="R2737" s="277"/>
      <c r="S2737" s="291">
        <v>44283</v>
      </c>
      <c r="T2737" s="279">
        <v>2644</v>
      </c>
      <c r="U2737" s="277"/>
      <c r="V2737" s="277"/>
      <c r="W2737" s="277"/>
      <c r="X2737" s="277"/>
      <c r="Y2737" s="277"/>
      <c r="Z2737" s="277"/>
      <c r="AA2737" s="277"/>
      <c r="AB2737" s="277"/>
      <c r="AC2737" s="277"/>
      <c r="AD2737" s="277"/>
      <c r="AE2737" s="277"/>
      <c r="AF2737" s="277"/>
      <c r="AG2737" s="277"/>
      <c r="AH2737" s="277"/>
      <c r="AI2737" s="277"/>
    </row>
    <row r="2738" spans="16:35" s="185" customFormat="1">
      <c r="P2738" s="277"/>
      <c r="Q2738" s="277"/>
      <c r="R2738" s="277"/>
      <c r="S2738" s="291">
        <v>44284</v>
      </c>
      <c r="T2738" s="279">
        <v>2645</v>
      </c>
      <c r="U2738" s="277"/>
      <c r="V2738" s="277"/>
      <c r="W2738" s="277"/>
      <c r="X2738" s="277"/>
      <c r="Y2738" s="277"/>
      <c r="Z2738" s="277"/>
      <c r="AA2738" s="277"/>
      <c r="AB2738" s="277"/>
      <c r="AC2738" s="277"/>
      <c r="AD2738" s="277"/>
      <c r="AE2738" s="277"/>
      <c r="AF2738" s="277"/>
      <c r="AG2738" s="277"/>
      <c r="AH2738" s="277"/>
      <c r="AI2738" s="277"/>
    </row>
    <row r="2739" spans="16:35" s="185" customFormat="1">
      <c r="P2739" s="277"/>
      <c r="Q2739" s="277"/>
      <c r="R2739" s="277"/>
      <c r="S2739" s="291">
        <v>44285</v>
      </c>
      <c r="T2739" s="279">
        <v>2646</v>
      </c>
      <c r="U2739" s="277"/>
      <c r="V2739" s="277"/>
      <c r="W2739" s="277"/>
      <c r="X2739" s="277"/>
      <c r="Y2739" s="277"/>
      <c r="Z2739" s="277"/>
      <c r="AA2739" s="277"/>
      <c r="AB2739" s="277"/>
      <c r="AC2739" s="277"/>
      <c r="AD2739" s="277"/>
      <c r="AE2739" s="277"/>
      <c r="AF2739" s="277"/>
      <c r="AG2739" s="277"/>
      <c r="AH2739" s="277"/>
      <c r="AI2739" s="277"/>
    </row>
    <row r="2740" spans="16:35" s="185" customFormat="1">
      <c r="P2740" s="277"/>
      <c r="Q2740" s="277"/>
      <c r="R2740" s="277"/>
      <c r="S2740" s="291">
        <v>44286</v>
      </c>
      <c r="T2740" s="279">
        <v>2647</v>
      </c>
      <c r="U2740" s="277"/>
      <c r="V2740" s="277"/>
      <c r="W2740" s="277"/>
      <c r="X2740" s="277"/>
      <c r="Y2740" s="277"/>
      <c r="Z2740" s="277"/>
      <c r="AA2740" s="277"/>
      <c r="AB2740" s="277"/>
      <c r="AC2740" s="277"/>
      <c r="AD2740" s="277"/>
      <c r="AE2740" s="277"/>
      <c r="AF2740" s="277"/>
      <c r="AG2740" s="277"/>
      <c r="AH2740" s="277"/>
      <c r="AI2740" s="277"/>
    </row>
    <row r="2741" spans="16:35" s="185" customFormat="1">
      <c r="P2741" s="277"/>
      <c r="Q2741" s="277"/>
      <c r="R2741" s="277"/>
      <c r="S2741" s="291">
        <v>44287</v>
      </c>
      <c r="T2741" s="279">
        <v>2648</v>
      </c>
      <c r="U2741" s="277"/>
      <c r="V2741" s="277"/>
      <c r="W2741" s="277"/>
      <c r="X2741" s="277"/>
      <c r="Y2741" s="277"/>
      <c r="Z2741" s="277"/>
      <c r="AA2741" s="277"/>
      <c r="AB2741" s="277"/>
      <c r="AC2741" s="277"/>
      <c r="AD2741" s="277"/>
      <c r="AE2741" s="277"/>
      <c r="AF2741" s="277"/>
      <c r="AG2741" s="277"/>
      <c r="AH2741" s="277"/>
      <c r="AI2741" s="277"/>
    </row>
    <row r="2742" spans="16:35" s="185" customFormat="1">
      <c r="P2742" s="277"/>
      <c r="Q2742" s="277"/>
      <c r="R2742" s="277"/>
      <c r="S2742" s="291">
        <v>44288</v>
      </c>
      <c r="T2742" s="279">
        <v>2649</v>
      </c>
      <c r="U2742" s="277"/>
      <c r="V2742" s="277"/>
      <c r="W2742" s="277"/>
      <c r="X2742" s="277"/>
      <c r="Y2742" s="277"/>
      <c r="Z2742" s="277"/>
      <c r="AA2742" s="277"/>
      <c r="AB2742" s="277"/>
      <c r="AC2742" s="277"/>
      <c r="AD2742" s="277"/>
      <c r="AE2742" s="277"/>
      <c r="AF2742" s="277"/>
      <c r="AG2742" s="277"/>
      <c r="AH2742" s="277"/>
      <c r="AI2742" s="277"/>
    </row>
    <row r="2743" spans="16:35" s="185" customFormat="1">
      <c r="P2743" s="277"/>
      <c r="Q2743" s="277"/>
      <c r="R2743" s="277"/>
      <c r="S2743" s="291">
        <v>44289</v>
      </c>
      <c r="T2743" s="279">
        <v>2650</v>
      </c>
      <c r="U2743" s="277"/>
      <c r="V2743" s="277"/>
      <c r="W2743" s="277"/>
      <c r="X2743" s="277"/>
      <c r="Y2743" s="277"/>
      <c r="Z2743" s="277"/>
      <c r="AA2743" s="277"/>
      <c r="AB2743" s="277"/>
      <c r="AC2743" s="277"/>
      <c r="AD2743" s="277"/>
      <c r="AE2743" s="277"/>
      <c r="AF2743" s="277"/>
      <c r="AG2743" s="277"/>
      <c r="AH2743" s="277"/>
      <c r="AI2743" s="277"/>
    </row>
    <row r="2744" spans="16:35" s="185" customFormat="1">
      <c r="P2744" s="277"/>
      <c r="Q2744" s="277"/>
      <c r="R2744" s="277"/>
      <c r="S2744" s="291">
        <v>44290</v>
      </c>
      <c r="T2744" s="279">
        <v>2651</v>
      </c>
      <c r="U2744" s="277"/>
      <c r="V2744" s="277"/>
      <c r="W2744" s="277"/>
      <c r="X2744" s="277"/>
      <c r="Y2744" s="277"/>
      <c r="Z2744" s="277"/>
      <c r="AA2744" s="277"/>
      <c r="AB2744" s="277"/>
      <c r="AC2744" s="277"/>
      <c r="AD2744" s="277"/>
      <c r="AE2744" s="277"/>
      <c r="AF2744" s="277"/>
      <c r="AG2744" s="277"/>
      <c r="AH2744" s="277"/>
      <c r="AI2744" s="277"/>
    </row>
    <row r="2745" spans="16:35" s="185" customFormat="1">
      <c r="P2745" s="277"/>
      <c r="Q2745" s="277"/>
      <c r="R2745" s="277"/>
      <c r="S2745" s="291">
        <v>44291</v>
      </c>
      <c r="T2745" s="279">
        <v>2652</v>
      </c>
      <c r="U2745" s="277"/>
      <c r="V2745" s="277"/>
      <c r="W2745" s="277"/>
      <c r="X2745" s="277"/>
      <c r="Y2745" s="277"/>
      <c r="Z2745" s="277"/>
      <c r="AA2745" s="277"/>
      <c r="AB2745" s="277"/>
      <c r="AC2745" s="277"/>
      <c r="AD2745" s="277"/>
      <c r="AE2745" s="277"/>
      <c r="AF2745" s="277"/>
      <c r="AG2745" s="277"/>
      <c r="AH2745" s="277"/>
      <c r="AI2745" s="277"/>
    </row>
    <row r="2746" spans="16:35" s="185" customFormat="1">
      <c r="P2746" s="277"/>
      <c r="Q2746" s="277"/>
      <c r="R2746" s="277"/>
      <c r="S2746" s="291">
        <v>44292</v>
      </c>
      <c r="T2746" s="279">
        <v>2653</v>
      </c>
      <c r="U2746" s="277"/>
      <c r="V2746" s="277"/>
      <c r="W2746" s="277"/>
      <c r="X2746" s="277"/>
      <c r="Y2746" s="277"/>
      <c r="Z2746" s="277"/>
      <c r="AA2746" s="277"/>
      <c r="AB2746" s="277"/>
      <c r="AC2746" s="277"/>
      <c r="AD2746" s="277"/>
      <c r="AE2746" s="277"/>
      <c r="AF2746" s="277"/>
      <c r="AG2746" s="277"/>
      <c r="AH2746" s="277"/>
      <c r="AI2746" s="277"/>
    </row>
    <row r="2747" spans="16:35" s="185" customFormat="1">
      <c r="P2747" s="277"/>
      <c r="Q2747" s="277"/>
      <c r="R2747" s="277"/>
      <c r="S2747" s="291">
        <v>44293</v>
      </c>
      <c r="T2747" s="279">
        <v>2654</v>
      </c>
      <c r="U2747" s="277"/>
      <c r="V2747" s="277"/>
      <c r="W2747" s="277"/>
      <c r="X2747" s="277"/>
      <c r="Y2747" s="277"/>
      <c r="Z2747" s="277"/>
      <c r="AA2747" s="277"/>
      <c r="AB2747" s="277"/>
      <c r="AC2747" s="277"/>
      <c r="AD2747" s="277"/>
      <c r="AE2747" s="277"/>
      <c r="AF2747" s="277"/>
      <c r="AG2747" s="277"/>
      <c r="AH2747" s="277"/>
      <c r="AI2747" s="277"/>
    </row>
    <row r="2748" spans="16:35" s="185" customFormat="1">
      <c r="P2748" s="277"/>
      <c r="Q2748" s="277"/>
      <c r="R2748" s="277"/>
      <c r="S2748" s="291">
        <v>44294</v>
      </c>
      <c r="T2748" s="279">
        <v>2655</v>
      </c>
      <c r="U2748" s="277"/>
      <c r="V2748" s="277"/>
      <c r="W2748" s="277"/>
      <c r="X2748" s="277"/>
      <c r="Y2748" s="277"/>
      <c r="Z2748" s="277"/>
      <c r="AA2748" s="277"/>
      <c r="AB2748" s="277"/>
      <c r="AC2748" s="277"/>
      <c r="AD2748" s="277"/>
      <c r="AE2748" s="277"/>
      <c r="AF2748" s="277"/>
      <c r="AG2748" s="277"/>
      <c r="AH2748" s="277"/>
      <c r="AI2748" s="277"/>
    </row>
    <row r="2749" spans="16:35" s="185" customFormat="1">
      <c r="P2749" s="277"/>
      <c r="Q2749" s="277"/>
      <c r="R2749" s="277"/>
      <c r="S2749" s="291">
        <v>44295</v>
      </c>
      <c r="T2749" s="279">
        <v>2656</v>
      </c>
      <c r="U2749" s="277"/>
      <c r="V2749" s="277"/>
      <c r="W2749" s="277"/>
      <c r="X2749" s="277"/>
      <c r="Y2749" s="277"/>
      <c r="Z2749" s="277"/>
      <c r="AA2749" s="277"/>
      <c r="AB2749" s="277"/>
      <c r="AC2749" s="277"/>
      <c r="AD2749" s="277"/>
      <c r="AE2749" s="277"/>
      <c r="AF2749" s="277"/>
      <c r="AG2749" s="277"/>
      <c r="AH2749" s="277"/>
      <c r="AI2749" s="277"/>
    </row>
    <row r="2750" spans="16:35" s="185" customFormat="1">
      <c r="P2750" s="277"/>
      <c r="Q2750" s="277"/>
      <c r="R2750" s="277"/>
      <c r="S2750" s="291">
        <v>44296</v>
      </c>
      <c r="T2750" s="279">
        <v>2657</v>
      </c>
      <c r="U2750" s="277"/>
      <c r="V2750" s="277"/>
      <c r="W2750" s="277"/>
      <c r="X2750" s="277"/>
      <c r="Y2750" s="277"/>
      <c r="Z2750" s="277"/>
      <c r="AA2750" s="277"/>
      <c r="AB2750" s="277"/>
      <c r="AC2750" s="277"/>
      <c r="AD2750" s="277"/>
      <c r="AE2750" s="277"/>
      <c r="AF2750" s="277"/>
      <c r="AG2750" s="277"/>
      <c r="AH2750" s="277"/>
      <c r="AI2750" s="277"/>
    </row>
    <row r="2751" spans="16:35" s="185" customFormat="1">
      <c r="P2751" s="277"/>
      <c r="Q2751" s="277"/>
      <c r="R2751" s="277"/>
      <c r="S2751" s="291">
        <v>44297</v>
      </c>
      <c r="T2751" s="279">
        <v>2658</v>
      </c>
      <c r="U2751" s="277"/>
      <c r="V2751" s="277"/>
      <c r="W2751" s="277"/>
      <c r="X2751" s="277"/>
      <c r="Y2751" s="277"/>
      <c r="Z2751" s="277"/>
      <c r="AA2751" s="277"/>
      <c r="AB2751" s="277"/>
      <c r="AC2751" s="277"/>
      <c r="AD2751" s="277"/>
      <c r="AE2751" s="277"/>
      <c r="AF2751" s="277"/>
      <c r="AG2751" s="277"/>
      <c r="AH2751" s="277"/>
      <c r="AI2751" s="277"/>
    </row>
    <row r="2752" spans="16:35" s="185" customFormat="1">
      <c r="P2752" s="277"/>
      <c r="Q2752" s="277"/>
      <c r="R2752" s="277"/>
      <c r="S2752" s="291">
        <v>44298</v>
      </c>
      <c r="T2752" s="279">
        <v>2659</v>
      </c>
      <c r="U2752" s="277"/>
      <c r="V2752" s="277"/>
      <c r="W2752" s="277"/>
      <c r="X2752" s="277"/>
      <c r="Y2752" s="277"/>
      <c r="Z2752" s="277"/>
      <c r="AA2752" s="277"/>
      <c r="AB2752" s="277"/>
      <c r="AC2752" s="277"/>
      <c r="AD2752" s="277"/>
      <c r="AE2752" s="277"/>
      <c r="AF2752" s="277"/>
      <c r="AG2752" s="277"/>
      <c r="AH2752" s="277"/>
      <c r="AI2752" s="277"/>
    </row>
    <row r="2753" spans="16:35" s="185" customFormat="1">
      <c r="P2753" s="277"/>
      <c r="Q2753" s="277"/>
      <c r="R2753" s="277"/>
      <c r="S2753" s="291">
        <v>44299</v>
      </c>
      <c r="T2753" s="279">
        <v>2660</v>
      </c>
      <c r="U2753" s="277"/>
      <c r="V2753" s="277"/>
      <c r="W2753" s="277"/>
      <c r="X2753" s="277"/>
      <c r="Y2753" s="277"/>
      <c r="Z2753" s="277"/>
      <c r="AA2753" s="277"/>
      <c r="AB2753" s="277"/>
      <c r="AC2753" s="277"/>
      <c r="AD2753" s="277"/>
      <c r="AE2753" s="277"/>
      <c r="AF2753" s="277"/>
      <c r="AG2753" s="277"/>
      <c r="AH2753" s="277"/>
      <c r="AI2753" s="277"/>
    </row>
    <row r="2754" spans="16:35" s="185" customFormat="1">
      <c r="P2754" s="277"/>
      <c r="Q2754" s="277"/>
      <c r="R2754" s="277"/>
      <c r="S2754" s="291">
        <v>44300</v>
      </c>
      <c r="T2754" s="279">
        <v>2661</v>
      </c>
      <c r="U2754" s="277"/>
      <c r="V2754" s="277"/>
      <c r="W2754" s="277"/>
      <c r="X2754" s="277"/>
      <c r="Y2754" s="277"/>
      <c r="Z2754" s="277"/>
      <c r="AA2754" s="277"/>
      <c r="AB2754" s="277"/>
      <c r="AC2754" s="277"/>
      <c r="AD2754" s="277"/>
      <c r="AE2754" s="277"/>
      <c r="AF2754" s="277"/>
      <c r="AG2754" s="277"/>
      <c r="AH2754" s="277"/>
      <c r="AI2754" s="277"/>
    </row>
    <row r="2755" spans="16:35" s="185" customFormat="1">
      <c r="P2755" s="277"/>
      <c r="Q2755" s="277"/>
      <c r="R2755" s="277"/>
      <c r="S2755" s="291">
        <v>44301</v>
      </c>
      <c r="T2755" s="279">
        <v>2662</v>
      </c>
      <c r="U2755" s="277"/>
      <c r="V2755" s="277"/>
      <c r="W2755" s="277"/>
      <c r="X2755" s="277"/>
      <c r="Y2755" s="277"/>
      <c r="Z2755" s="277"/>
      <c r="AA2755" s="277"/>
      <c r="AB2755" s="277"/>
      <c r="AC2755" s="277"/>
      <c r="AD2755" s="277"/>
      <c r="AE2755" s="277"/>
      <c r="AF2755" s="277"/>
      <c r="AG2755" s="277"/>
      <c r="AH2755" s="277"/>
      <c r="AI2755" s="277"/>
    </row>
    <row r="2756" spans="16:35" s="185" customFormat="1">
      <c r="P2756" s="277"/>
      <c r="Q2756" s="277"/>
      <c r="R2756" s="277"/>
      <c r="S2756" s="291">
        <v>44302</v>
      </c>
      <c r="T2756" s="279">
        <v>2663</v>
      </c>
      <c r="U2756" s="277"/>
      <c r="V2756" s="277"/>
      <c r="W2756" s="277"/>
      <c r="X2756" s="277"/>
      <c r="Y2756" s="277"/>
      <c r="Z2756" s="277"/>
      <c r="AA2756" s="277"/>
      <c r="AB2756" s="277"/>
      <c r="AC2756" s="277"/>
      <c r="AD2756" s="277"/>
      <c r="AE2756" s="277"/>
      <c r="AF2756" s="277"/>
      <c r="AG2756" s="277"/>
      <c r="AH2756" s="277"/>
      <c r="AI2756" s="277"/>
    </row>
    <row r="2757" spans="16:35" s="185" customFormat="1">
      <c r="P2757" s="277"/>
      <c r="Q2757" s="277"/>
      <c r="R2757" s="277"/>
      <c r="S2757" s="291">
        <v>44303</v>
      </c>
      <c r="T2757" s="279">
        <v>2664</v>
      </c>
      <c r="U2757" s="277"/>
      <c r="V2757" s="277"/>
      <c r="W2757" s="277"/>
      <c r="X2757" s="277"/>
      <c r="Y2757" s="277"/>
      <c r="Z2757" s="277"/>
      <c r="AA2757" s="277"/>
      <c r="AB2757" s="277"/>
      <c r="AC2757" s="277"/>
      <c r="AD2757" s="277"/>
      <c r="AE2757" s="277"/>
      <c r="AF2757" s="277"/>
      <c r="AG2757" s="277"/>
      <c r="AH2757" s="277"/>
      <c r="AI2757" s="277"/>
    </row>
    <row r="2758" spans="16:35" s="185" customFormat="1">
      <c r="P2758" s="277"/>
      <c r="Q2758" s="277"/>
      <c r="R2758" s="277"/>
      <c r="S2758" s="291">
        <v>44304</v>
      </c>
      <c r="T2758" s="279">
        <v>2665</v>
      </c>
      <c r="U2758" s="277"/>
      <c r="V2758" s="277"/>
      <c r="W2758" s="277"/>
      <c r="X2758" s="277"/>
      <c r="Y2758" s="277"/>
      <c r="Z2758" s="277"/>
      <c r="AA2758" s="277"/>
      <c r="AB2758" s="277"/>
      <c r="AC2758" s="277"/>
      <c r="AD2758" s="277"/>
      <c r="AE2758" s="277"/>
      <c r="AF2758" s="277"/>
      <c r="AG2758" s="277"/>
      <c r="AH2758" s="277"/>
      <c r="AI2758" s="277"/>
    </row>
    <row r="2759" spans="16:35" s="185" customFormat="1">
      <c r="P2759" s="277"/>
      <c r="Q2759" s="277"/>
      <c r="R2759" s="277"/>
      <c r="S2759" s="291">
        <v>44305</v>
      </c>
      <c r="T2759" s="279">
        <v>2666</v>
      </c>
      <c r="U2759" s="277"/>
      <c r="V2759" s="277"/>
      <c r="W2759" s="277"/>
      <c r="X2759" s="277"/>
      <c r="Y2759" s="277"/>
      <c r="Z2759" s="277"/>
      <c r="AA2759" s="277"/>
      <c r="AB2759" s="277"/>
      <c r="AC2759" s="277"/>
      <c r="AD2759" s="277"/>
      <c r="AE2759" s="277"/>
      <c r="AF2759" s="277"/>
      <c r="AG2759" s="277"/>
      <c r="AH2759" s="277"/>
      <c r="AI2759" s="277"/>
    </row>
    <row r="2760" spans="16:35" s="185" customFormat="1">
      <c r="P2760" s="277"/>
      <c r="Q2760" s="277"/>
      <c r="R2760" s="277"/>
      <c r="S2760" s="291">
        <v>44306</v>
      </c>
      <c r="T2760" s="279">
        <v>2667</v>
      </c>
      <c r="U2760" s="277"/>
      <c r="V2760" s="277"/>
      <c r="W2760" s="277"/>
      <c r="X2760" s="277"/>
      <c r="Y2760" s="277"/>
      <c r="Z2760" s="277"/>
      <c r="AA2760" s="277"/>
      <c r="AB2760" s="277"/>
      <c r="AC2760" s="277"/>
      <c r="AD2760" s="277"/>
      <c r="AE2760" s="277"/>
      <c r="AF2760" s="277"/>
      <c r="AG2760" s="277"/>
      <c r="AH2760" s="277"/>
      <c r="AI2760" s="277"/>
    </row>
    <row r="2761" spans="16:35" s="185" customFormat="1">
      <c r="P2761" s="277"/>
      <c r="Q2761" s="277"/>
      <c r="R2761" s="277"/>
      <c r="S2761" s="291">
        <v>44307</v>
      </c>
      <c r="T2761" s="279">
        <v>2668</v>
      </c>
      <c r="U2761" s="277"/>
      <c r="V2761" s="277"/>
      <c r="W2761" s="277"/>
      <c r="X2761" s="277"/>
      <c r="Y2761" s="277"/>
      <c r="Z2761" s="277"/>
      <c r="AA2761" s="277"/>
      <c r="AB2761" s="277"/>
      <c r="AC2761" s="277"/>
      <c r="AD2761" s="277"/>
      <c r="AE2761" s="277"/>
      <c r="AF2761" s="277"/>
      <c r="AG2761" s="277"/>
      <c r="AH2761" s="277"/>
      <c r="AI2761" s="277"/>
    </row>
    <row r="2762" spans="16:35" s="185" customFormat="1">
      <c r="P2762" s="277"/>
      <c r="Q2762" s="277"/>
      <c r="R2762" s="277"/>
      <c r="S2762" s="291">
        <v>44308</v>
      </c>
      <c r="T2762" s="279">
        <v>2669</v>
      </c>
      <c r="U2762" s="277"/>
      <c r="V2762" s="277"/>
      <c r="W2762" s="277"/>
      <c r="X2762" s="277"/>
      <c r="Y2762" s="277"/>
      <c r="Z2762" s="277"/>
      <c r="AA2762" s="277"/>
      <c r="AB2762" s="277"/>
      <c r="AC2762" s="277"/>
      <c r="AD2762" s="277"/>
      <c r="AE2762" s="277"/>
      <c r="AF2762" s="277"/>
      <c r="AG2762" s="277"/>
      <c r="AH2762" s="277"/>
      <c r="AI2762" s="277"/>
    </row>
    <row r="2763" spans="16:35" s="185" customFormat="1">
      <c r="P2763" s="277"/>
      <c r="Q2763" s="277"/>
      <c r="R2763" s="277"/>
      <c r="S2763" s="291">
        <v>44309</v>
      </c>
      <c r="T2763" s="279">
        <v>2670</v>
      </c>
      <c r="U2763" s="277"/>
      <c r="V2763" s="277"/>
      <c r="W2763" s="277"/>
      <c r="X2763" s="277"/>
      <c r="Y2763" s="277"/>
      <c r="Z2763" s="277"/>
      <c r="AA2763" s="277"/>
      <c r="AB2763" s="277"/>
      <c r="AC2763" s="277"/>
      <c r="AD2763" s="277"/>
      <c r="AE2763" s="277"/>
      <c r="AF2763" s="277"/>
      <c r="AG2763" s="277"/>
      <c r="AH2763" s="277"/>
      <c r="AI2763" s="277"/>
    </row>
    <row r="2764" spans="16:35" s="185" customFormat="1">
      <c r="P2764" s="277"/>
      <c r="Q2764" s="277"/>
      <c r="R2764" s="277"/>
      <c r="S2764" s="291">
        <v>44310</v>
      </c>
      <c r="T2764" s="279">
        <v>2671</v>
      </c>
      <c r="U2764" s="277"/>
      <c r="V2764" s="277"/>
      <c r="W2764" s="277"/>
      <c r="X2764" s="277"/>
      <c r="Y2764" s="277"/>
      <c r="Z2764" s="277"/>
      <c r="AA2764" s="277"/>
      <c r="AB2764" s="277"/>
      <c r="AC2764" s="277"/>
      <c r="AD2764" s="277"/>
      <c r="AE2764" s="277"/>
      <c r="AF2764" s="277"/>
      <c r="AG2764" s="277"/>
      <c r="AH2764" s="277"/>
      <c r="AI2764" s="277"/>
    </row>
    <row r="2765" spans="16:35" s="185" customFormat="1">
      <c r="P2765" s="277"/>
      <c r="Q2765" s="277"/>
      <c r="R2765" s="277"/>
      <c r="S2765" s="291">
        <v>44311</v>
      </c>
      <c r="T2765" s="279">
        <v>2672</v>
      </c>
      <c r="U2765" s="277"/>
      <c r="V2765" s="277"/>
      <c r="W2765" s="277"/>
      <c r="X2765" s="277"/>
      <c r="Y2765" s="277"/>
      <c r="Z2765" s="277"/>
      <c r="AA2765" s="277"/>
      <c r="AB2765" s="277"/>
      <c r="AC2765" s="277"/>
      <c r="AD2765" s="277"/>
      <c r="AE2765" s="277"/>
      <c r="AF2765" s="277"/>
      <c r="AG2765" s="277"/>
      <c r="AH2765" s="277"/>
      <c r="AI2765" s="277"/>
    </row>
    <row r="2766" spans="16:35" s="185" customFormat="1">
      <c r="P2766" s="277"/>
      <c r="Q2766" s="277"/>
      <c r="R2766" s="277"/>
      <c r="S2766" s="291">
        <v>44312</v>
      </c>
      <c r="T2766" s="279">
        <v>2673</v>
      </c>
      <c r="U2766" s="277"/>
      <c r="V2766" s="277"/>
      <c r="W2766" s="277"/>
      <c r="X2766" s="277"/>
      <c r="Y2766" s="277"/>
      <c r="Z2766" s="277"/>
      <c r="AA2766" s="277"/>
      <c r="AB2766" s="277"/>
      <c r="AC2766" s="277"/>
      <c r="AD2766" s="277"/>
      <c r="AE2766" s="277"/>
      <c r="AF2766" s="277"/>
      <c r="AG2766" s="277"/>
      <c r="AH2766" s="277"/>
      <c r="AI2766" s="277"/>
    </row>
    <row r="2767" spans="16:35" s="185" customFormat="1">
      <c r="P2767" s="277"/>
      <c r="Q2767" s="277"/>
      <c r="R2767" s="277"/>
      <c r="S2767" s="291">
        <v>44313</v>
      </c>
      <c r="T2767" s="279">
        <v>2674</v>
      </c>
      <c r="U2767" s="277"/>
      <c r="V2767" s="277"/>
      <c r="W2767" s="277"/>
      <c r="X2767" s="277"/>
      <c r="Y2767" s="277"/>
      <c r="Z2767" s="277"/>
      <c r="AA2767" s="277"/>
      <c r="AB2767" s="277"/>
      <c r="AC2767" s="277"/>
      <c r="AD2767" s="277"/>
      <c r="AE2767" s="277"/>
      <c r="AF2767" s="277"/>
      <c r="AG2767" s="277"/>
      <c r="AH2767" s="277"/>
      <c r="AI2767" s="277"/>
    </row>
    <row r="2768" spans="16:35" s="185" customFormat="1">
      <c r="P2768" s="277"/>
      <c r="Q2768" s="277"/>
      <c r="R2768" s="277"/>
      <c r="S2768" s="291">
        <v>44314</v>
      </c>
      <c r="T2768" s="279">
        <v>2675</v>
      </c>
      <c r="U2768" s="277"/>
      <c r="V2768" s="277"/>
      <c r="W2768" s="277"/>
      <c r="X2768" s="277"/>
      <c r="Y2768" s="277"/>
      <c r="Z2768" s="277"/>
      <c r="AA2768" s="277"/>
      <c r="AB2768" s="277"/>
      <c r="AC2768" s="277"/>
      <c r="AD2768" s="277"/>
      <c r="AE2768" s="277"/>
      <c r="AF2768" s="277"/>
      <c r="AG2768" s="277"/>
      <c r="AH2768" s="277"/>
      <c r="AI2768" s="277"/>
    </row>
    <row r="2769" spans="16:35" s="185" customFormat="1">
      <c r="P2769" s="277"/>
      <c r="Q2769" s="277"/>
      <c r="R2769" s="277"/>
      <c r="S2769" s="291">
        <v>44315</v>
      </c>
      <c r="T2769" s="279">
        <v>2676</v>
      </c>
      <c r="U2769" s="277"/>
      <c r="V2769" s="277"/>
      <c r="W2769" s="277"/>
      <c r="X2769" s="277"/>
      <c r="Y2769" s="277"/>
      <c r="Z2769" s="277"/>
      <c r="AA2769" s="277"/>
      <c r="AB2769" s="277"/>
      <c r="AC2769" s="277"/>
      <c r="AD2769" s="277"/>
      <c r="AE2769" s="277"/>
      <c r="AF2769" s="277"/>
      <c r="AG2769" s="277"/>
      <c r="AH2769" s="277"/>
      <c r="AI2769" s="277"/>
    </row>
    <row r="2770" spans="16:35" s="185" customFormat="1">
      <c r="P2770" s="277"/>
      <c r="Q2770" s="277"/>
      <c r="R2770" s="277"/>
      <c r="S2770" s="291">
        <v>44316</v>
      </c>
      <c r="T2770" s="279">
        <v>2677</v>
      </c>
      <c r="U2770" s="277"/>
      <c r="V2770" s="277"/>
      <c r="W2770" s="277"/>
      <c r="X2770" s="277"/>
      <c r="Y2770" s="277"/>
      <c r="Z2770" s="277"/>
      <c r="AA2770" s="277"/>
      <c r="AB2770" s="277"/>
      <c r="AC2770" s="277"/>
      <c r="AD2770" s="277"/>
      <c r="AE2770" s="277"/>
      <c r="AF2770" s="277"/>
      <c r="AG2770" s="277"/>
      <c r="AH2770" s="277"/>
      <c r="AI2770" s="277"/>
    </row>
    <row r="2771" spans="16:35" s="185" customFormat="1">
      <c r="P2771" s="277"/>
      <c r="Q2771" s="277"/>
      <c r="R2771" s="277"/>
      <c r="S2771" s="291">
        <v>44317</v>
      </c>
      <c r="T2771" s="279">
        <v>2678</v>
      </c>
      <c r="U2771" s="277"/>
      <c r="V2771" s="277"/>
      <c r="W2771" s="277"/>
      <c r="X2771" s="277"/>
      <c r="Y2771" s="277"/>
      <c r="Z2771" s="277"/>
      <c r="AA2771" s="277"/>
      <c r="AB2771" s="277"/>
      <c r="AC2771" s="277"/>
      <c r="AD2771" s="277"/>
      <c r="AE2771" s="277"/>
      <c r="AF2771" s="277"/>
      <c r="AG2771" s="277"/>
      <c r="AH2771" s="277"/>
      <c r="AI2771" s="277"/>
    </row>
    <row r="2772" spans="16:35" s="185" customFormat="1">
      <c r="P2772" s="277"/>
      <c r="Q2772" s="277"/>
      <c r="R2772" s="277"/>
      <c r="S2772" s="291">
        <v>44318</v>
      </c>
      <c r="T2772" s="279">
        <v>2679</v>
      </c>
      <c r="U2772" s="277"/>
      <c r="V2772" s="277"/>
      <c r="W2772" s="277"/>
      <c r="X2772" s="277"/>
      <c r="Y2772" s="277"/>
      <c r="Z2772" s="277"/>
      <c r="AA2772" s="277"/>
      <c r="AB2772" s="277"/>
      <c r="AC2772" s="277"/>
      <c r="AD2772" s="277"/>
      <c r="AE2772" s="277"/>
      <c r="AF2772" s="277"/>
      <c r="AG2772" s="277"/>
      <c r="AH2772" s="277"/>
      <c r="AI2772" s="277"/>
    </row>
    <row r="2773" spans="16:35" s="185" customFormat="1">
      <c r="P2773" s="277"/>
      <c r="Q2773" s="277"/>
      <c r="R2773" s="277"/>
      <c r="S2773" s="291">
        <v>44319</v>
      </c>
      <c r="T2773" s="279">
        <v>2680</v>
      </c>
      <c r="U2773" s="277"/>
      <c r="V2773" s="277"/>
      <c r="W2773" s="277"/>
      <c r="X2773" s="277"/>
      <c r="Y2773" s="277"/>
      <c r="Z2773" s="277"/>
      <c r="AA2773" s="277"/>
      <c r="AB2773" s="277"/>
      <c r="AC2773" s="277"/>
      <c r="AD2773" s="277"/>
      <c r="AE2773" s="277"/>
      <c r="AF2773" s="277"/>
      <c r="AG2773" s="277"/>
      <c r="AH2773" s="277"/>
      <c r="AI2773" s="277"/>
    </row>
    <row r="2774" spans="16:35" s="185" customFormat="1">
      <c r="P2774" s="277"/>
      <c r="Q2774" s="277"/>
      <c r="R2774" s="277"/>
      <c r="S2774" s="291">
        <v>44320</v>
      </c>
      <c r="T2774" s="279">
        <v>2681</v>
      </c>
      <c r="U2774" s="277"/>
      <c r="V2774" s="277"/>
      <c r="W2774" s="277"/>
      <c r="X2774" s="277"/>
      <c r="Y2774" s="277"/>
      <c r="Z2774" s="277"/>
      <c r="AA2774" s="277"/>
      <c r="AB2774" s="277"/>
      <c r="AC2774" s="277"/>
      <c r="AD2774" s="277"/>
      <c r="AE2774" s="277"/>
      <c r="AF2774" s="277"/>
      <c r="AG2774" s="277"/>
      <c r="AH2774" s="277"/>
      <c r="AI2774" s="277"/>
    </row>
    <row r="2775" spans="16:35" s="185" customFormat="1">
      <c r="P2775" s="277"/>
      <c r="Q2775" s="277"/>
      <c r="R2775" s="277"/>
      <c r="S2775" s="291">
        <v>44321</v>
      </c>
      <c r="T2775" s="279">
        <v>2682</v>
      </c>
      <c r="U2775" s="277"/>
      <c r="V2775" s="277"/>
      <c r="W2775" s="277"/>
      <c r="X2775" s="277"/>
      <c r="Y2775" s="277"/>
      <c r="Z2775" s="277"/>
      <c r="AA2775" s="277"/>
      <c r="AB2775" s="277"/>
      <c r="AC2775" s="277"/>
      <c r="AD2775" s="277"/>
      <c r="AE2775" s="277"/>
      <c r="AF2775" s="277"/>
      <c r="AG2775" s="277"/>
      <c r="AH2775" s="277"/>
      <c r="AI2775" s="277"/>
    </row>
    <row r="2776" spans="16:35" s="185" customFormat="1">
      <c r="P2776" s="277"/>
      <c r="Q2776" s="277"/>
      <c r="R2776" s="277"/>
      <c r="S2776" s="291">
        <v>44322</v>
      </c>
      <c r="T2776" s="279">
        <v>2683</v>
      </c>
      <c r="U2776" s="277"/>
      <c r="V2776" s="277"/>
      <c r="W2776" s="277"/>
      <c r="X2776" s="277"/>
      <c r="Y2776" s="277"/>
      <c r="Z2776" s="277"/>
      <c r="AA2776" s="277"/>
      <c r="AB2776" s="277"/>
      <c r="AC2776" s="277"/>
      <c r="AD2776" s="277"/>
      <c r="AE2776" s="277"/>
      <c r="AF2776" s="277"/>
      <c r="AG2776" s="277"/>
      <c r="AH2776" s="277"/>
      <c r="AI2776" s="277"/>
    </row>
    <row r="2777" spans="16:35" s="185" customFormat="1">
      <c r="P2777" s="277"/>
      <c r="Q2777" s="277"/>
      <c r="R2777" s="277"/>
      <c r="S2777" s="291">
        <v>44323</v>
      </c>
      <c r="T2777" s="279">
        <v>2684</v>
      </c>
      <c r="U2777" s="277"/>
      <c r="V2777" s="277"/>
      <c r="W2777" s="277"/>
      <c r="X2777" s="277"/>
      <c r="Y2777" s="277"/>
      <c r="Z2777" s="277"/>
      <c r="AA2777" s="277"/>
      <c r="AB2777" s="277"/>
      <c r="AC2777" s="277"/>
      <c r="AD2777" s="277"/>
      <c r="AE2777" s="277"/>
      <c r="AF2777" s="277"/>
      <c r="AG2777" s="277"/>
      <c r="AH2777" s="277"/>
      <c r="AI2777" s="277"/>
    </row>
    <row r="2778" spans="16:35" s="185" customFormat="1">
      <c r="P2778" s="277"/>
      <c r="Q2778" s="277"/>
      <c r="R2778" s="277"/>
      <c r="S2778" s="291">
        <v>44324</v>
      </c>
      <c r="T2778" s="279">
        <v>2685</v>
      </c>
      <c r="U2778" s="277"/>
      <c r="V2778" s="277"/>
      <c r="W2778" s="277"/>
      <c r="X2778" s="277"/>
      <c r="Y2778" s="277"/>
      <c r="Z2778" s="277"/>
      <c r="AA2778" s="277"/>
      <c r="AB2778" s="277"/>
      <c r="AC2778" s="277"/>
      <c r="AD2778" s="277"/>
      <c r="AE2778" s="277"/>
      <c r="AF2778" s="277"/>
      <c r="AG2778" s="277"/>
      <c r="AH2778" s="277"/>
      <c r="AI2778" s="277"/>
    </row>
    <row r="2779" spans="16:35" s="185" customFormat="1">
      <c r="P2779" s="277"/>
      <c r="Q2779" s="277"/>
      <c r="R2779" s="277"/>
      <c r="S2779" s="291">
        <v>44325</v>
      </c>
      <c r="T2779" s="279">
        <v>2686</v>
      </c>
      <c r="U2779" s="277"/>
      <c r="V2779" s="277"/>
      <c r="W2779" s="277"/>
      <c r="X2779" s="277"/>
      <c r="Y2779" s="277"/>
      <c r="Z2779" s="277"/>
      <c r="AA2779" s="277"/>
      <c r="AB2779" s="277"/>
      <c r="AC2779" s="277"/>
      <c r="AD2779" s="277"/>
      <c r="AE2779" s="277"/>
      <c r="AF2779" s="277"/>
      <c r="AG2779" s="277"/>
      <c r="AH2779" s="277"/>
      <c r="AI2779" s="277"/>
    </row>
    <row r="2780" spans="16:35" s="185" customFormat="1">
      <c r="P2780" s="277"/>
      <c r="Q2780" s="277"/>
      <c r="R2780" s="277"/>
      <c r="S2780" s="291">
        <v>44326</v>
      </c>
      <c r="T2780" s="279">
        <v>2687</v>
      </c>
      <c r="U2780" s="277"/>
      <c r="V2780" s="277"/>
      <c r="W2780" s="277"/>
      <c r="X2780" s="277"/>
      <c r="Y2780" s="277"/>
      <c r="Z2780" s="277"/>
      <c r="AA2780" s="277"/>
      <c r="AB2780" s="277"/>
      <c r="AC2780" s="277"/>
      <c r="AD2780" s="277"/>
      <c r="AE2780" s="277"/>
      <c r="AF2780" s="277"/>
      <c r="AG2780" s="277"/>
      <c r="AH2780" s="277"/>
      <c r="AI2780" s="277"/>
    </row>
    <row r="2781" spans="16:35" s="185" customFormat="1">
      <c r="P2781" s="277"/>
      <c r="Q2781" s="277"/>
      <c r="R2781" s="277"/>
      <c r="S2781" s="291">
        <v>44327</v>
      </c>
      <c r="T2781" s="279">
        <v>2688</v>
      </c>
      <c r="U2781" s="277"/>
      <c r="V2781" s="277"/>
      <c r="W2781" s="277"/>
      <c r="X2781" s="277"/>
      <c r="Y2781" s="277"/>
      <c r="Z2781" s="277"/>
      <c r="AA2781" s="277"/>
      <c r="AB2781" s="277"/>
      <c r="AC2781" s="277"/>
      <c r="AD2781" s="277"/>
      <c r="AE2781" s="277"/>
      <c r="AF2781" s="277"/>
      <c r="AG2781" s="277"/>
      <c r="AH2781" s="277"/>
      <c r="AI2781" s="277"/>
    </row>
    <row r="2782" spans="16:35" s="185" customFormat="1">
      <c r="P2782" s="277"/>
      <c r="Q2782" s="277"/>
      <c r="R2782" s="277"/>
      <c r="S2782" s="291">
        <v>44328</v>
      </c>
      <c r="T2782" s="279">
        <v>2689</v>
      </c>
      <c r="U2782" s="277"/>
      <c r="V2782" s="277"/>
      <c r="W2782" s="277"/>
      <c r="X2782" s="277"/>
      <c r="Y2782" s="277"/>
      <c r="Z2782" s="277"/>
      <c r="AA2782" s="277"/>
      <c r="AB2782" s="277"/>
      <c r="AC2782" s="277"/>
      <c r="AD2782" s="277"/>
      <c r="AE2782" s="277"/>
      <c r="AF2782" s="277"/>
      <c r="AG2782" s="277"/>
      <c r="AH2782" s="277"/>
      <c r="AI2782" s="277"/>
    </row>
    <row r="2783" spans="16:35" s="185" customFormat="1">
      <c r="P2783" s="277"/>
      <c r="Q2783" s="277"/>
      <c r="R2783" s="277"/>
      <c r="S2783" s="291">
        <v>44329</v>
      </c>
      <c r="T2783" s="279">
        <v>2690</v>
      </c>
      <c r="U2783" s="277"/>
      <c r="V2783" s="277"/>
      <c r="W2783" s="277"/>
      <c r="X2783" s="277"/>
      <c r="Y2783" s="277"/>
      <c r="Z2783" s="277"/>
      <c r="AA2783" s="277"/>
      <c r="AB2783" s="277"/>
      <c r="AC2783" s="277"/>
      <c r="AD2783" s="277"/>
      <c r="AE2783" s="277"/>
      <c r="AF2783" s="277"/>
      <c r="AG2783" s="277"/>
      <c r="AH2783" s="277"/>
      <c r="AI2783" s="277"/>
    </row>
    <row r="2784" spans="16:35" s="185" customFormat="1">
      <c r="P2784" s="277"/>
      <c r="Q2784" s="277"/>
      <c r="R2784" s="277"/>
      <c r="S2784" s="291">
        <v>44330</v>
      </c>
      <c r="T2784" s="279">
        <v>2691</v>
      </c>
      <c r="U2784" s="277"/>
      <c r="V2784" s="277"/>
      <c r="W2784" s="277"/>
      <c r="X2784" s="277"/>
      <c r="Y2784" s="277"/>
      <c r="Z2784" s="277"/>
      <c r="AA2784" s="277"/>
      <c r="AB2784" s="277"/>
      <c r="AC2784" s="277"/>
      <c r="AD2784" s="277"/>
      <c r="AE2784" s="277"/>
      <c r="AF2784" s="277"/>
      <c r="AG2784" s="277"/>
      <c r="AH2784" s="277"/>
      <c r="AI2784" s="277"/>
    </row>
    <row r="2785" spans="16:35" s="185" customFormat="1">
      <c r="P2785" s="277"/>
      <c r="Q2785" s="277"/>
      <c r="R2785" s="277"/>
      <c r="S2785" s="291">
        <v>44331</v>
      </c>
      <c r="T2785" s="279">
        <v>2692</v>
      </c>
      <c r="U2785" s="277"/>
      <c r="V2785" s="277"/>
      <c r="W2785" s="277"/>
      <c r="X2785" s="277"/>
      <c r="Y2785" s="277"/>
      <c r="Z2785" s="277"/>
      <c r="AA2785" s="277"/>
      <c r="AB2785" s="277"/>
      <c r="AC2785" s="277"/>
      <c r="AD2785" s="277"/>
      <c r="AE2785" s="277"/>
      <c r="AF2785" s="277"/>
      <c r="AG2785" s="277"/>
      <c r="AH2785" s="277"/>
      <c r="AI2785" s="277"/>
    </row>
    <row r="2786" spans="16:35" s="185" customFormat="1">
      <c r="P2786" s="277"/>
      <c r="Q2786" s="277"/>
      <c r="R2786" s="277"/>
      <c r="S2786" s="291">
        <v>44332</v>
      </c>
      <c r="T2786" s="279">
        <v>2693</v>
      </c>
      <c r="U2786" s="277"/>
      <c r="V2786" s="277"/>
      <c r="W2786" s="277"/>
      <c r="X2786" s="277"/>
      <c r="Y2786" s="277"/>
      <c r="Z2786" s="277"/>
      <c r="AA2786" s="277"/>
      <c r="AB2786" s="277"/>
      <c r="AC2786" s="277"/>
      <c r="AD2786" s="277"/>
      <c r="AE2786" s="277"/>
      <c r="AF2786" s="277"/>
      <c r="AG2786" s="277"/>
      <c r="AH2786" s="277"/>
      <c r="AI2786" s="277"/>
    </row>
    <row r="2787" spans="16:35" s="185" customFormat="1">
      <c r="P2787" s="277"/>
      <c r="Q2787" s="277"/>
      <c r="R2787" s="277"/>
      <c r="S2787" s="291">
        <v>44333</v>
      </c>
      <c r="T2787" s="279">
        <v>2694</v>
      </c>
      <c r="U2787" s="277"/>
      <c r="V2787" s="277"/>
      <c r="W2787" s="277"/>
      <c r="X2787" s="277"/>
      <c r="Y2787" s="277"/>
      <c r="Z2787" s="277"/>
      <c r="AA2787" s="277"/>
      <c r="AB2787" s="277"/>
      <c r="AC2787" s="277"/>
      <c r="AD2787" s="277"/>
      <c r="AE2787" s="277"/>
      <c r="AF2787" s="277"/>
      <c r="AG2787" s="277"/>
      <c r="AH2787" s="277"/>
      <c r="AI2787" s="277"/>
    </row>
    <row r="2788" spans="16:35" s="185" customFormat="1">
      <c r="P2788" s="277"/>
      <c r="Q2788" s="277"/>
      <c r="R2788" s="277"/>
      <c r="S2788" s="291">
        <v>44334</v>
      </c>
      <c r="T2788" s="279">
        <v>2695</v>
      </c>
      <c r="U2788" s="277"/>
      <c r="V2788" s="277"/>
      <c r="W2788" s="277"/>
      <c r="X2788" s="277"/>
      <c r="Y2788" s="277"/>
      <c r="Z2788" s="277"/>
      <c r="AA2788" s="277"/>
      <c r="AB2788" s="277"/>
      <c r="AC2788" s="277"/>
      <c r="AD2788" s="277"/>
      <c r="AE2788" s="277"/>
      <c r="AF2788" s="277"/>
      <c r="AG2788" s="277"/>
      <c r="AH2788" s="277"/>
      <c r="AI2788" s="277"/>
    </row>
    <row r="2789" spans="16:35" s="185" customFormat="1">
      <c r="P2789" s="277"/>
      <c r="Q2789" s="277"/>
      <c r="R2789" s="277"/>
      <c r="S2789" s="291">
        <v>44335</v>
      </c>
      <c r="T2789" s="279">
        <v>2696</v>
      </c>
      <c r="U2789" s="277"/>
      <c r="V2789" s="277"/>
      <c r="W2789" s="277"/>
      <c r="X2789" s="277"/>
      <c r="Y2789" s="277"/>
      <c r="Z2789" s="277"/>
      <c r="AA2789" s="277"/>
      <c r="AB2789" s="277"/>
      <c r="AC2789" s="277"/>
      <c r="AD2789" s="277"/>
      <c r="AE2789" s="277"/>
      <c r="AF2789" s="277"/>
      <c r="AG2789" s="277"/>
      <c r="AH2789" s="277"/>
      <c r="AI2789" s="277"/>
    </row>
    <row r="2790" spans="16:35" s="185" customFormat="1">
      <c r="P2790" s="277"/>
      <c r="Q2790" s="277"/>
      <c r="R2790" s="277"/>
      <c r="S2790" s="291">
        <v>44336</v>
      </c>
      <c r="T2790" s="279">
        <v>2697</v>
      </c>
      <c r="U2790" s="277"/>
      <c r="V2790" s="277"/>
      <c r="W2790" s="277"/>
      <c r="X2790" s="277"/>
      <c r="Y2790" s="277"/>
      <c r="Z2790" s="277"/>
      <c r="AA2790" s="277"/>
      <c r="AB2790" s="277"/>
      <c r="AC2790" s="277"/>
      <c r="AD2790" s="277"/>
      <c r="AE2790" s="277"/>
      <c r="AF2790" s="277"/>
      <c r="AG2790" s="277"/>
      <c r="AH2790" s="277"/>
      <c r="AI2790" s="277"/>
    </row>
    <row r="2791" spans="16:35" s="185" customFormat="1">
      <c r="P2791" s="277"/>
      <c r="Q2791" s="277"/>
      <c r="R2791" s="277"/>
      <c r="S2791" s="291">
        <v>44337</v>
      </c>
      <c r="T2791" s="279">
        <v>2698</v>
      </c>
      <c r="U2791" s="277"/>
      <c r="V2791" s="277"/>
      <c r="W2791" s="277"/>
      <c r="X2791" s="277"/>
      <c r="Y2791" s="277"/>
      <c r="Z2791" s="277"/>
      <c r="AA2791" s="277"/>
      <c r="AB2791" s="277"/>
      <c r="AC2791" s="277"/>
      <c r="AD2791" s="277"/>
      <c r="AE2791" s="277"/>
      <c r="AF2791" s="277"/>
      <c r="AG2791" s="277"/>
      <c r="AH2791" s="277"/>
      <c r="AI2791" s="277"/>
    </row>
    <row r="2792" spans="16:35" s="185" customFormat="1">
      <c r="P2792" s="277"/>
      <c r="Q2792" s="277"/>
      <c r="R2792" s="277"/>
      <c r="S2792" s="291">
        <v>44338</v>
      </c>
      <c r="T2792" s="279">
        <v>2699</v>
      </c>
      <c r="U2792" s="277"/>
      <c r="V2792" s="277"/>
      <c r="W2792" s="277"/>
      <c r="X2792" s="277"/>
      <c r="Y2792" s="277"/>
      <c r="Z2792" s="277"/>
      <c r="AA2792" s="277"/>
      <c r="AB2792" s="277"/>
      <c r="AC2792" s="277"/>
      <c r="AD2792" s="277"/>
      <c r="AE2792" s="277"/>
      <c r="AF2792" s="277"/>
      <c r="AG2792" s="277"/>
      <c r="AH2792" s="277"/>
      <c r="AI2792" s="277"/>
    </row>
    <row r="2793" spans="16:35" s="185" customFormat="1">
      <c r="P2793" s="277"/>
      <c r="Q2793" s="277"/>
      <c r="R2793" s="277"/>
      <c r="S2793" s="291">
        <v>44339</v>
      </c>
      <c r="T2793" s="279">
        <v>2700</v>
      </c>
      <c r="U2793" s="277"/>
      <c r="V2793" s="277"/>
      <c r="W2793" s="277"/>
      <c r="X2793" s="277"/>
      <c r="Y2793" s="277"/>
      <c r="Z2793" s="277"/>
      <c r="AA2793" s="277"/>
      <c r="AB2793" s="277"/>
      <c r="AC2793" s="277"/>
      <c r="AD2793" s="277"/>
      <c r="AE2793" s="277"/>
      <c r="AF2793" s="277"/>
      <c r="AG2793" s="277"/>
      <c r="AH2793" s="277"/>
      <c r="AI2793" s="277"/>
    </row>
    <row r="2794" spans="16:35" s="185" customFormat="1">
      <c r="P2794" s="277"/>
      <c r="Q2794" s="277"/>
      <c r="R2794" s="277"/>
      <c r="S2794" s="291">
        <v>44340</v>
      </c>
      <c r="T2794" s="279">
        <v>2701</v>
      </c>
      <c r="U2794" s="277"/>
      <c r="V2794" s="277"/>
      <c r="W2794" s="277"/>
      <c r="X2794" s="277"/>
      <c r="Y2794" s="277"/>
      <c r="Z2794" s="277"/>
      <c r="AA2794" s="277"/>
      <c r="AB2794" s="277"/>
      <c r="AC2794" s="277"/>
      <c r="AD2794" s="277"/>
      <c r="AE2794" s="277"/>
      <c r="AF2794" s="277"/>
      <c r="AG2794" s="277"/>
      <c r="AH2794" s="277"/>
      <c r="AI2794" s="277"/>
    </row>
    <row r="2795" spans="16:35" s="185" customFormat="1">
      <c r="P2795" s="277"/>
      <c r="Q2795" s="277"/>
      <c r="R2795" s="277"/>
      <c r="S2795" s="291">
        <v>44341</v>
      </c>
      <c r="T2795" s="279">
        <v>2702</v>
      </c>
      <c r="U2795" s="277"/>
      <c r="V2795" s="277"/>
      <c r="W2795" s="277"/>
      <c r="X2795" s="277"/>
      <c r="Y2795" s="277"/>
      <c r="Z2795" s="277"/>
      <c r="AA2795" s="277"/>
      <c r="AB2795" s="277"/>
      <c r="AC2795" s="277"/>
      <c r="AD2795" s="277"/>
      <c r="AE2795" s="277"/>
      <c r="AF2795" s="277"/>
      <c r="AG2795" s="277"/>
      <c r="AH2795" s="277"/>
      <c r="AI2795" s="277"/>
    </row>
    <row r="2796" spans="16:35" s="185" customFormat="1">
      <c r="P2796" s="277"/>
      <c r="Q2796" s="277"/>
      <c r="R2796" s="277"/>
      <c r="S2796" s="291">
        <v>44342</v>
      </c>
      <c r="T2796" s="279">
        <v>2703</v>
      </c>
      <c r="U2796" s="277"/>
      <c r="V2796" s="277"/>
      <c r="W2796" s="277"/>
      <c r="X2796" s="277"/>
      <c r="Y2796" s="277"/>
      <c r="Z2796" s="277"/>
      <c r="AA2796" s="277"/>
      <c r="AB2796" s="277"/>
      <c r="AC2796" s="277"/>
      <c r="AD2796" s="277"/>
      <c r="AE2796" s="277"/>
      <c r="AF2796" s="277"/>
      <c r="AG2796" s="277"/>
      <c r="AH2796" s="277"/>
      <c r="AI2796" s="277"/>
    </row>
    <row r="2797" spans="16:35" s="185" customFormat="1">
      <c r="P2797" s="277"/>
      <c r="Q2797" s="277"/>
      <c r="R2797" s="277"/>
      <c r="S2797" s="291">
        <v>44343</v>
      </c>
      <c r="T2797" s="279">
        <v>2704</v>
      </c>
      <c r="U2797" s="277"/>
      <c r="V2797" s="277"/>
      <c r="W2797" s="277"/>
      <c r="X2797" s="277"/>
      <c r="Y2797" s="277"/>
      <c r="Z2797" s="277"/>
      <c r="AA2797" s="277"/>
      <c r="AB2797" s="277"/>
      <c r="AC2797" s="277"/>
      <c r="AD2797" s="277"/>
      <c r="AE2797" s="277"/>
      <c r="AF2797" s="277"/>
      <c r="AG2797" s="277"/>
      <c r="AH2797" s="277"/>
      <c r="AI2797" s="277"/>
    </row>
    <row r="2798" spans="16:35" s="185" customFormat="1">
      <c r="P2798" s="277"/>
      <c r="Q2798" s="277"/>
      <c r="R2798" s="277"/>
      <c r="S2798" s="291">
        <v>44344</v>
      </c>
      <c r="T2798" s="279">
        <v>2705</v>
      </c>
      <c r="U2798" s="277"/>
      <c r="V2798" s="277"/>
      <c r="W2798" s="277"/>
      <c r="X2798" s="277"/>
      <c r="Y2798" s="277"/>
      <c r="Z2798" s="277"/>
      <c r="AA2798" s="277"/>
      <c r="AB2798" s="277"/>
      <c r="AC2798" s="277"/>
      <c r="AD2798" s="277"/>
      <c r="AE2798" s="277"/>
      <c r="AF2798" s="277"/>
      <c r="AG2798" s="277"/>
      <c r="AH2798" s="277"/>
      <c r="AI2798" s="277"/>
    </row>
    <row r="2799" spans="16:35" s="185" customFormat="1">
      <c r="P2799" s="277"/>
      <c r="Q2799" s="277"/>
      <c r="R2799" s="277"/>
      <c r="S2799" s="291">
        <v>44345</v>
      </c>
      <c r="T2799" s="279">
        <v>2706</v>
      </c>
      <c r="U2799" s="277"/>
      <c r="V2799" s="277"/>
      <c r="W2799" s="277"/>
      <c r="X2799" s="277"/>
      <c r="Y2799" s="277"/>
      <c r="Z2799" s="277"/>
      <c r="AA2799" s="277"/>
      <c r="AB2799" s="277"/>
      <c r="AC2799" s="277"/>
      <c r="AD2799" s="277"/>
      <c r="AE2799" s="277"/>
      <c r="AF2799" s="277"/>
      <c r="AG2799" s="277"/>
      <c r="AH2799" s="277"/>
      <c r="AI2799" s="277"/>
    </row>
    <row r="2800" spans="16:35" s="185" customFormat="1">
      <c r="P2800" s="277"/>
      <c r="Q2800" s="277"/>
      <c r="R2800" s="277"/>
      <c r="S2800" s="291">
        <v>44346</v>
      </c>
      <c r="T2800" s="279">
        <v>2707</v>
      </c>
      <c r="U2800" s="277"/>
      <c r="V2800" s="277"/>
      <c r="W2800" s="277"/>
      <c r="X2800" s="277"/>
      <c r="Y2800" s="277"/>
      <c r="Z2800" s="277"/>
      <c r="AA2800" s="277"/>
      <c r="AB2800" s="277"/>
      <c r="AC2800" s="277"/>
      <c r="AD2800" s="277"/>
      <c r="AE2800" s="277"/>
      <c r="AF2800" s="277"/>
      <c r="AG2800" s="277"/>
      <c r="AH2800" s="277"/>
      <c r="AI2800" s="277"/>
    </row>
    <row r="2801" spans="16:35" s="185" customFormat="1">
      <c r="P2801" s="277"/>
      <c r="Q2801" s="277"/>
      <c r="R2801" s="277"/>
      <c r="S2801" s="291">
        <v>44347</v>
      </c>
      <c r="T2801" s="279">
        <v>2708</v>
      </c>
      <c r="U2801" s="277"/>
      <c r="V2801" s="277"/>
      <c r="W2801" s="277"/>
      <c r="X2801" s="277"/>
      <c r="Y2801" s="277"/>
      <c r="Z2801" s="277"/>
      <c r="AA2801" s="277"/>
      <c r="AB2801" s="277"/>
      <c r="AC2801" s="277"/>
      <c r="AD2801" s="277"/>
      <c r="AE2801" s="277"/>
      <c r="AF2801" s="277"/>
      <c r="AG2801" s="277"/>
      <c r="AH2801" s="277"/>
      <c r="AI2801" s="277"/>
    </row>
    <row r="2802" spans="16:35" s="185" customFormat="1">
      <c r="P2802" s="277"/>
      <c r="Q2802" s="277"/>
      <c r="R2802" s="277"/>
      <c r="S2802" s="291">
        <v>44348</v>
      </c>
      <c r="T2802" s="279">
        <v>2709</v>
      </c>
      <c r="U2802" s="277"/>
      <c r="V2802" s="277"/>
      <c r="W2802" s="277"/>
      <c r="X2802" s="277"/>
      <c r="Y2802" s="277"/>
      <c r="Z2802" s="277"/>
      <c r="AA2802" s="277"/>
      <c r="AB2802" s="277"/>
      <c r="AC2802" s="277"/>
      <c r="AD2802" s="277"/>
      <c r="AE2802" s="277"/>
      <c r="AF2802" s="277"/>
      <c r="AG2802" s="277"/>
      <c r="AH2802" s="277"/>
      <c r="AI2802" s="277"/>
    </row>
    <row r="2803" spans="16:35" s="185" customFormat="1">
      <c r="P2803" s="277"/>
      <c r="Q2803" s="277"/>
      <c r="R2803" s="277"/>
      <c r="S2803" s="291">
        <v>44349</v>
      </c>
      <c r="T2803" s="279">
        <v>2710</v>
      </c>
      <c r="U2803" s="277"/>
      <c r="V2803" s="277"/>
      <c r="W2803" s="277"/>
      <c r="X2803" s="277"/>
      <c r="Y2803" s="277"/>
      <c r="Z2803" s="277"/>
      <c r="AA2803" s="277"/>
      <c r="AB2803" s="277"/>
      <c r="AC2803" s="277"/>
      <c r="AD2803" s="277"/>
      <c r="AE2803" s="277"/>
      <c r="AF2803" s="277"/>
      <c r="AG2803" s="277"/>
      <c r="AH2803" s="277"/>
      <c r="AI2803" s="277"/>
    </row>
    <row r="2804" spans="16:35" s="185" customFormat="1">
      <c r="P2804" s="277"/>
      <c r="Q2804" s="277"/>
      <c r="R2804" s="277"/>
      <c r="S2804" s="291">
        <v>44350</v>
      </c>
      <c r="T2804" s="279">
        <v>2711</v>
      </c>
      <c r="U2804" s="277"/>
      <c r="V2804" s="277"/>
      <c r="W2804" s="277"/>
      <c r="X2804" s="277"/>
      <c r="Y2804" s="277"/>
      <c r="Z2804" s="277"/>
      <c r="AA2804" s="277"/>
      <c r="AB2804" s="277"/>
      <c r="AC2804" s="277"/>
      <c r="AD2804" s="277"/>
      <c r="AE2804" s="277"/>
      <c r="AF2804" s="277"/>
      <c r="AG2804" s="277"/>
      <c r="AH2804" s="277"/>
      <c r="AI2804" s="277"/>
    </row>
    <row r="2805" spans="16:35" s="185" customFormat="1">
      <c r="P2805" s="277"/>
      <c r="Q2805" s="277"/>
      <c r="R2805" s="277"/>
      <c r="S2805" s="291">
        <v>44351</v>
      </c>
      <c r="T2805" s="279">
        <v>2712</v>
      </c>
      <c r="U2805" s="277"/>
      <c r="V2805" s="277"/>
      <c r="W2805" s="277"/>
      <c r="X2805" s="277"/>
      <c r="Y2805" s="277"/>
      <c r="Z2805" s="277"/>
      <c r="AA2805" s="277"/>
      <c r="AB2805" s="277"/>
      <c r="AC2805" s="277"/>
      <c r="AD2805" s="277"/>
      <c r="AE2805" s="277"/>
      <c r="AF2805" s="277"/>
      <c r="AG2805" s="277"/>
      <c r="AH2805" s="277"/>
      <c r="AI2805" s="277"/>
    </row>
    <row r="2806" spans="16:35" s="185" customFormat="1">
      <c r="P2806" s="277"/>
      <c r="Q2806" s="277"/>
      <c r="R2806" s="277"/>
      <c r="S2806" s="291">
        <v>44352</v>
      </c>
      <c r="T2806" s="279">
        <v>2713</v>
      </c>
      <c r="U2806" s="277"/>
      <c r="V2806" s="277"/>
      <c r="W2806" s="277"/>
      <c r="X2806" s="277"/>
      <c r="Y2806" s="277"/>
      <c r="Z2806" s="277"/>
      <c r="AA2806" s="277"/>
      <c r="AB2806" s="277"/>
      <c r="AC2806" s="277"/>
      <c r="AD2806" s="277"/>
      <c r="AE2806" s="277"/>
      <c r="AF2806" s="277"/>
      <c r="AG2806" s="277"/>
      <c r="AH2806" s="277"/>
      <c r="AI2806" s="277"/>
    </row>
    <row r="2807" spans="16:35" s="185" customFormat="1">
      <c r="P2807" s="277"/>
      <c r="Q2807" s="277"/>
      <c r="R2807" s="277"/>
      <c r="S2807" s="291">
        <v>44353</v>
      </c>
      <c r="T2807" s="279">
        <v>2714</v>
      </c>
      <c r="U2807" s="277"/>
      <c r="V2807" s="277"/>
      <c r="W2807" s="277"/>
      <c r="X2807" s="277"/>
      <c r="Y2807" s="277"/>
      <c r="Z2807" s="277"/>
      <c r="AA2807" s="277"/>
      <c r="AB2807" s="277"/>
      <c r="AC2807" s="277"/>
      <c r="AD2807" s="277"/>
      <c r="AE2807" s="277"/>
      <c r="AF2807" s="277"/>
      <c r="AG2807" s="277"/>
      <c r="AH2807" s="277"/>
      <c r="AI2807" s="277"/>
    </row>
    <row r="2808" spans="16:35" s="185" customFormat="1">
      <c r="P2808" s="277"/>
      <c r="Q2808" s="277"/>
      <c r="R2808" s="277"/>
      <c r="S2808" s="291">
        <v>44354</v>
      </c>
      <c r="T2808" s="279">
        <v>2715</v>
      </c>
      <c r="U2808" s="277"/>
      <c r="V2808" s="277"/>
      <c r="W2808" s="277"/>
      <c r="X2808" s="277"/>
      <c r="Y2808" s="277"/>
      <c r="Z2808" s="277"/>
      <c r="AA2808" s="277"/>
      <c r="AB2808" s="277"/>
      <c r="AC2808" s="277"/>
      <c r="AD2808" s="277"/>
      <c r="AE2808" s="277"/>
      <c r="AF2808" s="277"/>
      <c r="AG2808" s="277"/>
      <c r="AH2808" s="277"/>
      <c r="AI2808" s="277"/>
    </row>
    <row r="2809" spans="16:35" s="185" customFormat="1">
      <c r="P2809" s="277"/>
      <c r="Q2809" s="277"/>
      <c r="R2809" s="277"/>
      <c r="S2809" s="291">
        <v>44355</v>
      </c>
      <c r="T2809" s="279">
        <v>2716</v>
      </c>
      <c r="U2809" s="277"/>
      <c r="V2809" s="277"/>
      <c r="W2809" s="277"/>
      <c r="X2809" s="277"/>
      <c r="Y2809" s="277"/>
      <c r="Z2809" s="277"/>
      <c r="AA2809" s="277"/>
      <c r="AB2809" s="277"/>
      <c r="AC2809" s="277"/>
      <c r="AD2809" s="277"/>
      <c r="AE2809" s="277"/>
      <c r="AF2809" s="277"/>
      <c r="AG2809" s="277"/>
      <c r="AH2809" s="277"/>
      <c r="AI2809" s="277"/>
    </row>
    <row r="2810" spans="16:35" s="185" customFormat="1">
      <c r="P2810" s="277"/>
      <c r="Q2810" s="277"/>
      <c r="R2810" s="277"/>
      <c r="S2810" s="291">
        <v>44356</v>
      </c>
      <c r="T2810" s="279">
        <v>2717</v>
      </c>
      <c r="U2810" s="277"/>
      <c r="V2810" s="277"/>
      <c r="W2810" s="277"/>
      <c r="X2810" s="277"/>
      <c r="Y2810" s="277"/>
      <c r="Z2810" s="277"/>
      <c r="AA2810" s="277"/>
      <c r="AB2810" s="277"/>
      <c r="AC2810" s="277"/>
      <c r="AD2810" s="277"/>
      <c r="AE2810" s="277"/>
      <c r="AF2810" s="277"/>
      <c r="AG2810" s="277"/>
      <c r="AH2810" s="277"/>
      <c r="AI2810" s="277"/>
    </row>
    <row r="2811" spans="16:35" s="185" customFormat="1">
      <c r="P2811" s="277"/>
      <c r="Q2811" s="277"/>
      <c r="R2811" s="277"/>
      <c r="S2811" s="291">
        <v>44357</v>
      </c>
      <c r="T2811" s="279">
        <v>2718</v>
      </c>
      <c r="U2811" s="277"/>
      <c r="V2811" s="277"/>
      <c r="W2811" s="277"/>
      <c r="X2811" s="277"/>
      <c r="Y2811" s="277"/>
      <c r="Z2811" s="277"/>
      <c r="AA2811" s="277"/>
      <c r="AB2811" s="277"/>
      <c r="AC2811" s="277"/>
      <c r="AD2811" s="277"/>
      <c r="AE2811" s="277"/>
      <c r="AF2811" s="277"/>
      <c r="AG2811" s="277"/>
      <c r="AH2811" s="277"/>
      <c r="AI2811" s="277"/>
    </row>
    <row r="2812" spans="16:35" s="185" customFormat="1">
      <c r="P2812" s="277"/>
      <c r="Q2812" s="277"/>
      <c r="R2812" s="277"/>
      <c r="S2812" s="291">
        <v>44358</v>
      </c>
      <c r="T2812" s="279">
        <v>2719</v>
      </c>
      <c r="U2812" s="277"/>
      <c r="V2812" s="277"/>
      <c r="W2812" s="277"/>
      <c r="X2812" s="277"/>
      <c r="Y2812" s="277"/>
      <c r="Z2812" s="277"/>
      <c r="AA2812" s="277"/>
      <c r="AB2812" s="277"/>
      <c r="AC2812" s="277"/>
      <c r="AD2812" s="277"/>
      <c r="AE2812" s="277"/>
      <c r="AF2812" s="277"/>
      <c r="AG2812" s="277"/>
      <c r="AH2812" s="277"/>
      <c r="AI2812" s="277"/>
    </row>
    <row r="2813" spans="16:35" s="185" customFormat="1">
      <c r="P2813" s="277"/>
      <c r="Q2813" s="277"/>
      <c r="R2813" s="277"/>
      <c r="S2813" s="291">
        <v>44359</v>
      </c>
      <c r="T2813" s="279">
        <v>2720</v>
      </c>
      <c r="U2813" s="277"/>
      <c r="V2813" s="277"/>
      <c r="W2813" s="277"/>
      <c r="X2813" s="277"/>
      <c r="Y2813" s="277"/>
      <c r="Z2813" s="277"/>
      <c r="AA2813" s="277"/>
      <c r="AB2813" s="277"/>
      <c r="AC2813" s="277"/>
      <c r="AD2813" s="277"/>
      <c r="AE2813" s="277"/>
      <c r="AF2813" s="277"/>
      <c r="AG2813" s="277"/>
      <c r="AH2813" s="277"/>
      <c r="AI2813" s="277"/>
    </row>
    <row r="2814" spans="16:35" s="185" customFormat="1">
      <c r="P2814" s="277"/>
      <c r="Q2814" s="277"/>
      <c r="R2814" s="277"/>
      <c r="S2814" s="291">
        <v>44360</v>
      </c>
      <c r="T2814" s="279">
        <v>2721</v>
      </c>
      <c r="U2814" s="277"/>
      <c r="V2814" s="277"/>
      <c r="W2814" s="277"/>
      <c r="X2814" s="277"/>
      <c r="Y2814" s="277"/>
      <c r="Z2814" s="277"/>
      <c r="AA2814" s="277"/>
      <c r="AB2814" s="277"/>
      <c r="AC2814" s="277"/>
      <c r="AD2814" s="277"/>
      <c r="AE2814" s="277"/>
      <c r="AF2814" s="277"/>
      <c r="AG2814" s="277"/>
      <c r="AH2814" s="277"/>
      <c r="AI2814" s="277"/>
    </row>
    <row r="2815" spans="16:35" s="185" customFormat="1">
      <c r="P2815" s="277"/>
      <c r="Q2815" s="277"/>
      <c r="R2815" s="277"/>
      <c r="S2815" s="291">
        <v>44361</v>
      </c>
      <c r="T2815" s="279">
        <v>2722</v>
      </c>
      <c r="U2815" s="277"/>
      <c r="V2815" s="277"/>
      <c r="W2815" s="277"/>
      <c r="X2815" s="277"/>
      <c r="Y2815" s="277"/>
      <c r="Z2815" s="277"/>
      <c r="AA2815" s="277"/>
      <c r="AB2815" s="277"/>
      <c r="AC2815" s="277"/>
      <c r="AD2815" s="277"/>
      <c r="AE2815" s="277"/>
      <c r="AF2815" s="277"/>
      <c r="AG2815" s="277"/>
      <c r="AH2815" s="277"/>
      <c r="AI2815" s="277"/>
    </row>
    <row r="2816" spans="16:35" s="185" customFormat="1">
      <c r="P2816" s="277"/>
      <c r="Q2816" s="277"/>
      <c r="R2816" s="277"/>
      <c r="S2816" s="291">
        <v>44362</v>
      </c>
      <c r="T2816" s="279">
        <v>2723</v>
      </c>
      <c r="U2816" s="277"/>
      <c r="V2816" s="277"/>
      <c r="W2816" s="277"/>
      <c r="X2816" s="277"/>
      <c r="Y2816" s="277"/>
      <c r="Z2816" s="277"/>
      <c r="AA2816" s="277"/>
      <c r="AB2816" s="277"/>
      <c r="AC2816" s="277"/>
      <c r="AD2816" s="277"/>
      <c r="AE2816" s="277"/>
      <c r="AF2816" s="277"/>
      <c r="AG2816" s="277"/>
      <c r="AH2816" s="277"/>
      <c r="AI2816" s="277"/>
    </row>
    <row r="2817" spans="16:35" s="185" customFormat="1">
      <c r="P2817" s="277"/>
      <c r="Q2817" s="277"/>
      <c r="R2817" s="277"/>
      <c r="S2817" s="291">
        <v>44363</v>
      </c>
      <c r="T2817" s="279">
        <v>2724</v>
      </c>
      <c r="U2817" s="277"/>
      <c r="V2817" s="277"/>
      <c r="W2817" s="277"/>
      <c r="X2817" s="277"/>
      <c r="Y2817" s="277"/>
      <c r="Z2817" s="277"/>
      <c r="AA2817" s="277"/>
      <c r="AB2817" s="277"/>
      <c r="AC2817" s="277"/>
      <c r="AD2817" s="277"/>
      <c r="AE2817" s="277"/>
      <c r="AF2817" s="277"/>
      <c r="AG2817" s="277"/>
      <c r="AH2817" s="277"/>
      <c r="AI2817" s="277"/>
    </row>
    <row r="2818" spans="16:35" s="185" customFormat="1">
      <c r="P2818" s="277"/>
      <c r="Q2818" s="277"/>
      <c r="R2818" s="277"/>
      <c r="S2818" s="291">
        <v>44364</v>
      </c>
      <c r="T2818" s="279">
        <v>2725</v>
      </c>
      <c r="U2818" s="277"/>
      <c r="V2818" s="277"/>
      <c r="W2818" s="277"/>
      <c r="X2818" s="277"/>
      <c r="Y2818" s="277"/>
      <c r="Z2818" s="277"/>
      <c r="AA2818" s="277"/>
      <c r="AB2818" s="277"/>
      <c r="AC2818" s="277"/>
      <c r="AD2818" s="277"/>
      <c r="AE2818" s="277"/>
      <c r="AF2818" s="277"/>
      <c r="AG2818" s="277"/>
      <c r="AH2818" s="277"/>
      <c r="AI2818" s="277"/>
    </row>
    <row r="2819" spans="16:35" s="185" customFormat="1">
      <c r="P2819" s="277"/>
      <c r="Q2819" s="277"/>
      <c r="R2819" s="277"/>
      <c r="S2819" s="291">
        <v>44365</v>
      </c>
      <c r="T2819" s="279">
        <v>2726</v>
      </c>
      <c r="U2819" s="277"/>
      <c r="V2819" s="277"/>
      <c r="W2819" s="277"/>
      <c r="X2819" s="277"/>
      <c r="Y2819" s="277"/>
      <c r="Z2819" s="277"/>
      <c r="AA2819" s="277"/>
      <c r="AB2819" s="277"/>
      <c r="AC2819" s="277"/>
      <c r="AD2819" s="277"/>
      <c r="AE2819" s="277"/>
      <c r="AF2819" s="277"/>
      <c r="AG2819" s="277"/>
      <c r="AH2819" s="277"/>
      <c r="AI2819" s="277"/>
    </row>
    <row r="2820" spans="16:35" s="185" customFormat="1">
      <c r="P2820" s="277"/>
      <c r="Q2820" s="277"/>
      <c r="R2820" s="277"/>
      <c r="S2820" s="291">
        <v>44366</v>
      </c>
      <c r="T2820" s="279">
        <v>2727</v>
      </c>
      <c r="U2820" s="277"/>
      <c r="V2820" s="277"/>
      <c r="W2820" s="277"/>
      <c r="X2820" s="277"/>
      <c r="Y2820" s="277"/>
      <c r="Z2820" s="277"/>
      <c r="AA2820" s="277"/>
      <c r="AB2820" s="277"/>
      <c r="AC2820" s="277"/>
      <c r="AD2820" s="277"/>
      <c r="AE2820" s="277"/>
      <c r="AF2820" s="277"/>
      <c r="AG2820" s="277"/>
      <c r="AH2820" s="277"/>
      <c r="AI2820" s="277"/>
    </row>
    <row r="2821" spans="16:35" s="185" customFormat="1">
      <c r="P2821" s="277"/>
      <c r="Q2821" s="277"/>
      <c r="R2821" s="277"/>
      <c r="S2821" s="291">
        <v>44367</v>
      </c>
      <c r="T2821" s="279">
        <v>2728</v>
      </c>
      <c r="U2821" s="277"/>
      <c r="V2821" s="277"/>
      <c r="W2821" s="277"/>
      <c r="X2821" s="277"/>
      <c r="Y2821" s="277"/>
      <c r="Z2821" s="277"/>
      <c r="AA2821" s="277"/>
      <c r="AB2821" s="277"/>
      <c r="AC2821" s="277"/>
      <c r="AD2821" s="277"/>
      <c r="AE2821" s="277"/>
      <c r="AF2821" s="277"/>
      <c r="AG2821" s="277"/>
      <c r="AH2821" s="277"/>
      <c r="AI2821" s="277"/>
    </row>
    <row r="2822" spans="16:35" s="185" customFormat="1">
      <c r="P2822" s="277"/>
      <c r="Q2822" s="277"/>
      <c r="R2822" s="277"/>
      <c r="S2822" s="291">
        <v>44368</v>
      </c>
      <c r="T2822" s="279">
        <v>2729</v>
      </c>
      <c r="U2822" s="277"/>
      <c r="V2822" s="277"/>
      <c r="W2822" s="277"/>
      <c r="X2822" s="277"/>
      <c r="Y2822" s="277"/>
      <c r="Z2822" s="277"/>
      <c r="AA2822" s="277"/>
      <c r="AB2822" s="277"/>
      <c r="AC2822" s="277"/>
      <c r="AD2822" s="277"/>
      <c r="AE2822" s="277"/>
      <c r="AF2822" s="277"/>
      <c r="AG2822" s="277"/>
      <c r="AH2822" s="277"/>
      <c r="AI2822" s="277"/>
    </row>
    <row r="2823" spans="16:35" s="185" customFormat="1">
      <c r="P2823" s="277"/>
      <c r="Q2823" s="277"/>
      <c r="R2823" s="277"/>
      <c r="S2823" s="291">
        <v>44369</v>
      </c>
      <c r="T2823" s="279">
        <v>2730</v>
      </c>
      <c r="U2823" s="277"/>
      <c r="V2823" s="277"/>
      <c r="W2823" s="277"/>
      <c r="X2823" s="277"/>
      <c r="Y2823" s="277"/>
      <c r="Z2823" s="277"/>
      <c r="AA2823" s="277"/>
      <c r="AB2823" s="277"/>
      <c r="AC2823" s="277"/>
      <c r="AD2823" s="277"/>
      <c r="AE2823" s="277"/>
      <c r="AF2823" s="277"/>
      <c r="AG2823" s="277"/>
      <c r="AH2823" s="277"/>
      <c r="AI2823" s="277"/>
    </row>
    <row r="2824" spans="16:35" s="185" customFormat="1">
      <c r="P2824" s="277"/>
      <c r="Q2824" s="277"/>
      <c r="R2824" s="277"/>
      <c r="S2824" s="291">
        <v>44370</v>
      </c>
      <c r="T2824" s="279">
        <v>2731</v>
      </c>
      <c r="U2824" s="277"/>
      <c r="V2824" s="277"/>
      <c r="W2824" s="277"/>
      <c r="X2824" s="277"/>
      <c r="Y2824" s="277"/>
      <c r="Z2824" s="277"/>
      <c r="AA2824" s="277"/>
      <c r="AB2824" s="277"/>
      <c r="AC2824" s="277"/>
      <c r="AD2824" s="277"/>
      <c r="AE2824" s="277"/>
      <c r="AF2824" s="277"/>
      <c r="AG2824" s="277"/>
      <c r="AH2824" s="277"/>
      <c r="AI2824" s="277"/>
    </row>
    <row r="2825" spans="16:35" s="185" customFormat="1">
      <c r="P2825" s="277"/>
      <c r="Q2825" s="277"/>
      <c r="R2825" s="277"/>
      <c r="S2825" s="291">
        <v>44371</v>
      </c>
      <c r="T2825" s="279">
        <v>2732</v>
      </c>
      <c r="U2825" s="277"/>
      <c r="V2825" s="277"/>
      <c r="W2825" s="277"/>
      <c r="X2825" s="277"/>
      <c r="Y2825" s="277"/>
      <c r="Z2825" s="277"/>
      <c r="AA2825" s="277"/>
      <c r="AB2825" s="277"/>
      <c r="AC2825" s="277"/>
      <c r="AD2825" s="277"/>
      <c r="AE2825" s="277"/>
      <c r="AF2825" s="277"/>
      <c r="AG2825" s="277"/>
      <c r="AH2825" s="277"/>
      <c r="AI2825" s="277"/>
    </row>
    <row r="2826" spans="16:35" s="185" customFormat="1">
      <c r="P2826" s="277"/>
      <c r="Q2826" s="277"/>
      <c r="R2826" s="277"/>
      <c r="S2826" s="291">
        <v>44372</v>
      </c>
      <c r="T2826" s="279">
        <v>2733</v>
      </c>
      <c r="U2826" s="277"/>
      <c r="V2826" s="277"/>
      <c r="W2826" s="277"/>
      <c r="X2826" s="277"/>
      <c r="Y2826" s="277"/>
      <c r="Z2826" s="277"/>
      <c r="AA2826" s="277"/>
      <c r="AB2826" s="277"/>
      <c r="AC2826" s="277"/>
      <c r="AD2826" s="277"/>
      <c r="AE2826" s="277"/>
      <c r="AF2826" s="277"/>
      <c r="AG2826" s="277"/>
      <c r="AH2826" s="277"/>
      <c r="AI2826" s="277"/>
    </row>
    <row r="2827" spans="16:35" s="185" customFormat="1">
      <c r="P2827" s="277"/>
      <c r="Q2827" s="277"/>
      <c r="R2827" s="277"/>
      <c r="S2827" s="291">
        <v>44373</v>
      </c>
      <c r="T2827" s="279">
        <v>2734</v>
      </c>
      <c r="U2827" s="277"/>
      <c r="V2827" s="277"/>
      <c r="W2827" s="277"/>
      <c r="X2827" s="277"/>
      <c r="Y2827" s="277"/>
      <c r="Z2827" s="277"/>
      <c r="AA2827" s="277"/>
      <c r="AB2827" s="277"/>
      <c r="AC2827" s="277"/>
      <c r="AD2827" s="277"/>
      <c r="AE2827" s="277"/>
      <c r="AF2827" s="277"/>
      <c r="AG2827" s="277"/>
      <c r="AH2827" s="277"/>
      <c r="AI2827" s="277"/>
    </row>
    <row r="2828" spans="16:35" s="185" customFormat="1">
      <c r="P2828" s="277"/>
      <c r="Q2828" s="277"/>
      <c r="R2828" s="277"/>
      <c r="S2828" s="291">
        <v>44374</v>
      </c>
      <c r="T2828" s="279">
        <v>2735</v>
      </c>
      <c r="U2828" s="277"/>
      <c r="V2828" s="277"/>
      <c r="W2828" s="277"/>
      <c r="X2828" s="277"/>
      <c r="Y2828" s="277"/>
      <c r="Z2828" s="277"/>
      <c r="AA2828" s="277"/>
      <c r="AB2828" s="277"/>
      <c r="AC2828" s="277"/>
      <c r="AD2828" s="277"/>
      <c r="AE2828" s="277"/>
      <c r="AF2828" s="277"/>
      <c r="AG2828" s="277"/>
      <c r="AH2828" s="277"/>
      <c r="AI2828" s="277"/>
    </row>
    <row r="2829" spans="16:35" s="185" customFormat="1">
      <c r="P2829" s="277"/>
      <c r="Q2829" s="277"/>
      <c r="R2829" s="277"/>
      <c r="S2829" s="291">
        <v>44375</v>
      </c>
      <c r="T2829" s="279">
        <v>2736</v>
      </c>
      <c r="U2829" s="277"/>
      <c r="V2829" s="277"/>
      <c r="W2829" s="277"/>
      <c r="X2829" s="277"/>
      <c r="Y2829" s="277"/>
      <c r="Z2829" s="277"/>
      <c r="AA2829" s="277"/>
      <c r="AB2829" s="277"/>
      <c r="AC2829" s="277"/>
      <c r="AD2829" s="277"/>
      <c r="AE2829" s="277"/>
      <c r="AF2829" s="277"/>
      <c r="AG2829" s="277"/>
      <c r="AH2829" s="277"/>
      <c r="AI2829" s="277"/>
    </row>
    <row r="2830" spans="16:35" s="185" customFormat="1">
      <c r="P2830" s="277"/>
      <c r="Q2830" s="277"/>
      <c r="R2830" s="277"/>
      <c r="S2830" s="291">
        <v>44376</v>
      </c>
      <c r="T2830" s="279">
        <v>2737</v>
      </c>
      <c r="U2830" s="277"/>
      <c r="V2830" s="277"/>
      <c r="W2830" s="277"/>
      <c r="X2830" s="277"/>
      <c r="Y2830" s="277"/>
      <c r="Z2830" s="277"/>
      <c r="AA2830" s="277"/>
      <c r="AB2830" s="277"/>
      <c r="AC2830" s="277"/>
      <c r="AD2830" s="277"/>
      <c r="AE2830" s="277"/>
      <c r="AF2830" s="277"/>
      <c r="AG2830" s="277"/>
      <c r="AH2830" s="277"/>
      <c r="AI2830" s="277"/>
    </row>
    <row r="2831" spans="16:35" s="185" customFormat="1">
      <c r="P2831" s="277"/>
      <c r="Q2831" s="277"/>
      <c r="R2831" s="277"/>
      <c r="S2831" s="291">
        <v>44377</v>
      </c>
      <c r="T2831" s="279">
        <v>2738</v>
      </c>
      <c r="U2831" s="277"/>
      <c r="V2831" s="277"/>
      <c r="W2831" s="277"/>
      <c r="X2831" s="277"/>
      <c r="Y2831" s="277"/>
      <c r="Z2831" s="277"/>
      <c r="AA2831" s="277"/>
      <c r="AB2831" s="277"/>
      <c r="AC2831" s="277"/>
      <c r="AD2831" s="277"/>
      <c r="AE2831" s="277"/>
      <c r="AF2831" s="277"/>
      <c r="AG2831" s="277"/>
      <c r="AH2831" s="277"/>
      <c r="AI2831" s="277"/>
    </row>
    <row r="2832" spans="16:35" s="185" customFormat="1">
      <c r="P2832" s="277"/>
      <c r="Q2832" s="277"/>
      <c r="R2832" s="277"/>
      <c r="S2832" s="291">
        <v>44378</v>
      </c>
      <c r="T2832" s="279">
        <v>2739</v>
      </c>
      <c r="U2832" s="277"/>
      <c r="V2832" s="277"/>
      <c r="W2832" s="277"/>
      <c r="X2832" s="277"/>
      <c r="Y2832" s="277"/>
      <c r="Z2832" s="277"/>
      <c r="AA2832" s="277"/>
      <c r="AB2832" s="277"/>
      <c r="AC2832" s="277"/>
      <c r="AD2832" s="277"/>
      <c r="AE2832" s="277"/>
      <c r="AF2832" s="277"/>
      <c r="AG2832" s="277"/>
      <c r="AH2832" s="277"/>
      <c r="AI2832" s="277"/>
    </row>
    <row r="2833" spans="16:35" s="185" customFormat="1">
      <c r="P2833" s="277"/>
      <c r="Q2833" s="277"/>
      <c r="R2833" s="277"/>
      <c r="S2833" s="291">
        <v>44379</v>
      </c>
      <c r="T2833" s="279">
        <v>2740</v>
      </c>
      <c r="U2833" s="277"/>
      <c r="V2833" s="277"/>
      <c r="W2833" s="277"/>
      <c r="X2833" s="277"/>
      <c r="Y2833" s="277"/>
      <c r="Z2833" s="277"/>
      <c r="AA2833" s="277"/>
      <c r="AB2833" s="277"/>
      <c r="AC2833" s="277"/>
      <c r="AD2833" s="277"/>
      <c r="AE2833" s="277"/>
      <c r="AF2833" s="277"/>
      <c r="AG2833" s="277"/>
      <c r="AH2833" s="277"/>
      <c r="AI2833" s="277"/>
    </row>
    <row r="2834" spans="16:35" s="185" customFormat="1">
      <c r="P2834" s="277"/>
      <c r="Q2834" s="277"/>
      <c r="R2834" s="277"/>
      <c r="S2834" s="291">
        <v>44380</v>
      </c>
      <c r="T2834" s="279">
        <v>2741</v>
      </c>
      <c r="U2834" s="277"/>
      <c r="V2834" s="277"/>
      <c r="W2834" s="277"/>
      <c r="X2834" s="277"/>
      <c r="Y2834" s="277"/>
      <c r="Z2834" s="277"/>
      <c r="AA2834" s="277"/>
      <c r="AB2834" s="277"/>
      <c r="AC2834" s="277"/>
      <c r="AD2834" s="277"/>
      <c r="AE2834" s="277"/>
      <c r="AF2834" s="277"/>
      <c r="AG2834" s="277"/>
      <c r="AH2834" s="277"/>
      <c r="AI2834" s="277"/>
    </row>
    <row r="2835" spans="16:35" s="185" customFormat="1">
      <c r="P2835" s="277"/>
      <c r="Q2835" s="277"/>
      <c r="R2835" s="277"/>
      <c r="S2835" s="291">
        <v>44381</v>
      </c>
      <c r="T2835" s="279">
        <v>2742</v>
      </c>
      <c r="U2835" s="277"/>
      <c r="V2835" s="277"/>
      <c r="W2835" s="277"/>
      <c r="X2835" s="277"/>
      <c r="Y2835" s="277"/>
      <c r="Z2835" s="277"/>
      <c r="AA2835" s="277"/>
      <c r="AB2835" s="277"/>
      <c r="AC2835" s="277"/>
      <c r="AD2835" s="277"/>
      <c r="AE2835" s="277"/>
      <c r="AF2835" s="277"/>
      <c r="AG2835" s="277"/>
      <c r="AH2835" s="277"/>
      <c r="AI2835" s="277"/>
    </row>
    <row r="2836" spans="16:35" s="185" customFormat="1">
      <c r="P2836" s="277"/>
      <c r="Q2836" s="277"/>
      <c r="R2836" s="277"/>
      <c r="S2836" s="291">
        <v>44382</v>
      </c>
      <c r="T2836" s="279">
        <v>2743</v>
      </c>
      <c r="U2836" s="277"/>
      <c r="V2836" s="277"/>
      <c r="W2836" s="277"/>
      <c r="X2836" s="277"/>
      <c r="Y2836" s="277"/>
      <c r="Z2836" s="277"/>
      <c r="AA2836" s="277"/>
      <c r="AB2836" s="277"/>
      <c r="AC2836" s="277"/>
      <c r="AD2836" s="277"/>
      <c r="AE2836" s="277"/>
      <c r="AF2836" s="277"/>
      <c r="AG2836" s="277"/>
      <c r="AH2836" s="277"/>
      <c r="AI2836" s="277"/>
    </row>
    <row r="2837" spans="16:35" s="185" customFormat="1">
      <c r="P2837" s="277"/>
      <c r="Q2837" s="277"/>
      <c r="R2837" s="277"/>
      <c r="S2837" s="291">
        <v>44383</v>
      </c>
      <c r="T2837" s="279">
        <v>2744</v>
      </c>
      <c r="U2837" s="277"/>
      <c r="V2837" s="277"/>
      <c r="W2837" s="277"/>
      <c r="X2837" s="277"/>
      <c r="Y2837" s="277"/>
      <c r="Z2837" s="277"/>
      <c r="AA2837" s="277"/>
      <c r="AB2837" s="277"/>
      <c r="AC2837" s="277"/>
      <c r="AD2837" s="277"/>
      <c r="AE2837" s="277"/>
      <c r="AF2837" s="277"/>
      <c r="AG2837" s="277"/>
      <c r="AH2837" s="277"/>
      <c r="AI2837" s="277"/>
    </row>
    <row r="2838" spans="16:35" s="185" customFormat="1">
      <c r="P2838" s="277"/>
      <c r="Q2838" s="277"/>
      <c r="R2838" s="277"/>
      <c r="S2838" s="291">
        <v>44384</v>
      </c>
      <c r="T2838" s="279">
        <v>2745</v>
      </c>
      <c r="U2838" s="277"/>
      <c r="V2838" s="277"/>
      <c r="W2838" s="277"/>
      <c r="X2838" s="277"/>
      <c r="Y2838" s="277"/>
      <c r="Z2838" s="277"/>
      <c r="AA2838" s="277"/>
      <c r="AB2838" s="277"/>
      <c r="AC2838" s="277"/>
      <c r="AD2838" s="277"/>
      <c r="AE2838" s="277"/>
      <c r="AF2838" s="277"/>
      <c r="AG2838" s="277"/>
      <c r="AH2838" s="277"/>
      <c r="AI2838" s="277"/>
    </row>
    <row r="2839" spans="16:35" s="185" customFormat="1">
      <c r="P2839" s="277"/>
      <c r="Q2839" s="277"/>
      <c r="R2839" s="277"/>
      <c r="S2839" s="291">
        <v>44385</v>
      </c>
      <c r="T2839" s="279">
        <v>2746</v>
      </c>
      <c r="U2839" s="277"/>
      <c r="V2839" s="277"/>
      <c r="W2839" s="277"/>
      <c r="X2839" s="277"/>
      <c r="Y2839" s="277"/>
      <c r="Z2839" s="277"/>
      <c r="AA2839" s="277"/>
      <c r="AB2839" s="277"/>
      <c r="AC2839" s="277"/>
      <c r="AD2839" s="277"/>
      <c r="AE2839" s="277"/>
      <c r="AF2839" s="277"/>
      <c r="AG2839" s="277"/>
      <c r="AH2839" s="277"/>
      <c r="AI2839" s="277"/>
    </row>
    <row r="2840" spans="16:35" s="185" customFormat="1">
      <c r="P2840" s="277"/>
      <c r="Q2840" s="277"/>
      <c r="R2840" s="277"/>
      <c r="S2840" s="291">
        <v>44386</v>
      </c>
      <c r="T2840" s="279">
        <v>2747</v>
      </c>
      <c r="U2840" s="277"/>
      <c r="V2840" s="277"/>
      <c r="W2840" s="277"/>
      <c r="X2840" s="277"/>
      <c r="Y2840" s="277"/>
      <c r="Z2840" s="277"/>
      <c r="AA2840" s="277"/>
      <c r="AB2840" s="277"/>
      <c r="AC2840" s="277"/>
      <c r="AD2840" s="277"/>
      <c r="AE2840" s="277"/>
      <c r="AF2840" s="277"/>
      <c r="AG2840" s="277"/>
      <c r="AH2840" s="277"/>
      <c r="AI2840" s="277"/>
    </row>
    <row r="2841" spans="16:35" s="185" customFormat="1">
      <c r="P2841" s="277"/>
      <c r="Q2841" s="277"/>
      <c r="R2841" s="277"/>
      <c r="S2841" s="291">
        <v>44387</v>
      </c>
      <c r="T2841" s="279">
        <v>2748</v>
      </c>
      <c r="U2841" s="277"/>
      <c r="V2841" s="277"/>
      <c r="W2841" s="277"/>
      <c r="X2841" s="277"/>
      <c r="Y2841" s="277"/>
      <c r="Z2841" s="277"/>
      <c r="AA2841" s="277"/>
      <c r="AB2841" s="277"/>
      <c r="AC2841" s="277"/>
      <c r="AD2841" s="277"/>
      <c r="AE2841" s="277"/>
      <c r="AF2841" s="277"/>
      <c r="AG2841" s="277"/>
      <c r="AH2841" s="277"/>
      <c r="AI2841" s="277"/>
    </row>
    <row r="2842" spans="16:35" s="185" customFormat="1">
      <c r="P2842" s="277"/>
      <c r="Q2842" s="277"/>
      <c r="R2842" s="277"/>
      <c r="S2842" s="291">
        <v>44388</v>
      </c>
      <c r="T2842" s="279">
        <v>2749</v>
      </c>
      <c r="U2842" s="277"/>
      <c r="V2842" s="277"/>
      <c r="W2842" s="277"/>
      <c r="X2842" s="277"/>
      <c r="Y2842" s="277"/>
      <c r="Z2842" s="277"/>
      <c r="AA2842" s="277"/>
      <c r="AB2842" s="277"/>
      <c r="AC2842" s="277"/>
      <c r="AD2842" s="277"/>
      <c r="AE2842" s="277"/>
      <c r="AF2842" s="277"/>
      <c r="AG2842" s="277"/>
      <c r="AH2842" s="277"/>
      <c r="AI2842" s="277"/>
    </row>
    <row r="2843" spans="16:35" s="185" customFormat="1">
      <c r="P2843" s="277"/>
      <c r="Q2843" s="277"/>
      <c r="R2843" s="277"/>
      <c r="S2843" s="291">
        <v>44389</v>
      </c>
      <c r="T2843" s="279">
        <v>2750</v>
      </c>
      <c r="U2843" s="277"/>
      <c r="V2843" s="277"/>
      <c r="W2843" s="277"/>
      <c r="X2843" s="277"/>
      <c r="Y2843" s="277"/>
      <c r="Z2843" s="277"/>
      <c r="AA2843" s="277"/>
      <c r="AB2843" s="277"/>
      <c r="AC2843" s="277"/>
      <c r="AD2843" s="277"/>
      <c r="AE2843" s="277"/>
      <c r="AF2843" s="277"/>
      <c r="AG2843" s="277"/>
      <c r="AH2843" s="277"/>
      <c r="AI2843" s="277"/>
    </row>
    <row r="2844" spans="16:35" s="185" customFormat="1">
      <c r="P2844" s="277"/>
      <c r="Q2844" s="277"/>
      <c r="R2844" s="277"/>
      <c r="S2844" s="291">
        <v>44390</v>
      </c>
      <c r="T2844" s="279">
        <v>2751</v>
      </c>
      <c r="U2844" s="277"/>
      <c r="V2844" s="277"/>
      <c r="W2844" s="277"/>
      <c r="X2844" s="277"/>
      <c r="Y2844" s="277"/>
      <c r="Z2844" s="277"/>
      <c r="AA2844" s="277"/>
      <c r="AB2844" s="277"/>
      <c r="AC2844" s="277"/>
      <c r="AD2844" s="277"/>
      <c r="AE2844" s="277"/>
      <c r="AF2844" s="277"/>
      <c r="AG2844" s="277"/>
      <c r="AH2844" s="277"/>
      <c r="AI2844" s="277"/>
    </row>
    <row r="2845" spans="16:35" s="185" customFormat="1">
      <c r="P2845" s="277"/>
      <c r="Q2845" s="277"/>
      <c r="R2845" s="277"/>
      <c r="S2845" s="291">
        <v>44391</v>
      </c>
      <c r="T2845" s="279">
        <v>2752</v>
      </c>
      <c r="U2845" s="277"/>
      <c r="V2845" s="277"/>
      <c r="W2845" s="277"/>
      <c r="X2845" s="277"/>
      <c r="Y2845" s="277"/>
      <c r="Z2845" s="277"/>
      <c r="AA2845" s="277"/>
      <c r="AB2845" s="277"/>
      <c r="AC2845" s="277"/>
      <c r="AD2845" s="277"/>
      <c r="AE2845" s="277"/>
      <c r="AF2845" s="277"/>
      <c r="AG2845" s="277"/>
      <c r="AH2845" s="277"/>
      <c r="AI2845" s="277"/>
    </row>
    <row r="2846" spans="16:35" s="185" customFormat="1">
      <c r="P2846" s="277"/>
      <c r="Q2846" s="277"/>
      <c r="R2846" s="277"/>
      <c r="S2846" s="291">
        <v>44392</v>
      </c>
      <c r="T2846" s="279">
        <v>2753</v>
      </c>
      <c r="U2846" s="277"/>
      <c r="V2846" s="277"/>
      <c r="W2846" s="277"/>
      <c r="X2846" s="277"/>
      <c r="Y2846" s="277"/>
      <c r="Z2846" s="277"/>
      <c r="AA2846" s="277"/>
      <c r="AB2846" s="277"/>
      <c r="AC2846" s="277"/>
      <c r="AD2846" s="277"/>
      <c r="AE2846" s="277"/>
      <c r="AF2846" s="277"/>
      <c r="AG2846" s="277"/>
      <c r="AH2846" s="277"/>
      <c r="AI2846" s="277"/>
    </row>
    <row r="2847" spans="16:35" s="185" customFormat="1">
      <c r="P2847" s="277"/>
      <c r="Q2847" s="277"/>
      <c r="R2847" s="277"/>
      <c r="S2847" s="291">
        <v>44393</v>
      </c>
      <c r="T2847" s="279">
        <v>2754</v>
      </c>
      <c r="U2847" s="277"/>
      <c r="V2847" s="277"/>
      <c r="W2847" s="277"/>
      <c r="X2847" s="277"/>
      <c r="Y2847" s="277"/>
      <c r="Z2847" s="277"/>
      <c r="AA2847" s="277"/>
      <c r="AB2847" s="277"/>
      <c r="AC2847" s="277"/>
      <c r="AD2847" s="277"/>
      <c r="AE2847" s="277"/>
      <c r="AF2847" s="277"/>
      <c r="AG2847" s="277"/>
      <c r="AH2847" s="277"/>
      <c r="AI2847" s="277"/>
    </row>
    <row r="2848" spans="16:35" s="185" customFormat="1">
      <c r="P2848" s="277"/>
      <c r="Q2848" s="277"/>
      <c r="R2848" s="277"/>
      <c r="S2848" s="291">
        <v>44394</v>
      </c>
      <c r="T2848" s="279">
        <v>2755</v>
      </c>
      <c r="U2848" s="277"/>
      <c r="V2848" s="277"/>
      <c r="W2848" s="277"/>
      <c r="X2848" s="277"/>
      <c r="Y2848" s="277"/>
      <c r="Z2848" s="277"/>
      <c r="AA2848" s="277"/>
      <c r="AB2848" s="277"/>
      <c r="AC2848" s="277"/>
      <c r="AD2848" s="277"/>
      <c r="AE2848" s="277"/>
      <c r="AF2848" s="277"/>
      <c r="AG2848" s="277"/>
      <c r="AH2848" s="277"/>
      <c r="AI2848" s="277"/>
    </row>
    <row r="2849" spans="16:35" s="185" customFormat="1">
      <c r="P2849" s="277"/>
      <c r="Q2849" s="277"/>
      <c r="R2849" s="277"/>
      <c r="S2849" s="291">
        <v>44395</v>
      </c>
      <c r="T2849" s="279">
        <v>2756</v>
      </c>
      <c r="U2849" s="277"/>
      <c r="V2849" s="277"/>
      <c r="W2849" s="277"/>
      <c r="X2849" s="277"/>
      <c r="Y2849" s="277"/>
      <c r="Z2849" s="277"/>
      <c r="AA2849" s="277"/>
      <c r="AB2849" s="277"/>
      <c r="AC2849" s="277"/>
      <c r="AD2849" s="277"/>
      <c r="AE2849" s="277"/>
      <c r="AF2849" s="277"/>
      <c r="AG2849" s="277"/>
      <c r="AH2849" s="277"/>
      <c r="AI2849" s="277"/>
    </row>
    <row r="2850" spans="16:35" s="185" customFormat="1">
      <c r="P2850" s="277"/>
      <c r="Q2850" s="277"/>
      <c r="R2850" s="277"/>
      <c r="S2850" s="291">
        <v>44396</v>
      </c>
      <c r="T2850" s="279">
        <v>2757</v>
      </c>
      <c r="U2850" s="277"/>
      <c r="V2850" s="277"/>
      <c r="W2850" s="277"/>
      <c r="X2850" s="277"/>
      <c r="Y2850" s="277"/>
      <c r="Z2850" s="277"/>
      <c r="AA2850" s="277"/>
      <c r="AB2850" s="277"/>
      <c r="AC2850" s="277"/>
      <c r="AD2850" s="277"/>
      <c r="AE2850" s="277"/>
      <c r="AF2850" s="277"/>
      <c r="AG2850" s="277"/>
      <c r="AH2850" s="277"/>
      <c r="AI2850" s="277"/>
    </row>
    <row r="2851" spans="16:35" s="185" customFormat="1">
      <c r="P2851" s="277"/>
      <c r="Q2851" s="277"/>
      <c r="R2851" s="277"/>
      <c r="S2851" s="291">
        <v>44397</v>
      </c>
      <c r="T2851" s="279">
        <v>2758</v>
      </c>
      <c r="U2851" s="277"/>
      <c r="V2851" s="277"/>
      <c r="W2851" s="277"/>
      <c r="X2851" s="277"/>
      <c r="Y2851" s="277"/>
      <c r="Z2851" s="277"/>
      <c r="AA2851" s="277"/>
      <c r="AB2851" s="277"/>
      <c r="AC2851" s="277"/>
      <c r="AD2851" s="277"/>
      <c r="AE2851" s="277"/>
      <c r="AF2851" s="277"/>
      <c r="AG2851" s="277"/>
      <c r="AH2851" s="277"/>
      <c r="AI2851" s="277"/>
    </row>
    <row r="2852" spans="16:35" s="185" customFormat="1">
      <c r="P2852" s="277"/>
      <c r="Q2852" s="277"/>
      <c r="R2852" s="277"/>
      <c r="S2852" s="291">
        <v>44398</v>
      </c>
      <c r="T2852" s="279">
        <v>2759</v>
      </c>
      <c r="U2852" s="277"/>
      <c r="V2852" s="277"/>
      <c r="W2852" s="277"/>
      <c r="X2852" s="277"/>
      <c r="Y2852" s="277"/>
      <c r="Z2852" s="277"/>
      <c r="AA2852" s="277"/>
      <c r="AB2852" s="277"/>
      <c r="AC2852" s="277"/>
      <c r="AD2852" s="277"/>
      <c r="AE2852" s="277"/>
      <c r="AF2852" s="277"/>
      <c r="AG2852" s="277"/>
      <c r="AH2852" s="277"/>
      <c r="AI2852" s="277"/>
    </row>
    <row r="2853" spans="16:35" s="185" customFormat="1">
      <c r="P2853" s="277"/>
      <c r="Q2853" s="277"/>
      <c r="R2853" s="277"/>
      <c r="S2853" s="291">
        <v>44399</v>
      </c>
      <c r="T2853" s="279">
        <v>2760</v>
      </c>
      <c r="U2853" s="277"/>
      <c r="V2853" s="277"/>
      <c r="W2853" s="277"/>
      <c r="X2853" s="277"/>
      <c r="Y2853" s="277"/>
      <c r="Z2853" s="277"/>
      <c r="AA2853" s="277"/>
      <c r="AB2853" s="277"/>
      <c r="AC2853" s="277"/>
      <c r="AD2853" s="277"/>
      <c r="AE2853" s="277"/>
      <c r="AF2853" s="277"/>
      <c r="AG2853" s="277"/>
      <c r="AH2853" s="277"/>
      <c r="AI2853" s="277"/>
    </row>
    <row r="2854" spans="16:35" s="185" customFormat="1">
      <c r="P2854" s="277"/>
      <c r="Q2854" s="277"/>
      <c r="R2854" s="277"/>
      <c r="S2854" s="291">
        <v>44400</v>
      </c>
      <c r="T2854" s="279">
        <v>2761</v>
      </c>
      <c r="U2854" s="277"/>
      <c r="V2854" s="277"/>
      <c r="W2854" s="277"/>
      <c r="X2854" s="277"/>
      <c r="Y2854" s="277"/>
      <c r="Z2854" s="277"/>
      <c r="AA2854" s="277"/>
      <c r="AB2854" s="277"/>
      <c r="AC2854" s="277"/>
      <c r="AD2854" s="277"/>
      <c r="AE2854" s="277"/>
      <c r="AF2854" s="277"/>
      <c r="AG2854" s="277"/>
      <c r="AH2854" s="277"/>
      <c r="AI2854" s="277"/>
    </row>
    <row r="2855" spans="16:35" s="185" customFormat="1">
      <c r="P2855" s="277"/>
      <c r="Q2855" s="277"/>
      <c r="R2855" s="277"/>
      <c r="S2855" s="291">
        <v>44401</v>
      </c>
      <c r="T2855" s="279">
        <v>2762</v>
      </c>
      <c r="U2855" s="277"/>
      <c r="V2855" s="277"/>
      <c r="W2855" s="277"/>
      <c r="X2855" s="277"/>
      <c r="Y2855" s="277"/>
      <c r="Z2855" s="277"/>
      <c r="AA2855" s="277"/>
      <c r="AB2855" s="277"/>
      <c r="AC2855" s="277"/>
      <c r="AD2855" s="277"/>
      <c r="AE2855" s="277"/>
      <c r="AF2855" s="277"/>
      <c r="AG2855" s="277"/>
      <c r="AH2855" s="277"/>
      <c r="AI2855" s="277"/>
    </row>
    <row r="2856" spans="16:35" s="185" customFormat="1">
      <c r="P2856" s="277"/>
      <c r="Q2856" s="277"/>
      <c r="R2856" s="277"/>
      <c r="S2856" s="291">
        <v>44402</v>
      </c>
      <c r="T2856" s="279">
        <v>2763</v>
      </c>
      <c r="U2856" s="277"/>
      <c r="V2856" s="277"/>
      <c r="W2856" s="277"/>
      <c r="X2856" s="277"/>
      <c r="Y2856" s="277"/>
      <c r="Z2856" s="277"/>
      <c r="AA2856" s="277"/>
      <c r="AB2856" s="277"/>
      <c r="AC2856" s="277"/>
      <c r="AD2856" s="277"/>
      <c r="AE2856" s="277"/>
      <c r="AF2856" s="277"/>
      <c r="AG2856" s="277"/>
      <c r="AH2856" s="277"/>
      <c r="AI2856" s="277"/>
    </row>
    <row r="2857" spans="16:35" s="185" customFormat="1">
      <c r="P2857" s="277"/>
      <c r="Q2857" s="277"/>
      <c r="R2857" s="277"/>
      <c r="S2857" s="291">
        <v>44403</v>
      </c>
      <c r="T2857" s="279">
        <v>2764</v>
      </c>
      <c r="U2857" s="277"/>
      <c r="V2857" s="277"/>
      <c r="W2857" s="277"/>
      <c r="X2857" s="277"/>
      <c r="Y2857" s="277"/>
      <c r="Z2857" s="277"/>
      <c r="AA2857" s="277"/>
      <c r="AB2857" s="277"/>
      <c r="AC2857" s="277"/>
      <c r="AD2857" s="277"/>
      <c r="AE2857" s="277"/>
      <c r="AF2857" s="277"/>
      <c r="AG2857" s="277"/>
      <c r="AH2857" s="277"/>
      <c r="AI2857" s="277"/>
    </row>
    <row r="2858" spans="16:35" s="185" customFormat="1">
      <c r="P2858" s="277"/>
      <c r="Q2858" s="277"/>
      <c r="R2858" s="277"/>
      <c r="S2858" s="291">
        <v>44404</v>
      </c>
      <c r="T2858" s="279">
        <v>2765</v>
      </c>
      <c r="U2858" s="277"/>
      <c r="V2858" s="277"/>
      <c r="W2858" s="277"/>
      <c r="X2858" s="277"/>
      <c r="Y2858" s="277"/>
      <c r="Z2858" s="277"/>
      <c r="AA2858" s="277"/>
      <c r="AB2858" s="277"/>
      <c r="AC2858" s="277"/>
      <c r="AD2858" s="277"/>
      <c r="AE2858" s="277"/>
      <c r="AF2858" s="277"/>
      <c r="AG2858" s="277"/>
      <c r="AH2858" s="277"/>
      <c r="AI2858" s="277"/>
    </row>
    <row r="2859" spans="16:35" s="185" customFormat="1">
      <c r="P2859" s="277"/>
      <c r="Q2859" s="277"/>
      <c r="R2859" s="277"/>
      <c r="S2859" s="291">
        <v>44405</v>
      </c>
      <c r="T2859" s="279">
        <v>2766</v>
      </c>
      <c r="U2859" s="277"/>
      <c r="V2859" s="277"/>
      <c r="W2859" s="277"/>
      <c r="X2859" s="277"/>
      <c r="Y2859" s="277"/>
      <c r="Z2859" s="277"/>
      <c r="AA2859" s="277"/>
      <c r="AB2859" s="277"/>
      <c r="AC2859" s="277"/>
      <c r="AD2859" s="277"/>
      <c r="AE2859" s="277"/>
      <c r="AF2859" s="277"/>
      <c r="AG2859" s="277"/>
      <c r="AH2859" s="277"/>
      <c r="AI2859" s="277"/>
    </row>
    <row r="2860" spans="16:35" s="185" customFormat="1">
      <c r="P2860" s="277"/>
      <c r="Q2860" s="277"/>
      <c r="R2860" s="277"/>
      <c r="S2860" s="291">
        <v>44406</v>
      </c>
      <c r="T2860" s="279">
        <v>2767</v>
      </c>
      <c r="U2860" s="277"/>
      <c r="V2860" s="277"/>
      <c r="W2860" s="277"/>
      <c r="X2860" s="277"/>
      <c r="Y2860" s="277"/>
      <c r="Z2860" s="277"/>
      <c r="AA2860" s="277"/>
      <c r="AB2860" s="277"/>
      <c r="AC2860" s="277"/>
      <c r="AD2860" s="277"/>
      <c r="AE2860" s="277"/>
      <c r="AF2860" s="277"/>
      <c r="AG2860" s="277"/>
      <c r="AH2860" s="277"/>
      <c r="AI2860" s="277"/>
    </row>
    <row r="2861" spans="16:35" s="185" customFormat="1">
      <c r="P2861" s="277"/>
      <c r="Q2861" s="277"/>
      <c r="R2861" s="277"/>
      <c r="S2861" s="291">
        <v>44407</v>
      </c>
      <c r="T2861" s="279">
        <v>2768</v>
      </c>
      <c r="U2861" s="277"/>
      <c r="V2861" s="277"/>
      <c r="W2861" s="277"/>
      <c r="X2861" s="277"/>
      <c r="Y2861" s="277"/>
      <c r="Z2861" s="277"/>
      <c r="AA2861" s="277"/>
      <c r="AB2861" s="277"/>
      <c r="AC2861" s="277"/>
      <c r="AD2861" s="277"/>
      <c r="AE2861" s="277"/>
      <c r="AF2861" s="277"/>
      <c r="AG2861" s="277"/>
      <c r="AH2861" s="277"/>
      <c r="AI2861" s="277"/>
    </row>
    <row r="2862" spans="16:35" s="185" customFormat="1">
      <c r="P2862" s="277"/>
      <c r="Q2862" s="277"/>
      <c r="R2862" s="277"/>
      <c r="S2862" s="291">
        <v>44408</v>
      </c>
      <c r="T2862" s="279">
        <v>2769</v>
      </c>
      <c r="U2862" s="277"/>
      <c r="V2862" s="277"/>
      <c r="W2862" s="277"/>
      <c r="X2862" s="277"/>
      <c r="Y2862" s="277"/>
      <c r="Z2862" s="277"/>
      <c r="AA2862" s="277"/>
      <c r="AB2862" s="277"/>
      <c r="AC2862" s="277"/>
      <c r="AD2862" s="277"/>
      <c r="AE2862" s="277"/>
      <c r="AF2862" s="277"/>
      <c r="AG2862" s="277"/>
      <c r="AH2862" s="277"/>
      <c r="AI2862" s="277"/>
    </row>
    <row r="2863" spans="16:35" s="185" customFormat="1">
      <c r="P2863" s="277"/>
      <c r="Q2863" s="277"/>
      <c r="R2863" s="277"/>
      <c r="S2863" s="291">
        <v>44409</v>
      </c>
      <c r="T2863" s="279">
        <v>2770</v>
      </c>
      <c r="U2863" s="277"/>
      <c r="V2863" s="277"/>
      <c r="W2863" s="277"/>
      <c r="X2863" s="277"/>
      <c r="Y2863" s="277"/>
      <c r="Z2863" s="277"/>
      <c r="AA2863" s="277"/>
      <c r="AB2863" s="277"/>
      <c r="AC2863" s="277"/>
      <c r="AD2863" s="277"/>
      <c r="AE2863" s="277"/>
      <c r="AF2863" s="277"/>
      <c r="AG2863" s="277"/>
      <c r="AH2863" s="277"/>
      <c r="AI2863" s="277"/>
    </row>
    <row r="2864" spans="16:35" s="185" customFormat="1">
      <c r="P2864" s="277"/>
      <c r="Q2864" s="277"/>
      <c r="R2864" s="277"/>
      <c r="S2864" s="291">
        <v>44410</v>
      </c>
      <c r="T2864" s="279">
        <v>2771</v>
      </c>
      <c r="U2864" s="277"/>
      <c r="V2864" s="277"/>
      <c r="W2864" s="277"/>
      <c r="X2864" s="277"/>
      <c r="Y2864" s="277"/>
      <c r="Z2864" s="277"/>
      <c r="AA2864" s="277"/>
      <c r="AB2864" s="277"/>
      <c r="AC2864" s="277"/>
      <c r="AD2864" s="277"/>
      <c r="AE2864" s="277"/>
      <c r="AF2864" s="277"/>
      <c r="AG2864" s="277"/>
      <c r="AH2864" s="277"/>
      <c r="AI2864" s="277"/>
    </row>
    <row r="2865" spans="16:35" s="185" customFormat="1">
      <c r="P2865" s="277"/>
      <c r="Q2865" s="277"/>
      <c r="R2865" s="277"/>
      <c r="S2865" s="291">
        <v>44411</v>
      </c>
      <c r="T2865" s="279">
        <v>2772</v>
      </c>
      <c r="U2865" s="277"/>
      <c r="V2865" s="277"/>
      <c r="W2865" s="277"/>
      <c r="X2865" s="277"/>
      <c r="Y2865" s="277"/>
      <c r="Z2865" s="277"/>
      <c r="AA2865" s="277"/>
      <c r="AB2865" s="277"/>
      <c r="AC2865" s="277"/>
      <c r="AD2865" s="277"/>
      <c r="AE2865" s="277"/>
      <c r="AF2865" s="277"/>
      <c r="AG2865" s="277"/>
      <c r="AH2865" s="277"/>
      <c r="AI2865" s="277"/>
    </row>
    <row r="2866" spans="16:35" s="185" customFormat="1">
      <c r="P2866" s="277"/>
      <c r="Q2866" s="277"/>
      <c r="R2866" s="277"/>
      <c r="S2866" s="291">
        <v>44412</v>
      </c>
      <c r="T2866" s="279">
        <v>2773</v>
      </c>
      <c r="U2866" s="277"/>
      <c r="V2866" s="277"/>
      <c r="W2866" s="277"/>
      <c r="X2866" s="277"/>
      <c r="Y2866" s="277"/>
      <c r="Z2866" s="277"/>
      <c r="AA2866" s="277"/>
      <c r="AB2866" s="277"/>
      <c r="AC2866" s="277"/>
      <c r="AD2866" s="277"/>
      <c r="AE2866" s="277"/>
      <c r="AF2866" s="277"/>
      <c r="AG2866" s="277"/>
      <c r="AH2866" s="277"/>
      <c r="AI2866" s="277"/>
    </row>
    <row r="2867" spans="16:35" s="185" customFormat="1">
      <c r="P2867" s="277"/>
      <c r="Q2867" s="277"/>
      <c r="R2867" s="277"/>
      <c r="S2867" s="291">
        <v>44413</v>
      </c>
      <c r="T2867" s="279">
        <v>2774</v>
      </c>
      <c r="U2867" s="277"/>
      <c r="V2867" s="277"/>
      <c r="W2867" s="277"/>
      <c r="X2867" s="277"/>
      <c r="Y2867" s="277"/>
      <c r="Z2867" s="277"/>
      <c r="AA2867" s="277"/>
      <c r="AB2867" s="277"/>
      <c r="AC2867" s="277"/>
      <c r="AD2867" s="277"/>
      <c r="AE2867" s="277"/>
      <c r="AF2867" s="277"/>
      <c r="AG2867" s="277"/>
      <c r="AH2867" s="277"/>
      <c r="AI2867" s="277"/>
    </row>
    <row r="2868" spans="16:35" s="185" customFormat="1">
      <c r="P2868" s="277"/>
      <c r="Q2868" s="277"/>
      <c r="R2868" s="277"/>
      <c r="S2868" s="291">
        <v>44414</v>
      </c>
      <c r="T2868" s="279">
        <v>2775</v>
      </c>
      <c r="U2868" s="277"/>
      <c r="V2868" s="277"/>
      <c r="W2868" s="277"/>
      <c r="X2868" s="277"/>
      <c r="Y2868" s="277"/>
      <c r="Z2868" s="277"/>
      <c r="AA2868" s="277"/>
      <c r="AB2868" s="277"/>
      <c r="AC2868" s="277"/>
      <c r="AD2868" s="277"/>
      <c r="AE2868" s="277"/>
      <c r="AF2868" s="277"/>
      <c r="AG2868" s="277"/>
      <c r="AH2868" s="277"/>
      <c r="AI2868" s="277"/>
    </row>
    <row r="2869" spans="16:35" s="185" customFormat="1">
      <c r="P2869" s="277"/>
      <c r="Q2869" s="277"/>
      <c r="R2869" s="277"/>
      <c r="S2869" s="291">
        <v>44415</v>
      </c>
      <c r="T2869" s="279">
        <v>2776</v>
      </c>
      <c r="U2869" s="277"/>
      <c r="V2869" s="277"/>
      <c r="W2869" s="277"/>
      <c r="X2869" s="277"/>
      <c r="Y2869" s="277"/>
      <c r="Z2869" s="277"/>
      <c r="AA2869" s="277"/>
      <c r="AB2869" s="277"/>
      <c r="AC2869" s="277"/>
      <c r="AD2869" s="277"/>
      <c r="AE2869" s="277"/>
      <c r="AF2869" s="277"/>
      <c r="AG2869" s="277"/>
      <c r="AH2869" s="277"/>
      <c r="AI2869" s="277"/>
    </row>
    <row r="2870" spans="16:35" s="185" customFormat="1">
      <c r="P2870" s="277"/>
      <c r="Q2870" s="277"/>
      <c r="R2870" s="277"/>
      <c r="S2870" s="291">
        <v>44416</v>
      </c>
      <c r="T2870" s="279">
        <v>2777</v>
      </c>
      <c r="U2870" s="277"/>
      <c r="V2870" s="277"/>
      <c r="W2870" s="277"/>
      <c r="X2870" s="277"/>
      <c r="Y2870" s="277"/>
      <c r="Z2870" s="277"/>
      <c r="AA2870" s="277"/>
      <c r="AB2870" s="277"/>
      <c r="AC2870" s="277"/>
      <c r="AD2870" s="277"/>
      <c r="AE2870" s="277"/>
      <c r="AF2870" s="277"/>
      <c r="AG2870" s="277"/>
      <c r="AH2870" s="277"/>
      <c r="AI2870" s="277"/>
    </row>
    <row r="2871" spans="16:35" s="185" customFormat="1">
      <c r="P2871" s="277"/>
      <c r="Q2871" s="277"/>
      <c r="R2871" s="277"/>
      <c r="S2871" s="291">
        <v>44417</v>
      </c>
      <c r="T2871" s="279">
        <v>2778</v>
      </c>
      <c r="U2871" s="277"/>
      <c r="V2871" s="277"/>
      <c r="W2871" s="277"/>
      <c r="X2871" s="277"/>
      <c r="Y2871" s="277"/>
      <c r="Z2871" s="277"/>
      <c r="AA2871" s="277"/>
      <c r="AB2871" s="277"/>
      <c r="AC2871" s="277"/>
      <c r="AD2871" s="277"/>
      <c r="AE2871" s="277"/>
      <c r="AF2871" s="277"/>
      <c r="AG2871" s="277"/>
      <c r="AH2871" s="277"/>
      <c r="AI2871" s="277"/>
    </row>
    <row r="2872" spans="16:35" s="185" customFormat="1">
      <c r="P2872" s="277"/>
      <c r="Q2872" s="277"/>
      <c r="R2872" s="277"/>
      <c r="S2872" s="291">
        <v>44418</v>
      </c>
      <c r="T2872" s="279">
        <v>2779</v>
      </c>
      <c r="U2872" s="277"/>
      <c r="V2872" s="277"/>
      <c r="W2872" s="277"/>
      <c r="X2872" s="277"/>
      <c r="Y2872" s="277"/>
      <c r="Z2872" s="277"/>
      <c r="AA2872" s="277"/>
      <c r="AB2872" s="277"/>
      <c r="AC2872" s="277"/>
      <c r="AD2872" s="277"/>
      <c r="AE2872" s="277"/>
      <c r="AF2872" s="277"/>
      <c r="AG2872" s="277"/>
      <c r="AH2872" s="277"/>
      <c r="AI2872" s="277"/>
    </row>
    <row r="2873" spans="16:35" s="185" customFormat="1">
      <c r="P2873" s="277"/>
      <c r="Q2873" s="277"/>
      <c r="R2873" s="277"/>
      <c r="S2873" s="291">
        <v>44419</v>
      </c>
      <c r="T2873" s="279">
        <v>2780</v>
      </c>
      <c r="U2873" s="277"/>
      <c r="V2873" s="277"/>
      <c r="W2873" s="277"/>
      <c r="X2873" s="277"/>
      <c r="Y2873" s="277"/>
      <c r="Z2873" s="277"/>
      <c r="AA2873" s="277"/>
      <c r="AB2873" s="277"/>
      <c r="AC2873" s="277"/>
      <c r="AD2873" s="277"/>
      <c r="AE2873" s="277"/>
      <c r="AF2873" s="277"/>
      <c r="AG2873" s="277"/>
      <c r="AH2873" s="277"/>
      <c r="AI2873" s="277"/>
    </row>
    <row r="2874" spans="16:35" s="185" customFormat="1">
      <c r="P2874" s="277"/>
      <c r="Q2874" s="277"/>
      <c r="R2874" s="277"/>
      <c r="S2874" s="291">
        <v>44420</v>
      </c>
      <c r="T2874" s="279">
        <v>2781</v>
      </c>
      <c r="U2874" s="277"/>
      <c r="V2874" s="277"/>
      <c r="W2874" s="277"/>
      <c r="X2874" s="277"/>
      <c r="Y2874" s="277"/>
      <c r="Z2874" s="277"/>
      <c r="AA2874" s="277"/>
      <c r="AB2874" s="277"/>
      <c r="AC2874" s="277"/>
      <c r="AD2874" s="277"/>
      <c r="AE2874" s="277"/>
      <c r="AF2874" s="277"/>
      <c r="AG2874" s="277"/>
      <c r="AH2874" s="277"/>
      <c r="AI2874" s="277"/>
    </row>
    <row r="2875" spans="16:35" s="185" customFormat="1">
      <c r="P2875" s="277"/>
      <c r="Q2875" s="277"/>
      <c r="R2875" s="277"/>
      <c r="S2875" s="291">
        <v>44421</v>
      </c>
      <c r="T2875" s="279">
        <v>2782</v>
      </c>
      <c r="U2875" s="277"/>
      <c r="V2875" s="277"/>
      <c r="W2875" s="277"/>
      <c r="X2875" s="277"/>
      <c r="Y2875" s="277"/>
      <c r="Z2875" s="277"/>
      <c r="AA2875" s="277"/>
      <c r="AB2875" s="277"/>
      <c r="AC2875" s="277"/>
      <c r="AD2875" s="277"/>
      <c r="AE2875" s="277"/>
      <c r="AF2875" s="277"/>
      <c r="AG2875" s="277"/>
      <c r="AH2875" s="277"/>
      <c r="AI2875" s="277"/>
    </row>
    <row r="2876" spans="16:35" s="185" customFormat="1">
      <c r="P2876" s="277"/>
      <c r="Q2876" s="277"/>
      <c r="R2876" s="277"/>
      <c r="S2876" s="291">
        <v>44422</v>
      </c>
      <c r="T2876" s="279">
        <v>2783</v>
      </c>
      <c r="U2876" s="277"/>
      <c r="V2876" s="277"/>
      <c r="W2876" s="277"/>
      <c r="X2876" s="277"/>
      <c r="Y2876" s="277"/>
      <c r="Z2876" s="277"/>
      <c r="AA2876" s="277"/>
      <c r="AB2876" s="277"/>
      <c r="AC2876" s="277"/>
      <c r="AD2876" s="277"/>
      <c r="AE2876" s="277"/>
      <c r="AF2876" s="277"/>
      <c r="AG2876" s="277"/>
      <c r="AH2876" s="277"/>
      <c r="AI2876" s="277"/>
    </row>
    <row r="2877" spans="16:35" s="185" customFormat="1">
      <c r="P2877" s="277"/>
      <c r="Q2877" s="277"/>
      <c r="R2877" s="277"/>
      <c r="S2877" s="291">
        <v>44423</v>
      </c>
      <c r="T2877" s="279">
        <v>2784</v>
      </c>
      <c r="U2877" s="277"/>
      <c r="V2877" s="277"/>
      <c r="W2877" s="277"/>
      <c r="X2877" s="277"/>
      <c r="Y2877" s="277"/>
      <c r="Z2877" s="277"/>
      <c r="AA2877" s="277"/>
      <c r="AB2877" s="277"/>
      <c r="AC2877" s="277"/>
      <c r="AD2877" s="277"/>
      <c r="AE2877" s="277"/>
      <c r="AF2877" s="277"/>
      <c r="AG2877" s="277"/>
      <c r="AH2877" s="277"/>
      <c r="AI2877" s="277"/>
    </row>
    <row r="2878" spans="16:35" s="185" customFormat="1">
      <c r="P2878" s="277"/>
      <c r="Q2878" s="277"/>
      <c r="R2878" s="277"/>
      <c r="S2878" s="291">
        <v>44424</v>
      </c>
      <c r="T2878" s="279">
        <v>2785</v>
      </c>
      <c r="U2878" s="277"/>
      <c r="V2878" s="277"/>
      <c r="W2878" s="277"/>
      <c r="X2878" s="277"/>
      <c r="Y2878" s="277"/>
      <c r="Z2878" s="277"/>
      <c r="AA2878" s="277"/>
      <c r="AB2878" s="277"/>
      <c r="AC2878" s="277"/>
      <c r="AD2878" s="277"/>
      <c r="AE2878" s="277"/>
      <c r="AF2878" s="277"/>
      <c r="AG2878" s="277"/>
      <c r="AH2878" s="277"/>
      <c r="AI2878" s="277"/>
    </row>
    <row r="2879" spans="16:35" s="185" customFormat="1">
      <c r="P2879" s="277"/>
      <c r="Q2879" s="277"/>
      <c r="R2879" s="277"/>
      <c r="S2879" s="291">
        <v>44425</v>
      </c>
      <c r="T2879" s="279">
        <v>2786</v>
      </c>
      <c r="U2879" s="277"/>
      <c r="V2879" s="277"/>
      <c r="W2879" s="277"/>
      <c r="X2879" s="277"/>
      <c r="Y2879" s="277"/>
      <c r="Z2879" s="277"/>
      <c r="AA2879" s="277"/>
      <c r="AB2879" s="277"/>
      <c r="AC2879" s="277"/>
      <c r="AD2879" s="277"/>
      <c r="AE2879" s="277"/>
      <c r="AF2879" s="277"/>
      <c r="AG2879" s="277"/>
      <c r="AH2879" s="277"/>
      <c r="AI2879" s="277"/>
    </row>
    <row r="2880" spans="16:35" s="185" customFormat="1">
      <c r="P2880" s="277"/>
      <c r="Q2880" s="277"/>
      <c r="R2880" s="277"/>
      <c r="S2880" s="291">
        <v>44426</v>
      </c>
      <c r="T2880" s="279">
        <v>2787</v>
      </c>
      <c r="U2880" s="277"/>
      <c r="V2880" s="277"/>
      <c r="W2880" s="277"/>
      <c r="X2880" s="277"/>
      <c r="Y2880" s="277"/>
      <c r="Z2880" s="277"/>
      <c r="AA2880" s="277"/>
      <c r="AB2880" s="277"/>
      <c r="AC2880" s="277"/>
      <c r="AD2880" s="277"/>
      <c r="AE2880" s="277"/>
      <c r="AF2880" s="277"/>
      <c r="AG2880" s="277"/>
      <c r="AH2880" s="277"/>
      <c r="AI2880" s="277"/>
    </row>
    <row r="2881" spans="16:35" s="185" customFormat="1">
      <c r="P2881" s="277"/>
      <c r="Q2881" s="277"/>
      <c r="R2881" s="277"/>
      <c r="S2881" s="291">
        <v>44427</v>
      </c>
      <c r="T2881" s="279">
        <v>2788</v>
      </c>
      <c r="U2881" s="277"/>
      <c r="V2881" s="277"/>
      <c r="W2881" s="277"/>
      <c r="X2881" s="277"/>
      <c r="Y2881" s="277"/>
      <c r="Z2881" s="277"/>
      <c r="AA2881" s="277"/>
      <c r="AB2881" s="277"/>
      <c r="AC2881" s="277"/>
      <c r="AD2881" s="277"/>
      <c r="AE2881" s="277"/>
      <c r="AF2881" s="277"/>
      <c r="AG2881" s="277"/>
      <c r="AH2881" s="277"/>
      <c r="AI2881" s="277"/>
    </row>
    <row r="2882" spans="16:35" s="185" customFormat="1">
      <c r="P2882" s="277"/>
      <c r="Q2882" s="277"/>
      <c r="R2882" s="277"/>
      <c r="S2882" s="291">
        <v>44428</v>
      </c>
      <c r="T2882" s="279">
        <v>2789</v>
      </c>
      <c r="U2882" s="277"/>
      <c r="V2882" s="277"/>
      <c r="W2882" s="277"/>
      <c r="X2882" s="277"/>
      <c r="Y2882" s="277"/>
      <c r="Z2882" s="277"/>
      <c r="AA2882" s="277"/>
      <c r="AB2882" s="277"/>
      <c r="AC2882" s="277"/>
      <c r="AD2882" s="277"/>
      <c r="AE2882" s="277"/>
      <c r="AF2882" s="277"/>
      <c r="AG2882" s="277"/>
      <c r="AH2882" s="277"/>
      <c r="AI2882" s="277"/>
    </row>
    <row r="2883" spans="16:35" s="185" customFormat="1">
      <c r="P2883" s="277"/>
      <c r="Q2883" s="277"/>
      <c r="R2883" s="277"/>
      <c r="S2883" s="291">
        <v>44429</v>
      </c>
      <c r="T2883" s="279">
        <v>2790</v>
      </c>
      <c r="U2883" s="277"/>
      <c r="V2883" s="277"/>
      <c r="W2883" s="277"/>
      <c r="X2883" s="277"/>
      <c r="Y2883" s="277"/>
      <c r="Z2883" s="277"/>
      <c r="AA2883" s="277"/>
      <c r="AB2883" s="277"/>
      <c r="AC2883" s="277"/>
      <c r="AD2883" s="277"/>
      <c r="AE2883" s="277"/>
      <c r="AF2883" s="277"/>
      <c r="AG2883" s="277"/>
      <c r="AH2883" s="277"/>
      <c r="AI2883" s="277"/>
    </row>
    <row r="2884" spans="16:35" s="185" customFormat="1">
      <c r="P2884" s="277"/>
      <c r="Q2884" s="277"/>
      <c r="R2884" s="277"/>
      <c r="S2884" s="291">
        <v>44430</v>
      </c>
      <c r="T2884" s="279">
        <v>2791</v>
      </c>
      <c r="U2884" s="277"/>
      <c r="V2884" s="277"/>
      <c r="W2884" s="277"/>
      <c r="X2884" s="277"/>
      <c r="Y2884" s="277"/>
      <c r="Z2884" s="277"/>
      <c r="AA2884" s="277"/>
      <c r="AB2884" s="277"/>
      <c r="AC2884" s="277"/>
      <c r="AD2884" s="277"/>
      <c r="AE2884" s="277"/>
      <c r="AF2884" s="277"/>
      <c r="AG2884" s="277"/>
      <c r="AH2884" s="277"/>
      <c r="AI2884" s="277"/>
    </row>
    <row r="2885" spans="16:35" s="185" customFormat="1">
      <c r="P2885" s="277"/>
      <c r="Q2885" s="277"/>
      <c r="R2885" s="277"/>
      <c r="S2885" s="291">
        <v>44431</v>
      </c>
      <c r="T2885" s="279">
        <v>2792</v>
      </c>
      <c r="U2885" s="277"/>
      <c r="V2885" s="277"/>
      <c r="W2885" s="277"/>
      <c r="X2885" s="277"/>
      <c r="Y2885" s="277"/>
      <c r="Z2885" s="277"/>
      <c r="AA2885" s="277"/>
      <c r="AB2885" s="277"/>
      <c r="AC2885" s="277"/>
      <c r="AD2885" s="277"/>
      <c r="AE2885" s="277"/>
      <c r="AF2885" s="277"/>
      <c r="AG2885" s="277"/>
      <c r="AH2885" s="277"/>
      <c r="AI2885" s="277"/>
    </row>
    <row r="2886" spans="16:35" s="185" customFormat="1">
      <c r="P2886" s="277"/>
      <c r="Q2886" s="277"/>
      <c r="R2886" s="277"/>
      <c r="S2886" s="291">
        <v>44432</v>
      </c>
      <c r="T2886" s="279">
        <v>2793</v>
      </c>
      <c r="U2886" s="277"/>
      <c r="V2886" s="277"/>
      <c r="W2886" s="277"/>
      <c r="X2886" s="277"/>
      <c r="Y2886" s="277"/>
      <c r="Z2886" s="277"/>
      <c r="AA2886" s="277"/>
      <c r="AB2886" s="277"/>
      <c r="AC2886" s="277"/>
      <c r="AD2886" s="277"/>
      <c r="AE2886" s="277"/>
      <c r="AF2886" s="277"/>
      <c r="AG2886" s="277"/>
      <c r="AH2886" s="277"/>
      <c r="AI2886" s="277"/>
    </row>
    <row r="2887" spans="16:35" s="185" customFormat="1">
      <c r="P2887" s="277"/>
      <c r="Q2887" s="277"/>
      <c r="R2887" s="277"/>
      <c r="S2887" s="291">
        <v>44433</v>
      </c>
      <c r="T2887" s="279">
        <v>2794</v>
      </c>
      <c r="U2887" s="277"/>
      <c r="V2887" s="277"/>
      <c r="W2887" s="277"/>
      <c r="X2887" s="277"/>
      <c r="Y2887" s="277"/>
      <c r="Z2887" s="277"/>
      <c r="AA2887" s="277"/>
      <c r="AB2887" s="277"/>
      <c r="AC2887" s="277"/>
      <c r="AD2887" s="277"/>
      <c r="AE2887" s="277"/>
      <c r="AF2887" s="277"/>
      <c r="AG2887" s="277"/>
      <c r="AH2887" s="277"/>
      <c r="AI2887" s="277"/>
    </row>
    <row r="2888" spans="16:35" s="185" customFormat="1">
      <c r="P2888" s="277"/>
      <c r="Q2888" s="277"/>
      <c r="R2888" s="277"/>
      <c r="S2888" s="291">
        <v>44434</v>
      </c>
      <c r="T2888" s="279">
        <v>2795</v>
      </c>
      <c r="U2888" s="277"/>
      <c r="V2888" s="277"/>
      <c r="W2888" s="277"/>
      <c r="X2888" s="277"/>
      <c r="Y2888" s="277"/>
      <c r="Z2888" s="277"/>
      <c r="AA2888" s="277"/>
      <c r="AB2888" s="277"/>
      <c r="AC2888" s="277"/>
      <c r="AD2888" s="277"/>
      <c r="AE2888" s="277"/>
      <c r="AF2888" s="277"/>
      <c r="AG2888" s="277"/>
      <c r="AH2888" s="277"/>
      <c r="AI2888" s="277"/>
    </row>
    <row r="2889" spans="16:35" s="185" customFormat="1">
      <c r="P2889" s="277"/>
      <c r="Q2889" s="277"/>
      <c r="R2889" s="277"/>
      <c r="S2889" s="291">
        <v>44435</v>
      </c>
      <c r="T2889" s="279">
        <v>2796</v>
      </c>
      <c r="U2889" s="277"/>
      <c r="V2889" s="277"/>
      <c r="W2889" s="277"/>
      <c r="X2889" s="277"/>
      <c r="Y2889" s="277"/>
      <c r="Z2889" s="277"/>
      <c r="AA2889" s="277"/>
      <c r="AB2889" s="277"/>
      <c r="AC2889" s="277"/>
      <c r="AD2889" s="277"/>
      <c r="AE2889" s="277"/>
      <c r="AF2889" s="277"/>
      <c r="AG2889" s="277"/>
      <c r="AH2889" s="277"/>
      <c r="AI2889" s="277"/>
    </row>
    <row r="2890" spans="16:35" s="185" customFormat="1">
      <c r="P2890" s="277"/>
      <c r="Q2890" s="277"/>
      <c r="R2890" s="277"/>
      <c r="S2890" s="291">
        <v>44436</v>
      </c>
      <c r="T2890" s="279">
        <v>2797</v>
      </c>
      <c r="U2890" s="277"/>
      <c r="V2890" s="277"/>
      <c r="W2890" s="277"/>
      <c r="X2890" s="277"/>
      <c r="Y2890" s="277"/>
      <c r="Z2890" s="277"/>
      <c r="AA2890" s="277"/>
      <c r="AB2890" s="277"/>
      <c r="AC2890" s="277"/>
      <c r="AD2890" s="277"/>
      <c r="AE2890" s="277"/>
      <c r="AF2890" s="277"/>
      <c r="AG2890" s="277"/>
      <c r="AH2890" s="277"/>
      <c r="AI2890" s="277"/>
    </row>
    <row r="2891" spans="16:35" s="185" customFormat="1">
      <c r="P2891" s="277"/>
      <c r="Q2891" s="277"/>
      <c r="R2891" s="277"/>
      <c r="S2891" s="291">
        <v>44437</v>
      </c>
      <c r="T2891" s="279">
        <v>2798</v>
      </c>
      <c r="U2891" s="277"/>
      <c r="V2891" s="277"/>
      <c r="W2891" s="277"/>
      <c r="X2891" s="277"/>
      <c r="Y2891" s="277"/>
      <c r="Z2891" s="277"/>
      <c r="AA2891" s="277"/>
      <c r="AB2891" s="277"/>
      <c r="AC2891" s="277"/>
      <c r="AD2891" s="277"/>
      <c r="AE2891" s="277"/>
      <c r="AF2891" s="277"/>
      <c r="AG2891" s="277"/>
      <c r="AH2891" s="277"/>
      <c r="AI2891" s="277"/>
    </row>
    <row r="2892" spans="16:35" s="185" customFormat="1">
      <c r="P2892" s="277"/>
      <c r="Q2892" s="277"/>
      <c r="R2892" s="277"/>
      <c r="S2892" s="291">
        <v>44438</v>
      </c>
      <c r="T2892" s="279">
        <v>2799</v>
      </c>
      <c r="U2892" s="277"/>
      <c r="V2892" s="277"/>
      <c r="W2892" s="277"/>
      <c r="X2892" s="277"/>
      <c r="Y2892" s="277"/>
      <c r="Z2892" s="277"/>
      <c r="AA2892" s="277"/>
      <c r="AB2892" s="277"/>
      <c r="AC2892" s="277"/>
      <c r="AD2892" s="277"/>
      <c r="AE2892" s="277"/>
      <c r="AF2892" s="277"/>
      <c r="AG2892" s="277"/>
      <c r="AH2892" s="277"/>
      <c r="AI2892" s="277"/>
    </row>
    <row r="2893" spans="16:35" s="185" customFormat="1">
      <c r="P2893" s="277"/>
      <c r="Q2893" s="277"/>
      <c r="R2893" s="277"/>
      <c r="S2893" s="291">
        <v>44439</v>
      </c>
      <c r="T2893" s="279">
        <v>2800</v>
      </c>
      <c r="U2893" s="277"/>
      <c r="V2893" s="277"/>
      <c r="W2893" s="277"/>
      <c r="X2893" s="277"/>
      <c r="Y2893" s="277"/>
      <c r="Z2893" s="277"/>
      <c r="AA2893" s="277"/>
      <c r="AB2893" s="277"/>
      <c r="AC2893" s="277"/>
      <c r="AD2893" s="277"/>
      <c r="AE2893" s="277"/>
      <c r="AF2893" s="277"/>
      <c r="AG2893" s="277"/>
      <c r="AH2893" s="277"/>
      <c r="AI2893" s="277"/>
    </row>
    <row r="2894" spans="16:35" s="185" customFormat="1">
      <c r="P2894" s="277"/>
      <c r="Q2894" s="277"/>
      <c r="R2894" s="277"/>
      <c r="S2894" s="291">
        <v>44440</v>
      </c>
      <c r="T2894" s="279">
        <v>2801</v>
      </c>
      <c r="U2894" s="277"/>
      <c r="V2894" s="277"/>
      <c r="W2894" s="277"/>
      <c r="X2894" s="277"/>
      <c r="Y2894" s="277"/>
      <c r="Z2894" s="277"/>
      <c r="AA2894" s="277"/>
      <c r="AB2894" s="277"/>
      <c r="AC2894" s="277"/>
      <c r="AD2894" s="277"/>
      <c r="AE2894" s="277"/>
      <c r="AF2894" s="277"/>
      <c r="AG2894" s="277"/>
      <c r="AH2894" s="277"/>
      <c r="AI2894" s="277"/>
    </row>
    <row r="2895" spans="16:35" s="185" customFormat="1">
      <c r="P2895" s="277"/>
      <c r="Q2895" s="277"/>
      <c r="R2895" s="277"/>
      <c r="S2895" s="291">
        <v>44441</v>
      </c>
      <c r="T2895" s="279">
        <v>2802</v>
      </c>
      <c r="U2895" s="277"/>
      <c r="V2895" s="277"/>
      <c r="W2895" s="277"/>
      <c r="X2895" s="277"/>
      <c r="Y2895" s="277"/>
      <c r="Z2895" s="277"/>
      <c r="AA2895" s="277"/>
      <c r="AB2895" s="277"/>
      <c r="AC2895" s="277"/>
      <c r="AD2895" s="277"/>
      <c r="AE2895" s="277"/>
      <c r="AF2895" s="277"/>
      <c r="AG2895" s="277"/>
      <c r="AH2895" s="277"/>
      <c r="AI2895" s="277"/>
    </row>
    <row r="2896" spans="16:35" s="185" customFormat="1">
      <c r="P2896" s="277"/>
      <c r="Q2896" s="277"/>
      <c r="R2896" s="277"/>
      <c r="S2896" s="291">
        <v>44442</v>
      </c>
      <c r="T2896" s="279">
        <v>2803</v>
      </c>
      <c r="U2896" s="277"/>
      <c r="V2896" s="277"/>
      <c r="W2896" s="277"/>
      <c r="X2896" s="277"/>
      <c r="Y2896" s="277"/>
      <c r="Z2896" s="277"/>
      <c r="AA2896" s="277"/>
      <c r="AB2896" s="277"/>
      <c r="AC2896" s="277"/>
      <c r="AD2896" s="277"/>
      <c r="AE2896" s="277"/>
      <c r="AF2896" s="277"/>
      <c r="AG2896" s="277"/>
      <c r="AH2896" s="277"/>
      <c r="AI2896" s="277"/>
    </row>
    <row r="2897" spans="16:35" s="185" customFormat="1">
      <c r="P2897" s="277"/>
      <c r="Q2897" s="277"/>
      <c r="R2897" s="277"/>
      <c r="S2897" s="291">
        <v>44443</v>
      </c>
      <c r="T2897" s="279">
        <v>2804</v>
      </c>
      <c r="U2897" s="277"/>
      <c r="V2897" s="277"/>
      <c r="W2897" s="277"/>
      <c r="X2897" s="277"/>
      <c r="Y2897" s="277"/>
      <c r="Z2897" s="277"/>
      <c r="AA2897" s="277"/>
      <c r="AB2897" s="277"/>
      <c r="AC2897" s="277"/>
      <c r="AD2897" s="277"/>
      <c r="AE2897" s="277"/>
      <c r="AF2897" s="277"/>
      <c r="AG2897" s="277"/>
      <c r="AH2897" s="277"/>
      <c r="AI2897" s="277"/>
    </row>
    <row r="2898" spans="16:35" s="185" customFormat="1">
      <c r="P2898" s="277"/>
      <c r="Q2898" s="277"/>
      <c r="R2898" s="277"/>
      <c r="S2898" s="291">
        <v>44444</v>
      </c>
      <c r="T2898" s="279">
        <v>2805</v>
      </c>
      <c r="U2898" s="277"/>
      <c r="V2898" s="277"/>
      <c r="W2898" s="277"/>
      <c r="X2898" s="277"/>
      <c r="Y2898" s="277"/>
      <c r="Z2898" s="277"/>
      <c r="AA2898" s="277"/>
      <c r="AB2898" s="277"/>
      <c r="AC2898" s="277"/>
      <c r="AD2898" s="277"/>
      <c r="AE2898" s="277"/>
      <c r="AF2898" s="277"/>
      <c r="AG2898" s="277"/>
      <c r="AH2898" s="277"/>
      <c r="AI2898" s="277"/>
    </row>
    <row r="2899" spans="16:35" s="185" customFormat="1">
      <c r="P2899" s="277"/>
      <c r="Q2899" s="277"/>
      <c r="R2899" s="277"/>
      <c r="S2899" s="291">
        <v>44445</v>
      </c>
      <c r="T2899" s="279">
        <v>2806</v>
      </c>
      <c r="U2899" s="277"/>
      <c r="V2899" s="277"/>
      <c r="W2899" s="277"/>
      <c r="X2899" s="277"/>
      <c r="Y2899" s="277"/>
      <c r="Z2899" s="277"/>
      <c r="AA2899" s="277"/>
      <c r="AB2899" s="277"/>
      <c r="AC2899" s="277"/>
      <c r="AD2899" s="277"/>
      <c r="AE2899" s="277"/>
      <c r="AF2899" s="277"/>
      <c r="AG2899" s="277"/>
      <c r="AH2899" s="277"/>
      <c r="AI2899" s="277"/>
    </row>
    <row r="2900" spans="16:35" s="185" customFormat="1">
      <c r="P2900" s="277"/>
      <c r="Q2900" s="277"/>
      <c r="R2900" s="277"/>
      <c r="S2900" s="291">
        <v>44446</v>
      </c>
      <c r="T2900" s="279">
        <v>2807</v>
      </c>
      <c r="U2900" s="277"/>
      <c r="V2900" s="277"/>
      <c r="W2900" s="277"/>
      <c r="X2900" s="277"/>
      <c r="Y2900" s="277"/>
      <c r="Z2900" s="277"/>
      <c r="AA2900" s="277"/>
      <c r="AB2900" s="277"/>
      <c r="AC2900" s="277"/>
      <c r="AD2900" s="277"/>
      <c r="AE2900" s="277"/>
      <c r="AF2900" s="277"/>
      <c r="AG2900" s="277"/>
      <c r="AH2900" s="277"/>
      <c r="AI2900" s="277"/>
    </row>
    <row r="2901" spans="16:35" s="185" customFormat="1">
      <c r="P2901" s="277"/>
      <c r="Q2901" s="277"/>
      <c r="R2901" s="277"/>
      <c r="S2901" s="291">
        <v>44447</v>
      </c>
      <c r="T2901" s="279">
        <v>2808</v>
      </c>
      <c r="U2901" s="277"/>
      <c r="V2901" s="277"/>
      <c r="W2901" s="277"/>
      <c r="X2901" s="277"/>
      <c r="Y2901" s="277"/>
      <c r="Z2901" s="277"/>
      <c r="AA2901" s="277"/>
      <c r="AB2901" s="277"/>
      <c r="AC2901" s="277"/>
      <c r="AD2901" s="277"/>
      <c r="AE2901" s="277"/>
      <c r="AF2901" s="277"/>
      <c r="AG2901" s="277"/>
      <c r="AH2901" s="277"/>
      <c r="AI2901" s="277"/>
    </row>
    <row r="2902" spans="16:35" s="185" customFormat="1">
      <c r="P2902" s="277"/>
      <c r="Q2902" s="277"/>
      <c r="R2902" s="277"/>
      <c r="S2902" s="291">
        <v>44448</v>
      </c>
      <c r="T2902" s="279">
        <v>2809</v>
      </c>
      <c r="U2902" s="277"/>
      <c r="V2902" s="277"/>
      <c r="W2902" s="277"/>
      <c r="X2902" s="277"/>
      <c r="Y2902" s="277"/>
      <c r="Z2902" s="277"/>
      <c r="AA2902" s="277"/>
      <c r="AB2902" s="277"/>
      <c r="AC2902" s="277"/>
      <c r="AD2902" s="277"/>
      <c r="AE2902" s="277"/>
      <c r="AF2902" s="277"/>
      <c r="AG2902" s="277"/>
      <c r="AH2902" s="277"/>
      <c r="AI2902" s="277"/>
    </row>
    <row r="2903" spans="16:35" s="185" customFormat="1">
      <c r="P2903" s="277"/>
      <c r="Q2903" s="277"/>
      <c r="R2903" s="277"/>
      <c r="S2903" s="291">
        <v>44449</v>
      </c>
      <c r="T2903" s="279">
        <v>2810</v>
      </c>
      <c r="U2903" s="277"/>
      <c r="V2903" s="277"/>
      <c r="W2903" s="277"/>
      <c r="X2903" s="277"/>
      <c r="Y2903" s="277"/>
      <c r="Z2903" s="277"/>
      <c r="AA2903" s="277"/>
      <c r="AB2903" s="277"/>
      <c r="AC2903" s="277"/>
      <c r="AD2903" s="277"/>
      <c r="AE2903" s="277"/>
      <c r="AF2903" s="277"/>
      <c r="AG2903" s="277"/>
      <c r="AH2903" s="277"/>
      <c r="AI2903" s="277"/>
    </row>
    <row r="2904" spans="16:35" s="185" customFormat="1">
      <c r="P2904" s="277"/>
      <c r="Q2904" s="277"/>
      <c r="R2904" s="277"/>
      <c r="S2904" s="291">
        <v>44450</v>
      </c>
      <c r="T2904" s="279">
        <v>2811</v>
      </c>
      <c r="U2904" s="277"/>
      <c r="V2904" s="277"/>
      <c r="W2904" s="277"/>
      <c r="X2904" s="277"/>
      <c r="Y2904" s="277"/>
      <c r="Z2904" s="277"/>
      <c r="AA2904" s="277"/>
      <c r="AB2904" s="277"/>
      <c r="AC2904" s="277"/>
      <c r="AD2904" s="277"/>
      <c r="AE2904" s="277"/>
      <c r="AF2904" s="277"/>
      <c r="AG2904" s="277"/>
      <c r="AH2904" s="277"/>
      <c r="AI2904" s="277"/>
    </row>
    <row r="2905" spans="16:35" s="185" customFormat="1">
      <c r="P2905" s="277"/>
      <c r="Q2905" s="277"/>
      <c r="R2905" s="277"/>
      <c r="S2905" s="291">
        <v>44451</v>
      </c>
      <c r="T2905" s="279">
        <v>2812</v>
      </c>
      <c r="U2905" s="277"/>
      <c r="V2905" s="277"/>
      <c r="W2905" s="277"/>
      <c r="X2905" s="277"/>
      <c r="Y2905" s="277"/>
      <c r="Z2905" s="277"/>
      <c r="AA2905" s="277"/>
      <c r="AB2905" s="277"/>
      <c r="AC2905" s="277"/>
      <c r="AD2905" s="277"/>
      <c r="AE2905" s="277"/>
      <c r="AF2905" s="277"/>
      <c r="AG2905" s="277"/>
      <c r="AH2905" s="277"/>
      <c r="AI2905" s="277"/>
    </row>
    <row r="2906" spans="16:35" s="185" customFormat="1">
      <c r="P2906" s="277"/>
      <c r="Q2906" s="277"/>
      <c r="R2906" s="277"/>
      <c r="S2906" s="291">
        <v>44452</v>
      </c>
      <c r="T2906" s="279">
        <v>2813</v>
      </c>
      <c r="U2906" s="277"/>
      <c r="V2906" s="277"/>
      <c r="W2906" s="277"/>
      <c r="X2906" s="277"/>
      <c r="Y2906" s="277"/>
      <c r="Z2906" s="277"/>
      <c r="AA2906" s="277"/>
      <c r="AB2906" s="277"/>
      <c r="AC2906" s="277"/>
      <c r="AD2906" s="277"/>
      <c r="AE2906" s="277"/>
      <c r="AF2906" s="277"/>
      <c r="AG2906" s="277"/>
      <c r="AH2906" s="277"/>
      <c r="AI2906" s="277"/>
    </row>
    <row r="2907" spans="16:35" s="185" customFormat="1">
      <c r="P2907" s="277"/>
      <c r="Q2907" s="277"/>
      <c r="R2907" s="277"/>
      <c r="S2907" s="291">
        <v>44453</v>
      </c>
      <c r="T2907" s="279">
        <v>2814</v>
      </c>
      <c r="U2907" s="277"/>
      <c r="V2907" s="277"/>
      <c r="W2907" s="277"/>
      <c r="X2907" s="277"/>
      <c r="Y2907" s="277"/>
      <c r="Z2907" s="277"/>
      <c r="AA2907" s="277"/>
      <c r="AB2907" s="277"/>
      <c r="AC2907" s="277"/>
      <c r="AD2907" s="277"/>
      <c r="AE2907" s="277"/>
      <c r="AF2907" s="277"/>
      <c r="AG2907" s="277"/>
      <c r="AH2907" s="277"/>
      <c r="AI2907" s="277"/>
    </row>
    <row r="2908" spans="16:35" s="185" customFormat="1">
      <c r="P2908" s="277"/>
      <c r="Q2908" s="277"/>
      <c r="R2908" s="277"/>
      <c r="S2908" s="291">
        <v>44454</v>
      </c>
      <c r="T2908" s="279">
        <v>2815</v>
      </c>
      <c r="U2908" s="277"/>
      <c r="V2908" s="277"/>
      <c r="W2908" s="277"/>
      <c r="X2908" s="277"/>
      <c r="Y2908" s="277"/>
      <c r="Z2908" s="277"/>
      <c r="AA2908" s="277"/>
      <c r="AB2908" s="277"/>
      <c r="AC2908" s="277"/>
      <c r="AD2908" s="277"/>
      <c r="AE2908" s="277"/>
      <c r="AF2908" s="277"/>
      <c r="AG2908" s="277"/>
      <c r="AH2908" s="277"/>
      <c r="AI2908" s="277"/>
    </row>
    <row r="2909" spans="16:35" s="185" customFormat="1">
      <c r="P2909" s="277"/>
      <c r="Q2909" s="277"/>
      <c r="R2909" s="277"/>
      <c r="S2909" s="291">
        <v>44455</v>
      </c>
      <c r="T2909" s="279">
        <v>2816</v>
      </c>
      <c r="U2909" s="277"/>
      <c r="V2909" s="277"/>
      <c r="W2909" s="277"/>
      <c r="X2909" s="277"/>
      <c r="Y2909" s="277"/>
      <c r="Z2909" s="277"/>
      <c r="AA2909" s="277"/>
      <c r="AB2909" s="277"/>
      <c r="AC2909" s="277"/>
      <c r="AD2909" s="277"/>
      <c r="AE2909" s="277"/>
      <c r="AF2909" s="277"/>
      <c r="AG2909" s="277"/>
      <c r="AH2909" s="277"/>
      <c r="AI2909" s="277"/>
    </row>
    <row r="2910" spans="16:35" s="185" customFormat="1">
      <c r="P2910" s="277"/>
      <c r="Q2910" s="277"/>
      <c r="R2910" s="277"/>
      <c r="S2910" s="291">
        <v>44456</v>
      </c>
      <c r="T2910" s="279">
        <v>2817</v>
      </c>
      <c r="U2910" s="277"/>
      <c r="V2910" s="277"/>
      <c r="W2910" s="277"/>
      <c r="X2910" s="277"/>
      <c r="Y2910" s="277"/>
      <c r="Z2910" s="277"/>
      <c r="AA2910" s="277"/>
      <c r="AB2910" s="277"/>
      <c r="AC2910" s="277"/>
      <c r="AD2910" s="277"/>
      <c r="AE2910" s="277"/>
      <c r="AF2910" s="277"/>
      <c r="AG2910" s="277"/>
      <c r="AH2910" s="277"/>
      <c r="AI2910" s="277"/>
    </row>
    <row r="2911" spans="16:35" s="185" customFormat="1">
      <c r="P2911" s="277"/>
      <c r="Q2911" s="277"/>
      <c r="R2911" s="277"/>
      <c r="S2911" s="291">
        <v>44457</v>
      </c>
      <c r="T2911" s="279">
        <v>2818</v>
      </c>
      <c r="U2911" s="277"/>
      <c r="V2911" s="277"/>
      <c r="W2911" s="277"/>
      <c r="X2911" s="277"/>
      <c r="Y2911" s="277"/>
      <c r="Z2911" s="277"/>
      <c r="AA2911" s="277"/>
      <c r="AB2911" s="277"/>
      <c r="AC2911" s="277"/>
      <c r="AD2911" s="277"/>
      <c r="AE2911" s="277"/>
      <c r="AF2911" s="277"/>
      <c r="AG2911" s="277"/>
      <c r="AH2911" s="277"/>
      <c r="AI2911" s="277"/>
    </row>
    <row r="2912" spans="16:35" s="185" customFormat="1">
      <c r="P2912" s="277"/>
      <c r="Q2912" s="277"/>
      <c r="R2912" s="277"/>
      <c r="S2912" s="291">
        <v>44458</v>
      </c>
      <c r="T2912" s="279">
        <v>2819</v>
      </c>
      <c r="U2912" s="277"/>
      <c r="V2912" s="277"/>
      <c r="W2912" s="277"/>
      <c r="X2912" s="277"/>
      <c r="Y2912" s="277"/>
      <c r="Z2912" s="277"/>
      <c r="AA2912" s="277"/>
      <c r="AB2912" s="277"/>
      <c r="AC2912" s="277"/>
      <c r="AD2912" s="277"/>
      <c r="AE2912" s="277"/>
      <c r="AF2912" s="277"/>
      <c r="AG2912" s="277"/>
      <c r="AH2912" s="277"/>
      <c r="AI2912" s="277"/>
    </row>
    <row r="2913" spans="16:35" s="185" customFormat="1">
      <c r="P2913" s="277"/>
      <c r="Q2913" s="277"/>
      <c r="R2913" s="277"/>
      <c r="S2913" s="291">
        <v>44459</v>
      </c>
      <c r="T2913" s="279">
        <v>2820</v>
      </c>
      <c r="U2913" s="277"/>
      <c r="V2913" s="277"/>
      <c r="W2913" s="277"/>
      <c r="X2913" s="277"/>
      <c r="Y2913" s="277"/>
      <c r="Z2913" s="277"/>
      <c r="AA2913" s="277"/>
      <c r="AB2913" s="277"/>
      <c r="AC2913" s="277"/>
      <c r="AD2913" s="277"/>
      <c r="AE2913" s="277"/>
      <c r="AF2913" s="277"/>
      <c r="AG2913" s="277"/>
      <c r="AH2913" s="277"/>
      <c r="AI2913" s="277"/>
    </row>
    <row r="2914" spans="16:35" s="185" customFormat="1">
      <c r="P2914" s="277"/>
      <c r="Q2914" s="277"/>
      <c r="R2914" s="277"/>
      <c r="S2914" s="291">
        <v>44460</v>
      </c>
      <c r="T2914" s="279">
        <v>2821</v>
      </c>
      <c r="U2914" s="277"/>
      <c r="V2914" s="277"/>
      <c r="W2914" s="277"/>
      <c r="X2914" s="277"/>
      <c r="Y2914" s="277"/>
      <c r="Z2914" s="277"/>
      <c r="AA2914" s="277"/>
      <c r="AB2914" s="277"/>
      <c r="AC2914" s="277"/>
      <c r="AD2914" s="277"/>
      <c r="AE2914" s="277"/>
      <c r="AF2914" s="277"/>
      <c r="AG2914" s="277"/>
      <c r="AH2914" s="277"/>
      <c r="AI2914" s="277"/>
    </row>
    <row r="2915" spans="16:35" s="185" customFormat="1">
      <c r="P2915" s="277"/>
      <c r="Q2915" s="277"/>
      <c r="R2915" s="277"/>
      <c r="S2915" s="291">
        <v>44461</v>
      </c>
      <c r="T2915" s="279">
        <v>2822</v>
      </c>
      <c r="U2915" s="277"/>
      <c r="V2915" s="277"/>
      <c r="W2915" s="277"/>
      <c r="X2915" s="277"/>
      <c r="Y2915" s="277"/>
      <c r="Z2915" s="277"/>
      <c r="AA2915" s="277"/>
      <c r="AB2915" s="277"/>
      <c r="AC2915" s="277"/>
      <c r="AD2915" s="277"/>
      <c r="AE2915" s="277"/>
      <c r="AF2915" s="277"/>
      <c r="AG2915" s="277"/>
      <c r="AH2915" s="277"/>
      <c r="AI2915" s="277"/>
    </row>
    <row r="2916" spans="16:35" s="185" customFormat="1">
      <c r="P2916" s="277"/>
      <c r="Q2916" s="277"/>
      <c r="R2916" s="277"/>
      <c r="S2916" s="291">
        <v>44462</v>
      </c>
      <c r="T2916" s="279">
        <v>2823</v>
      </c>
      <c r="U2916" s="277"/>
      <c r="V2916" s="277"/>
      <c r="W2916" s="277"/>
      <c r="X2916" s="277"/>
      <c r="Y2916" s="277"/>
      <c r="Z2916" s="277"/>
      <c r="AA2916" s="277"/>
      <c r="AB2916" s="277"/>
      <c r="AC2916" s="277"/>
      <c r="AD2916" s="277"/>
      <c r="AE2916" s="277"/>
      <c r="AF2916" s="277"/>
      <c r="AG2916" s="277"/>
      <c r="AH2916" s="277"/>
      <c r="AI2916" s="277"/>
    </row>
    <row r="2917" spans="16:35" s="185" customFormat="1">
      <c r="P2917" s="277"/>
      <c r="Q2917" s="277"/>
      <c r="R2917" s="277"/>
      <c r="S2917" s="291">
        <v>44463</v>
      </c>
      <c r="T2917" s="279">
        <v>2824</v>
      </c>
      <c r="U2917" s="277"/>
      <c r="V2917" s="277"/>
      <c r="W2917" s="277"/>
      <c r="X2917" s="277"/>
      <c r="Y2917" s="277"/>
      <c r="Z2917" s="277"/>
      <c r="AA2917" s="277"/>
      <c r="AB2917" s="277"/>
      <c r="AC2917" s="277"/>
      <c r="AD2917" s="277"/>
      <c r="AE2917" s="277"/>
      <c r="AF2917" s="277"/>
      <c r="AG2917" s="277"/>
      <c r="AH2917" s="277"/>
      <c r="AI2917" s="277"/>
    </row>
    <row r="2918" spans="16:35" s="185" customFormat="1">
      <c r="P2918" s="277"/>
      <c r="Q2918" s="277"/>
      <c r="R2918" s="277"/>
      <c r="S2918" s="291">
        <v>44464</v>
      </c>
      <c r="T2918" s="279">
        <v>2825</v>
      </c>
      <c r="U2918" s="277"/>
      <c r="V2918" s="277"/>
      <c r="W2918" s="277"/>
      <c r="X2918" s="277"/>
      <c r="Y2918" s="277"/>
      <c r="Z2918" s="277"/>
      <c r="AA2918" s="277"/>
      <c r="AB2918" s="277"/>
      <c r="AC2918" s="277"/>
      <c r="AD2918" s="277"/>
      <c r="AE2918" s="277"/>
      <c r="AF2918" s="277"/>
      <c r="AG2918" s="277"/>
      <c r="AH2918" s="277"/>
      <c r="AI2918" s="277"/>
    </row>
    <row r="2919" spans="16:35" s="185" customFormat="1">
      <c r="P2919" s="277"/>
      <c r="Q2919" s="277"/>
      <c r="R2919" s="277"/>
      <c r="S2919" s="291">
        <v>44465</v>
      </c>
      <c r="T2919" s="279">
        <v>2826</v>
      </c>
      <c r="U2919" s="277"/>
      <c r="V2919" s="277"/>
      <c r="W2919" s="277"/>
      <c r="X2919" s="277"/>
      <c r="Y2919" s="277"/>
      <c r="Z2919" s="277"/>
      <c r="AA2919" s="277"/>
      <c r="AB2919" s="277"/>
      <c r="AC2919" s="277"/>
      <c r="AD2919" s="277"/>
      <c r="AE2919" s="277"/>
      <c r="AF2919" s="277"/>
      <c r="AG2919" s="277"/>
      <c r="AH2919" s="277"/>
      <c r="AI2919" s="277"/>
    </row>
    <row r="2920" spans="16:35" s="185" customFormat="1">
      <c r="P2920" s="277"/>
      <c r="Q2920" s="277"/>
      <c r="R2920" s="277"/>
      <c r="S2920" s="291">
        <v>44466</v>
      </c>
      <c r="T2920" s="279">
        <v>2827</v>
      </c>
      <c r="U2920" s="277"/>
      <c r="V2920" s="277"/>
      <c r="W2920" s="277"/>
      <c r="X2920" s="277"/>
      <c r="Y2920" s="277"/>
      <c r="Z2920" s="277"/>
      <c r="AA2920" s="277"/>
      <c r="AB2920" s="277"/>
      <c r="AC2920" s="277"/>
      <c r="AD2920" s="277"/>
      <c r="AE2920" s="277"/>
      <c r="AF2920" s="277"/>
      <c r="AG2920" s="277"/>
      <c r="AH2920" s="277"/>
      <c r="AI2920" s="277"/>
    </row>
    <row r="2921" spans="16:35" s="185" customFormat="1">
      <c r="P2921" s="277"/>
      <c r="Q2921" s="277"/>
      <c r="R2921" s="277"/>
      <c r="S2921" s="291">
        <v>44467</v>
      </c>
      <c r="T2921" s="279">
        <v>2828</v>
      </c>
      <c r="U2921" s="277"/>
      <c r="V2921" s="277"/>
      <c r="W2921" s="277"/>
      <c r="X2921" s="277"/>
      <c r="Y2921" s="277"/>
      <c r="Z2921" s="277"/>
      <c r="AA2921" s="277"/>
      <c r="AB2921" s="277"/>
      <c r="AC2921" s="277"/>
      <c r="AD2921" s="277"/>
      <c r="AE2921" s="277"/>
      <c r="AF2921" s="277"/>
      <c r="AG2921" s="277"/>
      <c r="AH2921" s="277"/>
      <c r="AI2921" s="277"/>
    </row>
    <row r="2922" spans="16:35" s="185" customFormat="1">
      <c r="P2922" s="277"/>
      <c r="Q2922" s="277"/>
      <c r="R2922" s="277"/>
      <c r="S2922" s="291">
        <v>44468</v>
      </c>
      <c r="T2922" s="279">
        <v>2829</v>
      </c>
      <c r="U2922" s="277"/>
      <c r="V2922" s="277"/>
      <c r="W2922" s="277"/>
      <c r="X2922" s="277"/>
      <c r="Y2922" s="277"/>
      <c r="Z2922" s="277"/>
      <c r="AA2922" s="277"/>
      <c r="AB2922" s="277"/>
      <c r="AC2922" s="277"/>
      <c r="AD2922" s="277"/>
      <c r="AE2922" s="277"/>
      <c r="AF2922" s="277"/>
      <c r="AG2922" s="277"/>
      <c r="AH2922" s="277"/>
      <c r="AI2922" s="277"/>
    </row>
    <row r="2923" spans="16:35" s="185" customFormat="1">
      <c r="P2923" s="277"/>
      <c r="Q2923" s="277"/>
      <c r="R2923" s="277"/>
      <c r="S2923" s="291">
        <v>44469</v>
      </c>
      <c r="T2923" s="279">
        <v>2830</v>
      </c>
      <c r="U2923" s="277"/>
      <c r="V2923" s="277"/>
      <c r="W2923" s="277"/>
      <c r="X2923" s="277"/>
      <c r="Y2923" s="277"/>
      <c r="Z2923" s="277"/>
      <c r="AA2923" s="277"/>
      <c r="AB2923" s="277"/>
      <c r="AC2923" s="277"/>
      <c r="AD2923" s="277"/>
      <c r="AE2923" s="277"/>
      <c r="AF2923" s="277"/>
      <c r="AG2923" s="277"/>
      <c r="AH2923" s="277"/>
      <c r="AI2923" s="277"/>
    </row>
    <row r="2924" spans="16:35" s="185" customFormat="1">
      <c r="P2924" s="277"/>
      <c r="Q2924" s="277"/>
      <c r="R2924" s="277"/>
      <c r="S2924" s="291">
        <v>44470</v>
      </c>
      <c r="T2924" s="279">
        <v>2831</v>
      </c>
      <c r="U2924" s="277"/>
      <c r="V2924" s="277"/>
      <c r="W2924" s="277"/>
      <c r="X2924" s="277"/>
      <c r="Y2924" s="277"/>
      <c r="Z2924" s="277"/>
      <c r="AA2924" s="277"/>
      <c r="AB2924" s="277"/>
      <c r="AC2924" s="277"/>
      <c r="AD2924" s="277"/>
      <c r="AE2924" s="277"/>
      <c r="AF2924" s="277"/>
      <c r="AG2924" s="277"/>
      <c r="AH2924" s="277"/>
      <c r="AI2924" s="277"/>
    </row>
    <row r="2925" spans="16:35" s="185" customFormat="1">
      <c r="P2925" s="277"/>
      <c r="Q2925" s="277"/>
      <c r="R2925" s="277"/>
      <c r="S2925" s="291">
        <v>44471</v>
      </c>
      <c r="T2925" s="279">
        <v>2832</v>
      </c>
      <c r="U2925" s="277"/>
      <c r="V2925" s="277"/>
      <c r="W2925" s="277"/>
      <c r="X2925" s="277"/>
      <c r="Y2925" s="277"/>
      <c r="Z2925" s="277"/>
      <c r="AA2925" s="277"/>
      <c r="AB2925" s="277"/>
      <c r="AC2925" s="277"/>
      <c r="AD2925" s="277"/>
      <c r="AE2925" s="277"/>
      <c r="AF2925" s="277"/>
      <c r="AG2925" s="277"/>
      <c r="AH2925" s="277"/>
      <c r="AI2925" s="277"/>
    </row>
    <row r="2926" spans="16:35" s="185" customFormat="1">
      <c r="P2926" s="277"/>
      <c r="Q2926" s="277"/>
      <c r="R2926" s="277"/>
      <c r="S2926" s="291">
        <v>44472</v>
      </c>
      <c r="T2926" s="279">
        <v>2833</v>
      </c>
      <c r="U2926" s="277"/>
      <c r="V2926" s="277"/>
      <c r="W2926" s="277"/>
      <c r="X2926" s="277"/>
      <c r="Y2926" s="277"/>
      <c r="Z2926" s="277"/>
      <c r="AA2926" s="277"/>
      <c r="AB2926" s="277"/>
      <c r="AC2926" s="277"/>
      <c r="AD2926" s="277"/>
      <c r="AE2926" s="277"/>
      <c r="AF2926" s="277"/>
      <c r="AG2926" s="277"/>
      <c r="AH2926" s="277"/>
      <c r="AI2926" s="277"/>
    </row>
    <row r="2927" spans="16:35" s="185" customFormat="1">
      <c r="P2927" s="277"/>
      <c r="Q2927" s="277"/>
      <c r="R2927" s="277"/>
      <c r="S2927" s="291">
        <v>44473</v>
      </c>
      <c r="T2927" s="279">
        <v>2834</v>
      </c>
      <c r="U2927" s="277"/>
      <c r="V2927" s="277"/>
      <c r="W2927" s="277"/>
      <c r="X2927" s="277"/>
      <c r="Y2927" s="277"/>
      <c r="Z2927" s="277"/>
      <c r="AA2927" s="277"/>
      <c r="AB2927" s="277"/>
      <c r="AC2927" s="277"/>
      <c r="AD2927" s="277"/>
      <c r="AE2927" s="277"/>
      <c r="AF2927" s="277"/>
      <c r="AG2927" s="277"/>
      <c r="AH2927" s="277"/>
      <c r="AI2927" s="277"/>
    </row>
    <row r="2928" spans="16:35" s="185" customFormat="1">
      <c r="P2928" s="277"/>
      <c r="Q2928" s="277"/>
      <c r="R2928" s="277"/>
      <c r="S2928" s="291">
        <v>44474</v>
      </c>
      <c r="T2928" s="279">
        <v>2835</v>
      </c>
      <c r="U2928" s="277"/>
      <c r="V2928" s="277"/>
      <c r="W2928" s="277"/>
      <c r="X2928" s="277"/>
      <c r="Y2928" s="277"/>
      <c r="Z2928" s="277"/>
      <c r="AA2928" s="277"/>
      <c r="AB2928" s="277"/>
      <c r="AC2928" s="277"/>
      <c r="AD2928" s="277"/>
      <c r="AE2928" s="277"/>
      <c r="AF2928" s="277"/>
      <c r="AG2928" s="277"/>
      <c r="AH2928" s="277"/>
      <c r="AI2928" s="277"/>
    </row>
    <row r="2929" spans="16:35" s="185" customFormat="1">
      <c r="P2929" s="277"/>
      <c r="Q2929" s="277"/>
      <c r="R2929" s="277"/>
      <c r="S2929" s="291">
        <v>44475</v>
      </c>
      <c r="T2929" s="279">
        <v>2836</v>
      </c>
      <c r="U2929" s="277"/>
      <c r="V2929" s="277"/>
      <c r="W2929" s="277"/>
      <c r="X2929" s="277"/>
      <c r="Y2929" s="277"/>
      <c r="Z2929" s="277"/>
      <c r="AA2929" s="277"/>
      <c r="AB2929" s="277"/>
      <c r="AC2929" s="277"/>
      <c r="AD2929" s="277"/>
      <c r="AE2929" s="277"/>
      <c r="AF2929" s="277"/>
      <c r="AG2929" s="277"/>
      <c r="AH2929" s="277"/>
      <c r="AI2929" s="277"/>
    </row>
    <row r="2930" spans="16:35" s="185" customFormat="1">
      <c r="P2930" s="277"/>
      <c r="Q2930" s="277"/>
      <c r="R2930" s="277"/>
      <c r="S2930" s="291">
        <v>44476</v>
      </c>
      <c r="T2930" s="279">
        <v>2837</v>
      </c>
      <c r="U2930" s="277"/>
      <c r="V2930" s="277"/>
      <c r="W2930" s="277"/>
      <c r="X2930" s="277"/>
      <c r="Y2930" s="277"/>
      <c r="Z2930" s="277"/>
      <c r="AA2930" s="277"/>
      <c r="AB2930" s="277"/>
      <c r="AC2930" s="277"/>
      <c r="AD2930" s="277"/>
      <c r="AE2930" s="277"/>
      <c r="AF2930" s="277"/>
      <c r="AG2930" s="277"/>
      <c r="AH2930" s="277"/>
      <c r="AI2930" s="277"/>
    </row>
    <row r="2931" spans="16:35" s="185" customFormat="1">
      <c r="P2931" s="277"/>
      <c r="Q2931" s="277"/>
      <c r="R2931" s="277"/>
      <c r="S2931" s="291">
        <v>44477</v>
      </c>
      <c r="T2931" s="279">
        <v>2838</v>
      </c>
      <c r="U2931" s="277"/>
      <c r="V2931" s="277"/>
      <c r="W2931" s="277"/>
      <c r="X2931" s="277"/>
      <c r="Y2931" s="277"/>
      <c r="Z2931" s="277"/>
      <c r="AA2931" s="277"/>
      <c r="AB2931" s="277"/>
      <c r="AC2931" s="277"/>
      <c r="AD2931" s="277"/>
      <c r="AE2931" s="277"/>
      <c r="AF2931" s="277"/>
      <c r="AG2931" s="277"/>
      <c r="AH2931" s="277"/>
      <c r="AI2931" s="277"/>
    </row>
    <row r="2932" spans="16:35" s="185" customFormat="1">
      <c r="P2932" s="277"/>
      <c r="Q2932" s="277"/>
      <c r="R2932" s="277"/>
      <c r="S2932" s="291">
        <v>44478</v>
      </c>
      <c r="T2932" s="279">
        <v>2839</v>
      </c>
      <c r="U2932" s="277"/>
      <c r="V2932" s="277"/>
      <c r="W2932" s="277"/>
      <c r="X2932" s="277"/>
      <c r="Y2932" s="277"/>
      <c r="Z2932" s="277"/>
      <c r="AA2932" s="277"/>
      <c r="AB2932" s="277"/>
      <c r="AC2932" s="277"/>
      <c r="AD2932" s="277"/>
      <c r="AE2932" s="277"/>
      <c r="AF2932" s="277"/>
      <c r="AG2932" s="277"/>
      <c r="AH2932" s="277"/>
      <c r="AI2932" s="277"/>
    </row>
    <row r="2933" spans="16:35" s="185" customFormat="1">
      <c r="P2933" s="277"/>
      <c r="Q2933" s="277"/>
      <c r="R2933" s="277"/>
      <c r="S2933" s="291">
        <v>44479</v>
      </c>
      <c r="T2933" s="279">
        <v>2840</v>
      </c>
      <c r="U2933" s="277"/>
      <c r="V2933" s="277"/>
      <c r="W2933" s="277"/>
      <c r="X2933" s="277"/>
      <c r="Y2933" s="277"/>
      <c r="Z2933" s="277"/>
      <c r="AA2933" s="277"/>
      <c r="AB2933" s="277"/>
      <c r="AC2933" s="277"/>
      <c r="AD2933" s="277"/>
      <c r="AE2933" s="277"/>
      <c r="AF2933" s="277"/>
      <c r="AG2933" s="277"/>
      <c r="AH2933" s="277"/>
      <c r="AI2933" s="277"/>
    </row>
    <row r="2934" spans="16:35" s="185" customFormat="1">
      <c r="P2934" s="277"/>
      <c r="Q2934" s="277"/>
      <c r="R2934" s="277"/>
      <c r="S2934" s="291">
        <v>44480</v>
      </c>
      <c r="T2934" s="279">
        <v>2841</v>
      </c>
      <c r="U2934" s="277"/>
      <c r="V2934" s="277"/>
      <c r="W2934" s="277"/>
      <c r="X2934" s="277"/>
      <c r="Y2934" s="277"/>
      <c r="Z2934" s="277"/>
      <c r="AA2934" s="277"/>
      <c r="AB2934" s="277"/>
      <c r="AC2934" s="277"/>
      <c r="AD2934" s="277"/>
      <c r="AE2934" s="277"/>
      <c r="AF2934" s="277"/>
      <c r="AG2934" s="277"/>
      <c r="AH2934" s="277"/>
      <c r="AI2934" s="277"/>
    </row>
    <row r="2935" spans="16:35" s="185" customFormat="1">
      <c r="P2935" s="277"/>
      <c r="Q2935" s="277"/>
      <c r="R2935" s="277"/>
      <c r="S2935" s="291">
        <v>44481</v>
      </c>
      <c r="T2935" s="279">
        <v>2842</v>
      </c>
      <c r="U2935" s="277"/>
      <c r="V2935" s="277"/>
      <c r="W2935" s="277"/>
      <c r="X2935" s="277"/>
      <c r="Y2935" s="277"/>
      <c r="Z2935" s="277"/>
      <c r="AA2935" s="277"/>
      <c r="AB2935" s="277"/>
      <c r="AC2935" s="277"/>
      <c r="AD2935" s="277"/>
      <c r="AE2935" s="277"/>
      <c r="AF2935" s="277"/>
      <c r="AG2935" s="277"/>
      <c r="AH2935" s="277"/>
      <c r="AI2935" s="277"/>
    </row>
    <row r="2936" spans="16:35" s="185" customFormat="1">
      <c r="P2936" s="277"/>
      <c r="Q2936" s="277"/>
      <c r="R2936" s="277"/>
      <c r="S2936" s="291">
        <v>44482</v>
      </c>
      <c r="T2936" s="279">
        <v>2843</v>
      </c>
      <c r="U2936" s="277"/>
      <c r="V2936" s="277"/>
      <c r="W2936" s="277"/>
      <c r="X2936" s="277"/>
      <c r="Y2936" s="277"/>
      <c r="Z2936" s="277"/>
      <c r="AA2936" s="277"/>
      <c r="AB2936" s="277"/>
      <c r="AC2936" s="277"/>
      <c r="AD2936" s="277"/>
      <c r="AE2936" s="277"/>
      <c r="AF2936" s="277"/>
      <c r="AG2936" s="277"/>
      <c r="AH2936" s="277"/>
      <c r="AI2936" s="277"/>
    </row>
    <row r="2937" spans="16:35" s="185" customFormat="1">
      <c r="P2937" s="277"/>
      <c r="Q2937" s="277"/>
      <c r="R2937" s="277"/>
      <c r="S2937" s="291">
        <v>44483</v>
      </c>
      <c r="T2937" s="279">
        <v>2844</v>
      </c>
      <c r="U2937" s="277"/>
      <c r="V2937" s="277"/>
      <c r="W2937" s="277"/>
      <c r="X2937" s="277"/>
      <c r="Y2937" s="277"/>
      <c r="Z2937" s="277"/>
      <c r="AA2937" s="277"/>
      <c r="AB2937" s="277"/>
      <c r="AC2937" s="277"/>
      <c r="AD2937" s="277"/>
      <c r="AE2937" s="277"/>
      <c r="AF2937" s="277"/>
      <c r="AG2937" s="277"/>
      <c r="AH2937" s="277"/>
      <c r="AI2937" s="277"/>
    </row>
    <row r="2938" spans="16:35" s="185" customFormat="1">
      <c r="P2938" s="277"/>
      <c r="Q2938" s="277"/>
      <c r="R2938" s="277"/>
      <c r="S2938" s="291">
        <v>44484</v>
      </c>
      <c r="T2938" s="279">
        <v>2845</v>
      </c>
      <c r="U2938" s="277"/>
      <c r="V2938" s="277"/>
      <c r="W2938" s="277"/>
      <c r="X2938" s="277"/>
      <c r="Y2938" s="277"/>
      <c r="Z2938" s="277"/>
      <c r="AA2938" s="277"/>
      <c r="AB2938" s="277"/>
      <c r="AC2938" s="277"/>
      <c r="AD2938" s="277"/>
      <c r="AE2938" s="277"/>
      <c r="AF2938" s="277"/>
      <c r="AG2938" s="277"/>
      <c r="AH2938" s="277"/>
      <c r="AI2938" s="277"/>
    </row>
    <row r="2939" spans="16:35" s="185" customFormat="1">
      <c r="P2939" s="277"/>
      <c r="Q2939" s="277"/>
      <c r="R2939" s="277"/>
      <c r="S2939" s="291">
        <v>44485</v>
      </c>
      <c r="T2939" s="279">
        <v>2846</v>
      </c>
      <c r="U2939" s="277"/>
      <c r="V2939" s="277"/>
      <c r="W2939" s="277"/>
      <c r="X2939" s="277"/>
      <c r="Y2939" s="277"/>
      <c r="Z2939" s="277"/>
      <c r="AA2939" s="277"/>
      <c r="AB2939" s="277"/>
      <c r="AC2939" s="277"/>
      <c r="AD2939" s="277"/>
      <c r="AE2939" s="277"/>
      <c r="AF2939" s="277"/>
      <c r="AG2939" s="277"/>
      <c r="AH2939" s="277"/>
      <c r="AI2939" s="277"/>
    </row>
    <row r="2940" spans="16:35" s="185" customFormat="1">
      <c r="P2940" s="277"/>
      <c r="Q2940" s="277"/>
      <c r="R2940" s="277"/>
      <c r="S2940" s="291">
        <v>44486</v>
      </c>
      <c r="T2940" s="279">
        <v>2847</v>
      </c>
      <c r="U2940" s="277"/>
      <c r="V2940" s="277"/>
      <c r="W2940" s="277"/>
      <c r="X2940" s="277"/>
      <c r="Y2940" s="277"/>
      <c r="Z2940" s="277"/>
      <c r="AA2940" s="277"/>
      <c r="AB2940" s="277"/>
      <c r="AC2940" s="277"/>
      <c r="AD2940" s="277"/>
      <c r="AE2940" s="277"/>
      <c r="AF2940" s="277"/>
      <c r="AG2940" s="277"/>
      <c r="AH2940" s="277"/>
      <c r="AI2940" s="277"/>
    </row>
    <row r="2941" spans="16:35" s="185" customFormat="1">
      <c r="P2941" s="277"/>
      <c r="Q2941" s="277"/>
      <c r="R2941" s="277"/>
      <c r="S2941" s="291">
        <v>44487</v>
      </c>
      <c r="T2941" s="279">
        <v>2848</v>
      </c>
      <c r="U2941" s="277"/>
      <c r="V2941" s="277"/>
      <c r="W2941" s="277"/>
      <c r="X2941" s="277"/>
      <c r="Y2941" s="277"/>
      <c r="Z2941" s="277"/>
      <c r="AA2941" s="277"/>
      <c r="AB2941" s="277"/>
      <c r="AC2941" s="277"/>
      <c r="AD2941" s="277"/>
      <c r="AE2941" s="277"/>
      <c r="AF2941" s="277"/>
      <c r="AG2941" s="277"/>
      <c r="AH2941" s="277"/>
      <c r="AI2941" s="277"/>
    </row>
    <row r="2942" spans="16:35" s="185" customFormat="1">
      <c r="P2942" s="277"/>
      <c r="Q2942" s="277"/>
      <c r="R2942" s="277"/>
      <c r="S2942" s="291">
        <v>44488</v>
      </c>
      <c r="T2942" s="279">
        <v>2849</v>
      </c>
      <c r="U2942" s="277"/>
      <c r="V2942" s="277"/>
      <c r="W2942" s="277"/>
      <c r="X2942" s="277"/>
      <c r="Y2942" s="277"/>
      <c r="Z2942" s="277"/>
      <c r="AA2942" s="277"/>
      <c r="AB2942" s="277"/>
      <c r="AC2942" s="277"/>
      <c r="AD2942" s="277"/>
      <c r="AE2942" s="277"/>
      <c r="AF2942" s="277"/>
      <c r="AG2942" s="277"/>
      <c r="AH2942" s="277"/>
      <c r="AI2942" s="277"/>
    </row>
    <row r="2943" spans="16:35" s="185" customFormat="1">
      <c r="P2943" s="277"/>
      <c r="Q2943" s="277"/>
      <c r="R2943" s="277"/>
      <c r="S2943" s="291">
        <v>44489</v>
      </c>
      <c r="T2943" s="279">
        <v>2850</v>
      </c>
      <c r="U2943" s="277"/>
      <c r="V2943" s="277"/>
      <c r="W2943" s="277"/>
      <c r="X2943" s="277"/>
      <c r="Y2943" s="277"/>
      <c r="Z2943" s="277"/>
      <c r="AA2943" s="277"/>
      <c r="AB2943" s="277"/>
      <c r="AC2943" s="277"/>
      <c r="AD2943" s="277"/>
      <c r="AE2943" s="277"/>
      <c r="AF2943" s="277"/>
      <c r="AG2943" s="277"/>
      <c r="AH2943" s="277"/>
      <c r="AI2943" s="277"/>
    </row>
    <row r="2944" spans="16:35" s="185" customFormat="1">
      <c r="P2944" s="277"/>
      <c r="Q2944" s="277"/>
      <c r="R2944" s="277"/>
      <c r="S2944" s="291">
        <v>44490</v>
      </c>
      <c r="T2944" s="279">
        <v>2851</v>
      </c>
      <c r="U2944" s="277"/>
      <c r="V2944" s="277"/>
      <c r="W2944" s="277"/>
      <c r="X2944" s="277"/>
      <c r="Y2944" s="277"/>
      <c r="Z2944" s="277"/>
      <c r="AA2944" s="277"/>
      <c r="AB2944" s="277"/>
      <c r="AC2944" s="277"/>
      <c r="AD2944" s="277"/>
      <c r="AE2944" s="277"/>
      <c r="AF2944" s="277"/>
      <c r="AG2944" s="277"/>
      <c r="AH2944" s="277"/>
      <c r="AI2944" s="277"/>
    </row>
    <row r="2945" spans="16:35" s="185" customFormat="1">
      <c r="P2945" s="277"/>
      <c r="Q2945" s="277"/>
      <c r="R2945" s="277"/>
      <c r="S2945" s="291">
        <v>44491</v>
      </c>
      <c r="T2945" s="279">
        <v>2852</v>
      </c>
      <c r="U2945" s="277"/>
      <c r="V2945" s="277"/>
      <c r="W2945" s="277"/>
      <c r="X2945" s="277"/>
      <c r="Y2945" s="277"/>
      <c r="Z2945" s="277"/>
      <c r="AA2945" s="277"/>
      <c r="AB2945" s="277"/>
      <c r="AC2945" s="277"/>
      <c r="AD2945" s="277"/>
      <c r="AE2945" s="277"/>
      <c r="AF2945" s="277"/>
      <c r="AG2945" s="277"/>
      <c r="AH2945" s="277"/>
      <c r="AI2945" s="277"/>
    </row>
    <row r="2946" spans="16:35" s="185" customFormat="1">
      <c r="P2946" s="277"/>
      <c r="Q2946" s="277"/>
      <c r="R2946" s="277"/>
      <c r="S2946" s="291">
        <v>44492</v>
      </c>
      <c r="T2946" s="279">
        <v>2853</v>
      </c>
      <c r="U2946" s="277"/>
      <c r="V2946" s="277"/>
      <c r="W2946" s="277"/>
      <c r="X2946" s="277"/>
      <c r="Y2946" s="277"/>
      <c r="Z2946" s="277"/>
      <c r="AA2946" s="277"/>
      <c r="AB2946" s="277"/>
      <c r="AC2946" s="277"/>
      <c r="AD2946" s="277"/>
      <c r="AE2946" s="277"/>
      <c r="AF2946" s="277"/>
      <c r="AG2946" s="277"/>
      <c r="AH2946" s="277"/>
      <c r="AI2946" s="277"/>
    </row>
    <row r="2947" spans="16:35" s="185" customFormat="1">
      <c r="P2947" s="277"/>
      <c r="Q2947" s="277"/>
      <c r="R2947" s="277"/>
      <c r="S2947" s="291">
        <v>44493</v>
      </c>
      <c r="T2947" s="279">
        <v>2854</v>
      </c>
      <c r="U2947" s="277"/>
      <c r="V2947" s="277"/>
      <c r="W2947" s="277"/>
      <c r="X2947" s="277"/>
      <c r="Y2947" s="277"/>
      <c r="Z2947" s="277"/>
      <c r="AA2947" s="277"/>
      <c r="AB2947" s="277"/>
      <c r="AC2947" s="277"/>
      <c r="AD2947" s="277"/>
      <c r="AE2947" s="277"/>
      <c r="AF2947" s="277"/>
      <c r="AG2947" s="277"/>
      <c r="AH2947" s="277"/>
      <c r="AI2947" s="277"/>
    </row>
    <row r="2948" spans="16:35" s="185" customFormat="1">
      <c r="P2948" s="277"/>
      <c r="Q2948" s="277"/>
      <c r="R2948" s="277"/>
      <c r="S2948" s="291">
        <v>44494</v>
      </c>
      <c r="T2948" s="279">
        <v>2855</v>
      </c>
      <c r="U2948" s="277"/>
      <c r="V2948" s="277"/>
      <c r="W2948" s="277"/>
      <c r="X2948" s="277"/>
      <c r="Y2948" s="277"/>
      <c r="Z2948" s="277"/>
      <c r="AA2948" s="277"/>
      <c r="AB2948" s="277"/>
      <c r="AC2948" s="277"/>
      <c r="AD2948" s="277"/>
      <c r="AE2948" s="277"/>
      <c r="AF2948" s="277"/>
      <c r="AG2948" s="277"/>
      <c r="AH2948" s="277"/>
      <c r="AI2948" s="277"/>
    </row>
    <row r="2949" spans="16:35" s="185" customFormat="1">
      <c r="P2949" s="277"/>
      <c r="Q2949" s="277"/>
      <c r="R2949" s="277"/>
      <c r="S2949" s="291">
        <v>44495</v>
      </c>
      <c r="T2949" s="279">
        <v>2856</v>
      </c>
      <c r="U2949" s="277"/>
      <c r="V2949" s="277"/>
      <c r="W2949" s="277"/>
      <c r="X2949" s="277"/>
      <c r="Y2949" s="277"/>
      <c r="Z2949" s="277"/>
      <c r="AA2949" s="277"/>
      <c r="AB2949" s="277"/>
      <c r="AC2949" s="277"/>
      <c r="AD2949" s="277"/>
      <c r="AE2949" s="277"/>
      <c r="AF2949" s="277"/>
      <c r="AG2949" s="277"/>
      <c r="AH2949" s="277"/>
      <c r="AI2949" s="277"/>
    </row>
    <row r="2950" spans="16:35" s="185" customFormat="1">
      <c r="P2950" s="277"/>
      <c r="Q2950" s="277"/>
      <c r="R2950" s="277"/>
      <c r="S2950" s="291">
        <v>44496</v>
      </c>
      <c r="T2950" s="279">
        <v>2857</v>
      </c>
      <c r="U2950" s="277"/>
      <c r="V2950" s="277"/>
      <c r="W2950" s="277"/>
      <c r="X2950" s="277"/>
      <c r="Y2950" s="277"/>
      <c r="Z2950" s="277"/>
      <c r="AA2950" s="277"/>
      <c r="AB2950" s="277"/>
      <c r="AC2950" s="277"/>
      <c r="AD2950" s="277"/>
      <c r="AE2950" s="277"/>
      <c r="AF2950" s="277"/>
      <c r="AG2950" s="277"/>
      <c r="AH2950" s="277"/>
      <c r="AI2950" s="277"/>
    </row>
    <row r="2951" spans="16:35" s="185" customFormat="1">
      <c r="P2951" s="277"/>
      <c r="Q2951" s="277"/>
      <c r="R2951" s="277"/>
      <c r="S2951" s="291">
        <v>44497</v>
      </c>
      <c r="T2951" s="279">
        <v>2858</v>
      </c>
      <c r="U2951" s="277"/>
      <c r="V2951" s="277"/>
      <c r="W2951" s="277"/>
      <c r="X2951" s="277"/>
      <c r="Y2951" s="277"/>
      <c r="Z2951" s="277"/>
      <c r="AA2951" s="277"/>
      <c r="AB2951" s="277"/>
      <c r="AC2951" s="277"/>
      <c r="AD2951" s="277"/>
      <c r="AE2951" s="277"/>
      <c r="AF2951" s="277"/>
      <c r="AG2951" s="277"/>
      <c r="AH2951" s="277"/>
      <c r="AI2951" s="277"/>
    </row>
    <row r="2952" spans="16:35" s="185" customFormat="1">
      <c r="P2952" s="277"/>
      <c r="Q2952" s="277"/>
      <c r="R2952" s="277"/>
      <c r="S2952" s="291">
        <v>44498</v>
      </c>
      <c r="T2952" s="279">
        <v>2859</v>
      </c>
      <c r="U2952" s="277"/>
      <c r="V2952" s="277"/>
      <c r="W2952" s="277"/>
      <c r="X2952" s="277"/>
      <c r="Y2952" s="277"/>
      <c r="Z2952" s="277"/>
      <c r="AA2952" s="277"/>
      <c r="AB2952" s="277"/>
      <c r="AC2952" s="277"/>
      <c r="AD2952" s="277"/>
      <c r="AE2952" s="277"/>
      <c r="AF2952" s="277"/>
      <c r="AG2952" s="277"/>
      <c r="AH2952" s="277"/>
      <c r="AI2952" s="277"/>
    </row>
    <row r="2953" spans="16:35" s="185" customFormat="1">
      <c r="P2953" s="277"/>
      <c r="Q2953" s="277"/>
      <c r="R2953" s="277"/>
      <c r="S2953" s="291">
        <v>44499</v>
      </c>
      <c r="T2953" s="279">
        <v>2860</v>
      </c>
      <c r="U2953" s="277"/>
      <c r="V2953" s="277"/>
      <c r="W2953" s="277"/>
      <c r="X2953" s="277"/>
      <c r="Y2953" s="277"/>
      <c r="Z2953" s="277"/>
      <c r="AA2953" s="277"/>
      <c r="AB2953" s="277"/>
      <c r="AC2953" s="277"/>
      <c r="AD2953" s="277"/>
      <c r="AE2953" s="277"/>
      <c r="AF2953" s="277"/>
      <c r="AG2953" s="277"/>
      <c r="AH2953" s="277"/>
      <c r="AI2953" s="277"/>
    </row>
    <row r="2954" spans="16:35" s="185" customFormat="1">
      <c r="P2954" s="277"/>
      <c r="Q2954" s="277"/>
      <c r="R2954" s="277"/>
      <c r="S2954" s="291">
        <v>44500</v>
      </c>
      <c r="T2954" s="279">
        <v>2861</v>
      </c>
      <c r="U2954" s="277"/>
      <c r="V2954" s="277"/>
      <c r="W2954" s="277"/>
      <c r="X2954" s="277"/>
      <c r="Y2954" s="277"/>
      <c r="Z2954" s="277"/>
      <c r="AA2954" s="277"/>
      <c r="AB2954" s="277"/>
      <c r="AC2954" s="277"/>
      <c r="AD2954" s="277"/>
      <c r="AE2954" s="277"/>
      <c r="AF2954" s="277"/>
      <c r="AG2954" s="277"/>
      <c r="AH2954" s="277"/>
      <c r="AI2954" s="277"/>
    </row>
    <row r="2955" spans="16:35" s="185" customFormat="1">
      <c r="P2955" s="277"/>
      <c r="Q2955" s="277"/>
      <c r="R2955" s="277"/>
      <c r="S2955" s="291">
        <v>44501</v>
      </c>
      <c r="T2955" s="279">
        <v>2862</v>
      </c>
      <c r="U2955" s="277"/>
      <c r="V2955" s="277"/>
      <c r="W2955" s="277"/>
      <c r="X2955" s="277"/>
      <c r="Y2955" s="277"/>
      <c r="Z2955" s="277"/>
      <c r="AA2955" s="277"/>
      <c r="AB2955" s="277"/>
      <c r="AC2955" s="277"/>
      <c r="AD2955" s="277"/>
      <c r="AE2955" s="277"/>
      <c r="AF2955" s="277"/>
      <c r="AG2955" s="277"/>
      <c r="AH2955" s="277"/>
      <c r="AI2955" s="277"/>
    </row>
    <row r="2956" spans="16:35" s="185" customFormat="1">
      <c r="P2956" s="277"/>
      <c r="Q2956" s="277"/>
      <c r="R2956" s="277"/>
      <c r="S2956" s="291">
        <v>44502</v>
      </c>
      <c r="T2956" s="279">
        <v>2863</v>
      </c>
      <c r="U2956" s="277"/>
      <c r="V2956" s="277"/>
      <c r="W2956" s="277"/>
      <c r="X2956" s="277"/>
      <c r="Y2956" s="277"/>
      <c r="Z2956" s="277"/>
      <c r="AA2956" s="277"/>
      <c r="AB2956" s="277"/>
      <c r="AC2956" s="277"/>
      <c r="AD2956" s="277"/>
      <c r="AE2956" s="277"/>
      <c r="AF2956" s="277"/>
      <c r="AG2956" s="277"/>
      <c r="AH2956" s="277"/>
      <c r="AI2956" s="277"/>
    </row>
    <row r="2957" spans="16:35" s="185" customFormat="1">
      <c r="P2957" s="277"/>
      <c r="Q2957" s="277"/>
      <c r="R2957" s="277"/>
      <c r="S2957" s="291">
        <v>44503</v>
      </c>
      <c r="T2957" s="279">
        <v>2864</v>
      </c>
      <c r="U2957" s="277"/>
      <c r="V2957" s="277"/>
      <c r="W2957" s="277"/>
      <c r="X2957" s="277"/>
      <c r="Y2957" s="277"/>
      <c r="Z2957" s="277"/>
      <c r="AA2957" s="277"/>
      <c r="AB2957" s="277"/>
      <c r="AC2957" s="277"/>
      <c r="AD2957" s="277"/>
      <c r="AE2957" s="277"/>
      <c r="AF2957" s="277"/>
      <c r="AG2957" s="277"/>
      <c r="AH2957" s="277"/>
      <c r="AI2957" s="277"/>
    </row>
    <row r="2958" spans="16:35" s="185" customFormat="1">
      <c r="P2958" s="277"/>
      <c r="Q2958" s="277"/>
      <c r="R2958" s="277"/>
      <c r="S2958" s="291">
        <v>44504</v>
      </c>
      <c r="T2958" s="279">
        <v>2865</v>
      </c>
      <c r="U2958" s="277"/>
      <c r="V2958" s="277"/>
      <c r="W2958" s="277"/>
      <c r="X2958" s="277"/>
      <c r="Y2958" s="277"/>
      <c r="Z2958" s="277"/>
      <c r="AA2958" s="277"/>
      <c r="AB2958" s="277"/>
      <c r="AC2958" s="277"/>
      <c r="AD2958" s="277"/>
      <c r="AE2958" s="277"/>
      <c r="AF2958" s="277"/>
      <c r="AG2958" s="277"/>
      <c r="AH2958" s="277"/>
      <c r="AI2958" s="277"/>
    </row>
    <row r="2959" spans="16:35" s="185" customFormat="1">
      <c r="P2959" s="277"/>
      <c r="Q2959" s="277"/>
      <c r="R2959" s="277"/>
      <c r="S2959" s="291">
        <v>44505</v>
      </c>
      <c r="T2959" s="279">
        <v>2866</v>
      </c>
      <c r="U2959" s="277"/>
      <c r="V2959" s="277"/>
      <c r="W2959" s="277"/>
      <c r="X2959" s="277"/>
      <c r="Y2959" s="277"/>
      <c r="Z2959" s="277"/>
      <c r="AA2959" s="277"/>
      <c r="AB2959" s="277"/>
      <c r="AC2959" s="277"/>
      <c r="AD2959" s="277"/>
      <c r="AE2959" s="277"/>
      <c r="AF2959" s="277"/>
      <c r="AG2959" s="277"/>
      <c r="AH2959" s="277"/>
      <c r="AI2959" s="277"/>
    </row>
    <row r="2960" spans="16:35" s="185" customFormat="1">
      <c r="P2960" s="277"/>
      <c r="Q2960" s="277"/>
      <c r="R2960" s="277"/>
      <c r="S2960" s="291">
        <v>44506</v>
      </c>
      <c r="T2960" s="279">
        <v>2867</v>
      </c>
      <c r="U2960" s="277"/>
      <c r="V2960" s="277"/>
      <c r="W2960" s="277"/>
      <c r="X2960" s="277"/>
      <c r="Y2960" s="277"/>
      <c r="Z2960" s="277"/>
      <c r="AA2960" s="277"/>
      <c r="AB2960" s="277"/>
      <c r="AC2960" s="277"/>
      <c r="AD2960" s="277"/>
      <c r="AE2960" s="277"/>
      <c r="AF2960" s="277"/>
      <c r="AG2960" s="277"/>
      <c r="AH2960" s="277"/>
      <c r="AI2960" s="277"/>
    </row>
    <row r="2961" spans="16:35" s="185" customFormat="1">
      <c r="P2961" s="277"/>
      <c r="Q2961" s="277"/>
      <c r="R2961" s="277"/>
      <c r="S2961" s="291">
        <v>44507</v>
      </c>
      <c r="T2961" s="279">
        <v>2868</v>
      </c>
      <c r="U2961" s="277"/>
      <c r="V2961" s="277"/>
      <c r="W2961" s="277"/>
      <c r="X2961" s="277"/>
      <c r="Y2961" s="277"/>
      <c r="Z2961" s="277"/>
      <c r="AA2961" s="277"/>
      <c r="AB2961" s="277"/>
      <c r="AC2961" s="277"/>
      <c r="AD2961" s="277"/>
      <c r="AE2961" s="277"/>
      <c r="AF2961" s="277"/>
      <c r="AG2961" s="277"/>
      <c r="AH2961" s="277"/>
      <c r="AI2961" s="277"/>
    </row>
    <row r="2962" spans="16:35" s="185" customFormat="1">
      <c r="P2962" s="277"/>
      <c r="Q2962" s="277"/>
      <c r="R2962" s="277"/>
      <c r="S2962" s="291">
        <v>44508</v>
      </c>
      <c r="T2962" s="279">
        <v>2869</v>
      </c>
      <c r="U2962" s="277"/>
      <c r="V2962" s="277"/>
      <c r="W2962" s="277"/>
      <c r="X2962" s="277"/>
      <c r="Y2962" s="277"/>
      <c r="Z2962" s="277"/>
      <c r="AA2962" s="277"/>
      <c r="AB2962" s="277"/>
      <c r="AC2962" s="277"/>
      <c r="AD2962" s="277"/>
      <c r="AE2962" s="277"/>
      <c r="AF2962" s="277"/>
      <c r="AG2962" s="277"/>
      <c r="AH2962" s="277"/>
      <c r="AI2962" s="277"/>
    </row>
    <row r="2963" spans="16:35" s="185" customFormat="1">
      <c r="P2963" s="277"/>
      <c r="Q2963" s="277"/>
      <c r="R2963" s="277"/>
      <c r="S2963" s="291">
        <v>44509</v>
      </c>
      <c r="T2963" s="279">
        <v>2870</v>
      </c>
      <c r="U2963" s="277"/>
      <c r="V2963" s="277"/>
      <c r="W2963" s="277"/>
      <c r="X2963" s="277"/>
      <c r="Y2963" s="277"/>
      <c r="Z2963" s="277"/>
      <c r="AA2963" s="277"/>
      <c r="AB2963" s="277"/>
      <c r="AC2963" s="277"/>
      <c r="AD2963" s="277"/>
      <c r="AE2963" s="277"/>
      <c r="AF2963" s="277"/>
      <c r="AG2963" s="277"/>
      <c r="AH2963" s="277"/>
      <c r="AI2963" s="277"/>
    </row>
    <row r="2964" spans="16:35" s="185" customFormat="1">
      <c r="P2964" s="277"/>
      <c r="Q2964" s="277"/>
      <c r="R2964" s="277"/>
      <c r="S2964" s="291">
        <v>44510</v>
      </c>
      <c r="T2964" s="279">
        <v>2871</v>
      </c>
      <c r="U2964" s="277"/>
      <c r="V2964" s="277"/>
      <c r="W2964" s="277"/>
      <c r="X2964" s="277"/>
      <c r="Y2964" s="277"/>
      <c r="Z2964" s="277"/>
      <c r="AA2964" s="277"/>
      <c r="AB2964" s="277"/>
      <c r="AC2964" s="277"/>
      <c r="AD2964" s="277"/>
      <c r="AE2964" s="277"/>
      <c r="AF2964" s="277"/>
      <c r="AG2964" s="277"/>
      <c r="AH2964" s="277"/>
      <c r="AI2964" s="277"/>
    </row>
    <row r="2965" spans="16:35" s="185" customFormat="1">
      <c r="P2965" s="277"/>
      <c r="Q2965" s="277"/>
      <c r="R2965" s="277"/>
      <c r="S2965" s="291">
        <v>44511</v>
      </c>
      <c r="T2965" s="279">
        <v>2872</v>
      </c>
      <c r="U2965" s="277"/>
      <c r="V2965" s="277"/>
      <c r="W2965" s="277"/>
      <c r="X2965" s="277"/>
      <c r="Y2965" s="277"/>
      <c r="Z2965" s="277"/>
      <c r="AA2965" s="277"/>
      <c r="AB2965" s="277"/>
      <c r="AC2965" s="277"/>
      <c r="AD2965" s="277"/>
      <c r="AE2965" s="277"/>
      <c r="AF2965" s="277"/>
      <c r="AG2965" s="277"/>
      <c r="AH2965" s="277"/>
      <c r="AI2965" s="277"/>
    </row>
    <row r="2966" spans="16:35" s="185" customFormat="1">
      <c r="P2966" s="277"/>
      <c r="Q2966" s="277"/>
      <c r="R2966" s="277"/>
      <c r="S2966" s="291">
        <v>44512</v>
      </c>
      <c r="T2966" s="279">
        <v>2873</v>
      </c>
      <c r="U2966" s="277"/>
      <c r="V2966" s="277"/>
      <c r="W2966" s="277"/>
      <c r="X2966" s="277"/>
      <c r="Y2966" s="277"/>
      <c r="Z2966" s="277"/>
      <c r="AA2966" s="277"/>
      <c r="AB2966" s="277"/>
      <c r="AC2966" s="277"/>
      <c r="AD2966" s="277"/>
      <c r="AE2966" s="277"/>
      <c r="AF2966" s="277"/>
      <c r="AG2966" s="277"/>
      <c r="AH2966" s="277"/>
      <c r="AI2966" s="277"/>
    </row>
    <row r="2967" spans="16:35" s="185" customFormat="1">
      <c r="P2967" s="277"/>
      <c r="Q2967" s="277"/>
      <c r="R2967" s="277"/>
      <c r="S2967" s="291">
        <v>44513</v>
      </c>
      <c r="T2967" s="279">
        <v>2874</v>
      </c>
      <c r="U2967" s="277"/>
      <c r="V2967" s="277"/>
      <c r="W2967" s="277"/>
      <c r="X2967" s="277"/>
      <c r="Y2967" s="277"/>
      <c r="Z2967" s="277"/>
      <c r="AA2967" s="277"/>
      <c r="AB2967" s="277"/>
      <c r="AC2967" s="277"/>
      <c r="AD2967" s="277"/>
      <c r="AE2967" s="277"/>
      <c r="AF2967" s="277"/>
      <c r="AG2967" s="277"/>
      <c r="AH2967" s="277"/>
      <c r="AI2967" s="277"/>
    </row>
    <row r="2968" spans="16:35" s="185" customFormat="1">
      <c r="P2968" s="277"/>
      <c r="Q2968" s="277"/>
      <c r="R2968" s="277"/>
      <c r="S2968" s="291">
        <v>44514</v>
      </c>
      <c r="T2968" s="279">
        <v>2875</v>
      </c>
      <c r="U2968" s="277"/>
      <c r="V2968" s="277"/>
      <c r="W2968" s="277"/>
      <c r="X2968" s="277"/>
      <c r="Y2968" s="277"/>
      <c r="Z2968" s="277"/>
      <c r="AA2968" s="277"/>
      <c r="AB2968" s="277"/>
      <c r="AC2968" s="277"/>
      <c r="AD2968" s="277"/>
      <c r="AE2968" s="277"/>
      <c r="AF2968" s="277"/>
      <c r="AG2968" s="277"/>
      <c r="AH2968" s="277"/>
      <c r="AI2968" s="277"/>
    </row>
    <row r="2969" spans="16:35" s="185" customFormat="1">
      <c r="P2969" s="277"/>
      <c r="Q2969" s="277"/>
      <c r="R2969" s="277"/>
      <c r="S2969" s="291">
        <v>44515</v>
      </c>
      <c r="T2969" s="279">
        <v>2876</v>
      </c>
      <c r="U2969" s="277"/>
      <c r="V2969" s="277"/>
      <c r="W2969" s="277"/>
      <c r="X2969" s="277"/>
      <c r="Y2969" s="277"/>
      <c r="Z2969" s="277"/>
      <c r="AA2969" s="277"/>
      <c r="AB2969" s="277"/>
      <c r="AC2969" s="277"/>
      <c r="AD2969" s="277"/>
      <c r="AE2969" s="277"/>
      <c r="AF2969" s="277"/>
      <c r="AG2969" s="277"/>
      <c r="AH2969" s="277"/>
      <c r="AI2969" s="277"/>
    </row>
    <row r="2970" spans="16:35" s="185" customFormat="1">
      <c r="P2970" s="277"/>
      <c r="Q2970" s="277"/>
      <c r="R2970" s="277"/>
      <c r="S2970" s="291">
        <v>44516</v>
      </c>
      <c r="T2970" s="279">
        <v>2877</v>
      </c>
      <c r="U2970" s="277"/>
      <c r="V2970" s="277"/>
      <c r="W2970" s="277"/>
      <c r="X2970" s="277"/>
      <c r="Y2970" s="277"/>
      <c r="Z2970" s="277"/>
      <c r="AA2970" s="277"/>
      <c r="AB2970" s="277"/>
      <c r="AC2970" s="277"/>
      <c r="AD2970" s="277"/>
      <c r="AE2970" s="277"/>
      <c r="AF2970" s="277"/>
      <c r="AG2970" s="277"/>
      <c r="AH2970" s="277"/>
      <c r="AI2970" s="277"/>
    </row>
    <row r="2971" spans="16:35" s="185" customFormat="1">
      <c r="P2971" s="277"/>
      <c r="Q2971" s="277"/>
      <c r="R2971" s="277"/>
      <c r="S2971" s="291">
        <v>44517</v>
      </c>
      <c r="T2971" s="279">
        <v>2878</v>
      </c>
      <c r="U2971" s="277"/>
      <c r="V2971" s="277"/>
      <c r="W2971" s="277"/>
      <c r="X2971" s="277"/>
      <c r="Y2971" s="277"/>
      <c r="Z2971" s="277"/>
      <c r="AA2971" s="277"/>
      <c r="AB2971" s="277"/>
      <c r="AC2971" s="277"/>
      <c r="AD2971" s="277"/>
      <c r="AE2971" s="277"/>
      <c r="AF2971" s="277"/>
      <c r="AG2971" s="277"/>
      <c r="AH2971" s="277"/>
      <c r="AI2971" s="277"/>
    </row>
    <row r="2972" spans="16:35" s="185" customFormat="1">
      <c r="P2972" s="277"/>
      <c r="Q2972" s="277"/>
      <c r="R2972" s="277"/>
      <c r="S2972" s="291">
        <v>44518</v>
      </c>
      <c r="T2972" s="279">
        <v>2879</v>
      </c>
      <c r="U2972" s="277"/>
      <c r="V2972" s="277"/>
      <c r="W2972" s="277"/>
      <c r="X2972" s="277"/>
      <c r="Y2972" s="277"/>
      <c r="Z2972" s="277"/>
      <c r="AA2972" s="277"/>
      <c r="AB2972" s="277"/>
      <c r="AC2972" s="277"/>
      <c r="AD2972" s="277"/>
      <c r="AE2972" s="277"/>
      <c r="AF2972" s="277"/>
      <c r="AG2972" s="277"/>
      <c r="AH2972" s="277"/>
      <c r="AI2972" s="277"/>
    </row>
    <row r="2973" spans="16:35" s="185" customFormat="1">
      <c r="P2973" s="277"/>
      <c r="Q2973" s="277"/>
      <c r="R2973" s="277"/>
      <c r="S2973" s="291">
        <v>44519</v>
      </c>
      <c r="T2973" s="279">
        <v>2880</v>
      </c>
      <c r="U2973" s="277"/>
      <c r="V2973" s="277"/>
      <c r="W2973" s="277"/>
      <c r="X2973" s="277"/>
      <c r="Y2973" s="277"/>
      <c r="Z2973" s="277"/>
      <c r="AA2973" s="277"/>
      <c r="AB2973" s="277"/>
      <c r="AC2973" s="277"/>
      <c r="AD2973" s="277"/>
      <c r="AE2973" s="277"/>
      <c r="AF2973" s="277"/>
      <c r="AG2973" s="277"/>
      <c r="AH2973" s="277"/>
      <c r="AI2973" s="277"/>
    </row>
    <row r="2974" spans="16:35" s="185" customFormat="1">
      <c r="P2974" s="277"/>
      <c r="Q2974" s="277"/>
      <c r="R2974" s="277"/>
      <c r="S2974" s="291">
        <v>44520</v>
      </c>
      <c r="T2974" s="279">
        <v>2881</v>
      </c>
      <c r="U2974" s="277"/>
      <c r="V2974" s="277"/>
      <c r="W2974" s="277"/>
      <c r="X2974" s="277"/>
      <c r="Y2974" s="277"/>
      <c r="Z2974" s="277"/>
      <c r="AA2974" s="277"/>
      <c r="AB2974" s="277"/>
      <c r="AC2974" s="277"/>
      <c r="AD2974" s="277"/>
      <c r="AE2974" s="277"/>
      <c r="AF2974" s="277"/>
      <c r="AG2974" s="277"/>
      <c r="AH2974" s="277"/>
      <c r="AI2974" s="277"/>
    </row>
    <row r="2975" spans="16:35" s="185" customFormat="1">
      <c r="P2975" s="277"/>
      <c r="Q2975" s="277"/>
      <c r="R2975" s="277"/>
      <c r="S2975" s="291">
        <v>44521</v>
      </c>
      <c r="T2975" s="279">
        <v>2882</v>
      </c>
      <c r="U2975" s="277"/>
      <c r="V2975" s="277"/>
      <c r="W2975" s="277"/>
      <c r="X2975" s="277"/>
      <c r="Y2975" s="277"/>
      <c r="Z2975" s="277"/>
      <c r="AA2975" s="277"/>
      <c r="AB2975" s="277"/>
      <c r="AC2975" s="277"/>
      <c r="AD2975" s="277"/>
      <c r="AE2975" s="277"/>
      <c r="AF2975" s="277"/>
      <c r="AG2975" s="277"/>
      <c r="AH2975" s="277"/>
      <c r="AI2975" s="277"/>
    </row>
    <row r="2976" spans="16:35" s="185" customFormat="1">
      <c r="P2976" s="277"/>
      <c r="Q2976" s="277"/>
      <c r="R2976" s="277"/>
      <c r="S2976" s="291">
        <v>44522</v>
      </c>
      <c r="T2976" s="279">
        <v>2883</v>
      </c>
      <c r="U2976" s="277"/>
      <c r="V2976" s="277"/>
      <c r="W2976" s="277"/>
      <c r="X2976" s="277"/>
      <c r="Y2976" s="277"/>
      <c r="Z2976" s="277"/>
      <c r="AA2976" s="277"/>
      <c r="AB2976" s="277"/>
      <c r="AC2976" s="277"/>
      <c r="AD2976" s="277"/>
      <c r="AE2976" s="277"/>
      <c r="AF2976" s="277"/>
      <c r="AG2976" s="277"/>
      <c r="AH2976" s="277"/>
      <c r="AI2976" s="277"/>
    </row>
    <row r="2977" spans="16:35" s="185" customFormat="1">
      <c r="P2977" s="277"/>
      <c r="Q2977" s="277"/>
      <c r="R2977" s="277"/>
      <c r="S2977" s="291">
        <v>44523</v>
      </c>
      <c r="T2977" s="279">
        <v>2884</v>
      </c>
      <c r="U2977" s="277"/>
      <c r="V2977" s="277"/>
      <c r="W2977" s="277"/>
      <c r="X2977" s="277"/>
      <c r="Y2977" s="277"/>
      <c r="Z2977" s="277"/>
      <c r="AA2977" s="277"/>
      <c r="AB2977" s="277"/>
      <c r="AC2977" s="277"/>
      <c r="AD2977" s="277"/>
      <c r="AE2977" s="277"/>
      <c r="AF2977" s="277"/>
      <c r="AG2977" s="277"/>
      <c r="AH2977" s="277"/>
      <c r="AI2977" s="277"/>
    </row>
    <row r="2978" spans="16:35" s="185" customFormat="1">
      <c r="P2978" s="277"/>
      <c r="Q2978" s="277"/>
      <c r="R2978" s="277"/>
      <c r="S2978" s="291">
        <v>44524</v>
      </c>
      <c r="T2978" s="279">
        <v>2885</v>
      </c>
      <c r="U2978" s="277"/>
      <c r="V2978" s="277"/>
      <c r="W2978" s="277"/>
      <c r="X2978" s="277"/>
      <c r="Y2978" s="277"/>
      <c r="Z2978" s="277"/>
      <c r="AA2978" s="277"/>
      <c r="AB2978" s="277"/>
      <c r="AC2978" s="277"/>
      <c r="AD2978" s="277"/>
      <c r="AE2978" s="277"/>
      <c r="AF2978" s="277"/>
      <c r="AG2978" s="277"/>
      <c r="AH2978" s="277"/>
      <c r="AI2978" s="277"/>
    </row>
    <row r="2979" spans="16:35" s="185" customFormat="1">
      <c r="P2979" s="277"/>
      <c r="Q2979" s="277"/>
      <c r="R2979" s="277"/>
      <c r="S2979" s="291">
        <v>44525</v>
      </c>
      <c r="T2979" s="279">
        <v>2886</v>
      </c>
      <c r="U2979" s="277"/>
      <c r="V2979" s="277"/>
      <c r="W2979" s="277"/>
      <c r="X2979" s="277"/>
      <c r="Y2979" s="277"/>
      <c r="Z2979" s="277"/>
      <c r="AA2979" s="277"/>
      <c r="AB2979" s="277"/>
      <c r="AC2979" s="277"/>
      <c r="AD2979" s="277"/>
      <c r="AE2979" s="277"/>
      <c r="AF2979" s="277"/>
      <c r="AG2979" s="277"/>
      <c r="AH2979" s="277"/>
      <c r="AI2979" s="277"/>
    </row>
    <row r="2980" spans="16:35" s="185" customFormat="1">
      <c r="P2980" s="277"/>
      <c r="Q2980" s="277"/>
      <c r="R2980" s="277"/>
      <c r="S2980" s="291">
        <v>44526</v>
      </c>
      <c r="T2980" s="279">
        <v>2887</v>
      </c>
      <c r="U2980" s="277"/>
      <c r="V2980" s="277"/>
      <c r="W2980" s="277"/>
      <c r="X2980" s="277"/>
      <c r="Y2980" s="277"/>
      <c r="Z2980" s="277"/>
      <c r="AA2980" s="277"/>
      <c r="AB2980" s="277"/>
      <c r="AC2980" s="277"/>
      <c r="AD2980" s="277"/>
      <c r="AE2980" s="277"/>
      <c r="AF2980" s="277"/>
      <c r="AG2980" s="277"/>
      <c r="AH2980" s="277"/>
      <c r="AI2980" s="277"/>
    </row>
    <row r="2981" spans="16:35" s="185" customFormat="1">
      <c r="P2981" s="277"/>
      <c r="Q2981" s="277"/>
      <c r="R2981" s="277"/>
      <c r="S2981" s="291">
        <v>44527</v>
      </c>
      <c r="T2981" s="279">
        <v>2888</v>
      </c>
      <c r="U2981" s="277"/>
      <c r="V2981" s="277"/>
      <c r="W2981" s="277"/>
      <c r="X2981" s="277"/>
      <c r="Y2981" s="277"/>
      <c r="Z2981" s="277"/>
      <c r="AA2981" s="277"/>
      <c r="AB2981" s="277"/>
      <c r="AC2981" s="277"/>
      <c r="AD2981" s="277"/>
      <c r="AE2981" s="277"/>
      <c r="AF2981" s="277"/>
      <c r="AG2981" s="277"/>
      <c r="AH2981" s="277"/>
      <c r="AI2981" s="277"/>
    </row>
    <row r="2982" spans="16:35" s="185" customFormat="1">
      <c r="P2982" s="277"/>
      <c r="Q2982" s="277"/>
      <c r="R2982" s="277"/>
      <c r="S2982" s="291">
        <v>44528</v>
      </c>
      <c r="T2982" s="279">
        <v>2889</v>
      </c>
      <c r="U2982" s="277"/>
      <c r="V2982" s="277"/>
      <c r="W2982" s="277"/>
      <c r="X2982" s="277"/>
      <c r="Y2982" s="277"/>
      <c r="Z2982" s="277"/>
      <c r="AA2982" s="277"/>
      <c r="AB2982" s="277"/>
      <c r="AC2982" s="277"/>
      <c r="AD2982" s="277"/>
      <c r="AE2982" s="277"/>
      <c r="AF2982" s="277"/>
      <c r="AG2982" s="277"/>
      <c r="AH2982" s="277"/>
      <c r="AI2982" s="277"/>
    </row>
    <row r="2983" spans="16:35" s="185" customFormat="1">
      <c r="P2983" s="277"/>
      <c r="Q2983" s="277"/>
      <c r="R2983" s="277"/>
      <c r="S2983" s="291">
        <v>44529</v>
      </c>
      <c r="T2983" s="279">
        <v>2890</v>
      </c>
      <c r="U2983" s="277"/>
      <c r="V2983" s="277"/>
      <c r="W2983" s="277"/>
      <c r="X2983" s="277"/>
      <c r="Y2983" s="277"/>
      <c r="Z2983" s="277"/>
      <c r="AA2983" s="277"/>
      <c r="AB2983" s="277"/>
      <c r="AC2983" s="277"/>
      <c r="AD2983" s="277"/>
      <c r="AE2983" s="277"/>
      <c r="AF2983" s="277"/>
      <c r="AG2983" s="277"/>
      <c r="AH2983" s="277"/>
      <c r="AI2983" s="277"/>
    </row>
    <row r="2984" spans="16:35" s="185" customFormat="1">
      <c r="P2984" s="277"/>
      <c r="Q2984" s="277"/>
      <c r="R2984" s="277"/>
      <c r="S2984" s="291">
        <v>44530</v>
      </c>
      <c r="T2984" s="279">
        <v>2891</v>
      </c>
      <c r="U2984" s="277"/>
      <c r="V2984" s="277"/>
      <c r="W2984" s="277"/>
      <c r="X2984" s="277"/>
      <c r="Y2984" s="277"/>
      <c r="Z2984" s="277"/>
      <c r="AA2984" s="277"/>
      <c r="AB2984" s="277"/>
      <c r="AC2984" s="277"/>
      <c r="AD2984" s="277"/>
      <c r="AE2984" s="277"/>
      <c r="AF2984" s="277"/>
      <c r="AG2984" s="277"/>
      <c r="AH2984" s="277"/>
      <c r="AI2984" s="277"/>
    </row>
    <row r="2985" spans="16:35" s="185" customFormat="1">
      <c r="P2985" s="277"/>
      <c r="Q2985" s="277"/>
      <c r="R2985" s="277"/>
      <c r="S2985" s="291">
        <v>44531</v>
      </c>
      <c r="T2985" s="279">
        <v>2892</v>
      </c>
      <c r="U2985" s="277"/>
      <c r="V2985" s="277"/>
      <c r="W2985" s="277"/>
      <c r="X2985" s="277"/>
      <c r="Y2985" s="277"/>
      <c r="Z2985" s="277"/>
      <c r="AA2985" s="277"/>
      <c r="AB2985" s="277"/>
      <c r="AC2985" s="277"/>
      <c r="AD2985" s="277"/>
      <c r="AE2985" s="277"/>
      <c r="AF2985" s="277"/>
      <c r="AG2985" s="277"/>
      <c r="AH2985" s="277"/>
      <c r="AI2985" s="277"/>
    </row>
    <row r="2986" spans="16:35" s="185" customFormat="1">
      <c r="P2986" s="277"/>
      <c r="Q2986" s="277"/>
      <c r="R2986" s="277"/>
      <c r="S2986" s="291">
        <v>44532</v>
      </c>
      <c r="T2986" s="279">
        <v>2893</v>
      </c>
      <c r="U2986" s="277"/>
      <c r="V2986" s="277"/>
      <c r="W2986" s="277"/>
      <c r="X2986" s="277"/>
      <c r="Y2986" s="277"/>
      <c r="Z2986" s="277"/>
      <c r="AA2986" s="277"/>
      <c r="AB2986" s="277"/>
      <c r="AC2986" s="277"/>
      <c r="AD2986" s="277"/>
      <c r="AE2986" s="277"/>
      <c r="AF2986" s="277"/>
      <c r="AG2986" s="277"/>
      <c r="AH2986" s="277"/>
      <c r="AI2986" s="277"/>
    </row>
    <row r="2987" spans="16:35" s="185" customFormat="1">
      <c r="P2987" s="277"/>
      <c r="Q2987" s="277"/>
      <c r="R2987" s="277"/>
      <c r="S2987" s="291">
        <v>44533</v>
      </c>
      <c r="T2987" s="279">
        <v>2894</v>
      </c>
      <c r="U2987" s="277"/>
      <c r="V2987" s="277"/>
      <c r="W2987" s="277"/>
      <c r="X2987" s="277"/>
      <c r="Y2987" s="277"/>
      <c r="Z2987" s="277"/>
      <c r="AA2987" s="277"/>
      <c r="AB2987" s="277"/>
      <c r="AC2987" s="277"/>
      <c r="AD2987" s="277"/>
      <c r="AE2987" s="277"/>
      <c r="AF2987" s="277"/>
      <c r="AG2987" s="277"/>
      <c r="AH2987" s="277"/>
      <c r="AI2987" s="277"/>
    </row>
    <row r="2988" spans="16:35" s="185" customFormat="1">
      <c r="P2988" s="277"/>
      <c r="Q2988" s="277"/>
      <c r="R2988" s="277"/>
      <c r="S2988" s="291">
        <v>44534</v>
      </c>
      <c r="T2988" s="279">
        <v>2895</v>
      </c>
      <c r="U2988" s="277"/>
      <c r="V2988" s="277"/>
      <c r="W2988" s="277"/>
      <c r="X2988" s="277"/>
      <c r="Y2988" s="277"/>
      <c r="Z2988" s="277"/>
      <c r="AA2988" s="277"/>
      <c r="AB2988" s="277"/>
      <c r="AC2988" s="277"/>
      <c r="AD2988" s="277"/>
      <c r="AE2988" s="277"/>
      <c r="AF2988" s="277"/>
      <c r="AG2988" s="277"/>
      <c r="AH2988" s="277"/>
      <c r="AI2988" s="277"/>
    </row>
    <row r="2989" spans="16:35" s="185" customFormat="1">
      <c r="P2989" s="277"/>
      <c r="Q2989" s="277"/>
      <c r="R2989" s="277"/>
      <c r="S2989" s="291">
        <v>44535</v>
      </c>
      <c r="T2989" s="279">
        <v>2896</v>
      </c>
      <c r="U2989" s="277"/>
      <c r="V2989" s="277"/>
      <c r="W2989" s="277"/>
      <c r="X2989" s="277"/>
      <c r="Y2989" s="277"/>
      <c r="Z2989" s="277"/>
      <c r="AA2989" s="277"/>
      <c r="AB2989" s="277"/>
      <c r="AC2989" s="277"/>
      <c r="AD2989" s="277"/>
      <c r="AE2989" s="277"/>
      <c r="AF2989" s="277"/>
      <c r="AG2989" s="277"/>
      <c r="AH2989" s="277"/>
      <c r="AI2989" s="277"/>
    </row>
    <row r="2990" spans="16:35" s="185" customFormat="1">
      <c r="P2990" s="277"/>
      <c r="Q2990" s="277"/>
      <c r="R2990" s="277"/>
      <c r="S2990" s="291">
        <v>44536</v>
      </c>
      <c r="T2990" s="279">
        <v>2897</v>
      </c>
      <c r="U2990" s="277"/>
      <c r="V2990" s="277"/>
      <c r="W2990" s="277"/>
      <c r="X2990" s="277"/>
      <c r="Y2990" s="277"/>
      <c r="Z2990" s="277"/>
      <c r="AA2990" s="277"/>
      <c r="AB2990" s="277"/>
      <c r="AC2990" s="277"/>
      <c r="AD2990" s="277"/>
      <c r="AE2990" s="277"/>
      <c r="AF2990" s="277"/>
      <c r="AG2990" s="277"/>
      <c r="AH2990" s="277"/>
      <c r="AI2990" s="277"/>
    </row>
    <row r="2991" spans="16:35" s="185" customFormat="1">
      <c r="P2991" s="277"/>
      <c r="Q2991" s="277"/>
      <c r="R2991" s="277"/>
      <c r="S2991" s="291">
        <v>44537</v>
      </c>
      <c r="T2991" s="279">
        <v>2898</v>
      </c>
      <c r="U2991" s="277"/>
      <c r="V2991" s="277"/>
      <c r="W2991" s="277"/>
      <c r="X2991" s="277"/>
      <c r="Y2991" s="277"/>
      <c r="Z2991" s="277"/>
      <c r="AA2991" s="277"/>
      <c r="AB2991" s="277"/>
      <c r="AC2991" s="277"/>
      <c r="AD2991" s="277"/>
      <c r="AE2991" s="277"/>
      <c r="AF2991" s="277"/>
      <c r="AG2991" s="277"/>
      <c r="AH2991" s="277"/>
      <c r="AI2991" s="277"/>
    </row>
    <row r="2992" spans="16:35" s="185" customFormat="1">
      <c r="P2992" s="277"/>
      <c r="Q2992" s="277"/>
      <c r="R2992" s="277"/>
      <c r="S2992" s="291">
        <v>44538</v>
      </c>
      <c r="T2992" s="279">
        <v>2899</v>
      </c>
      <c r="U2992" s="277"/>
      <c r="V2992" s="277"/>
      <c r="W2992" s="277"/>
      <c r="X2992" s="277"/>
      <c r="Y2992" s="277"/>
      <c r="Z2992" s="277"/>
      <c r="AA2992" s="277"/>
      <c r="AB2992" s="277"/>
      <c r="AC2992" s="277"/>
      <c r="AD2992" s="277"/>
      <c r="AE2992" s="277"/>
      <c r="AF2992" s="277"/>
      <c r="AG2992" s="277"/>
      <c r="AH2992" s="277"/>
      <c r="AI2992" s="277"/>
    </row>
    <row r="2993" spans="16:35" s="185" customFormat="1">
      <c r="P2993" s="277"/>
      <c r="Q2993" s="277"/>
      <c r="R2993" s="277"/>
      <c r="S2993" s="291">
        <v>44539</v>
      </c>
      <c r="T2993" s="279">
        <v>2900</v>
      </c>
      <c r="U2993" s="277"/>
      <c r="V2993" s="277"/>
      <c r="W2993" s="277"/>
      <c r="X2993" s="277"/>
      <c r="Y2993" s="277"/>
      <c r="Z2993" s="277"/>
      <c r="AA2993" s="277"/>
      <c r="AB2993" s="277"/>
      <c r="AC2993" s="277"/>
      <c r="AD2993" s="277"/>
      <c r="AE2993" s="277"/>
      <c r="AF2993" s="277"/>
      <c r="AG2993" s="277"/>
      <c r="AH2993" s="277"/>
      <c r="AI2993" s="277"/>
    </row>
    <row r="2994" spans="16:35" s="185" customFormat="1">
      <c r="P2994" s="277"/>
      <c r="Q2994" s="277"/>
      <c r="R2994" s="277"/>
      <c r="S2994" s="291">
        <v>44540</v>
      </c>
      <c r="T2994" s="279">
        <v>2901</v>
      </c>
      <c r="U2994" s="277"/>
      <c r="V2994" s="277"/>
      <c r="W2994" s="277"/>
      <c r="X2994" s="277"/>
      <c r="Y2994" s="277"/>
      <c r="Z2994" s="277"/>
      <c r="AA2994" s="277"/>
      <c r="AB2994" s="277"/>
      <c r="AC2994" s="277"/>
      <c r="AD2994" s="277"/>
      <c r="AE2994" s="277"/>
      <c r="AF2994" s="277"/>
      <c r="AG2994" s="277"/>
      <c r="AH2994" s="277"/>
      <c r="AI2994" s="277"/>
    </row>
    <row r="2995" spans="16:35" s="185" customFormat="1">
      <c r="P2995" s="277"/>
      <c r="Q2995" s="277"/>
      <c r="R2995" s="277"/>
      <c r="S2995" s="291">
        <v>44541</v>
      </c>
      <c r="T2995" s="279">
        <v>2902</v>
      </c>
      <c r="U2995" s="277"/>
      <c r="V2995" s="277"/>
      <c r="W2995" s="277"/>
      <c r="X2995" s="277"/>
      <c r="Y2995" s="277"/>
      <c r="Z2995" s="277"/>
      <c r="AA2995" s="277"/>
      <c r="AB2995" s="277"/>
      <c r="AC2995" s="277"/>
      <c r="AD2995" s="277"/>
      <c r="AE2995" s="277"/>
      <c r="AF2995" s="277"/>
      <c r="AG2995" s="277"/>
      <c r="AH2995" s="277"/>
      <c r="AI2995" s="277"/>
    </row>
    <row r="2996" spans="16:35" s="185" customFormat="1">
      <c r="P2996" s="277"/>
      <c r="Q2996" s="277"/>
      <c r="R2996" s="277"/>
      <c r="S2996" s="291">
        <v>44542</v>
      </c>
      <c r="T2996" s="279">
        <v>2903</v>
      </c>
      <c r="U2996" s="277"/>
      <c r="V2996" s="277"/>
      <c r="W2996" s="277"/>
      <c r="X2996" s="277"/>
      <c r="Y2996" s="277"/>
      <c r="Z2996" s="277"/>
      <c r="AA2996" s="277"/>
      <c r="AB2996" s="277"/>
      <c r="AC2996" s="277"/>
      <c r="AD2996" s="277"/>
      <c r="AE2996" s="277"/>
      <c r="AF2996" s="277"/>
      <c r="AG2996" s="277"/>
      <c r="AH2996" s="277"/>
      <c r="AI2996" s="277"/>
    </row>
    <row r="2997" spans="16:35" s="185" customFormat="1">
      <c r="P2997" s="277"/>
      <c r="Q2997" s="277"/>
      <c r="R2997" s="277"/>
      <c r="S2997" s="291">
        <v>44543</v>
      </c>
      <c r="T2997" s="279">
        <v>2904</v>
      </c>
      <c r="U2997" s="277"/>
      <c r="V2997" s="277"/>
      <c r="W2997" s="277"/>
      <c r="X2997" s="277"/>
      <c r="Y2997" s="277"/>
      <c r="Z2997" s="277"/>
      <c r="AA2997" s="277"/>
      <c r="AB2997" s="277"/>
      <c r="AC2997" s="277"/>
      <c r="AD2997" s="277"/>
      <c r="AE2997" s="277"/>
      <c r="AF2997" s="277"/>
      <c r="AG2997" s="277"/>
      <c r="AH2997" s="277"/>
      <c r="AI2997" s="277"/>
    </row>
    <row r="2998" spans="16:35" s="185" customFormat="1">
      <c r="P2998" s="277"/>
      <c r="Q2998" s="277"/>
      <c r="R2998" s="277"/>
      <c r="S2998" s="291">
        <v>44544</v>
      </c>
      <c r="T2998" s="279">
        <v>2905</v>
      </c>
      <c r="U2998" s="277"/>
      <c r="V2998" s="277"/>
      <c r="W2998" s="277"/>
      <c r="X2998" s="277"/>
      <c r="Y2998" s="277"/>
      <c r="Z2998" s="277"/>
      <c r="AA2998" s="277"/>
      <c r="AB2998" s="277"/>
      <c r="AC2998" s="277"/>
      <c r="AD2998" s="277"/>
      <c r="AE2998" s="277"/>
      <c r="AF2998" s="277"/>
      <c r="AG2998" s="277"/>
      <c r="AH2998" s="277"/>
      <c r="AI2998" s="277"/>
    </row>
    <row r="2999" spans="16:35" s="185" customFormat="1">
      <c r="P2999" s="277"/>
      <c r="Q2999" s="277"/>
      <c r="R2999" s="277"/>
      <c r="S2999" s="291">
        <v>44545</v>
      </c>
      <c r="T2999" s="279">
        <v>2906</v>
      </c>
      <c r="U2999" s="277"/>
      <c r="V2999" s="277"/>
      <c r="W2999" s="277"/>
      <c r="X2999" s="277"/>
      <c r="Y2999" s="277"/>
      <c r="Z2999" s="277"/>
      <c r="AA2999" s="277"/>
      <c r="AB2999" s="277"/>
      <c r="AC2999" s="277"/>
      <c r="AD2999" s="277"/>
      <c r="AE2999" s="277"/>
      <c r="AF2999" s="277"/>
      <c r="AG2999" s="277"/>
      <c r="AH2999" s="277"/>
      <c r="AI2999" s="277"/>
    </row>
    <row r="3000" spans="16:35" s="185" customFormat="1">
      <c r="P3000" s="277"/>
      <c r="Q3000" s="277"/>
      <c r="R3000" s="277"/>
      <c r="S3000" s="291">
        <v>44546</v>
      </c>
      <c r="T3000" s="279">
        <v>2907</v>
      </c>
      <c r="U3000" s="277"/>
      <c r="V3000" s="277"/>
      <c r="W3000" s="277"/>
      <c r="X3000" s="277"/>
      <c r="Y3000" s="277"/>
      <c r="Z3000" s="277"/>
      <c r="AA3000" s="277"/>
      <c r="AB3000" s="277"/>
      <c r="AC3000" s="277"/>
      <c r="AD3000" s="277"/>
      <c r="AE3000" s="277"/>
      <c r="AF3000" s="277"/>
      <c r="AG3000" s="277"/>
      <c r="AH3000" s="277"/>
      <c r="AI3000" s="277"/>
    </row>
    <row r="3001" spans="16:35" s="185" customFormat="1">
      <c r="P3001" s="277"/>
      <c r="Q3001" s="277"/>
      <c r="R3001" s="277"/>
      <c r="S3001" s="291">
        <v>44547</v>
      </c>
      <c r="T3001" s="279">
        <v>2908</v>
      </c>
      <c r="U3001" s="277"/>
      <c r="V3001" s="277"/>
      <c r="W3001" s="277"/>
      <c r="X3001" s="277"/>
      <c r="Y3001" s="277"/>
      <c r="Z3001" s="277"/>
      <c r="AA3001" s="277"/>
      <c r="AB3001" s="277"/>
      <c r="AC3001" s="277"/>
      <c r="AD3001" s="277"/>
      <c r="AE3001" s="277"/>
      <c r="AF3001" s="277"/>
      <c r="AG3001" s="277"/>
      <c r="AH3001" s="277"/>
      <c r="AI3001" s="277"/>
    </row>
    <row r="3002" spans="16:35" s="185" customFormat="1">
      <c r="P3002" s="277"/>
      <c r="Q3002" s="277"/>
      <c r="R3002" s="277"/>
      <c r="S3002" s="291">
        <v>44548</v>
      </c>
      <c r="T3002" s="279">
        <v>2909</v>
      </c>
      <c r="U3002" s="277"/>
      <c r="V3002" s="277"/>
      <c r="W3002" s="277"/>
      <c r="X3002" s="277"/>
      <c r="Y3002" s="277"/>
      <c r="Z3002" s="277"/>
      <c r="AA3002" s="277"/>
      <c r="AB3002" s="277"/>
      <c r="AC3002" s="277"/>
      <c r="AD3002" s="277"/>
      <c r="AE3002" s="277"/>
      <c r="AF3002" s="277"/>
      <c r="AG3002" s="277"/>
      <c r="AH3002" s="277"/>
      <c r="AI3002" s="277"/>
    </row>
    <row r="3003" spans="16:35" s="185" customFormat="1">
      <c r="P3003" s="277"/>
      <c r="Q3003" s="277"/>
      <c r="R3003" s="277"/>
      <c r="S3003" s="291">
        <v>44549</v>
      </c>
      <c r="T3003" s="279">
        <v>2910</v>
      </c>
      <c r="U3003" s="277"/>
      <c r="V3003" s="277"/>
      <c r="W3003" s="277"/>
      <c r="X3003" s="277"/>
      <c r="Y3003" s="277"/>
      <c r="Z3003" s="277"/>
      <c r="AA3003" s="277"/>
      <c r="AB3003" s="277"/>
      <c r="AC3003" s="277"/>
      <c r="AD3003" s="277"/>
      <c r="AE3003" s="277"/>
      <c r="AF3003" s="277"/>
      <c r="AG3003" s="277"/>
      <c r="AH3003" s="277"/>
      <c r="AI3003" s="277"/>
    </row>
    <row r="3004" spans="16:35" s="185" customFormat="1">
      <c r="P3004" s="277"/>
      <c r="Q3004" s="277"/>
      <c r="R3004" s="277"/>
      <c r="S3004" s="291">
        <v>44550</v>
      </c>
      <c r="T3004" s="279">
        <v>2911</v>
      </c>
      <c r="U3004" s="277"/>
      <c r="V3004" s="277"/>
      <c r="W3004" s="277"/>
      <c r="X3004" s="277"/>
      <c r="Y3004" s="277"/>
      <c r="Z3004" s="277"/>
      <c r="AA3004" s="277"/>
      <c r="AB3004" s="277"/>
      <c r="AC3004" s="277"/>
      <c r="AD3004" s="277"/>
      <c r="AE3004" s="277"/>
      <c r="AF3004" s="277"/>
      <c r="AG3004" s="277"/>
      <c r="AH3004" s="277"/>
      <c r="AI3004" s="277"/>
    </row>
    <row r="3005" spans="16:35" s="185" customFormat="1">
      <c r="P3005" s="277"/>
      <c r="Q3005" s="277"/>
      <c r="R3005" s="277"/>
      <c r="S3005" s="291">
        <v>44551</v>
      </c>
      <c r="T3005" s="279">
        <v>2912</v>
      </c>
      <c r="U3005" s="277"/>
      <c r="V3005" s="277"/>
      <c r="W3005" s="277"/>
      <c r="X3005" s="277"/>
      <c r="Y3005" s="277"/>
      <c r="Z3005" s="277"/>
      <c r="AA3005" s="277"/>
      <c r="AB3005" s="277"/>
      <c r="AC3005" s="277"/>
      <c r="AD3005" s="277"/>
      <c r="AE3005" s="277"/>
      <c r="AF3005" s="277"/>
      <c r="AG3005" s="277"/>
      <c r="AH3005" s="277"/>
      <c r="AI3005" s="277"/>
    </row>
    <row r="3006" spans="16:35" s="185" customFormat="1">
      <c r="P3006" s="277"/>
      <c r="Q3006" s="277"/>
      <c r="R3006" s="277"/>
      <c r="S3006" s="291">
        <v>44552</v>
      </c>
      <c r="T3006" s="279">
        <v>2913</v>
      </c>
      <c r="U3006" s="277"/>
      <c r="V3006" s="277"/>
      <c r="W3006" s="277"/>
      <c r="X3006" s="277"/>
      <c r="Y3006" s="277"/>
      <c r="Z3006" s="277"/>
      <c r="AA3006" s="277"/>
      <c r="AB3006" s="277"/>
      <c r="AC3006" s="277"/>
      <c r="AD3006" s="277"/>
      <c r="AE3006" s="277"/>
      <c r="AF3006" s="277"/>
      <c r="AG3006" s="277"/>
      <c r="AH3006" s="277"/>
      <c r="AI3006" s="277"/>
    </row>
    <row r="3007" spans="16:35" s="185" customFormat="1">
      <c r="P3007" s="277"/>
      <c r="Q3007" s="277"/>
      <c r="R3007" s="277"/>
      <c r="S3007" s="291">
        <v>44553</v>
      </c>
      <c r="T3007" s="279">
        <v>2914</v>
      </c>
      <c r="U3007" s="277"/>
      <c r="V3007" s="277"/>
      <c r="W3007" s="277"/>
      <c r="X3007" s="277"/>
      <c r="Y3007" s="277"/>
      <c r="Z3007" s="277"/>
      <c r="AA3007" s="277"/>
      <c r="AB3007" s="277"/>
      <c r="AC3007" s="277"/>
      <c r="AD3007" s="277"/>
      <c r="AE3007" s="277"/>
      <c r="AF3007" s="277"/>
      <c r="AG3007" s="277"/>
      <c r="AH3007" s="277"/>
      <c r="AI3007" s="277"/>
    </row>
    <row r="3008" spans="16:35" s="185" customFormat="1">
      <c r="P3008" s="277"/>
      <c r="Q3008" s="277"/>
      <c r="R3008" s="277"/>
      <c r="S3008" s="291">
        <v>44554</v>
      </c>
      <c r="T3008" s="279">
        <v>2915</v>
      </c>
      <c r="U3008" s="277"/>
      <c r="V3008" s="277"/>
      <c r="W3008" s="277"/>
      <c r="X3008" s="277"/>
      <c r="Y3008" s="277"/>
      <c r="Z3008" s="277"/>
      <c r="AA3008" s="277"/>
      <c r="AB3008" s="277"/>
      <c r="AC3008" s="277"/>
      <c r="AD3008" s="277"/>
      <c r="AE3008" s="277"/>
      <c r="AF3008" s="277"/>
      <c r="AG3008" s="277"/>
      <c r="AH3008" s="277"/>
      <c r="AI3008" s="277"/>
    </row>
    <row r="3009" spans="16:35" s="185" customFormat="1">
      <c r="P3009" s="277"/>
      <c r="Q3009" s="277"/>
      <c r="R3009" s="277"/>
      <c r="S3009" s="291">
        <v>44555</v>
      </c>
      <c r="T3009" s="279">
        <v>2916</v>
      </c>
      <c r="U3009" s="277"/>
      <c r="V3009" s="277"/>
      <c r="W3009" s="277"/>
      <c r="X3009" s="277"/>
      <c r="Y3009" s="277"/>
      <c r="Z3009" s="277"/>
      <c r="AA3009" s="277"/>
      <c r="AB3009" s="277"/>
      <c r="AC3009" s="277"/>
      <c r="AD3009" s="277"/>
      <c r="AE3009" s="277"/>
      <c r="AF3009" s="277"/>
      <c r="AG3009" s="277"/>
      <c r="AH3009" s="277"/>
      <c r="AI3009" s="277"/>
    </row>
    <row r="3010" spans="16:35" s="185" customFormat="1">
      <c r="P3010" s="277"/>
      <c r="Q3010" s="277"/>
      <c r="R3010" s="277"/>
      <c r="S3010" s="291">
        <v>44556</v>
      </c>
      <c r="T3010" s="279">
        <v>2917</v>
      </c>
      <c r="U3010" s="277"/>
      <c r="V3010" s="277"/>
      <c r="W3010" s="277"/>
      <c r="X3010" s="277"/>
      <c r="Y3010" s="277"/>
      <c r="Z3010" s="277"/>
      <c r="AA3010" s="277"/>
      <c r="AB3010" s="277"/>
      <c r="AC3010" s="277"/>
      <c r="AD3010" s="277"/>
      <c r="AE3010" s="277"/>
      <c r="AF3010" s="277"/>
      <c r="AG3010" s="277"/>
      <c r="AH3010" s="277"/>
      <c r="AI3010" s="277"/>
    </row>
    <row r="3011" spans="16:35" s="185" customFormat="1">
      <c r="P3011" s="277"/>
      <c r="Q3011" s="277"/>
      <c r="R3011" s="277"/>
      <c r="S3011" s="291">
        <v>44557</v>
      </c>
      <c r="T3011" s="279">
        <v>2918</v>
      </c>
      <c r="U3011" s="277"/>
      <c r="V3011" s="277"/>
      <c r="W3011" s="277"/>
      <c r="X3011" s="277"/>
      <c r="Y3011" s="277"/>
      <c r="Z3011" s="277"/>
      <c r="AA3011" s="277"/>
      <c r="AB3011" s="277"/>
      <c r="AC3011" s="277"/>
      <c r="AD3011" s="277"/>
      <c r="AE3011" s="277"/>
      <c r="AF3011" s="277"/>
      <c r="AG3011" s="277"/>
      <c r="AH3011" s="277"/>
      <c r="AI3011" s="277"/>
    </row>
    <row r="3012" spans="16:35" s="185" customFormat="1">
      <c r="P3012" s="277"/>
      <c r="Q3012" s="277"/>
      <c r="R3012" s="277"/>
      <c r="S3012" s="291">
        <v>44558</v>
      </c>
      <c r="T3012" s="279">
        <v>2919</v>
      </c>
      <c r="U3012" s="277"/>
      <c r="V3012" s="277"/>
      <c r="W3012" s="277"/>
      <c r="X3012" s="277"/>
      <c r="Y3012" s="277"/>
      <c r="Z3012" s="277"/>
      <c r="AA3012" s="277"/>
      <c r="AB3012" s="277"/>
      <c r="AC3012" s="277"/>
      <c r="AD3012" s="277"/>
      <c r="AE3012" s="277"/>
      <c r="AF3012" s="277"/>
      <c r="AG3012" s="277"/>
      <c r="AH3012" s="277"/>
      <c r="AI3012" s="277"/>
    </row>
    <row r="3013" spans="16:35" s="185" customFormat="1">
      <c r="P3013" s="277"/>
      <c r="Q3013" s="277"/>
      <c r="R3013" s="277"/>
      <c r="S3013" s="291">
        <v>44559</v>
      </c>
      <c r="T3013" s="279">
        <v>2920</v>
      </c>
      <c r="U3013" s="277"/>
      <c r="V3013" s="277"/>
      <c r="W3013" s="277"/>
      <c r="X3013" s="277"/>
      <c r="Y3013" s="277"/>
      <c r="Z3013" s="277"/>
      <c r="AA3013" s="277"/>
      <c r="AB3013" s="277"/>
      <c r="AC3013" s="277"/>
      <c r="AD3013" s="277"/>
      <c r="AE3013" s="277"/>
      <c r="AF3013" s="277"/>
      <c r="AG3013" s="277"/>
      <c r="AH3013" s="277"/>
      <c r="AI3013" s="277"/>
    </row>
    <row r="3014" spans="16:35" s="185" customFormat="1">
      <c r="P3014" s="277"/>
      <c r="Q3014" s="277"/>
      <c r="R3014" s="277"/>
      <c r="S3014" s="291">
        <v>44560</v>
      </c>
      <c r="T3014" s="279">
        <v>2921</v>
      </c>
      <c r="U3014" s="277"/>
      <c r="V3014" s="277"/>
      <c r="W3014" s="277"/>
      <c r="X3014" s="277"/>
      <c r="Y3014" s="277"/>
      <c r="Z3014" s="277"/>
      <c r="AA3014" s="277"/>
      <c r="AB3014" s="277"/>
      <c r="AC3014" s="277"/>
      <c r="AD3014" s="277"/>
      <c r="AE3014" s="277"/>
      <c r="AF3014" s="277"/>
      <c r="AG3014" s="277"/>
      <c r="AH3014" s="277"/>
      <c r="AI3014" s="277"/>
    </row>
    <row r="3015" spans="16:35" s="185" customFormat="1">
      <c r="P3015" s="277"/>
      <c r="Q3015" s="277"/>
      <c r="R3015" s="277"/>
      <c r="S3015" s="291">
        <v>44561</v>
      </c>
      <c r="T3015" s="279">
        <v>2922</v>
      </c>
      <c r="U3015" s="277"/>
      <c r="V3015" s="277"/>
      <c r="W3015" s="277"/>
      <c r="X3015" s="277"/>
      <c r="Y3015" s="277"/>
      <c r="Z3015" s="277"/>
      <c r="AA3015" s="277"/>
      <c r="AB3015" s="277"/>
      <c r="AC3015" s="277"/>
      <c r="AD3015" s="277"/>
      <c r="AE3015" s="277"/>
      <c r="AF3015" s="277"/>
      <c r="AG3015" s="277"/>
      <c r="AH3015" s="277"/>
      <c r="AI3015" s="277"/>
    </row>
    <row r="3016" spans="16:35" s="185" customFormat="1">
      <c r="P3016" s="277"/>
      <c r="Q3016" s="277"/>
      <c r="R3016" s="277"/>
      <c r="S3016" s="291">
        <v>44562</v>
      </c>
      <c r="T3016" s="279">
        <v>2923</v>
      </c>
      <c r="U3016" s="277"/>
      <c r="V3016" s="277"/>
      <c r="W3016" s="277"/>
      <c r="X3016" s="277"/>
      <c r="Y3016" s="277"/>
      <c r="Z3016" s="277"/>
      <c r="AA3016" s="277"/>
      <c r="AB3016" s="277"/>
      <c r="AC3016" s="277"/>
      <c r="AD3016" s="277"/>
      <c r="AE3016" s="277"/>
      <c r="AF3016" s="277"/>
      <c r="AG3016" s="277"/>
      <c r="AH3016" s="277"/>
      <c r="AI3016" s="277"/>
    </row>
    <row r="3017" spans="16:35" s="185" customFormat="1">
      <c r="P3017" s="277"/>
      <c r="Q3017" s="277"/>
      <c r="R3017" s="277"/>
      <c r="S3017" s="291">
        <v>44563</v>
      </c>
      <c r="T3017" s="279">
        <v>2924</v>
      </c>
      <c r="U3017" s="277"/>
      <c r="V3017" s="277"/>
      <c r="W3017" s="277"/>
      <c r="X3017" s="277"/>
      <c r="Y3017" s="277"/>
      <c r="Z3017" s="277"/>
      <c r="AA3017" s="277"/>
      <c r="AB3017" s="277"/>
      <c r="AC3017" s="277"/>
      <c r="AD3017" s="277"/>
      <c r="AE3017" s="277"/>
      <c r="AF3017" s="277"/>
      <c r="AG3017" s="277"/>
      <c r="AH3017" s="277"/>
      <c r="AI3017" s="277"/>
    </row>
    <row r="3018" spans="16:35" s="185" customFormat="1">
      <c r="P3018" s="277"/>
      <c r="Q3018" s="277"/>
      <c r="R3018" s="277"/>
      <c r="S3018" s="291">
        <v>44564</v>
      </c>
      <c r="T3018" s="279">
        <v>2925</v>
      </c>
      <c r="U3018" s="277"/>
      <c r="V3018" s="277"/>
      <c r="W3018" s="277"/>
      <c r="X3018" s="277"/>
      <c r="Y3018" s="277"/>
      <c r="Z3018" s="277"/>
      <c r="AA3018" s="277"/>
      <c r="AB3018" s="277"/>
      <c r="AC3018" s="277"/>
      <c r="AD3018" s="277"/>
      <c r="AE3018" s="277"/>
      <c r="AF3018" s="277"/>
      <c r="AG3018" s="277"/>
      <c r="AH3018" s="277"/>
      <c r="AI3018" s="277"/>
    </row>
    <row r="3019" spans="16:35" s="185" customFormat="1">
      <c r="P3019" s="277"/>
      <c r="Q3019" s="277"/>
      <c r="R3019" s="277"/>
      <c r="S3019" s="291">
        <v>44565</v>
      </c>
      <c r="T3019" s="279">
        <v>2926</v>
      </c>
      <c r="U3019" s="277"/>
      <c r="V3019" s="277"/>
      <c r="W3019" s="277"/>
      <c r="X3019" s="277"/>
      <c r="Y3019" s="277"/>
      <c r="Z3019" s="277"/>
      <c r="AA3019" s="277"/>
      <c r="AB3019" s="277"/>
      <c r="AC3019" s="277"/>
      <c r="AD3019" s="277"/>
      <c r="AE3019" s="277"/>
      <c r="AF3019" s="277"/>
      <c r="AG3019" s="277"/>
      <c r="AH3019" s="277"/>
      <c r="AI3019" s="277"/>
    </row>
    <row r="3020" spans="16:35" s="185" customFormat="1">
      <c r="P3020" s="277"/>
      <c r="Q3020" s="277"/>
      <c r="R3020" s="277"/>
      <c r="S3020" s="291">
        <v>44566</v>
      </c>
      <c r="T3020" s="279">
        <v>2927</v>
      </c>
      <c r="U3020" s="277"/>
      <c r="V3020" s="277"/>
      <c r="W3020" s="277"/>
      <c r="X3020" s="277"/>
      <c r="Y3020" s="277"/>
      <c r="Z3020" s="277"/>
      <c r="AA3020" s="277"/>
      <c r="AB3020" s="277"/>
      <c r="AC3020" s="277"/>
      <c r="AD3020" s="277"/>
      <c r="AE3020" s="277"/>
      <c r="AF3020" s="277"/>
      <c r="AG3020" s="277"/>
      <c r="AH3020" s="277"/>
      <c r="AI3020" s="277"/>
    </row>
    <row r="3021" spans="16:35" s="185" customFormat="1">
      <c r="P3021" s="277"/>
      <c r="Q3021" s="277"/>
      <c r="R3021" s="277"/>
      <c r="S3021" s="291">
        <v>44567</v>
      </c>
      <c r="T3021" s="279">
        <v>2928</v>
      </c>
      <c r="U3021" s="277"/>
      <c r="V3021" s="277"/>
      <c r="W3021" s="277"/>
      <c r="X3021" s="277"/>
      <c r="Y3021" s="277"/>
      <c r="Z3021" s="277"/>
      <c r="AA3021" s="277"/>
      <c r="AB3021" s="277"/>
      <c r="AC3021" s="277"/>
      <c r="AD3021" s="277"/>
      <c r="AE3021" s="277"/>
      <c r="AF3021" s="277"/>
      <c r="AG3021" s="277"/>
      <c r="AH3021" s="277"/>
      <c r="AI3021" s="277"/>
    </row>
    <row r="3022" spans="16:35" s="185" customFormat="1">
      <c r="P3022" s="277"/>
      <c r="Q3022" s="277"/>
      <c r="R3022" s="277"/>
      <c r="S3022" s="291">
        <v>44568</v>
      </c>
      <c r="T3022" s="279">
        <v>2929</v>
      </c>
      <c r="U3022" s="277"/>
      <c r="V3022" s="277"/>
      <c r="W3022" s="277"/>
      <c r="X3022" s="277"/>
      <c r="Y3022" s="277"/>
      <c r="Z3022" s="277"/>
      <c r="AA3022" s="277"/>
      <c r="AB3022" s="277"/>
      <c r="AC3022" s="277"/>
      <c r="AD3022" s="277"/>
      <c r="AE3022" s="277"/>
      <c r="AF3022" s="277"/>
      <c r="AG3022" s="277"/>
      <c r="AH3022" s="277"/>
      <c r="AI3022" s="277"/>
    </row>
    <row r="3023" spans="16:35" s="185" customFormat="1">
      <c r="P3023" s="277"/>
      <c r="Q3023" s="277"/>
      <c r="R3023" s="277"/>
      <c r="S3023" s="291">
        <v>44569</v>
      </c>
      <c r="T3023" s="279">
        <v>2930</v>
      </c>
      <c r="U3023" s="277"/>
      <c r="V3023" s="277"/>
      <c r="W3023" s="277"/>
      <c r="X3023" s="277"/>
      <c r="Y3023" s="277"/>
      <c r="Z3023" s="277"/>
      <c r="AA3023" s="277"/>
      <c r="AB3023" s="277"/>
      <c r="AC3023" s="277"/>
      <c r="AD3023" s="277"/>
      <c r="AE3023" s="277"/>
      <c r="AF3023" s="277"/>
      <c r="AG3023" s="277"/>
      <c r="AH3023" s="277"/>
      <c r="AI3023" s="277"/>
    </row>
    <row r="3024" spans="16:35" s="185" customFormat="1">
      <c r="P3024" s="277"/>
      <c r="Q3024" s="277"/>
      <c r="R3024" s="277"/>
      <c r="S3024" s="291">
        <v>44570</v>
      </c>
      <c r="T3024" s="279">
        <v>2931</v>
      </c>
      <c r="U3024" s="277"/>
      <c r="V3024" s="277"/>
      <c r="W3024" s="277"/>
      <c r="X3024" s="277"/>
      <c r="Y3024" s="277"/>
      <c r="Z3024" s="277"/>
      <c r="AA3024" s="277"/>
      <c r="AB3024" s="277"/>
      <c r="AC3024" s="277"/>
      <c r="AD3024" s="277"/>
      <c r="AE3024" s="277"/>
      <c r="AF3024" s="277"/>
      <c r="AG3024" s="277"/>
      <c r="AH3024" s="277"/>
      <c r="AI3024" s="277"/>
    </row>
    <row r="3025" spans="16:35" s="185" customFormat="1">
      <c r="P3025" s="277"/>
      <c r="Q3025" s="277"/>
      <c r="R3025" s="277"/>
      <c r="S3025" s="291">
        <v>44571</v>
      </c>
      <c r="T3025" s="279">
        <v>2932</v>
      </c>
      <c r="U3025" s="277"/>
      <c r="V3025" s="277"/>
      <c r="W3025" s="277"/>
      <c r="X3025" s="277"/>
      <c r="Y3025" s="277"/>
      <c r="Z3025" s="277"/>
      <c r="AA3025" s="277"/>
      <c r="AB3025" s="277"/>
      <c r="AC3025" s="277"/>
      <c r="AD3025" s="277"/>
      <c r="AE3025" s="277"/>
      <c r="AF3025" s="277"/>
      <c r="AG3025" s="277"/>
      <c r="AH3025" s="277"/>
      <c r="AI3025" s="277"/>
    </row>
    <row r="3026" spans="16:35" s="185" customFormat="1">
      <c r="P3026" s="277"/>
      <c r="Q3026" s="277"/>
      <c r="R3026" s="277"/>
      <c r="S3026" s="291">
        <v>44572</v>
      </c>
      <c r="T3026" s="279">
        <v>2933</v>
      </c>
      <c r="U3026" s="277"/>
      <c r="V3026" s="277"/>
      <c r="W3026" s="277"/>
      <c r="X3026" s="277"/>
      <c r="Y3026" s="277"/>
      <c r="Z3026" s="277"/>
      <c r="AA3026" s="277"/>
      <c r="AB3026" s="277"/>
      <c r="AC3026" s="277"/>
      <c r="AD3026" s="277"/>
      <c r="AE3026" s="277"/>
      <c r="AF3026" s="277"/>
      <c r="AG3026" s="277"/>
      <c r="AH3026" s="277"/>
      <c r="AI3026" s="277"/>
    </row>
    <row r="3027" spans="16:35" s="185" customFormat="1">
      <c r="P3027" s="277"/>
      <c r="Q3027" s="277"/>
      <c r="R3027" s="277"/>
      <c r="S3027" s="291">
        <v>44573</v>
      </c>
      <c r="T3027" s="279">
        <v>2934</v>
      </c>
      <c r="U3027" s="277"/>
      <c r="V3027" s="277"/>
      <c r="W3027" s="277"/>
      <c r="X3027" s="277"/>
      <c r="Y3027" s="277"/>
      <c r="Z3027" s="277"/>
      <c r="AA3027" s="277"/>
      <c r="AB3027" s="277"/>
      <c r="AC3027" s="277"/>
      <c r="AD3027" s="277"/>
      <c r="AE3027" s="277"/>
      <c r="AF3027" s="277"/>
      <c r="AG3027" s="277"/>
      <c r="AH3027" s="277"/>
      <c r="AI3027" s="277"/>
    </row>
    <row r="3028" spans="16:35" s="185" customFormat="1">
      <c r="P3028" s="277"/>
      <c r="Q3028" s="277"/>
      <c r="R3028" s="277"/>
      <c r="S3028" s="291">
        <v>44574</v>
      </c>
      <c r="T3028" s="279">
        <v>2935</v>
      </c>
      <c r="U3028" s="277"/>
      <c r="V3028" s="277"/>
      <c r="W3028" s="277"/>
      <c r="X3028" s="277"/>
      <c r="Y3028" s="277"/>
      <c r="Z3028" s="277"/>
      <c r="AA3028" s="277"/>
      <c r="AB3028" s="277"/>
      <c r="AC3028" s="277"/>
      <c r="AD3028" s="277"/>
      <c r="AE3028" s="277"/>
      <c r="AF3028" s="277"/>
      <c r="AG3028" s="277"/>
      <c r="AH3028" s="277"/>
      <c r="AI3028" s="277"/>
    </row>
    <row r="3029" spans="16:35" s="185" customFormat="1">
      <c r="P3029" s="277"/>
      <c r="Q3029" s="277"/>
      <c r="R3029" s="277"/>
      <c r="S3029" s="291">
        <v>44575</v>
      </c>
      <c r="T3029" s="279">
        <v>2936</v>
      </c>
      <c r="U3029" s="277"/>
      <c r="V3029" s="277"/>
      <c r="W3029" s="277"/>
      <c r="X3029" s="277"/>
      <c r="Y3029" s="277"/>
      <c r="Z3029" s="277"/>
      <c r="AA3029" s="277"/>
      <c r="AB3029" s="277"/>
      <c r="AC3029" s="277"/>
      <c r="AD3029" s="277"/>
      <c r="AE3029" s="277"/>
      <c r="AF3029" s="277"/>
      <c r="AG3029" s="277"/>
      <c r="AH3029" s="277"/>
      <c r="AI3029" s="277"/>
    </row>
    <row r="3030" spans="16:35" s="185" customFormat="1">
      <c r="P3030" s="277"/>
      <c r="Q3030" s="277"/>
      <c r="R3030" s="277"/>
      <c r="S3030" s="291">
        <v>44576</v>
      </c>
      <c r="T3030" s="279">
        <v>2937</v>
      </c>
      <c r="U3030" s="277"/>
      <c r="V3030" s="277"/>
      <c r="W3030" s="277"/>
      <c r="X3030" s="277"/>
      <c r="Y3030" s="277"/>
      <c r="Z3030" s="277"/>
      <c r="AA3030" s="277"/>
      <c r="AB3030" s="277"/>
      <c r="AC3030" s="277"/>
      <c r="AD3030" s="277"/>
      <c r="AE3030" s="277"/>
      <c r="AF3030" s="277"/>
      <c r="AG3030" s="277"/>
      <c r="AH3030" s="277"/>
      <c r="AI3030" s="277"/>
    </row>
    <row r="3031" spans="16:35" s="185" customFormat="1">
      <c r="P3031" s="277"/>
      <c r="Q3031" s="277"/>
      <c r="R3031" s="277"/>
      <c r="S3031" s="291">
        <v>44577</v>
      </c>
      <c r="T3031" s="279">
        <v>2938</v>
      </c>
      <c r="U3031" s="277"/>
      <c r="V3031" s="277"/>
      <c r="W3031" s="277"/>
      <c r="X3031" s="277"/>
      <c r="Y3031" s="277"/>
      <c r="Z3031" s="277"/>
      <c r="AA3031" s="277"/>
      <c r="AB3031" s="277"/>
      <c r="AC3031" s="277"/>
      <c r="AD3031" s="277"/>
      <c r="AE3031" s="277"/>
      <c r="AF3031" s="277"/>
      <c r="AG3031" s="277"/>
      <c r="AH3031" s="277"/>
      <c r="AI3031" s="277"/>
    </row>
    <row r="3032" spans="16:35" s="185" customFormat="1">
      <c r="P3032" s="277"/>
      <c r="Q3032" s="277"/>
      <c r="R3032" s="277"/>
      <c r="S3032" s="291">
        <v>44578</v>
      </c>
      <c r="T3032" s="279">
        <v>2939</v>
      </c>
      <c r="U3032" s="277"/>
      <c r="V3032" s="277"/>
      <c r="W3032" s="277"/>
      <c r="X3032" s="277"/>
      <c r="Y3032" s="277"/>
      <c r="Z3032" s="277"/>
      <c r="AA3032" s="277"/>
      <c r="AB3032" s="277"/>
      <c r="AC3032" s="277"/>
      <c r="AD3032" s="277"/>
      <c r="AE3032" s="277"/>
      <c r="AF3032" s="277"/>
      <c r="AG3032" s="277"/>
      <c r="AH3032" s="277"/>
      <c r="AI3032" s="277"/>
    </row>
    <row r="3033" spans="16:35" s="185" customFormat="1">
      <c r="P3033" s="277"/>
      <c r="Q3033" s="277"/>
      <c r="R3033" s="277"/>
      <c r="S3033" s="291">
        <v>44579</v>
      </c>
      <c r="T3033" s="279">
        <v>2940</v>
      </c>
      <c r="U3033" s="277"/>
      <c r="V3033" s="277"/>
      <c r="W3033" s="277"/>
      <c r="X3033" s="277"/>
      <c r="Y3033" s="277"/>
      <c r="Z3033" s="277"/>
      <c r="AA3033" s="277"/>
      <c r="AB3033" s="277"/>
      <c r="AC3033" s="277"/>
      <c r="AD3033" s="277"/>
      <c r="AE3033" s="277"/>
      <c r="AF3033" s="277"/>
      <c r="AG3033" s="277"/>
      <c r="AH3033" s="277"/>
      <c r="AI3033" s="277"/>
    </row>
    <row r="3034" spans="16:35" s="185" customFormat="1">
      <c r="P3034" s="277"/>
      <c r="Q3034" s="277"/>
      <c r="R3034" s="277"/>
      <c r="S3034" s="291">
        <v>44580</v>
      </c>
      <c r="T3034" s="279">
        <v>2941</v>
      </c>
      <c r="U3034" s="277"/>
      <c r="V3034" s="277"/>
      <c r="W3034" s="277"/>
      <c r="X3034" s="277"/>
      <c r="Y3034" s="277"/>
      <c r="Z3034" s="277"/>
      <c r="AA3034" s="277"/>
      <c r="AB3034" s="277"/>
      <c r="AC3034" s="277"/>
      <c r="AD3034" s="277"/>
      <c r="AE3034" s="277"/>
      <c r="AF3034" s="277"/>
      <c r="AG3034" s="277"/>
      <c r="AH3034" s="277"/>
      <c r="AI3034" s="277"/>
    </row>
    <row r="3035" spans="16:35" s="185" customFormat="1">
      <c r="P3035" s="277"/>
      <c r="Q3035" s="277"/>
      <c r="R3035" s="277"/>
      <c r="S3035" s="291">
        <v>44581</v>
      </c>
      <c r="T3035" s="279">
        <v>2942</v>
      </c>
      <c r="U3035" s="277"/>
      <c r="V3035" s="277"/>
      <c r="W3035" s="277"/>
      <c r="X3035" s="277"/>
      <c r="Y3035" s="277"/>
      <c r="Z3035" s="277"/>
      <c r="AA3035" s="277"/>
      <c r="AB3035" s="277"/>
      <c r="AC3035" s="277"/>
      <c r="AD3035" s="277"/>
      <c r="AE3035" s="277"/>
      <c r="AF3035" s="277"/>
      <c r="AG3035" s="277"/>
      <c r="AH3035" s="277"/>
      <c r="AI3035" s="277"/>
    </row>
    <row r="3036" spans="16:35" s="185" customFormat="1">
      <c r="P3036" s="277"/>
      <c r="Q3036" s="277"/>
      <c r="R3036" s="277"/>
      <c r="S3036" s="291">
        <v>44582</v>
      </c>
      <c r="T3036" s="279">
        <v>2943</v>
      </c>
      <c r="U3036" s="277"/>
      <c r="V3036" s="277"/>
      <c r="W3036" s="277"/>
      <c r="X3036" s="277"/>
      <c r="Y3036" s="277"/>
      <c r="Z3036" s="277"/>
      <c r="AA3036" s="277"/>
      <c r="AB3036" s="277"/>
      <c r="AC3036" s="277"/>
      <c r="AD3036" s="277"/>
      <c r="AE3036" s="277"/>
      <c r="AF3036" s="277"/>
      <c r="AG3036" s="277"/>
      <c r="AH3036" s="277"/>
      <c r="AI3036" s="277"/>
    </row>
    <row r="3037" spans="16:35" s="185" customFormat="1">
      <c r="P3037" s="277"/>
      <c r="Q3037" s="277"/>
      <c r="R3037" s="277"/>
      <c r="S3037" s="291">
        <v>44583</v>
      </c>
      <c r="T3037" s="279">
        <v>2944</v>
      </c>
      <c r="U3037" s="277"/>
      <c r="V3037" s="277"/>
      <c r="W3037" s="277"/>
      <c r="X3037" s="277"/>
      <c r="Y3037" s="277"/>
      <c r="Z3037" s="277"/>
      <c r="AA3037" s="277"/>
      <c r="AB3037" s="277"/>
      <c r="AC3037" s="277"/>
      <c r="AD3037" s="277"/>
      <c r="AE3037" s="277"/>
      <c r="AF3037" s="277"/>
      <c r="AG3037" s="277"/>
      <c r="AH3037" s="277"/>
      <c r="AI3037" s="277"/>
    </row>
    <row r="3038" spans="16:35" s="185" customFormat="1">
      <c r="P3038" s="277"/>
      <c r="Q3038" s="277"/>
      <c r="R3038" s="277"/>
      <c r="S3038" s="291">
        <v>44584</v>
      </c>
      <c r="T3038" s="279">
        <v>2945</v>
      </c>
      <c r="U3038" s="277"/>
      <c r="V3038" s="277"/>
      <c r="W3038" s="277"/>
      <c r="X3038" s="277"/>
      <c r="Y3038" s="277"/>
      <c r="Z3038" s="277"/>
      <c r="AA3038" s="277"/>
      <c r="AB3038" s="277"/>
      <c r="AC3038" s="277"/>
      <c r="AD3038" s="277"/>
      <c r="AE3038" s="277"/>
      <c r="AF3038" s="277"/>
      <c r="AG3038" s="277"/>
      <c r="AH3038" s="277"/>
      <c r="AI3038" s="277"/>
    </row>
    <row r="3039" spans="16:35" s="185" customFormat="1">
      <c r="P3039" s="277"/>
      <c r="Q3039" s="277"/>
      <c r="R3039" s="277"/>
      <c r="S3039" s="291">
        <v>44585</v>
      </c>
      <c r="T3039" s="279">
        <v>2946</v>
      </c>
      <c r="U3039" s="277"/>
      <c r="V3039" s="277"/>
      <c r="W3039" s="277"/>
      <c r="X3039" s="277"/>
      <c r="Y3039" s="277"/>
      <c r="Z3039" s="277"/>
      <c r="AA3039" s="277"/>
      <c r="AB3039" s="277"/>
      <c r="AC3039" s="277"/>
      <c r="AD3039" s="277"/>
      <c r="AE3039" s="277"/>
      <c r="AF3039" s="277"/>
      <c r="AG3039" s="277"/>
      <c r="AH3039" s="277"/>
      <c r="AI3039" s="277"/>
    </row>
    <row r="3040" spans="16:35" s="185" customFormat="1">
      <c r="P3040" s="277"/>
      <c r="Q3040" s="277"/>
      <c r="R3040" s="277"/>
      <c r="S3040" s="291">
        <v>44586</v>
      </c>
      <c r="T3040" s="279">
        <v>2947</v>
      </c>
      <c r="U3040" s="277"/>
      <c r="V3040" s="277"/>
      <c r="W3040" s="277"/>
      <c r="X3040" s="277"/>
      <c r="Y3040" s="277"/>
      <c r="Z3040" s="277"/>
      <c r="AA3040" s="277"/>
      <c r="AB3040" s="277"/>
      <c r="AC3040" s="277"/>
      <c r="AD3040" s="277"/>
      <c r="AE3040" s="277"/>
      <c r="AF3040" s="277"/>
      <c r="AG3040" s="277"/>
      <c r="AH3040" s="277"/>
      <c r="AI3040" s="277"/>
    </row>
    <row r="3041" spans="16:35" s="185" customFormat="1">
      <c r="P3041" s="277"/>
      <c r="Q3041" s="277"/>
      <c r="R3041" s="277"/>
      <c r="S3041" s="291">
        <v>44587</v>
      </c>
      <c r="T3041" s="279">
        <v>2948</v>
      </c>
      <c r="U3041" s="277"/>
      <c r="V3041" s="277"/>
      <c r="W3041" s="277"/>
      <c r="X3041" s="277"/>
      <c r="Y3041" s="277"/>
      <c r="Z3041" s="277"/>
      <c r="AA3041" s="277"/>
      <c r="AB3041" s="277"/>
      <c r="AC3041" s="277"/>
      <c r="AD3041" s="277"/>
      <c r="AE3041" s="277"/>
      <c r="AF3041" s="277"/>
      <c r="AG3041" s="277"/>
      <c r="AH3041" s="277"/>
      <c r="AI3041" s="277"/>
    </row>
    <row r="3042" spans="16:35" s="185" customFormat="1">
      <c r="P3042" s="277"/>
      <c r="Q3042" s="277"/>
      <c r="R3042" s="277"/>
      <c r="S3042" s="291">
        <v>44588</v>
      </c>
      <c r="T3042" s="279">
        <v>2949</v>
      </c>
      <c r="U3042" s="277"/>
      <c r="V3042" s="277"/>
      <c r="W3042" s="277"/>
      <c r="X3042" s="277"/>
      <c r="Y3042" s="277"/>
      <c r="Z3042" s="277"/>
      <c r="AA3042" s="277"/>
      <c r="AB3042" s="277"/>
      <c r="AC3042" s="277"/>
      <c r="AD3042" s="277"/>
      <c r="AE3042" s="277"/>
      <c r="AF3042" s="277"/>
      <c r="AG3042" s="277"/>
      <c r="AH3042" s="277"/>
      <c r="AI3042" s="277"/>
    </row>
    <row r="3043" spans="16:35" s="185" customFormat="1">
      <c r="P3043" s="277"/>
      <c r="Q3043" s="277"/>
      <c r="R3043" s="277"/>
      <c r="S3043" s="291">
        <v>44589</v>
      </c>
      <c r="T3043" s="279">
        <v>2950</v>
      </c>
      <c r="U3043" s="277"/>
      <c r="V3043" s="277"/>
      <c r="W3043" s="277"/>
      <c r="X3043" s="277"/>
      <c r="Y3043" s="277"/>
      <c r="Z3043" s="277"/>
      <c r="AA3043" s="277"/>
      <c r="AB3043" s="277"/>
      <c r="AC3043" s="277"/>
      <c r="AD3043" s="277"/>
      <c r="AE3043" s="277"/>
      <c r="AF3043" s="277"/>
      <c r="AG3043" s="277"/>
      <c r="AH3043" s="277"/>
      <c r="AI3043" s="277"/>
    </row>
    <row r="3044" spans="16:35" s="185" customFormat="1">
      <c r="P3044" s="277"/>
      <c r="Q3044" s="277"/>
      <c r="R3044" s="277"/>
      <c r="S3044" s="291">
        <v>44590</v>
      </c>
      <c r="T3044" s="279">
        <v>2951</v>
      </c>
      <c r="U3044" s="277"/>
      <c r="V3044" s="277"/>
      <c r="W3044" s="277"/>
      <c r="X3044" s="277"/>
      <c r="Y3044" s="277"/>
      <c r="Z3044" s="277"/>
      <c r="AA3044" s="277"/>
      <c r="AB3044" s="277"/>
      <c r="AC3044" s="277"/>
      <c r="AD3044" s="277"/>
      <c r="AE3044" s="277"/>
      <c r="AF3044" s="277"/>
      <c r="AG3044" s="277"/>
      <c r="AH3044" s="277"/>
      <c r="AI3044" s="277"/>
    </row>
    <row r="3045" spans="16:35" s="185" customFormat="1">
      <c r="P3045" s="277"/>
      <c r="Q3045" s="277"/>
      <c r="R3045" s="277"/>
      <c r="S3045" s="291">
        <v>44591</v>
      </c>
      <c r="T3045" s="279">
        <v>2952</v>
      </c>
      <c r="U3045" s="277"/>
      <c r="V3045" s="277"/>
      <c r="W3045" s="277"/>
      <c r="X3045" s="277"/>
      <c r="Y3045" s="277"/>
      <c r="Z3045" s="277"/>
      <c r="AA3045" s="277"/>
      <c r="AB3045" s="277"/>
      <c r="AC3045" s="277"/>
      <c r="AD3045" s="277"/>
      <c r="AE3045" s="277"/>
      <c r="AF3045" s="277"/>
      <c r="AG3045" s="277"/>
      <c r="AH3045" s="277"/>
      <c r="AI3045" s="277"/>
    </row>
    <row r="3046" spans="16:35" s="185" customFormat="1">
      <c r="P3046" s="277"/>
      <c r="Q3046" s="277"/>
      <c r="R3046" s="277"/>
      <c r="S3046" s="291">
        <v>44592</v>
      </c>
      <c r="T3046" s="279">
        <v>2953</v>
      </c>
      <c r="U3046" s="277"/>
      <c r="V3046" s="277"/>
      <c r="W3046" s="277"/>
      <c r="X3046" s="277"/>
      <c r="Y3046" s="277"/>
      <c r="Z3046" s="277"/>
      <c r="AA3046" s="277"/>
      <c r="AB3046" s="277"/>
      <c r="AC3046" s="277"/>
      <c r="AD3046" s="277"/>
      <c r="AE3046" s="277"/>
      <c r="AF3046" s="277"/>
      <c r="AG3046" s="277"/>
      <c r="AH3046" s="277"/>
      <c r="AI3046" s="277"/>
    </row>
    <row r="3047" spans="16:35" s="185" customFormat="1">
      <c r="P3047" s="277"/>
      <c r="Q3047" s="277"/>
      <c r="R3047" s="277"/>
      <c r="S3047" s="291">
        <v>44593</v>
      </c>
      <c r="T3047" s="279">
        <v>2954</v>
      </c>
      <c r="U3047" s="277"/>
      <c r="V3047" s="277"/>
      <c r="W3047" s="277"/>
      <c r="X3047" s="277"/>
      <c r="Y3047" s="277"/>
      <c r="Z3047" s="277"/>
      <c r="AA3047" s="277"/>
      <c r="AB3047" s="277"/>
      <c r="AC3047" s="277"/>
      <c r="AD3047" s="277"/>
      <c r="AE3047" s="277"/>
      <c r="AF3047" s="277"/>
      <c r="AG3047" s="277"/>
      <c r="AH3047" s="277"/>
      <c r="AI3047" s="277"/>
    </row>
    <row r="3048" spans="16:35" s="185" customFormat="1">
      <c r="P3048" s="277"/>
      <c r="Q3048" s="277"/>
      <c r="R3048" s="277"/>
      <c r="S3048" s="291">
        <v>44594</v>
      </c>
      <c r="T3048" s="279">
        <v>2955</v>
      </c>
      <c r="U3048" s="277"/>
      <c r="V3048" s="277"/>
      <c r="W3048" s="277"/>
      <c r="X3048" s="277"/>
      <c r="Y3048" s="277"/>
      <c r="Z3048" s="277"/>
      <c r="AA3048" s="277"/>
      <c r="AB3048" s="277"/>
      <c r="AC3048" s="277"/>
      <c r="AD3048" s="277"/>
      <c r="AE3048" s="277"/>
      <c r="AF3048" s="277"/>
      <c r="AG3048" s="277"/>
      <c r="AH3048" s="277"/>
      <c r="AI3048" s="277"/>
    </row>
    <row r="3049" spans="16:35" s="185" customFormat="1">
      <c r="P3049" s="277"/>
      <c r="Q3049" s="277"/>
      <c r="R3049" s="277"/>
      <c r="S3049" s="291">
        <v>44595</v>
      </c>
      <c r="T3049" s="279">
        <v>2956</v>
      </c>
      <c r="U3049" s="277"/>
      <c r="V3049" s="277"/>
      <c r="W3049" s="277"/>
      <c r="X3049" s="277"/>
      <c r="Y3049" s="277"/>
      <c r="Z3049" s="277"/>
      <c r="AA3049" s="277"/>
      <c r="AB3049" s="277"/>
      <c r="AC3049" s="277"/>
      <c r="AD3049" s="277"/>
      <c r="AE3049" s="277"/>
      <c r="AF3049" s="277"/>
      <c r="AG3049" s="277"/>
      <c r="AH3049" s="277"/>
      <c r="AI3049" s="277"/>
    </row>
    <row r="3050" spans="16:35" s="185" customFormat="1">
      <c r="P3050" s="277"/>
      <c r="Q3050" s="277"/>
      <c r="R3050" s="277"/>
      <c r="S3050" s="291">
        <v>44596</v>
      </c>
      <c r="T3050" s="279">
        <v>2957</v>
      </c>
      <c r="U3050" s="277"/>
      <c r="V3050" s="277"/>
      <c r="W3050" s="277"/>
      <c r="X3050" s="277"/>
      <c r="Y3050" s="277"/>
      <c r="Z3050" s="277"/>
      <c r="AA3050" s="277"/>
      <c r="AB3050" s="277"/>
      <c r="AC3050" s="277"/>
      <c r="AD3050" s="277"/>
      <c r="AE3050" s="277"/>
      <c r="AF3050" s="277"/>
      <c r="AG3050" s="277"/>
      <c r="AH3050" s="277"/>
      <c r="AI3050" s="277"/>
    </row>
    <row r="3051" spans="16:35" s="185" customFormat="1">
      <c r="P3051" s="277"/>
      <c r="Q3051" s="277"/>
      <c r="R3051" s="277"/>
      <c r="S3051" s="291">
        <v>44597</v>
      </c>
      <c r="T3051" s="279">
        <v>2958</v>
      </c>
      <c r="U3051" s="277"/>
      <c r="V3051" s="277"/>
      <c r="W3051" s="277"/>
      <c r="X3051" s="277"/>
      <c r="Y3051" s="277"/>
      <c r="Z3051" s="277"/>
      <c r="AA3051" s="277"/>
      <c r="AB3051" s="277"/>
      <c r="AC3051" s="277"/>
      <c r="AD3051" s="277"/>
      <c r="AE3051" s="277"/>
      <c r="AF3051" s="277"/>
      <c r="AG3051" s="277"/>
      <c r="AH3051" s="277"/>
      <c r="AI3051" s="277"/>
    </row>
    <row r="3052" spans="16:35" s="185" customFormat="1">
      <c r="P3052" s="277"/>
      <c r="Q3052" s="277"/>
      <c r="R3052" s="277"/>
      <c r="S3052" s="291">
        <v>44598</v>
      </c>
      <c r="T3052" s="279">
        <v>2959</v>
      </c>
      <c r="U3052" s="277"/>
      <c r="V3052" s="277"/>
      <c r="W3052" s="277"/>
      <c r="X3052" s="277"/>
      <c r="Y3052" s="277"/>
      <c r="Z3052" s="277"/>
      <c r="AA3052" s="277"/>
      <c r="AB3052" s="277"/>
      <c r="AC3052" s="277"/>
      <c r="AD3052" s="277"/>
      <c r="AE3052" s="277"/>
      <c r="AF3052" s="277"/>
      <c r="AG3052" s="277"/>
      <c r="AH3052" s="277"/>
      <c r="AI3052" s="277"/>
    </row>
    <row r="3053" spans="16:35" s="185" customFormat="1">
      <c r="P3053" s="277"/>
      <c r="Q3053" s="277"/>
      <c r="R3053" s="277"/>
      <c r="S3053" s="291">
        <v>44599</v>
      </c>
      <c r="T3053" s="279">
        <v>2960</v>
      </c>
      <c r="U3053" s="277"/>
      <c r="V3053" s="277"/>
      <c r="W3053" s="277"/>
      <c r="X3053" s="277"/>
      <c r="Y3053" s="277"/>
      <c r="Z3053" s="277"/>
      <c r="AA3053" s="277"/>
      <c r="AB3053" s="277"/>
      <c r="AC3053" s="277"/>
      <c r="AD3053" s="277"/>
      <c r="AE3053" s="277"/>
      <c r="AF3053" s="277"/>
      <c r="AG3053" s="277"/>
      <c r="AH3053" s="277"/>
      <c r="AI3053" s="277"/>
    </row>
    <row r="3054" spans="16:35" s="185" customFormat="1">
      <c r="P3054" s="277"/>
      <c r="Q3054" s="277"/>
      <c r="R3054" s="277"/>
      <c r="S3054" s="291">
        <v>44600</v>
      </c>
      <c r="T3054" s="279">
        <v>2961</v>
      </c>
      <c r="U3054" s="277"/>
      <c r="V3054" s="277"/>
      <c r="W3054" s="277"/>
      <c r="X3054" s="277"/>
      <c r="Y3054" s="277"/>
      <c r="Z3054" s="277"/>
      <c r="AA3054" s="277"/>
      <c r="AB3054" s="277"/>
      <c r="AC3054" s="277"/>
      <c r="AD3054" s="277"/>
      <c r="AE3054" s="277"/>
      <c r="AF3054" s="277"/>
      <c r="AG3054" s="277"/>
      <c r="AH3054" s="277"/>
      <c r="AI3054" s="277"/>
    </row>
    <row r="3055" spans="16:35" s="185" customFormat="1">
      <c r="P3055" s="277"/>
      <c r="Q3055" s="277"/>
      <c r="R3055" s="277"/>
      <c r="S3055" s="291">
        <v>44601</v>
      </c>
      <c r="T3055" s="279">
        <v>2962</v>
      </c>
      <c r="U3055" s="277"/>
      <c r="V3055" s="277"/>
      <c r="W3055" s="277"/>
      <c r="X3055" s="277"/>
      <c r="Y3055" s="277"/>
      <c r="Z3055" s="277"/>
      <c r="AA3055" s="277"/>
      <c r="AB3055" s="277"/>
      <c r="AC3055" s="277"/>
      <c r="AD3055" s="277"/>
      <c r="AE3055" s="277"/>
      <c r="AF3055" s="277"/>
      <c r="AG3055" s="277"/>
      <c r="AH3055" s="277"/>
      <c r="AI3055" s="277"/>
    </row>
    <row r="3056" spans="16:35" s="185" customFormat="1">
      <c r="P3056" s="277"/>
      <c r="Q3056" s="277"/>
      <c r="R3056" s="277"/>
      <c r="S3056" s="291">
        <v>44602</v>
      </c>
      <c r="T3056" s="279">
        <v>2963</v>
      </c>
      <c r="U3056" s="277"/>
      <c r="V3056" s="277"/>
      <c r="W3056" s="277"/>
      <c r="X3056" s="277"/>
      <c r="Y3056" s="277"/>
      <c r="Z3056" s="277"/>
      <c r="AA3056" s="277"/>
      <c r="AB3056" s="277"/>
      <c r="AC3056" s="277"/>
      <c r="AD3056" s="277"/>
      <c r="AE3056" s="277"/>
      <c r="AF3056" s="277"/>
      <c r="AG3056" s="277"/>
      <c r="AH3056" s="277"/>
      <c r="AI3056" s="277"/>
    </row>
    <row r="3057" spans="16:35" s="185" customFormat="1">
      <c r="P3057" s="277"/>
      <c r="Q3057" s="277"/>
      <c r="R3057" s="277"/>
      <c r="S3057" s="291">
        <v>44603</v>
      </c>
      <c r="T3057" s="279">
        <v>2964</v>
      </c>
      <c r="U3057" s="277"/>
      <c r="V3057" s="277"/>
      <c r="W3057" s="277"/>
      <c r="X3057" s="277"/>
      <c r="Y3057" s="277"/>
      <c r="Z3057" s="277"/>
      <c r="AA3057" s="277"/>
      <c r="AB3057" s="277"/>
      <c r="AC3057" s="277"/>
      <c r="AD3057" s="277"/>
      <c r="AE3057" s="277"/>
      <c r="AF3057" s="277"/>
      <c r="AG3057" s="277"/>
      <c r="AH3057" s="277"/>
      <c r="AI3057" s="277"/>
    </row>
    <row r="3058" spans="16:35" s="185" customFormat="1">
      <c r="P3058" s="277"/>
      <c r="Q3058" s="277"/>
      <c r="R3058" s="277"/>
      <c r="S3058" s="291">
        <v>44604</v>
      </c>
      <c r="T3058" s="279">
        <v>2965</v>
      </c>
      <c r="U3058" s="277"/>
      <c r="V3058" s="277"/>
      <c r="W3058" s="277"/>
      <c r="X3058" s="277"/>
      <c r="Y3058" s="277"/>
      <c r="Z3058" s="277"/>
      <c r="AA3058" s="277"/>
      <c r="AB3058" s="277"/>
      <c r="AC3058" s="277"/>
      <c r="AD3058" s="277"/>
      <c r="AE3058" s="277"/>
      <c r="AF3058" s="277"/>
      <c r="AG3058" s="277"/>
      <c r="AH3058" s="277"/>
      <c r="AI3058" s="277"/>
    </row>
    <row r="3059" spans="16:35" s="185" customFormat="1">
      <c r="P3059" s="277"/>
      <c r="Q3059" s="277"/>
      <c r="R3059" s="277"/>
      <c r="S3059" s="291">
        <v>44605</v>
      </c>
      <c r="T3059" s="279">
        <v>2966</v>
      </c>
      <c r="U3059" s="277"/>
      <c r="V3059" s="277"/>
      <c r="W3059" s="277"/>
      <c r="X3059" s="277"/>
      <c r="Y3059" s="277"/>
      <c r="Z3059" s="277"/>
      <c r="AA3059" s="277"/>
      <c r="AB3059" s="277"/>
      <c r="AC3059" s="277"/>
      <c r="AD3059" s="277"/>
      <c r="AE3059" s="277"/>
      <c r="AF3059" s="277"/>
      <c r="AG3059" s="277"/>
      <c r="AH3059" s="277"/>
      <c r="AI3059" s="277"/>
    </row>
    <row r="3060" spans="16:35" s="185" customFormat="1">
      <c r="P3060" s="277"/>
      <c r="Q3060" s="277"/>
      <c r="R3060" s="277"/>
      <c r="S3060" s="291">
        <v>44606</v>
      </c>
      <c r="T3060" s="279">
        <v>2967</v>
      </c>
      <c r="U3060" s="277"/>
      <c r="V3060" s="277"/>
      <c r="W3060" s="277"/>
      <c r="X3060" s="277"/>
      <c r="Y3060" s="277"/>
      <c r="Z3060" s="277"/>
      <c r="AA3060" s="277"/>
      <c r="AB3060" s="277"/>
      <c r="AC3060" s="277"/>
      <c r="AD3060" s="277"/>
      <c r="AE3060" s="277"/>
      <c r="AF3060" s="277"/>
      <c r="AG3060" s="277"/>
      <c r="AH3060" s="277"/>
      <c r="AI3060" s="277"/>
    </row>
    <row r="3061" spans="16:35" s="185" customFormat="1">
      <c r="P3061" s="277"/>
      <c r="Q3061" s="277"/>
      <c r="R3061" s="277"/>
      <c r="S3061" s="291">
        <v>44607</v>
      </c>
      <c r="T3061" s="279">
        <v>2968</v>
      </c>
      <c r="U3061" s="277"/>
      <c r="V3061" s="277"/>
      <c r="W3061" s="277"/>
      <c r="X3061" s="277"/>
      <c r="Y3061" s="277"/>
      <c r="Z3061" s="277"/>
      <c r="AA3061" s="277"/>
      <c r="AB3061" s="277"/>
      <c r="AC3061" s="277"/>
      <c r="AD3061" s="277"/>
      <c r="AE3061" s="277"/>
      <c r="AF3061" s="277"/>
      <c r="AG3061" s="277"/>
      <c r="AH3061" s="277"/>
      <c r="AI3061" s="277"/>
    </row>
    <row r="3062" spans="16:35" s="185" customFormat="1">
      <c r="P3062" s="277"/>
      <c r="Q3062" s="277"/>
      <c r="R3062" s="277"/>
      <c r="S3062" s="291">
        <v>44608</v>
      </c>
      <c r="T3062" s="279">
        <v>2969</v>
      </c>
      <c r="U3062" s="277"/>
      <c r="V3062" s="277"/>
      <c r="W3062" s="277"/>
      <c r="X3062" s="277"/>
      <c r="Y3062" s="277"/>
      <c r="Z3062" s="277"/>
      <c r="AA3062" s="277"/>
      <c r="AB3062" s="277"/>
      <c r="AC3062" s="277"/>
      <c r="AD3062" s="277"/>
      <c r="AE3062" s="277"/>
      <c r="AF3062" s="277"/>
      <c r="AG3062" s="277"/>
      <c r="AH3062" s="277"/>
      <c r="AI3062" s="277"/>
    </row>
    <row r="3063" spans="16:35" s="185" customFormat="1">
      <c r="P3063" s="277"/>
      <c r="Q3063" s="277"/>
      <c r="R3063" s="277"/>
      <c r="S3063" s="291">
        <v>44609</v>
      </c>
      <c r="T3063" s="279">
        <v>2970</v>
      </c>
      <c r="U3063" s="277"/>
      <c r="V3063" s="277"/>
      <c r="W3063" s="277"/>
      <c r="X3063" s="277"/>
      <c r="Y3063" s="277"/>
      <c r="Z3063" s="277"/>
      <c r="AA3063" s="277"/>
      <c r="AB3063" s="277"/>
      <c r="AC3063" s="277"/>
      <c r="AD3063" s="277"/>
      <c r="AE3063" s="277"/>
      <c r="AF3063" s="277"/>
      <c r="AG3063" s="277"/>
      <c r="AH3063" s="277"/>
      <c r="AI3063" s="277"/>
    </row>
    <row r="3064" spans="16:35" s="185" customFormat="1">
      <c r="P3064" s="277"/>
      <c r="Q3064" s="277"/>
      <c r="R3064" s="277"/>
      <c r="S3064" s="291">
        <v>44610</v>
      </c>
      <c r="T3064" s="279">
        <v>2971</v>
      </c>
      <c r="U3064" s="277"/>
      <c r="V3064" s="277"/>
      <c r="W3064" s="277"/>
      <c r="X3064" s="277"/>
      <c r="Y3064" s="277"/>
      <c r="Z3064" s="277"/>
      <c r="AA3064" s="277"/>
      <c r="AB3064" s="277"/>
      <c r="AC3064" s="277"/>
      <c r="AD3064" s="277"/>
      <c r="AE3064" s="277"/>
      <c r="AF3064" s="277"/>
      <c r="AG3064" s="277"/>
      <c r="AH3064" s="277"/>
      <c r="AI3064" s="277"/>
    </row>
    <row r="3065" spans="16:35" s="185" customFormat="1">
      <c r="P3065" s="277"/>
      <c r="Q3065" s="277"/>
      <c r="R3065" s="277"/>
      <c r="S3065" s="291">
        <v>44611</v>
      </c>
      <c r="T3065" s="279">
        <v>2972</v>
      </c>
      <c r="U3065" s="277"/>
      <c r="V3065" s="277"/>
      <c r="W3065" s="277"/>
      <c r="X3065" s="277"/>
      <c r="Y3065" s="277"/>
      <c r="Z3065" s="277"/>
      <c r="AA3065" s="277"/>
      <c r="AB3065" s="277"/>
      <c r="AC3065" s="277"/>
      <c r="AD3065" s="277"/>
      <c r="AE3065" s="277"/>
      <c r="AF3065" s="277"/>
      <c r="AG3065" s="277"/>
      <c r="AH3065" s="277"/>
      <c r="AI3065" s="277"/>
    </row>
    <row r="3066" spans="16:35" s="185" customFormat="1">
      <c r="P3066" s="277"/>
      <c r="Q3066" s="277"/>
      <c r="R3066" s="277"/>
      <c r="S3066" s="291">
        <v>44612</v>
      </c>
      <c r="T3066" s="279">
        <v>2973</v>
      </c>
      <c r="U3066" s="277"/>
      <c r="V3066" s="277"/>
      <c r="W3066" s="277"/>
      <c r="X3066" s="277"/>
      <c r="Y3066" s="277"/>
      <c r="Z3066" s="277"/>
      <c r="AA3066" s="277"/>
      <c r="AB3066" s="277"/>
      <c r="AC3066" s="277"/>
      <c r="AD3066" s="277"/>
      <c r="AE3066" s="277"/>
      <c r="AF3066" s="277"/>
      <c r="AG3066" s="277"/>
      <c r="AH3066" s="277"/>
      <c r="AI3066" s="277"/>
    </row>
    <row r="3067" spans="16:35" s="185" customFormat="1">
      <c r="P3067" s="277"/>
      <c r="Q3067" s="277"/>
      <c r="R3067" s="277"/>
      <c r="S3067" s="291">
        <v>44613</v>
      </c>
      <c r="T3067" s="279">
        <v>2974</v>
      </c>
      <c r="U3067" s="277"/>
      <c r="V3067" s="277"/>
      <c r="W3067" s="277"/>
      <c r="X3067" s="277"/>
      <c r="Y3067" s="277"/>
      <c r="Z3067" s="277"/>
      <c r="AA3067" s="277"/>
      <c r="AB3067" s="277"/>
      <c r="AC3067" s="277"/>
      <c r="AD3067" s="277"/>
      <c r="AE3067" s="277"/>
      <c r="AF3067" s="277"/>
      <c r="AG3067" s="277"/>
      <c r="AH3067" s="277"/>
      <c r="AI3067" s="277"/>
    </row>
    <row r="3068" spans="16:35" s="185" customFormat="1">
      <c r="P3068" s="277"/>
      <c r="Q3068" s="277"/>
      <c r="R3068" s="277"/>
      <c r="S3068" s="291">
        <v>44614</v>
      </c>
      <c r="T3068" s="279">
        <v>2975</v>
      </c>
      <c r="U3068" s="277"/>
      <c r="V3068" s="277"/>
      <c r="W3068" s="277"/>
      <c r="X3068" s="277"/>
      <c r="Y3068" s="277"/>
      <c r="Z3068" s="277"/>
      <c r="AA3068" s="277"/>
      <c r="AB3068" s="277"/>
      <c r="AC3068" s="277"/>
      <c r="AD3068" s="277"/>
      <c r="AE3068" s="277"/>
      <c r="AF3068" s="277"/>
      <c r="AG3068" s="277"/>
      <c r="AH3068" s="277"/>
      <c r="AI3068" s="277"/>
    </row>
    <row r="3069" spans="16:35" s="185" customFormat="1">
      <c r="P3069" s="277"/>
      <c r="Q3069" s="277"/>
      <c r="R3069" s="277"/>
      <c r="S3069" s="291">
        <v>44615</v>
      </c>
      <c r="T3069" s="279">
        <v>2976</v>
      </c>
      <c r="U3069" s="277"/>
      <c r="V3069" s="277"/>
      <c r="W3069" s="277"/>
      <c r="X3069" s="277"/>
      <c r="Y3069" s="277"/>
      <c r="Z3069" s="277"/>
      <c r="AA3069" s="277"/>
      <c r="AB3069" s="277"/>
      <c r="AC3069" s="277"/>
      <c r="AD3069" s="277"/>
      <c r="AE3069" s="277"/>
      <c r="AF3069" s="277"/>
      <c r="AG3069" s="277"/>
      <c r="AH3069" s="277"/>
      <c r="AI3069" s="277"/>
    </row>
    <row r="3070" spans="16:35" s="185" customFormat="1">
      <c r="P3070" s="277"/>
      <c r="Q3070" s="277"/>
      <c r="R3070" s="277"/>
      <c r="S3070" s="291">
        <v>44616</v>
      </c>
      <c r="T3070" s="279">
        <v>2977</v>
      </c>
      <c r="U3070" s="277"/>
      <c r="V3070" s="277"/>
      <c r="W3070" s="277"/>
      <c r="X3070" s="277"/>
      <c r="Y3070" s="277"/>
      <c r="Z3070" s="277"/>
      <c r="AA3070" s="277"/>
      <c r="AB3070" s="277"/>
      <c r="AC3070" s="277"/>
      <c r="AD3070" s="277"/>
      <c r="AE3070" s="277"/>
      <c r="AF3070" s="277"/>
      <c r="AG3070" s="277"/>
      <c r="AH3070" s="277"/>
      <c r="AI3070" s="277"/>
    </row>
    <row r="3071" spans="16:35" s="185" customFormat="1">
      <c r="P3071" s="277"/>
      <c r="Q3071" s="277"/>
      <c r="R3071" s="277"/>
      <c r="S3071" s="291">
        <v>44617</v>
      </c>
      <c r="T3071" s="279">
        <v>2978</v>
      </c>
      <c r="U3071" s="277"/>
      <c r="V3071" s="277"/>
      <c r="W3071" s="277"/>
      <c r="X3071" s="277"/>
      <c r="Y3071" s="277"/>
      <c r="Z3071" s="277"/>
      <c r="AA3071" s="277"/>
      <c r="AB3071" s="277"/>
      <c r="AC3071" s="277"/>
      <c r="AD3071" s="277"/>
      <c r="AE3071" s="277"/>
      <c r="AF3071" s="277"/>
      <c r="AG3071" s="277"/>
      <c r="AH3071" s="277"/>
      <c r="AI3071" s="277"/>
    </row>
    <row r="3072" spans="16:35" s="185" customFormat="1">
      <c r="P3072" s="277"/>
      <c r="Q3072" s="277"/>
      <c r="R3072" s="277"/>
      <c r="S3072" s="291">
        <v>44618</v>
      </c>
      <c r="T3072" s="279">
        <v>2979</v>
      </c>
      <c r="U3072" s="277"/>
      <c r="V3072" s="277"/>
      <c r="W3072" s="277"/>
      <c r="X3072" s="277"/>
      <c r="Y3072" s="277"/>
      <c r="Z3072" s="277"/>
      <c r="AA3072" s="277"/>
      <c r="AB3072" s="277"/>
      <c r="AC3072" s="277"/>
      <c r="AD3072" s="277"/>
      <c r="AE3072" s="277"/>
      <c r="AF3072" s="277"/>
      <c r="AG3072" s="277"/>
      <c r="AH3072" s="277"/>
      <c r="AI3072" s="277"/>
    </row>
    <row r="3073" spans="16:35" s="185" customFormat="1">
      <c r="P3073" s="277"/>
      <c r="Q3073" s="277"/>
      <c r="R3073" s="277"/>
      <c r="S3073" s="291">
        <v>44619</v>
      </c>
      <c r="T3073" s="279">
        <v>2980</v>
      </c>
      <c r="U3073" s="277"/>
      <c r="V3073" s="277"/>
      <c r="W3073" s="277"/>
      <c r="X3073" s="277"/>
      <c r="Y3073" s="277"/>
      <c r="Z3073" s="277"/>
      <c r="AA3073" s="277"/>
      <c r="AB3073" s="277"/>
      <c r="AC3073" s="277"/>
      <c r="AD3073" s="277"/>
      <c r="AE3073" s="277"/>
      <c r="AF3073" s="277"/>
      <c r="AG3073" s="277"/>
      <c r="AH3073" s="277"/>
      <c r="AI3073" s="277"/>
    </row>
    <row r="3074" spans="16:35" s="185" customFormat="1">
      <c r="P3074" s="277"/>
      <c r="Q3074" s="277"/>
      <c r="R3074" s="277"/>
      <c r="S3074" s="291">
        <v>44620</v>
      </c>
      <c r="T3074" s="279">
        <v>2981</v>
      </c>
      <c r="U3074" s="277"/>
      <c r="V3074" s="277"/>
      <c r="W3074" s="277"/>
      <c r="X3074" s="277"/>
      <c r="Y3074" s="277"/>
      <c r="Z3074" s="277"/>
      <c r="AA3074" s="277"/>
      <c r="AB3074" s="277"/>
      <c r="AC3074" s="277"/>
      <c r="AD3074" s="277"/>
      <c r="AE3074" s="277"/>
      <c r="AF3074" s="277"/>
      <c r="AG3074" s="277"/>
      <c r="AH3074" s="277"/>
      <c r="AI3074" s="277"/>
    </row>
    <row r="3075" spans="16:35" s="185" customFormat="1">
      <c r="P3075" s="277"/>
      <c r="Q3075" s="277"/>
      <c r="R3075" s="277"/>
      <c r="S3075" s="291">
        <v>44621</v>
      </c>
      <c r="T3075" s="279">
        <v>2982</v>
      </c>
      <c r="U3075" s="277"/>
      <c r="V3075" s="277"/>
      <c r="W3075" s="277"/>
      <c r="X3075" s="277"/>
      <c r="Y3075" s="277"/>
      <c r="Z3075" s="277"/>
      <c r="AA3075" s="277"/>
      <c r="AB3075" s="277"/>
      <c r="AC3075" s="277"/>
      <c r="AD3075" s="277"/>
      <c r="AE3075" s="277"/>
      <c r="AF3075" s="277"/>
      <c r="AG3075" s="277"/>
      <c r="AH3075" s="277"/>
      <c r="AI3075" s="277"/>
    </row>
    <row r="3076" spans="16:35" s="185" customFormat="1">
      <c r="P3076" s="277"/>
      <c r="Q3076" s="277"/>
      <c r="R3076" s="277"/>
      <c r="S3076" s="291">
        <v>44622</v>
      </c>
      <c r="T3076" s="279">
        <v>2983</v>
      </c>
      <c r="U3076" s="277"/>
      <c r="V3076" s="277"/>
      <c r="W3076" s="277"/>
      <c r="X3076" s="277"/>
      <c r="Y3076" s="277"/>
      <c r="Z3076" s="277"/>
      <c r="AA3076" s="277"/>
      <c r="AB3076" s="277"/>
      <c r="AC3076" s="277"/>
      <c r="AD3076" s="277"/>
      <c r="AE3076" s="277"/>
      <c r="AF3076" s="277"/>
      <c r="AG3076" s="277"/>
      <c r="AH3076" s="277"/>
      <c r="AI3076" s="277"/>
    </row>
    <row r="3077" spans="16:35" s="185" customFormat="1">
      <c r="P3077" s="277"/>
      <c r="Q3077" s="277"/>
      <c r="R3077" s="277"/>
      <c r="S3077" s="291">
        <v>44623</v>
      </c>
      <c r="T3077" s="279">
        <v>2984</v>
      </c>
      <c r="U3077" s="277"/>
      <c r="V3077" s="277"/>
      <c r="W3077" s="277"/>
      <c r="X3077" s="277"/>
      <c r="Y3077" s="277"/>
      <c r="Z3077" s="277"/>
      <c r="AA3077" s="277"/>
      <c r="AB3077" s="277"/>
      <c r="AC3077" s="277"/>
      <c r="AD3077" s="277"/>
      <c r="AE3077" s="277"/>
      <c r="AF3077" s="277"/>
      <c r="AG3077" s="277"/>
      <c r="AH3077" s="277"/>
      <c r="AI3077" s="277"/>
    </row>
    <row r="3078" spans="16:35" s="185" customFormat="1">
      <c r="P3078" s="277"/>
      <c r="Q3078" s="277"/>
      <c r="R3078" s="277"/>
      <c r="S3078" s="291">
        <v>44624</v>
      </c>
      <c r="T3078" s="279">
        <v>2985</v>
      </c>
      <c r="U3078" s="277"/>
      <c r="V3078" s="277"/>
      <c r="W3078" s="277"/>
      <c r="X3078" s="277"/>
      <c r="Y3078" s="277"/>
      <c r="Z3078" s="277"/>
      <c r="AA3078" s="277"/>
      <c r="AB3078" s="277"/>
      <c r="AC3078" s="277"/>
      <c r="AD3078" s="277"/>
      <c r="AE3078" s="277"/>
      <c r="AF3078" s="277"/>
      <c r="AG3078" s="277"/>
      <c r="AH3078" s="277"/>
      <c r="AI3078" s="277"/>
    </row>
    <row r="3079" spans="16:35" s="185" customFormat="1">
      <c r="P3079" s="277"/>
      <c r="Q3079" s="277"/>
      <c r="R3079" s="277"/>
      <c r="S3079" s="291">
        <v>44625</v>
      </c>
      <c r="T3079" s="279">
        <v>2986</v>
      </c>
      <c r="U3079" s="277"/>
      <c r="V3079" s="277"/>
      <c r="W3079" s="277"/>
      <c r="X3079" s="277"/>
      <c r="Y3079" s="277"/>
      <c r="Z3079" s="277"/>
      <c r="AA3079" s="277"/>
      <c r="AB3079" s="277"/>
      <c r="AC3079" s="277"/>
      <c r="AD3079" s="277"/>
      <c r="AE3079" s="277"/>
      <c r="AF3079" s="277"/>
      <c r="AG3079" s="277"/>
      <c r="AH3079" s="277"/>
      <c r="AI3079" s="277"/>
    </row>
    <row r="3080" spans="16:35" s="185" customFormat="1">
      <c r="P3080" s="277"/>
      <c r="Q3080" s="277"/>
      <c r="R3080" s="277"/>
      <c r="S3080" s="291">
        <v>44626</v>
      </c>
      <c r="T3080" s="279">
        <v>2987</v>
      </c>
      <c r="U3080" s="277"/>
      <c r="V3080" s="277"/>
      <c r="W3080" s="277"/>
      <c r="X3080" s="277"/>
      <c r="Y3080" s="277"/>
      <c r="Z3080" s="277"/>
      <c r="AA3080" s="277"/>
      <c r="AB3080" s="277"/>
      <c r="AC3080" s="277"/>
      <c r="AD3080" s="277"/>
      <c r="AE3080" s="277"/>
      <c r="AF3080" s="277"/>
      <c r="AG3080" s="277"/>
      <c r="AH3080" s="277"/>
      <c r="AI3080" s="277"/>
    </row>
    <row r="3081" spans="16:35" s="185" customFormat="1">
      <c r="P3081" s="277"/>
      <c r="Q3081" s="277"/>
      <c r="R3081" s="277"/>
      <c r="S3081" s="291">
        <v>44627</v>
      </c>
      <c r="T3081" s="279">
        <v>2988</v>
      </c>
      <c r="U3081" s="277"/>
      <c r="V3081" s="277"/>
      <c r="W3081" s="277"/>
      <c r="X3081" s="277"/>
      <c r="Y3081" s="277"/>
      <c r="Z3081" s="277"/>
      <c r="AA3081" s="277"/>
      <c r="AB3081" s="277"/>
      <c r="AC3081" s="277"/>
      <c r="AD3081" s="277"/>
      <c r="AE3081" s="277"/>
      <c r="AF3081" s="277"/>
      <c r="AG3081" s="277"/>
      <c r="AH3081" s="277"/>
      <c r="AI3081" s="277"/>
    </row>
    <row r="3082" spans="16:35" s="185" customFormat="1">
      <c r="P3082" s="277"/>
      <c r="Q3082" s="277"/>
      <c r="R3082" s="277"/>
      <c r="S3082" s="291">
        <v>44628</v>
      </c>
      <c r="T3082" s="279">
        <v>2989</v>
      </c>
      <c r="U3082" s="277"/>
      <c r="V3082" s="277"/>
      <c r="W3082" s="277"/>
      <c r="X3082" s="277"/>
      <c r="Y3082" s="277"/>
      <c r="Z3082" s="277"/>
      <c r="AA3082" s="277"/>
      <c r="AB3082" s="277"/>
      <c r="AC3082" s="277"/>
      <c r="AD3082" s="277"/>
      <c r="AE3082" s="277"/>
      <c r="AF3082" s="277"/>
      <c r="AG3082" s="277"/>
      <c r="AH3082" s="277"/>
      <c r="AI3082" s="277"/>
    </row>
    <row r="3083" spans="16:35" s="185" customFormat="1">
      <c r="P3083" s="277"/>
      <c r="Q3083" s="277"/>
      <c r="R3083" s="277"/>
      <c r="S3083" s="291">
        <v>44629</v>
      </c>
      <c r="T3083" s="279">
        <v>2990</v>
      </c>
      <c r="U3083" s="277"/>
      <c r="V3083" s="277"/>
      <c r="W3083" s="277"/>
      <c r="X3083" s="277"/>
      <c r="Y3083" s="277"/>
      <c r="Z3083" s="277"/>
      <c r="AA3083" s="277"/>
      <c r="AB3083" s="277"/>
      <c r="AC3083" s="277"/>
      <c r="AD3083" s="277"/>
      <c r="AE3083" s="277"/>
      <c r="AF3083" s="277"/>
      <c r="AG3083" s="277"/>
      <c r="AH3083" s="277"/>
      <c r="AI3083" s="277"/>
    </row>
    <row r="3084" spans="16:35" s="185" customFormat="1">
      <c r="P3084" s="277"/>
      <c r="Q3084" s="277"/>
      <c r="R3084" s="277"/>
      <c r="S3084" s="291">
        <v>44630</v>
      </c>
      <c r="T3084" s="279">
        <v>2991</v>
      </c>
      <c r="U3084" s="277"/>
      <c r="V3084" s="277"/>
      <c r="W3084" s="277"/>
      <c r="X3084" s="277"/>
      <c r="Y3084" s="277"/>
      <c r="Z3084" s="277"/>
      <c r="AA3084" s="277"/>
      <c r="AB3084" s="277"/>
      <c r="AC3084" s="277"/>
      <c r="AD3084" s="277"/>
      <c r="AE3084" s="277"/>
      <c r="AF3084" s="277"/>
      <c r="AG3084" s="277"/>
      <c r="AH3084" s="277"/>
      <c r="AI3084" s="277"/>
    </row>
    <row r="3085" spans="16:35" s="185" customFormat="1">
      <c r="P3085" s="277"/>
      <c r="Q3085" s="277"/>
      <c r="R3085" s="277"/>
      <c r="S3085" s="291">
        <v>44631</v>
      </c>
      <c r="T3085" s="279">
        <v>2992</v>
      </c>
      <c r="U3085" s="277"/>
      <c r="V3085" s="277"/>
      <c r="W3085" s="277"/>
      <c r="X3085" s="277"/>
      <c r="Y3085" s="277"/>
      <c r="Z3085" s="277"/>
      <c r="AA3085" s="277"/>
      <c r="AB3085" s="277"/>
      <c r="AC3085" s="277"/>
      <c r="AD3085" s="277"/>
      <c r="AE3085" s="277"/>
      <c r="AF3085" s="277"/>
      <c r="AG3085" s="277"/>
      <c r="AH3085" s="277"/>
      <c r="AI3085" s="277"/>
    </row>
    <row r="3086" spans="16:35" s="185" customFormat="1">
      <c r="P3086" s="277"/>
      <c r="Q3086" s="277"/>
      <c r="R3086" s="277"/>
      <c r="S3086" s="291">
        <v>44632</v>
      </c>
      <c r="T3086" s="279">
        <v>2993</v>
      </c>
      <c r="U3086" s="277"/>
      <c r="V3086" s="277"/>
      <c r="W3086" s="277"/>
      <c r="X3086" s="277"/>
      <c r="Y3086" s="277"/>
      <c r="Z3086" s="277"/>
      <c r="AA3086" s="277"/>
      <c r="AB3086" s="277"/>
      <c r="AC3086" s="277"/>
      <c r="AD3086" s="277"/>
      <c r="AE3086" s="277"/>
      <c r="AF3086" s="277"/>
      <c r="AG3086" s="277"/>
      <c r="AH3086" s="277"/>
      <c r="AI3086" s="277"/>
    </row>
    <row r="3087" spans="16:35" s="185" customFormat="1">
      <c r="P3087" s="277"/>
      <c r="Q3087" s="277"/>
      <c r="R3087" s="277"/>
      <c r="S3087" s="291">
        <v>44633</v>
      </c>
      <c r="T3087" s="279">
        <v>2994</v>
      </c>
      <c r="U3087" s="277"/>
      <c r="V3087" s="277"/>
      <c r="W3087" s="277"/>
      <c r="X3087" s="277"/>
      <c r="Y3087" s="277"/>
      <c r="Z3087" s="277"/>
      <c r="AA3087" s="277"/>
      <c r="AB3087" s="277"/>
      <c r="AC3087" s="277"/>
      <c r="AD3087" s="277"/>
      <c r="AE3087" s="277"/>
      <c r="AF3087" s="277"/>
      <c r="AG3087" s="277"/>
      <c r="AH3087" s="277"/>
      <c r="AI3087" s="277"/>
    </row>
    <row r="3088" spans="16:35" s="185" customFormat="1">
      <c r="P3088" s="277"/>
      <c r="Q3088" s="277"/>
      <c r="R3088" s="277"/>
      <c r="S3088" s="291">
        <v>44634</v>
      </c>
      <c r="T3088" s="279">
        <v>2995</v>
      </c>
      <c r="U3088" s="277"/>
      <c r="V3088" s="277"/>
      <c r="W3088" s="277"/>
      <c r="X3088" s="277"/>
      <c r="Y3088" s="277"/>
      <c r="Z3088" s="277"/>
      <c r="AA3088" s="277"/>
      <c r="AB3088" s="277"/>
      <c r="AC3088" s="277"/>
      <c r="AD3088" s="277"/>
      <c r="AE3088" s="277"/>
      <c r="AF3088" s="277"/>
      <c r="AG3088" s="277"/>
      <c r="AH3088" s="277"/>
      <c r="AI3088" s="277"/>
    </row>
    <row r="3089" spans="16:35" s="185" customFormat="1">
      <c r="P3089" s="277"/>
      <c r="Q3089" s="277"/>
      <c r="R3089" s="277"/>
      <c r="S3089" s="291">
        <v>44635</v>
      </c>
      <c r="T3089" s="279">
        <v>2996</v>
      </c>
      <c r="U3089" s="277"/>
      <c r="V3089" s="277"/>
      <c r="W3089" s="277"/>
      <c r="X3089" s="277"/>
      <c r="Y3089" s="277"/>
      <c r="Z3089" s="277"/>
      <c r="AA3089" s="277"/>
      <c r="AB3089" s="277"/>
      <c r="AC3089" s="277"/>
      <c r="AD3089" s="277"/>
      <c r="AE3089" s="277"/>
      <c r="AF3089" s="277"/>
      <c r="AG3089" s="277"/>
      <c r="AH3089" s="277"/>
      <c r="AI3089" s="277"/>
    </row>
    <row r="3090" spans="16:35" s="185" customFormat="1">
      <c r="P3090" s="277"/>
      <c r="Q3090" s="277"/>
      <c r="R3090" s="277"/>
      <c r="S3090" s="291">
        <v>44636</v>
      </c>
      <c r="T3090" s="279">
        <v>2997</v>
      </c>
      <c r="U3090" s="277"/>
      <c r="V3090" s="277"/>
      <c r="W3090" s="277"/>
      <c r="X3090" s="277"/>
      <c r="Y3090" s="277"/>
      <c r="Z3090" s="277"/>
      <c r="AA3090" s="277"/>
      <c r="AB3090" s="277"/>
      <c r="AC3090" s="277"/>
      <c r="AD3090" s="277"/>
      <c r="AE3090" s="277"/>
      <c r="AF3090" s="277"/>
      <c r="AG3090" s="277"/>
      <c r="AH3090" s="277"/>
      <c r="AI3090" s="277"/>
    </row>
    <row r="3091" spans="16:35" s="185" customFormat="1">
      <c r="P3091" s="277"/>
      <c r="Q3091" s="277"/>
      <c r="R3091" s="277"/>
      <c r="S3091" s="291">
        <v>44637</v>
      </c>
      <c r="T3091" s="279">
        <v>2998</v>
      </c>
      <c r="U3091" s="277"/>
      <c r="V3091" s="277"/>
      <c r="W3091" s="277"/>
      <c r="X3091" s="277"/>
      <c r="Y3091" s="277"/>
      <c r="Z3091" s="277"/>
      <c r="AA3091" s="277"/>
      <c r="AB3091" s="277"/>
      <c r="AC3091" s="277"/>
      <c r="AD3091" s="277"/>
      <c r="AE3091" s="277"/>
      <c r="AF3091" s="277"/>
      <c r="AG3091" s="277"/>
      <c r="AH3091" s="277"/>
      <c r="AI3091" s="277"/>
    </row>
    <row r="3092" spans="16:35" s="185" customFormat="1">
      <c r="P3092" s="277"/>
      <c r="Q3092" s="277"/>
      <c r="R3092" s="277"/>
      <c r="S3092" s="291">
        <v>44638</v>
      </c>
      <c r="T3092" s="279">
        <v>2999</v>
      </c>
      <c r="U3092" s="277"/>
      <c r="V3092" s="277"/>
      <c r="W3092" s="277"/>
      <c r="X3092" s="277"/>
      <c r="Y3092" s="277"/>
      <c r="Z3092" s="277"/>
      <c r="AA3092" s="277"/>
      <c r="AB3092" s="277"/>
      <c r="AC3092" s="277"/>
      <c r="AD3092" s="277"/>
      <c r="AE3092" s="277"/>
      <c r="AF3092" s="277"/>
      <c r="AG3092" s="277"/>
      <c r="AH3092" s="277"/>
      <c r="AI3092" s="277"/>
    </row>
    <row r="3093" spans="16:35" s="185" customFormat="1">
      <c r="P3093" s="277"/>
      <c r="Q3093" s="277"/>
      <c r="R3093" s="277"/>
      <c r="S3093" s="291">
        <v>44639</v>
      </c>
      <c r="T3093" s="279">
        <v>3000</v>
      </c>
      <c r="U3093" s="277"/>
      <c r="V3093" s="277"/>
      <c r="W3093" s="277"/>
      <c r="X3093" s="277"/>
      <c r="Y3093" s="277"/>
      <c r="Z3093" s="277"/>
      <c r="AA3093" s="277"/>
      <c r="AB3093" s="277"/>
      <c r="AC3093" s="277"/>
      <c r="AD3093" s="277"/>
      <c r="AE3093" s="277"/>
      <c r="AF3093" s="277"/>
      <c r="AG3093" s="277"/>
      <c r="AH3093" s="277"/>
      <c r="AI3093" s="277"/>
    </row>
    <row r="3094" spans="16:35" s="185" customFormat="1">
      <c r="P3094" s="277"/>
      <c r="Q3094" s="277"/>
      <c r="R3094" s="277"/>
      <c r="S3094" s="291">
        <v>44640</v>
      </c>
      <c r="T3094" s="279">
        <v>3001</v>
      </c>
      <c r="U3094" s="277"/>
      <c r="V3094" s="277"/>
      <c r="W3094" s="277"/>
      <c r="X3094" s="277"/>
      <c r="Y3094" s="277"/>
      <c r="Z3094" s="277"/>
      <c r="AA3094" s="277"/>
      <c r="AB3094" s="277"/>
      <c r="AC3094" s="277"/>
      <c r="AD3094" s="277"/>
      <c r="AE3094" s="277"/>
      <c r="AF3094" s="277"/>
      <c r="AG3094" s="277"/>
      <c r="AH3094" s="277"/>
      <c r="AI3094" s="277"/>
    </row>
    <row r="3095" spans="16:35" s="185" customFormat="1">
      <c r="P3095" s="277"/>
      <c r="Q3095" s="277"/>
      <c r="R3095" s="277"/>
      <c r="S3095" s="291">
        <v>44641</v>
      </c>
      <c r="T3095" s="279">
        <v>3002</v>
      </c>
      <c r="U3095" s="277"/>
      <c r="V3095" s="277"/>
      <c r="W3095" s="277"/>
      <c r="X3095" s="277"/>
      <c r="Y3095" s="277"/>
      <c r="Z3095" s="277"/>
      <c r="AA3095" s="277"/>
      <c r="AB3095" s="277"/>
      <c r="AC3095" s="277"/>
      <c r="AD3095" s="277"/>
      <c r="AE3095" s="277"/>
      <c r="AF3095" s="277"/>
      <c r="AG3095" s="277"/>
      <c r="AH3095" s="277"/>
      <c r="AI3095" s="277"/>
    </row>
    <row r="3096" spans="16:35" s="185" customFormat="1">
      <c r="P3096" s="277"/>
      <c r="Q3096" s="277"/>
      <c r="R3096" s="277"/>
      <c r="S3096" s="291">
        <v>44642</v>
      </c>
      <c r="T3096" s="279">
        <v>3003</v>
      </c>
      <c r="U3096" s="277"/>
      <c r="V3096" s="277"/>
      <c r="W3096" s="277"/>
      <c r="X3096" s="277"/>
      <c r="Y3096" s="277"/>
      <c r="Z3096" s="277"/>
      <c r="AA3096" s="277"/>
      <c r="AB3096" s="277"/>
      <c r="AC3096" s="277"/>
      <c r="AD3096" s="277"/>
      <c r="AE3096" s="277"/>
      <c r="AF3096" s="277"/>
      <c r="AG3096" s="277"/>
      <c r="AH3096" s="277"/>
      <c r="AI3096" s="277"/>
    </row>
    <row r="3097" spans="16:35" s="185" customFormat="1">
      <c r="P3097" s="277"/>
      <c r="Q3097" s="277"/>
      <c r="R3097" s="277"/>
      <c r="S3097" s="291">
        <v>44643</v>
      </c>
      <c r="T3097" s="279">
        <v>3004</v>
      </c>
      <c r="U3097" s="277"/>
      <c r="V3097" s="277"/>
      <c r="W3097" s="277"/>
      <c r="X3097" s="277"/>
      <c r="Y3097" s="277"/>
      <c r="Z3097" s="277"/>
      <c r="AA3097" s="277"/>
      <c r="AB3097" s="277"/>
      <c r="AC3097" s="277"/>
      <c r="AD3097" s="277"/>
      <c r="AE3097" s="277"/>
      <c r="AF3097" s="277"/>
      <c r="AG3097" s="277"/>
      <c r="AH3097" s="277"/>
      <c r="AI3097" s="277"/>
    </row>
    <row r="3098" spans="16:35" s="185" customFormat="1">
      <c r="P3098" s="277"/>
      <c r="Q3098" s="277"/>
      <c r="R3098" s="277"/>
      <c r="S3098" s="291">
        <v>44644</v>
      </c>
      <c r="T3098" s="279">
        <v>3005</v>
      </c>
      <c r="U3098" s="277"/>
      <c r="V3098" s="277"/>
      <c r="W3098" s="277"/>
      <c r="X3098" s="277"/>
      <c r="Y3098" s="277"/>
      <c r="Z3098" s="277"/>
      <c r="AA3098" s="277"/>
      <c r="AB3098" s="277"/>
      <c r="AC3098" s="277"/>
      <c r="AD3098" s="277"/>
      <c r="AE3098" s="277"/>
      <c r="AF3098" s="277"/>
      <c r="AG3098" s="277"/>
      <c r="AH3098" s="277"/>
      <c r="AI3098" s="277"/>
    </row>
    <row r="3099" spans="16:35" s="185" customFormat="1">
      <c r="P3099" s="277"/>
      <c r="Q3099" s="277"/>
      <c r="R3099" s="277"/>
      <c r="S3099" s="291">
        <v>44645</v>
      </c>
      <c r="T3099" s="279">
        <v>3006</v>
      </c>
      <c r="U3099" s="277"/>
      <c r="V3099" s="277"/>
      <c r="W3099" s="277"/>
      <c r="X3099" s="277"/>
      <c r="Y3099" s="277"/>
      <c r="Z3099" s="277"/>
      <c r="AA3099" s="277"/>
      <c r="AB3099" s="277"/>
      <c r="AC3099" s="277"/>
      <c r="AD3099" s="277"/>
      <c r="AE3099" s="277"/>
      <c r="AF3099" s="277"/>
      <c r="AG3099" s="277"/>
      <c r="AH3099" s="277"/>
      <c r="AI3099" s="277"/>
    </row>
    <row r="3100" spans="16:35" s="185" customFormat="1">
      <c r="P3100" s="277"/>
      <c r="Q3100" s="277"/>
      <c r="R3100" s="277"/>
      <c r="S3100" s="291">
        <v>44646</v>
      </c>
      <c r="T3100" s="279">
        <v>3007</v>
      </c>
      <c r="U3100" s="277"/>
      <c r="V3100" s="277"/>
      <c r="W3100" s="277"/>
      <c r="X3100" s="277"/>
      <c r="Y3100" s="277"/>
      <c r="Z3100" s="277"/>
      <c r="AA3100" s="277"/>
      <c r="AB3100" s="277"/>
      <c r="AC3100" s="277"/>
      <c r="AD3100" s="277"/>
      <c r="AE3100" s="277"/>
      <c r="AF3100" s="277"/>
      <c r="AG3100" s="277"/>
      <c r="AH3100" s="277"/>
      <c r="AI3100" s="277"/>
    </row>
    <row r="3101" spans="16:35" s="185" customFormat="1">
      <c r="P3101" s="277"/>
      <c r="Q3101" s="277"/>
      <c r="R3101" s="277"/>
      <c r="S3101" s="291">
        <v>44647</v>
      </c>
      <c r="T3101" s="279">
        <v>3008</v>
      </c>
      <c r="U3101" s="277"/>
      <c r="V3101" s="277"/>
      <c r="W3101" s="277"/>
      <c r="X3101" s="277"/>
      <c r="Y3101" s="277"/>
      <c r="Z3101" s="277"/>
      <c r="AA3101" s="277"/>
      <c r="AB3101" s="277"/>
      <c r="AC3101" s="277"/>
      <c r="AD3101" s="277"/>
      <c r="AE3101" s="277"/>
      <c r="AF3101" s="277"/>
      <c r="AG3101" s="277"/>
      <c r="AH3101" s="277"/>
      <c r="AI3101" s="277"/>
    </row>
    <row r="3102" spans="16:35" s="185" customFormat="1">
      <c r="P3102" s="277"/>
      <c r="Q3102" s="277"/>
      <c r="R3102" s="277"/>
      <c r="S3102" s="291">
        <v>44648</v>
      </c>
      <c r="T3102" s="279">
        <v>3009</v>
      </c>
      <c r="U3102" s="277"/>
      <c r="V3102" s="277"/>
      <c r="W3102" s="277"/>
      <c r="X3102" s="277"/>
      <c r="Y3102" s="277"/>
      <c r="Z3102" s="277"/>
      <c r="AA3102" s="277"/>
      <c r="AB3102" s="277"/>
      <c r="AC3102" s="277"/>
      <c r="AD3102" s="277"/>
      <c r="AE3102" s="277"/>
      <c r="AF3102" s="277"/>
      <c r="AG3102" s="277"/>
      <c r="AH3102" s="277"/>
      <c r="AI3102" s="277"/>
    </row>
    <row r="3103" spans="16:35" s="185" customFormat="1">
      <c r="P3103" s="277"/>
      <c r="Q3103" s="277"/>
      <c r="R3103" s="277"/>
      <c r="S3103" s="291">
        <v>44649</v>
      </c>
      <c r="T3103" s="279">
        <v>3010</v>
      </c>
      <c r="U3103" s="277"/>
      <c r="V3103" s="277"/>
      <c r="W3103" s="277"/>
      <c r="X3103" s="277"/>
      <c r="Y3103" s="277"/>
      <c r="Z3103" s="277"/>
      <c r="AA3103" s="277"/>
      <c r="AB3103" s="277"/>
      <c r="AC3103" s="277"/>
      <c r="AD3103" s="277"/>
      <c r="AE3103" s="277"/>
      <c r="AF3103" s="277"/>
      <c r="AG3103" s="277"/>
      <c r="AH3103" s="277"/>
      <c r="AI3103" s="277"/>
    </row>
    <row r="3104" spans="16:35" s="185" customFormat="1">
      <c r="P3104" s="277"/>
      <c r="Q3104" s="277"/>
      <c r="R3104" s="277"/>
      <c r="S3104" s="291">
        <v>44650</v>
      </c>
      <c r="T3104" s="279">
        <v>3011</v>
      </c>
      <c r="U3104" s="277"/>
      <c r="V3104" s="277"/>
      <c r="W3104" s="277"/>
      <c r="X3104" s="277"/>
      <c r="Y3104" s="277"/>
      <c r="Z3104" s="277"/>
      <c r="AA3104" s="277"/>
      <c r="AB3104" s="277"/>
      <c r="AC3104" s="277"/>
      <c r="AD3104" s="277"/>
      <c r="AE3104" s="277"/>
      <c r="AF3104" s="277"/>
      <c r="AG3104" s="277"/>
      <c r="AH3104" s="277"/>
      <c r="AI3104" s="277"/>
    </row>
    <row r="3105" spans="16:35" s="185" customFormat="1">
      <c r="P3105" s="277"/>
      <c r="Q3105" s="277"/>
      <c r="R3105" s="277"/>
      <c r="S3105" s="291">
        <v>44651</v>
      </c>
      <c r="T3105" s="279">
        <v>3012</v>
      </c>
      <c r="U3105" s="277"/>
      <c r="V3105" s="277"/>
      <c r="W3105" s="277"/>
      <c r="X3105" s="277"/>
      <c r="Y3105" s="277"/>
      <c r="Z3105" s="277"/>
      <c r="AA3105" s="277"/>
      <c r="AB3105" s="277"/>
      <c r="AC3105" s="277"/>
      <c r="AD3105" s="277"/>
      <c r="AE3105" s="277"/>
      <c r="AF3105" s="277"/>
      <c r="AG3105" s="277"/>
      <c r="AH3105" s="277"/>
      <c r="AI3105" s="277"/>
    </row>
    <row r="3106" spans="16:35" s="185" customFormat="1">
      <c r="P3106" s="277"/>
      <c r="Q3106" s="277"/>
      <c r="R3106" s="277"/>
      <c r="S3106" s="291">
        <v>44652</v>
      </c>
      <c r="T3106" s="279">
        <v>3013</v>
      </c>
      <c r="U3106" s="277"/>
      <c r="V3106" s="277"/>
      <c r="W3106" s="277"/>
      <c r="X3106" s="277"/>
      <c r="Y3106" s="277"/>
      <c r="Z3106" s="277"/>
      <c r="AA3106" s="277"/>
      <c r="AB3106" s="277"/>
      <c r="AC3106" s="277"/>
      <c r="AD3106" s="277"/>
      <c r="AE3106" s="277"/>
      <c r="AF3106" s="277"/>
      <c r="AG3106" s="277"/>
      <c r="AH3106" s="277"/>
      <c r="AI3106" s="277"/>
    </row>
    <row r="3107" spans="16:35" s="185" customFormat="1">
      <c r="P3107" s="277"/>
      <c r="Q3107" s="277"/>
      <c r="R3107" s="277"/>
      <c r="S3107" s="291">
        <v>44653</v>
      </c>
      <c r="T3107" s="279">
        <v>3014</v>
      </c>
      <c r="U3107" s="277"/>
      <c r="V3107" s="277"/>
      <c r="W3107" s="277"/>
      <c r="X3107" s="277"/>
      <c r="Y3107" s="277"/>
      <c r="Z3107" s="277"/>
      <c r="AA3107" s="277"/>
      <c r="AB3107" s="277"/>
      <c r="AC3107" s="277"/>
      <c r="AD3107" s="277"/>
      <c r="AE3107" s="277"/>
      <c r="AF3107" s="277"/>
      <c r="AG3107" s="277"/>
      <c r="AH3107" s="277"/>
      <c r="AI3107" s="277"/>
    </row>
    <row r="3108" spans="16:35" s="185" customFormat="1">
      <c r="P3108" s="277"/>
      <c r="Q3108" s="277"/>
      <c r="R3108" s="277"/>
      <c r="S3108" s="291">
        <v>44654</v>
      </c>
      <c r="T3108" s="279">
        <v>3015</v>
      </c>
      <c r="U3108" s="277"/>
      <c r="V3108" s="277"/>
      <c r="W3108" s="277"/>
      <c r="X3108" s="277"/>
      <c r="Y3108" s="277"/>
      <c r="Z3108" s="277"/>
      <c r="AA3108" s="277"/>
      <c r="AB3108" s="277"/>
      <c r="AC3108" s="277"/>
      <c r="AD3108" s="277"/>
      <c r="AE3108" s="277"/>
      <c r="AF3108" s="277"/>
      <c r="AG3108" s="277"/>
      <c r="AH3108" s="277"/>
      <c r="AI3108" s="277"/>
    </row>
    <row r="3109" spans="16:35" s="185" customFormat="1">
      <c r="P3109" s="277"/>
      <c r="Q3109" s="277"/>
      <c r="R3109" s="277"/>
      <c r="S3109" s="291">
        <v>44655</v>
      </c>
      <c r="T3109" s="279">
        <v>3016</v>
      </c>
      <c r="U3109" s="277"/>
      <c r="V3109" s="277"/>
      <c r="W3109" s="277"/>
      <c r="X3109" s="277"/>
      <c r="Y3109" s="277"/>
      <c r="Z3109" s="277"/>
      <c r="AA3109" s="277"/>
      <c r="AB3109" s="277"/>
      <c r="AC3109" s="277"/>
      <c r="AD3109" s="277"/>
      <c r="AE3109" s="277"/>
      <c r="AF3109" s="277"/>
      <c r="AG3109" s="277"/>
      <c r="AH3109" s="277"/>
      <c r="AI3109" s="277"/>
    </row>
    <row r="3110" spans="16:35" s="185" customFormat="1">
      <c r="P3110" s="277"/>
      <c r="Q3110" s="277"/>
      <c r="R3110" s="277"/>
      <c r="S3110" s="291">
        <v>44656</v>
      </c>
      <c r="T3110" s="279">
        <v>3017</v>
      </c>
      <c r="U3110" s="277"/>
      <c r="V3110" s="277"/>
      <c r="W3110" s="277"/>
      <c r="X3110" s="277"/>
      <c r="Y3110" s="277"/>
      <c r="Z3110" s="277"/>
      <c r="AA3110" s="277"/>
      <c r="AB3110" s="277"/>
      <c r="AC3110" s="277"/>
      <c r="AD3110" s="277"/>
      <c r="AE3110" s="277"/>
      <c r="AF3110" s="277"/>
      <c r="AG3110" s="277"/>
      <c r="AH3110" s="277"/>
      <c r="AI3110" s="277"/>
    </row>
    <row r="3111" spans="16:35" s="185" customFormat="1">
      <c r="P3111" s="277"/>
      <c r="Q3111" s="277"/>
      <c r="R3111" s="277"/>
      <c r="S3111" s="291">
        <v>44657</v>
      </c>
      <c r="T3111" s="279">
        <v>3018</v>
      </c>
      <c r="U3111" s="277"/>
      <c r="V3111" s="277"/>
      <c r="W3111" s="277"/>
      <c r="X3111" s="277"/>
      <c r="Y3111" s="277"/>
      <c r="Z3111" s="277"/>
      <c r="AA3111" s="277"/>
      <c r="AB3111" s="277"/>
      <c r="AC3111" s="277"/>
      <c r="AD3111" s="277"/>
      <c r="AE3111" s="277"/>
      <c r="AF3111" s="277"/>
      <c r="AG3111" s="277"/>
      <c r="AH3111" s="277"/>
      <c r="AI3111" s="277"/>
    </row>
    <row r="3112" spans="16:35" s="185" customFormat="1">
      <c r="P3112" s="277"/>
      <c r="Q3112" s="277"/>
      <c r="R3112" s="277"/>
      <c r="S3112" s="291">
        <v>44658</v>
      </c>
      <c r="T3112" s="279">
        <v>3019</v>
      </c>
      <c r="U3112" s="277"/>
      <c r="V3112" s="277"/>
      <c r="W3112" s="277"/>
      <c r="X3112" s="277"/>
      <c r="Y3112" s="277"/>
      <c r="Z3112" s="277"/>
      <c r="AA3112" s="277"/>
      <c r="AB3112" s="277"/>
      <c r="AC3112" s="277"/>
      <c r="AD3112" s="277"/>
      <c r="AE3112" s="277"/>
      <c r="AF3112" s="277"/>
      <c r="AG3112" s="277"/>
      <c r="AH3112" s="277"/>
      <c r="AI3112" s="277"/>
    </row>
    <row r="3113" spans="16:35" s="185" customFormat="1">
      <c r="P3113" s="277"/>
      <c r="Q3113" s="277"/>
      <c r="R3113" s="277"/>
      <c r="S3113" s="291">
        <v>44659</v>
      </c>
      <c r="T3113" s="279">
        <v>3020</v>
      </c>
      <c r="U3113" s="277"/>
      <c r="V3113" s="277"/>
      <c r="W3113" s="277"/>
      <c r="X3113" s="277"/>
      <c r="Y3113" s="277"/>
      <c r="Z3113" s="277"/>
      <c r="AA3113" s="277"/>
      <c r="AB3113" s="277"/>
      <c r="AC3113" s="277"/>
      <c r="AD3113" s="277"/>
      <c r="AE3113" s="277"/>
      <c r="AF3113" s="277"/>
      <c r="AG3113" s="277"/>
      <c r="AH3113" s="277"/>
      <c r="AI3113" s="277"/>
    </row>
    <row r="3114" spans="16:35" s="185" customFormat="1">
      <c r="P3114" s="277"/>
      <c r="Q3114" s="277"/>
      <c r="R3114" s="277"/>
      <c r="S3114" s="291">
        <v>44660</v>
      </c>
      <c r="T3114" s="279">
        <v>3021</v>
      </c>
      <c r="U3114" s="277"/>
      <c r="V3114" s="277"/>
      <c r="W3114" s="277"/>
      <c r="X3114" s="277"/>
      <c r="Y3114" s="277"/>
      <c r="Z3114" s="277"/>
      <c r="AA3114" s="277"/>
      <c r="AB3114" s="277"/>
      <c r="AC3114" s="277"/>
      <c r="AD3114" s="277"/>
      <c r="AE3114" s="277"/>
      <c r="AF3114" s="277"/>
      <c r="AG3114" s="277"/>
      <c r="AH3114" s="277"/>
      <c r="AI3114" s="277"/>
    </row>
    <row r="3115" spans="16:35" s="185" customFormat="1">
      <c r="P3115" s="277"/>
      <c r="Q3115" s="277"/>
      <c r="R3115" s="277"/>
      <c r="S3115" s="291">
        <v>44661</v>
      </c>
      <c r="T3115" s="279">
        <v>3022</v>
      </c>
      <c r="U3115" s="277"/>
      <c r="V3115" s="277"/>
      <c r="W3115" s="277"/>
      <c r="X3115" s="277"/>
      <c r="Y3115" s="277"/>
      <c r="Z3115" s="277"/>
      <c r="AA3115" s="277"/>
      <c r="AB3115" s="277"/>
      <c r="AC3115" s="277"/>
      <c r="AD3115" s="277"/>
      <c r="AE3115" s="277"/>
      <c r="AF3115" s="277"/>
      <c r="AG3115" s="277"/>
      <c r="AH3115" s="277"/>
      <c r="AI3115" s="277"/>
    </row>
    <row r="3116" spans="16:35" s="185" customFormat="1">
      <c r="P3116" s="277"/>
      <c r="Q3116" s="277"/>
      <c r="R3116" s="277"/>
      <c r="S3116" s="291">
        <v>44662</v>
      </c>
      <c r="T3116" s="279">
        <v>3023</v>
      </c>
      <c r="U3116" s="277"/>
      <c r="V3116" s="277"/>
      <c r="W3116" s="277"/>
      <c r="X3116" s="277"/>
      <c r="Y3116" s="277"/>
      <c r="Z3116" s="277"/>
      <c r="AA3116" s="277"/>
      <c r="AB3116" s="277"/>
      <c r="AC3116" s="277"/>
      <c r="AD3116" s="277"/>
      <c r="AE3116" s="277"/>
      <c r="AF3116" s="277"/>
      <c r="AG3116" s="277"/>
      <c r="AH3116" s="277"/>
      <c r="AI3116" s="277"/>
    </row>
    <row r="3117" spans="16:35" s="185" customFormat="1">
      <c r="P3117" s="277"/>
      <c r="Q3117" s="277"/>
      <c r="R3117" s="277"/>
      <c r="S3117" s="291">
        <v>44663</v>
      </c>
      <c r="T3117" s="279">
        <v>3024</v>
      </c>
      <c r="U3117" s="277"/>
      <c r="V3117" s="277"/>
      <c r="W3117" s="277"/>
      <c r="X3117" s="277"/>
      <c r="Y3117" s="277"/>
      <c r="Z3117" s="277"/>
      <c r="AA3117" s="277"/>
      <c r="AB3117" s="277"/>
      <c r="AC3117" s="277"/>
      <c r="AD3117" s="277"/>
      <c r="AE3117" s="277"/>
      <c r="AF3117" s="277"/>
      <c r="AG3117" s="277"/>
      <c r="AH3117" s="277"/>
      <c r="AI3117" s="277"/>
    </row>
    <row r="3118" spans="16:35" s="185" customFormat="1">
      <c r="P3118" s="277"/>
      <c r="Q3118" s="277"/>
      <c r="R3118" s="277"/>
      <c r="S3118" s="291">
        <v>44664</v>
      </c>
      <c r="T3118" s="279">
        <v>3025</v>
      </c>
      <c r="U3118" s="277"/>
      <c r="V3118" s="277"/>
      <c r="W3118" s="277"/>
      <c r="X3118" s="277"/>
      <c r="Y3118" s="277"/>
      <c r="Z3118" s="277"/>
      <c r="AA3118" s="277"/>
      <c r="AB3118" s="277"/>
      <c r="AC3118" s="277"/>
      <c r="AD3118" s="277"/>
      <c r="AE3118" s="277"/>
      <c r="AF3118" s="277"/>
      <c r="AG3118" s="277"/>
      <c r="AH3118" s="277"/>
      <c r="AI3118" s="277"/>
    </row>
    <row r="3119" spans="16:35" s="185" customFormat="1">
      <c r="P3119" s="277"/>
      <c r="Q3119" s="277"/>
      <c r="R3119" s="277"/>
      <c r="S3119" s="291">
        <v>44665</v>
      </c>
      <c r="T3119" s="279">
        <v>3026</v>
      </c>
      <c r="U3119" s="277"/>
      <c r="V3119" s="277"/>
      <c r="W3119" s="277"/>
      <c r="X3119" s="277"/>
      <c r="Y3119" s="277"/>
      <c r="Z3119" s="277"/>
      <c r="AA3119" s="277"/>
      <c r="AB3119" s="277"/>
      <c r="AC3119" s="277"/>
      <c r="AD3119" s="277"/>
      <c r="AE3119" s="277"/>
      <c r="AF3119" s="277"/>
      <c r="AG3119" s="277"/>
      <c r="AH3119" s="277"/>
      <c r="AI3119" s="277"/>
    </row>
    <row r="3120" spans="16:35" s="185" customFormat="1">
      <c r="P3120" s="277"/>
      <c r="Q3120" s="277"/>
      <c r="R3120" s="277"/>
      <c r="S3120" s="291">
        <v>44666</v>
      </c>
      <c r="T3120" s="279">
        <v>3027</v>
      </c>
      <c r="U3120" s="277"/>
      <c r="V3120" s="277"/>
      <c r="W3120" s="277"/>
      <c r="X3120" s="277"/>
      <c r="Y3120" s="277"/>
      <c r="Z3120" s="277"/>
      <c r="AA3120" s="277"/>
      <c r="AB3120" s="277"/>
      <c r="AC3120" s="277"/>
      <c r="AD3120" s="277"/>
      <c r="AE3120" s="277"/>
      <c r="AF3120" s="277"/>
      <c r="AG3120" s="277"/>
      <c r="AH3120" s="277"/>
      <c r="AI3120" s="277"/>
    </row>
    <row r="3121" spans="16:35" s="185" customFormat="1">
      <c r="P3121" s="277"/>
      <c r="Q3121" s="277"/>
      <c r="R3121" s="277"/>
      <c r="S3121" s="291">
        <v>44667</v>
      </c>
      <c r="T3121" s="279">
        <v>3028</v>
      </c>
      <c r="U3121" s="277"/>
      <c r="V3121" s="277"/>
      <c r="W3121" s="277"/>
      <c r="X3121" s="277"/>
      <c r="Y3121" s="277"/>
      <c r="Z3121" s="277"/>
      <c r="AA3121" s="277"/>
      <c r="AB3121" s="277"/>
      <c r="AC3121" s="277"/>
      <c r="AD3121" s="277"/>
      <c r="AE3121" s="277"/>
      <c r="AF3121" s="277"/>
      <c r="AG3121" s="277"/>
      <c r="AH3121" s="277"/>
      <c r="AI3121" s="277"/>
    </row>
    <row r="3122" spans="16:35" s="185" customFormat="1">
      <c r="P3122" s="277"/>
      <c r="Q3122" s="277"/>
      <c r="R3122" s="277"/>
      <c r="S3122" s="291">
        <v>44668</v>
      </c>
      <c r="T3122" s="279">
        <v>3029</v>
      </c>
      <c r="U3122" s="277"/>
      <c r="V3122" s="277"/>
      <c r="W3122" s="277"/>
      <c r="X3122" s="277"/>
      <c r="Y3122" s="277"/>
      <c r="Z3122" s="277"/>
      <c r="AA3122" s="277"/>
      <c r="AB3122" s="277"/>
      <c r="AC3122" s="277"/>
      <c r="AD3122" s="277"/>
      <c r="AE3122" s="277"/>
      <c r="AF3122" s="277"/>
      <c r="AG3122" s="277"/>
      <c r="AH3122" s="277"/>
      <c r="AI3122" s="277"/>
    </row>
    <row r="3123" spans="16:35" s="185" customFormat="1">
      <c r="P3123" s="277"/>
      <c r="Q3123" s="277"/>
      <c r="R3123" s="277"/>
      <c r="S3123" s="291">
        <v>44669</v>
      </c>
      <c r="T3123" s="279">
        <v>3030</v>
      </c>
      <c r="U3123" s="277"/>
      <c r="V3123" s="277"/>
      <c r="W3123" s="277"/>
      <c r="X3123" s="277"/>
      <c r="Y3123" s="277"/>
      <c r="Z3123" s="277"/>
      <c r="AA3123" s="277"/>
      <c r="AB3123" s="277"/>
      <c r="AC3123" s="277"/>
      <c r="AD3123" s="277"/>
      <c r="AE3123" s="277"/>
      <c r="AF3123" s="277"/>
      <c r="AG3123" s="277"/>
      <c r="AH3123" s="277"/>
      <c r="AI3123" s="277"/>
    </row>
    <row r="3124" spans="16:35" s="185" customFormat="1">
      <c r="P3124" s="277"/>
      <c r="Q3124" s="277"/>
      <c r="R3124" s="277"/>
      <c r="S3124" s="291">
        <v>44670</v>
      </c>
      <c r="T3124" s="279">
        <v>3031</v>
      </c>
      <c r="U3124" s="277"/>
      <c r="V3124" s="277"/>
      <c r="W3124" s="277"/>
      <c r="X3124" s="277"/>
      <c r="Y3124" s="277"/>
      <c r="Z3124" s="277"/>
      <c r="AA3124" s="277"/>
      <c r="AB3124" s="277"/>
      <c r="AC3124" s="277"/>
      <c r="AD3124" s="277"/>
      <c r="AE3124" s="277"/>
      <c r="AF3124" s="277"/>
      <c r="AG3124" s="277"/>
      <c r="AH3124" s="277"/>
      <c r="AI3124" s="277"/>
    </row>
    <row r="3125" spans="16:35" s="185" customFormat="1">
      <c r="P3125" s="277"/>
      <c r="Q3125" s="277"/>
      <c r="R3125" s="277"/>
      <c r="S3125" s="291">
        <v>44671</v>
      </c>
      <c r="T3125" s="279">
        <v>3032</v>
      </c>
      <c r="U3125" s="277"/>
      <c r="V3125" s="277"/>
      <c r="W3125" s="277"/>
      <c r="X3125" s="277"/>
      <c r="Y3125" s="277"/>
      <c r="Z3125" s="277"/>
      <c r="AA3125" s="277"/>
      <c r="AB3125" s="277"/>
      <c r="AC3125" s="277"/>
      <c r="AD3125" s="277"/>
      <c r="AE3125" s="277"/>
      <c r="AF3125" s="277"/>
      <c r="AG3125" s="277"/>
      <c r="AH3125" s="277"/>
      <c r="AI3125" s="277"/>
    </row>
    <row r="3126" spans="16:35" s="185" customFormat="1">
      <c r="P3126" s="277"/>
      <c r="Q3126" s="277"/>
      <c r="R3126" s="277"/>
      <c r="S3126" s="291">
        <v>44672</v>
      </c>
      <c r="T3126" s="279">
        <v>3033</v>
      </c>
      <c r="U3126" s="277"/>
      <c r="V3126" s="277"/>
      <c r="W3126" s="277"/>
      <c r="X3126" s="277"/>
      <c r="Y3126" s="277"/>
      <c r="Z3126" s="277"/>
      <c r="AA3126" s="277"/>
      <c r="AB3126" s="277"/>
      <c r="AC3126" s="277"/>
      <c r="AD3126" s="277"/>
      <c r="AE3126" s="277"/>
      <c r="AF3126" s="277"/>
      <c r="AG3126" s="277"/>
      <c r="AH3126" s="277"/>
      <c r="AI3126" s="277"/>
    </row>
    <row r="3127" spans="16:35" s="185" customFormat="1">
      <c r="P3127" s="277"/>
      <c r="Q3127" s="277"/>
      <c r="R3127" s="277"/>
      <c r="S3127" s="291">
        <v>44673</v>
      </c>
      <c r="T3127" s="279">
        <v>3034</v>
      </c>
      <c r="U3127" s="277"/>
      <c r="V3127" s="277"/>
      <c r="W3127" s="277"/>
      <c r="X3127" s="277"/>
      <c r="Y3127" s="277"/>
      <c r="Z3127" s="277"/>
      <c r="AA3127" s="277"/>
      <c r="AB3127" s="277"/>
      <c r="AC3127" s="277"/>
      <c r="AD3127" s="277"/>
      <c r="AE3127" s="277"/>
      <c r="AF3127" s="277"/>
      <c r="AG3127" s="277"/>
      <c r="AH3127" s="277"/>
      <c r="AI3127" s="277"/>
    </row>
    <row r="3128" spans="16:35" s="185" customFormat="1">
      <c r="P3128" s="277"/>
      <c r="Q3128" s="277"/>
      <c r="R3128" s="277"/>
      <c r="S3128" s="291">
        <v>44674</v>
      </c>
      <c r="T3128" s="279">
        <v>3035</v>
      </c>
      <c r="U3128" s="277"/>
      <c r="V3128" s="277"/>
      <c r="W3128" s="277"/>
      <c r="X3128" s="277"/>
      <c r="Y3128" s="277"/>
      <c r="Z3128" s="277"/>
      <c r="AA3128" s="277"/>
      <c r="AB3128" s="277"/>
      <c r="AC3128" s="277"/>
      <c r="AD3128" s="277"/>
      <c r="AE3128" s="277"/>
      <c r="AF3128" s="277"/>
      <c r="AG3128" s="277"/>
      <c r="AH3128" s="277"/>
      <c r="AI3128" s="277"/>
    </row>
    <row r="3129" spans="16:35" s="185" customFormat="1">
      <c r="P3129" s="277"/>
      <c r="Q3129" s="277"/>
      <c r="R3129" s="277"/>
      <c r="S3129" s="291">
        <v>44675</v>
      </c>
      <c r="T3129" s="279">
        <v>3036</v>
      </c>
      <c r="U3129" s="277"/>
      <c r="V3129" s="277"/>
      <c r="W3129" s="277"/>
      <c r="X3129" s="277"/>
      <c r="Y3129" s="277"/>
      <c r="Z3129" s="277"/>
      <c r="AA3129" s="277"/>
      <c r="AB3129" s="277"/>
      <c r="AC3129" s="277"/>
      <c r="AD3129" s="277"/>
      <c r="AE3129" s="277"/>
      <c r="AF3129" s="277"/>
      <c r="AG3129" s="277"/>
      <c r="AH3129" s="277"/>
      <c r="AI3129" s="277"/>
    </row>
    <row r="3130" spans="16:35" s="185" customFormat="1">
      <c r="P3130" s="277"/>
      <c r="Q3130" s="277"/>
      <c r="R3130" s="277"/>
      <c r="S3130" s="291">
        <v>44676</v>
      </c>
      <c r="T3130" s="279">
        <v>3037</v>
      </c>
      <c r="U3130" s="277"/>
      <c r="V3130" s="277"/>
      <c r="W3130" s="277"/>
      <c r="X3130" s="277"/>
      <c r="Y3130" s="277"/>
      <c r="Z3130" s="277"/>
      <c r="AA3130" s="277"/>
      <c r="AB3130" s="277"/>
      <c r="AC3130" s="277"/>
      <c r="AD3130" s="277"/>
      <c r="AE3130" s="277"/>
      <c r="AF3130" s="277"/>
      <c r="AG3130" s="277"/>
      <c r="AH3130" s="277"/>
      <c r="AI3130" s="277"/>
    </row>
    <row r="3131" spans="16:35" s="185" customFormat="1">
      <c r="P3131" s="277"/>
      <c r="Q3131" s="277"/>
      <c r="R3131" s="277"/>
      <c r="S3131" s="291">
        <v>44677</v>
      </c>
      <c r="T3131" s="279">
        <v>3038</v>
      </c>
      <c r="U3131" s="277"/>
      <c r="V3131" s="277"/>
      <c r="W3131" s="277"/>
      <c r="X3131" s="277"/>
      <c r="Y3131" s="277"/>
      <c r="Z3131" s="277"/>
      <c r="AA3131" s="277"/>
      <c r="AB3131" s="277"/>
      <c r="AC3131" s="277"/>
      <c r="AD3131" s="277"/>
      <c r="AE3131" s="277"/>
      <c r="AF3131" s="277"/>
      <c r="AG3131" s="277"/>
      <c r="AH3131" s="277"/>
      <c r="AI3131" s="277"/>
    </row>
    <row r="3132" spans="16:35" s="185" customFormat="1">
      <c r="P3132" s="277"/>
      <c r="Q3132" s="277"/>
      <c r="R3132" s="277"/>
      <c r="S3132" s="291">
        <v>44678</v>
      </c>
      <c r="T3132" s="279">
        <v>3039</v>
      </c>
      <c r="U3132" s="277"/>
      <c r="V3132" s="277"/>
      <c r="W3132" s="277"/>
      <c r="X3132" s="277"/>
      <c r="Y3132" s="277"/>
      <c r="Z3132" s="277"/>
      <c r="AA3132" s="277"/>
      <c r="AB3132" s="277"/>
      <c r="AC3132" s="277"/>
      <c r="AD3132" s="277"/>
      <c r="AE3132" s="277"/>
      <c r="AF3132" s="277"/>
      <c r="AG3132" s="277"/>
      <c r="AH3132" s="277"/>
      <c r="AI3132" s="277"/>
    </row>
    <row r="3133" spans="16:35" s="185" customFormat="1">
      <c r="P3133" s="277"/>
      <c r="Q3133" s="277"/>
      <c r="R3133" s="277"/>
      <c r="S3133" s="291">
        <v>44679</v>
      </c>
      <c r="T3133" s="279">
        <v>3040</v>
      </c>
      <c r="U3133" s="277"/>
      <c r="V3133" s="277"/>
      <c r="W3133" s="277"/>
      <c r="X3133" s="277"/>
      <c r="Y3133" s="277"/>
      <c r="Z3133" s="277"/>
      <c r="AA3133" s="277"/>
      <c r="AB3133" s="277"/>
      <c r="AC3133" s="277"/>
      <c r="AD3133" s="277"/>
      <c r="AE3133" s="277"/>
      <c r="AF3133" s="277"/>
      <c r="AG3133" s="277"/>
      <c r="AH3133" s="277"/>
      <c r="AI3133" s="277"/>
    </row>
    <row r="3134" spans="16:35" s="185" customFormat="1">
      <c r="P3134" s="277"/>
      <c r="Q3134" s="277"/>
      <c r="R3134" s="277"/>
      <c r="S3134" s="291">
        <v>44680</v>
      </c>
      <c r="T3134" s="279">
        <v>3041</v>
      </c>
      <c r="U3134" s="277"/>
      <c r="V3134" s="277"/>
      <c r="W3134" s="277"/>
      <c r="X3134" s="277"/>
      <c r="Y3134" s="277"/>
      <c r="Z3134" s="277"/>
      <c r="AA3134" s="277"/>
      <c r="AB3134" s="277"/>
      <c r="AC3134" s="277"/>
      <c r="AD3134" s="277"/>
      <c r="AE3134" s="277"/>
      <c r="AF3134" s="277"/>
      <c r="AG3134" s="277"/>
      <c r="AH3134" s="277"/>
      <c r="AI3134" s="277"/>
    </row>
    <row r="3135" spans="16:35" s="185" customFormat="1">
      <c r="P3135" s="277"/>
      <c r="Q3135" s="277"/>
      <c r="R3135" s="277"/>
      <c r="S3135" s="291">
        <v>44681</v>
      </c>
      <c r="T3135" s="279">
        <v>3042</v>
      </c>
      <c r="U3135" s="277"/>
      <c r="V3135" s="277"/>
      <c r="W3135" s="277"/>
      <c r="X3135" s="277"/>
      <c r="Y3135" s="277"/>
      <c r="Z3135" s="277"/>
      <c r="AA3135" s="277"/>
      <c r="AB3135" s="277"/>
      <c r="AC3135" s="277"/>
      <c r="AD3135" s="277"/>
      <c r="AE3135" s="277"/>
      <c r="AF3135" s="277"/>
      <c r="AG3135" s="277"/>
      <c r="AH3135" s="277"/>
      <c r="AI3135" s="277"/>
    </row>
    <row r="3136" spans="16:35" s="185" customFormat="1">
      <c r="P3136" s="277"/>
      <c r="Q3136" s="277"/>
      <c r="R3136" s="277"/>
      <c r="S3136" s="291">
        <v>44682</v>
      </c>
      <c r="T3136" s="279">
        <v>3043</v>
      </c>
      <c r="U3136" s="277"/>
      <c r="V3136" s="277"/>
      <c r="W3136" s="277"/>
      <c r="X3136" s="277"/>
      <c r="Y3136" s="277"/>
      <c r="Z3136" s="277"/>
      <c r="AA3136" s="277"/>
      <c r="AB3136" s="277"/>
      <c r="AC3136" s="277"/>
      <c r="AD3136" s="277"/>
      <c r="AE3136" s="277"/>
      <c r="AF3136" s="277"/>
      <c r="AG3136" s="277"/>
      <c r="AH3136" s="277"/>
      <c r="AI3136" s="277"/>
    </row>
    <row r="3137" spans="16:35" s="185" customFormat="1">
      <c r="P3137" s="277"/>
      <c r="Q3137" s="277"/>
      <c r="R3137" s="277"/>
      <c r="S3137" s="291">
        <v>44683</v>
      </c>
      <c r="T3137" s="279">
        <v>3044</v>
      </c>
      <c r="U3137" s="277"/>
      <c r="V3137" s="277"/>
      <c r="W3137" s="277"/>
      <c r="X3137" s="277"/>
      <c r="Y3137" s="277"/>
      <c r="Z3137" s="277"/>
      <c r="AA3137" s="277"/>
      <c r="AB3137" s="277"/>
      <c r="AC3137" s="277"/>
      <c r="AD3137" s="277"/>
      <c r="AE3137" s="277"/>
      <c r="AF3137" s="277"/>
      <c r="AG3137" s="277"/>
      <c r="AH3137" s="277"/>
      <c r="AI3137" s="277"/>
    </row>
    <row r="3138" spans="16:35" s="185" customFormat="1">
      <c r="P3138" s="277"/>
      <c r="Q3138" s="277"/>
      <c r="R3138" s="277"/>
      <c r="S3138" s="291">
        <v>44684</v>
      </c>
      <c r="T3138" s="279">
        <v>3045</v>
      </c>
      <c r="U3138" s="277"/>
      <c r="V3138" s="277"/>
      <c r="W3138" s="277"/>
      <c r="X3138" s="277"/>
      <c r="Y3138" s="277"/>
      <c r="Z3138" s="277"/>
      <c r="AA3138" s="277"/>
      <c r="AB3138" s="277"/>
      <c r="AC3138" s="277"/>
      <c r="AD3138" s="277"/>
      <c r="AE3138" s="277"/>
      <c r="AF3138" s="277"/>
      <c r="AG3138" s="277"/>
      <c r="AH3138" s="277"/>
      <c r="AI3138" s="277"/>
    </row>
    <row r="3139" spans="16:35" s="185" customFormat="1">
      <c r="P3139" s="277"/>
      <c r="Q3139" s="277"/>
      <c r="R3139" s="277"/>
      <c r="S3139" s="291">
        <v>44685</v>
      </c>
      <c r="T3139" s="279">
        <v>3046</v>
      </c>
      <c r="U3139" s="277"/>
      <c r="V3139" s="277"/>
      <c r="W3139" s="277"/>
      <c r="X3139" s="277"/>
      <c r="Y3139" s="277"/>
      <c r="Z3139" s="277"/>
      <c r="AA3139" s="277"/>
      <c r="AB3139" s="277"/>
      <c r="AC3139" s="277"/>
      <c r="AD3139" s="277"/>
      <c r="AE3139" s="277"/>
      <c r="AF3139" s="277"/>
      <c r="AG3139" s="277"/>
      <c r="AH3139" s="277"/>
      <c r="AI3139" s="277"/>
    </row>
    <row r="3140" spans="16:35" s="185" customFormat="1">
      <c r="P3140" s="277"/>
      <c r="Q3140" s="277"/>
      <c r="R3140" s="277"/>
      <c r="S3140" s="291">
        <v>44686</v>
      </c>
      <c r="T3140" s="279">
        <v>3047</v>
      </c>
      <c r="U3140" s="277"/>
      <c r="V3140" s="277"/>
      <c r="W3140" s="277"/>
      <c r="X3140" s="277"/>
      <c r="Y3140" s="277"/>
      <c r="Z3140" s="277"/>
      <c r="AA3140" s="277"/>
      <c r="AB3140" s="277"/>
      <c r="AC3140" s="277"/>
      <c r="AD3140" s="277"/>
      <c r="AE3140" s="277"/>
      <c r="AF3140" s="277"/>
      <c r="AG3140" s="277"/>
      <c r="AH3140" s="277"/>
      <c r="AI3140" s="277"/>
    </row>
    <row r="3141" spans="16:35" s="185" customFormat="1">
      <c r="P3141" s="277"/>
      <c r="Q3141" s="277"/>
      <c r="R3141" s="277"/>
      <c r="S3141" s="291">
        <v>44687</v>
      </c>
      <c r="T3141" s="279">
        <v>3048</v>
      </c>
      <c r="U3141" s="277"/>
      <c r="V3141" s="277"/>
      <c r="W3141" s="277"/>
      <c r="X3141" s="277"/>
      <c r="Y3141" s="277"/>
      <c r="Z3141" s="277"/>
      <c r="AA3141" s="277"/>
      <c r="AB3141" s="277"/>
      <c r="AC3141" s="277"/>
      <c r="AD3141" s="277"/>
      <c r="AE3141" s="277"/>
      <c r="AF3141" s="277"/>
      <c r="AG3141" s="277"/>
      <c r="AH3141" s="277"/>
      <c r="AI3141" s="277"/>
    </row>
    <row r="3142" spans="16:35" s="185" customFormat="1">
      <c r="P3142" s="277"/>
      <c r="Q3142" s="277"/>
      <c r="R3142" s="277"/>
      <c r="S3142" s="291">
        <v>44688</v>
      </c>
      <c r="T3142" s="279">
        <v>3049</v>
      </c>
      <c r="U3142" s="277"/>
      <c r="V3142" s="277"/>
      <c r="W3142" s="277"/>
      <c r="X3142" s="277"/>
      <c r="Y3142" s="277"/>
      <c r="Z3142" s="277"/>
      <c r="AA3142" s="277"/>
      <c r="AB3142" s="277"/>
      <c r="AC3142" s="277"/>
      <c r="AD3142" s="277"/>
      <c r="AE3142" s="277"/>
      <c r="AF3142" s="277"/>
      <c r="AG3142" s="277"/>
      <c r="AH3142" s="277"/>
      <c r="AI3142" s="277"/>
    </row>
    <row r="3143" spans="16:35" s="185" customFormat="1">
      <c r="P3143" s="277"/>
      <c r="Q3143" s="277"/>
      <c r="R3143" s="277"/>
      <c r="S3143" s="291">
        <v>44689</v>
      </c>
      <c r="T3143" s="279">
        <v>3050</v>
      </c>
      <c r="U3143" s="277"/>
      <c r="V3143" s="277"/>
      <c r="W3143" s="277"/>
      <c r="X3143" s="277"/>
      <c r="Y3143" s="277"/>
      <c r="Z3143" s="277"/>
      <c r="AA3143" s="277"/>
      <c r="AB3143" s="277"/>
      <c r="AC3143" s="277"/>
      <c r="AD3143" s="277"/>
      <c r="AE3143" s="277"/>
      <c r="AF3143" s="277"/>
      <c r="AG3143" s="277"/>
      <c r="AH3143" s="277"/>
      <c r="AI3143" s="277"/>
    </row>
    <row r="3144" spans="16:35" s="185" customFormat="1">
      <c r="P3144" s="277"/>
      <c r="Q3144" s="277"/>
      <c r="R3144" s="277"/>
      <c r="S3144" s="291">
        <v>44690</v>
      </c>
      <c r="T3144" s="279">
        <v>3051</v>
      </c>
      <c r="U3144" s="277"/>
      <c r="V3144" s="277"/>
      <c r="W3144" s="277"/>
      <c r="X3144" s="277"/>
      <c r="Y3144" s="277"/>
      <c r="Z3144" s="277"/>
      <c r="AA3144" s="277"/>
      <c r="AB3144" s="277"/>
      <c r="AC3144" s="277"/>
      <c r="AD3144" s="277"/>
      <c r="AE3144" s="277"/>
      <c r="AF3144" s="277"/>
      <c r="AG3144" s="277"/>
      <c r="AH3144" s="277"/>
      <c r="AI3144" s="277"/>
    </row>
    <row r="3145" spans="16:35" s="185" customFormat="1">
      <c r="P3145" s="277"/>
      <c r="Q3145" s="277"/>
      <c r="R3145" s="277"/>
      <c r="S3145" s="291">
        <v>44691</v>
      </c>
      <c r="T3145" s="279">
        <v>3052</v>
      </c>
      <c r="U3145" s="277"/>
      <c r="V3145" s="277"/>
      <c r="W3145" s="277"/>
      <c r="X3145" s="277"/>
      <c r="Y3145" s="277"/>
      <c r="Z3145" s="277"/>
      <c r="AA3145" s="277"/>
      <c r="AB3145" s="277"/>
      <c r="AC3145" s="277"/>
      <c r="AD3145" s="277"/>
      <c r="AE3145" s="277"/>
      <c r="AF3145" s="277"/>
      <c r="AG3145" s="277"/>
      <c r="AH3145" s="277"/>
      <c r="AI3145" s="277"/>
    </row>
    <row r="3146" spans="16:35" s="185" customFormat="1">
      <c r="P3146" s="277"/>
      <c r="Q3146" s="277"/>
      <c r="R3146" s="277"/>
      <c r="S3146" s="291">
        <v>44692</v>
      </c>
      <c r="T3146" s="279">
        <v>3053</v>
      </c>
      <c r="U3146" s="277"/>
      <c r="V3146" s="277"/>
      <c r="W3146" s="277"/>
      <c r="X3146" s="277"/>
      <c r="Y3146" s="277"/>
      <c r="Z3146" s="277"/>
      <c r="AA3146" s="277"/>
      <c r="AB3146" s="277"/>
      <c r="AC3146" s="277"/>
      <c r="AD3146" s="277"/>
      <c r="AE3146" s="277"/>
      <c r="AF3146" s="277"/>
      <c r="AG3146" s="277"/>
      <c r="AH3146" s="277"/>
      <c r="AI3146" s="277"/>
    </row>
    <row r="3147" spans="16:35" s="185" customFormat="1">
      <c r="P3147" s="277"/>
      <c r="Q3147" s="277"/>
      <c r="R3147" s="277"/>
      <c r="S3147" s="291">
        <v>44693</v>
      </c>
      <c r="T3147" s="279">
        <v>3054</v>
      </c>
      <c r="U3147" s="277"/>
      <c r="V3147" s="277"/>
      <c r="W3147" s="277"/>
      <c r="X3147" s="277"/>
      <c r="Y3147" s="277"/>
      <c r="Z3147" s="277"/>
      <c r="AA3147" s="277"/>
      <c r="AB3147" s="277"/>
      <c r="AC3147" s="277"/>
      <c r="AD3147" s="277"/>
      <c r="AE3147" s="277"/>
      <c r="AF3147" s="277"/>
      <c r="AG3147" s="277"/>
      <c r="AH3147" s="277"/>
      <c r="AI3147" s="277"/>
    </row>
    <row r="3148" spans="16:35" s="185" customFormat="1">
      <c r="P3148" s="277"/>
      <c r="Q3148" s="277"/>
      <c r="R3148" s="277"/>
      <c r="S3148" s="291">
        <v>44694</v>
      </c>
      <c r="T3148" s="279">
        <v>3055</v>
      </c>
      <c r="U3148" s="277"/>
      <c r="V3148" s="277"/>
      <c r="W3148" s="277"/>
      <c r="X3148" s="277"/>
      <c r="Y3148" s="277"/>
      <c r="Z3148" s="277"/>
      <c r="AA3148" s="277"/>
      <c r="AB3148" s="277"/>
      <c r="AC3148" s="277"/>
      <c r="AD3148" s="277"/>
      <c r="AE3148" s="277"/>
      <c r="AF3148" s="277"/>
      <c r="AG3148" s="277"/>
      <c r="AH3148" s="277"/>
      <c r="AI3148" s="277"/>
    </row>
    <row r="3149" spans="16:35" s="185" customFormat="1">
      <c r="P3149" s="277"/>
      <c r="Q3149" s="277"/>
      <c r="R3149" s="277"/>
      <c r="S3149" s="291">
        <v>44695</v>
      </c>
      <c r="T3149" s="279">
        <v>3056</v>
      </c>
      <c r="U3149" s="277"/>
      <c r="V3149" s="277"/>
      <c r="W3149" s="277"/>
      <c r="X3149" s="277"/>
      <c r="Y3149" s="277"/>
      <c r="Z3149" s="277"/>
      <c r="AA3149" s="277"/>
      <c r="AB3149" s="277"/>
      <c r="AC3149" s="277"/>
      <c r="AD3149" s="277"/>
      <c r="AE3149" s="277"/>
      <c r="AF3149" s="277"/>
      <c r="AG3149" s="277"/>
      <c r="AH3149" s="277"/>
      <c r="AI3149" s="277"/>
    </row>
    <row r="3150" spans="16:35" s="185" customFormat="1">
      <c r="P3150" s="277"/>
      <c r="Q3150" s="277"/>
      <c r="R3150" s="277"/>
      <c r="S3150" s="291">
        <v>44696</v>
      </c>
      <c r="T3150" s="279">
        <v>3057</v>
      </c>
      <c r="U3150" s="277"/>
      <c r="V3150" s="277"/>
      <c r="W3150" s="277"/>
      <c r="X3150" s="277"/>
      <c r="Y3150" s="277"/>
      <c r="Z3150" s="277"/>
      <c r="AA3150" s="277"/>
      <c r="AB3150" s="277"/>
      <c r="AC3150" s="277"/>
      <c r="AD3150" s="277"/>
      <c r="AE3150" s="277"/>
      <c r="AF3150" s="277"/>
      <c r="AG3150" s="277"/>
      <c r="AH3150" s="277"/>
      <c r="AI3150" s="277"/>
    </row>
    <row r="3151" spans="16:35" s="185" customFormat="1">
      <c r="P3151" s="277"/>
      <c r="Q3151" s="277"/>
      <c r="R3151" s="277"/>
      <c r="S3151" s="291">
        <v>44697</v>
      </c>
      <c r="T3151" s="279">
        <v>3058</v>
      </c>
      <c r="U3151" s="277"/>
      <c r="V3151" s="277"/>
      <c r="W3151" s="277"/>
      <c r="X3151" s="277"/>
      <c r="Y3151" s="277"/>
      <c r="Z3151" s="277"/>
      <c r="AA3151" s="277"/>
      <c r="AB3151" s="277"/>
      <c r="AC3151" s="277"/>
      <c r="AD3151" s="277"/>
      <c r="AE3151" s="277"/>
      <c r="AF3151" s="277"/>
      <c r="AG3151" s="277"/>
      <c r="AH3151" s="277"/>
      <c r="AI3151" s="277"/>
    </row>
    <row r="3152" spans="16:35" s="185" customFormat="1">
      <c r="P3152" s="277"/>
      <c r="Q3152" s="277"/>
      <c r="R3152" s="277"/>
      <c r="S3152" s="291">
        <v>44698</v>
      </c>
      <c r="T3152" s="279">
        <v>3059</v>
      </c>
      <c r="U3152" s="277"/>
      <c r="V3152" s="277"/>
      <c r="W3152" s="277"/>
      <c r="X3152" s="277"/>
      <c r="Y3152" s="277"/>
      <c r="Z3152" s="277"/>
      <c r="AA3152" s="277"/>
      <c r="AB3152" s="277"/>
      <c r="AC3152" s="277"/>
      <c r="AD3152" s="277"/>
      <c r="AE3152" s="277"/>
      <c r="AF3152" s="277"/>
      <c r="AG3152" s="277"/>
      <c r="AH3152" s="277"/>
      <c r="AI3152" s="277"/>
    </row>
    <row r="3153" spans="16:35" s="185" customFormat="1">
      <c r="P3153" s="277"/>
      <c r="Q3153" s="277"/>
      <c r="R3153" s="277"/>
      <c r="S3153" s="291">
        <v>44699</v>
      </c>
      <c r="T3153" s="279">
        <v>3060</v>
      </c>
      <c r="U3153" s="277"/>
      <c r="V3153" s="277"/>
      <c r="W3153" s="277"/>
      <c r="X3153" s="277"/>
      <c r="Y3153" s="277"/>
      <c r="Z3153" s="277"/>
      <c r="AA3153" s="277"/>
      <c r="AB3153" s="277"/>
      <c r="AC3153" s="277"/>
      <c r="AD3153" s="277"/>
      <c r="AE3153" s="277"/>
      <c r="AF3153" s="277"/>
      <c r="AG3153" s="277"/>
      <c r="AH3153" s="277"/>
      <c r="AI3153" s="277"/>
    </row>
    <row r="3154" spans="16:35" s="185" customFormat="1">
      <c r="P3154" s="277"/>
      <c r="Q3154" s="277"/>
      <c r="R3154" s="277"/>
      <c r="S3154" s="291">
        <v>44700</v>
      </c>
      <c r="T3154" s="279">
        <v>3061</v>
      </c>
      <c r="U3154" s="277"/>
      <c r="V3154" s="277"/>
      <c r="W3154" s="277"/>
      <c r="X3154" s="277"/>
      <c r="Y3154" s="277"/>
      <c r="Z3154" s="277"/>
      <c r="AA3154" s="277"/>
      <c r="AB3154" s="277"/>
      <c r="AC3154" s="277"/>
      <c r="AD3154" s="277"/>
      <c r="AE3154" s="277"/>
      <c r="AF3154" s="277"/>
      <c r="AG3154" s="277"/>
      <c r="AH3154" s="277"/>
      <c r="AI3154" s="277"/>
    </row>
    <row r="3155" spans="16:35" s="185" customFormat="1">
      <c r="P3155" s="277"/>
      <c r="Q3155" s="277"/>
      <c r="R3155" s="277"/>
      <c r="S3155" s="291">
        <v>44701</v>
      </c>
      <c r="T3155" s="279">
        <v>3062</v>
      </c>
      <c r="U3155" s="277"/>
      <c r="V3155" s="277"/>
      <c r="W3155" s="277"/>
      <c r="X3155" s="277"/>
      <c r="Y3155" s="277"/>
      <c r="Z3155" s="277"/>
      <c r="AA3155" s="277"/>
      <c r="AB3155" s="277"/>
      <c r="AC3155" s="277"/>
      <c r="AD3155" s="277"/>
      <c r="AE3155" s="277"/>
      <c r="AF3155" s="277"/>
      <c r="AG3155" s="277"/>
      <c r="AH3155" s="277"/>
      <c r="AI3155" s="277"/>
    </row>
    <row r="3156" spans="16:35" s="185" customFormat="1">
      <c r="P3156" s="277"/>
      <c r="Q3156" s="277"/>
      <c r="R3156" s="277"/>
      <c r="S3156" s="291">
        <v>44702</v>
      </c>
      <c r="T3156" s="279">
        <v>3063</v>
      </c>
      <c r="U3156" s="277"/>
      <c r="V3156" s="277"/>
      <c r="W3156" s="277"/>
      <c r="X3156" s="277"/>
      <c r="Y3156" s="277"/>
      <c r="Z3156" s="277"/>
      <c r="AA3156" s="277"/>
      <c r="AB3156" s="277"/>
      <c r="AC3156" s="277"/>
      <c r="AD3156" s="277"/>
      <c r="AE3156" s="277"/>
      <c r="AF3156" s="277"/>
      <c r="AG3156" s="277"/>
      <c r="AH3156" s="277"/>
      <c r="AI3156" s="277"/>
    </row>
    <row r="3157" spans="16:35" s="185" customFormat="1">
      <c r="P3157" s="277"/>
      <c r="Q3157" s="277"/>
      <c r="R3157" s="277"/>
      <c r="S3157" s="291">
        <v>44703</v>
      </c>
      <c r="T3157" s="279">
        <v>3064</v>
      </c>
      <c r="U3157" s="277"/>
      <c r="V3157" s="277"/>
      <c r="W3157" s="277"/>
      <c r="X3157" s="277"/>
      <c r="Y3157" s="277"/>
      <c r="Z3157" s="277"/>
      <c r="AA3157" s="277"/>
      <c r="AB3157" s="277"/>
      <c r="AC3157" s="277"/>
      <c r="AD3157" s="277"/>
      <c r="AE3157" s="277"/>
      <c r="AF3157" s="277"/>
      <c r="AG3157" s="277"/>
      <c r="AH3157" s="277"/>
      <c r="AI3157" s="277"/>
    </row>
    <row r="3158" spans="16:35" s="185" customFormat="1">
      <c r="P3158" s="277"/>
      <c r="Q3158" s="277"/>
      <c r="R3158" s="277"/>
      <c r="S3158" s="291">
        <v>44704</v>
      </c>
      <c r="T3158" s="279">
        <v>3065</v>
      </c>
      <c r="U3158" s="277"/>
      <c r="V3158" s="277"/>
      <c r="W3158" s="277"/>
      <c r="X3158" s="277"/>
      <c r="Y3158" s="277"/>
      <c r="Z3158" s="277"/>
      <c r="AA3158" s="277"/>
      <c r="AB3158" s="277"/>
      <c r="AC3158" s="277"/>
      <c r="AD3158" s="277"/>
      <c r="AE3158" s="277"/>
      <c r="AF3158" s="277"/>
      <c r="AG3158" s="277"/>
      <c r="AH3158" s="277"/>
      <c r="AI3158" s="277"/>
    </row>
    <row r="3159" spans="16:35" s="185" customFormat="1">
      <c r="P3159" s="277"/>
      <c r="Q3159" s="277"/>
      <c r="R3159" s="277"/>
      <c r="S3159" s="291">
        <v>44705</v>
      </c>
      <c r="T3159" s="279">
        <v>3066</v>
      </c>
      <c r="U3159" s="277"/>
      <c r="V3159" s="277"/>
      <c r="W3159" s="277"/>
      <c r="X3159" s="277"/>
      <c r="Y3159" s="277"/>
      <c r="Z3159" s="277"/>
      <c r="AA3159" s="277"/>
      <c r="AB3159" s="277"/>
      <c r="AC3159" s="277"/>
      <c r="AD3159" s="277"/>
      <c r="AE3159" s="277"/>
      <c r="AF3159" s="277"/>
      <c r="AG3159" s="277"/>
      <c r="AH3159" s="277"/>
      <c r="AI3159" s="277"/>
    </row>
    <row r="3160" spans="16:35" s="185" customFormat="1">
      <c r="P3160" s="277"/>
      <c r="Q3160" s="277"/>
      <c r="R3160" s="277"/>
      <c r="S3160" s="291">
        <v>44706</v>
      </c>
      <c r="T3160" s="279">
        <v>3067</v>
      </c>
      <c r="U3160" s="277"/>
      <c r="V3160" s="277"/>
      <c r="W3160" s="277"/>
      <c r="X3160" s="277"/>
      <c r="Y3160" s="277"/>
      <c r="Z3160" s="277"/>
      <c r="AA3160" s="277"/>
      <c r="AB3160" s="277"/>
      <c r="AC3160" s="277"/>
      <c r="AD3160" s="277"/>
      <c r="AE3160" s="277"/>
      <c r="AF3160" s="277"/>
      <c r="AG3160" s="277"/>
      <c r="AH3160" s="277"/>
      <c r="AI3160" s="277"/>
    </row>
    <row r="3161" spans="16:35" s="185" customFormat="1">
      <c r="P3161" s="277"/>
      <c r="Q3161" s="277"/>
      <c r="R3161" s="277"/>
      <c r="S3161" s="291">
        <v>44707</v>
      </c>
      <c r="T3161" s="279">
        <v>3068</v>
      </c>
      <c r="U3161" s="277"/>
      <c r="V3161" s="277"/>
      <c r="W3161" s="277"/>
      <c r="X3161" s="277"/>
      <c r="Y3161" s="277"/>
      <c r="Z3161" s="277"/>
      <c r="AA3161" s="277"/>
      <c r="AB3161" s="277"/>
      <c r="AC3161" s="277"/>
      <c r="AD3161" s="277"/>
      <c r="AE3161" s="277"/>
      <c r="AF3161" s="277"/>
      <c r="AG3161" s="277"/>
      <c r="AH3161" s="277"/>
      <c r="AI3161" s="277"/>
    </row>
    <row r="3162" spans="16:35" s="185" customFormat="1">
      <c r="P3162" s="277"/>
      <c r="Q3162" s="277"/>
      <c r="R3162" s="277"/>
      <c r="S3162" s="291">
        <v>44708</v>
      </c>
      <c r="T3162" s="279">
        <v>3069</v>
      </c>
      <c r="U3162" s="277"/>
      <c r="V3162" s="277"/>
      <c r="W3162" s="277"/>
      <c r="X3162" s="277"/>
      <c r="Y3162" s="277"/>
      <c r="Z3162" s="277"/>
      <c r="AA3162" s="277"/>
      <c r="AB3162" s="277"/>
      <c r="AC3162" s="277"/>
      <c r="AD3162" s="277"/>
      <c r="AE3162" s="277"/>
      <c r="AF3162" s="277"/>
      <c r="AG3162" s="277"/>
      <c r="AH3162" s="277"/>
      <c r="AI3162" s="277"/>
    </row>
    <row r="3163" spans="16:35" s="185" customFormat="1">
      <c r="P3163" s="277"/>
      <c r="Q3163" s="277"/>
      <c r="R3163" s="277"/>
      <c r="S3163" s="291">
        <v>44709</v>
      </c>
      <c r="T3163" s="279">
        <v>3070</v>
      </c>
      <c r="U3163" s="277"/>
      <c r="V3163" s="277"/>
      <c r="W3163" s="277"/>
      <c r="X3163" s="277"/>
      <c r="Y3163" s="277"/>
      <c r="Z3163" s="277"/>
      <c r="AA3163" s="277"/>
      <c r="AB3163" s="277"/>
      <c r="AC3163" s="277"/>
      <c r="AD3163" s="277"/>
      <c r="AE3163" s="277"/>
      <c r="AF3163" s="277"/>
      <c r="AG3163" s="277"/>
      <c r="AH3163" s="277"/>
      <c r="AI3163" s="277"/>
    </row>
    <row r="3164" spans="16:35" s="185" customFormat="1">
      <c r="P3164" s="277"/>
      <c r="Q3164" s="277"/>
      <c r="R3164" s="277"/>
      <c r="S3164" s="291">
        <v>44710</v>
      </c>
      <c r="T3164" s="279">
        <v>3071</v>
      </c>
      <c r="U3164" s="277"/>
      <c r="V3164" s="277"/>
      <c r="W3164" s="277"/>
      <c r="X3164" s="277"/>
      <c r="Y3164" s="277"/>
      <c r="Z3164" s="277"/>
      <c r="AA3164" s="277"/>
      <c r="AB3164" s="277"/>
      <c r="AC3164" s="277"/>
      <c r="AD3164" s="277"/>
      <c r="AE3164" s="277"/>
      <c r="AF3164" s="277"/>
      <c r="AG3164" s="277"/>
      <c r="AH3164" s="277"/>
      <c r="AI3164" s="277"/>
    </row>
    <row r="3165" spans="16:35" s="185" customFormat="1">
      <c r="P3165" s="277"/>
      <c r="Q3165" s="277"/>
      <c r="R3165" s="277"/>
      <c r="S3165" s="291">
        <v>44711</v>
      </c>
      <c r="T3165" s="279">
        <v>3072</v>
      </c>
      <c r="U3165" s="277"/>
      <c r="V3165" s="277"/>
      <c r="W3165" s="277"/>
      <c r="X3165" s="277"/>
      <c r="Y3165" s="277"/>
      <c r="Z3165" s="277"/>
      <c r="AA3165" s="277"/>
      <c r="AB3165" s="277"/>
      <c r="AC3165" s="277"/>
      <c r="AD3165" s="277"/>
      <c r="AE3165" s="277"/>
      <c r="AF3165" s="277"/>
      <c r="AG3165" s="277"/>
      <c r="AH3165" s="277"/>
      <c r="AI3165" s="277"/>
    </row>
    <row r="3166" spans="16:35" s="185" customFormat="1">
      <c r="P3166" s="277"/>
      <c r="Q3166" s="277"/>
      <c r="R3166" s="277"/>
      <c r="S3166" s="291">
        <v>44712</v>
      </c>
      <c r="T3166" s="279">
        <v>3073</v>
      </c>
      <c r="U3166" s="277"/>
      <c r="V3166" s="277"/>
      <c r="W3166" s="277"/>
      <c r="X3166" s="277"/>
      <c r="Y3166" s="277"/>
      <c r="Z3166" s="277"/>
      <c r="AA3166" s="277"/>
      <c r="AB3166" s="277"/>
      <c r="AC3166" s="277"/>
      <c r="AD3166" s="277"/>
      <c r="AE3166" s="277"/>
      <c r="AF3166" s="277"/>
      <c r="AG3166" s="277"/>
      <c r="AH3166" s="277"/>
      <c r="AI3166" s="277"/>
    </row>
    <row r="3167" spans="16:35" s="185" customFormat="1">
      <c r="P3167" s="277"/>
      <c r="Q3167" s="277"/>
      <c r="R3167" s="277"/>
      <c r="S3167" s="291">
        <v>44713</v>
      </c>
      <c r="T3167" s="279">
        <v>3074</v>
      </c>
      <c r="U3167" s="277"/>
      <c r="V3167" s="277"/>
      <c r="W3167" s="277"/>
      <c r="X3167" s="277"/>
      <c r="Y3167" s="277"/>
      <c r="Z3167" s="277"/>
      <c r="AA3167" s="277"/>
      <c r="AB3167" s="277"/>
      <c r="AC3167" s="277"/>
      <c r="AD3167" s="277"/>
      <c r="AE3167" s="277"/>
      <c r="AF3167" s="277"/>
      <c r="AG3167" s="277"/>
      <c r="AH3167" s="277"/>
      <c r="AI3167" s="277"/>
    </row>
    <row r="3168" spans="16:35" s="185" customFormat="1">
      <c r="P3168" s="277"/>
      <c r="Q3168" s="277"/>
      <c r="R3168" s="277"/>
      <c r="S3168" s="291">
        <v>44714</v>
      </c>
      <c r="T3168" s="279">
        <v>3075</v>
      </c>
      <c r="U3168" s="277"/>
      <c r="V3168" s="277"/>
      <c r="W3168" s="277"/>
      <c r="X3168" s="277"/>
      <c r="Y3168" s="277"/>
      <c r="Z3168" s="277"/>
      <c r="AA3168" s="277"/>
      <c r="AB3168" s="277"/>
      <c r="AC3168" s="277"/>
      <c r="AD3168" s="277"/>
      <c r="AE3168" s="277"/>
      <c r="AF3168" s="277"/>
      <c r="AG3168" s="277"/>
      <c r="AH3168" s="277"/>
      <c r="AI3168" s="277"/>
    </row>
    <row r="3169" spans="16:35" s="185" customFormat="1">
      <c r="P3169" s="277"/>
      <c r="Q3169" s="277"/>
      <c r="R3169" s="277"/>
      <c r="S3169" s="291">
        <v>44715</v>
      </c>
      <c r="T3169" s="279">
        <v>3076</v>
      </c>
      <c r="U3169" s="277"/>
      <c r="V3169" s="277"/>
      <c r="W3169" s="277"/>
      <c r="X3169" s="277"/>
      <c r="Y3169" s="277"/>
      <c r="Z3169" s="277"/>
      <c r="AA3169" s="277"/>
      <c r="AB3169" s="277"/>
      <c r="AC3169" s="277"/>
      <c r="AD3169" s="277"/>
      <c r="AE3169" s="277"/>
      <c r="AF3169" s="277"/>
      <c r="AG3169" s="277"/>
      <c r="AH3169" s="277"/>
      <c r="AI3169" s="277"/>
    </row>
    <row r="3170" spans="16:35" s="185" customFormat="1">
      <c r="P3170" s="277"/>
      <c r="Q3170" s="277"/>
      <c r="R3170" s="277"/>
      <c r="S3170" s="291">
        <v>44716</v>
      </c>
      <c r="T3170" s="279">
        <v>3077</v>
      </c>
      <c r="U3170" s="277"/>
      <c r="V3170" s="277"/>
      <c r="W3170" s="277"/>
      <c r="X3170" s="277"/>
      <c r="Y3170" s="277"/>
      <c r="Z3170" s="277"/>
      <c r="AA3170" s="277"/>
      <c r="AB3170" s="277"/>
      <c r="AC3170" s="277"/>
      <c r="AD3170" s="277"/>
      <c r="AE3170" s="277"/>
      <c r="AF3170" s="277"/>
      <c r="AG3170" s="277"/>
      <c r="AH3170" s="277"/>
      <c r="AI3170" s="277"/>
    </row>
    <row r="3171" spans="16:35" s="185" customFormat="1">
      <c r="P3171" s="277"/>
      <c r="Q3171" s="277"/>
      <c r="R3171" s="277"/>
      <c r="S3171" s="291">
        <v>44717</v>
      </c>
      <c r="T3171" s="279">
        <v>3078</v>
      </c>
      <c r="U3171" s="277"/>
      <c r="V3171" s="277"/>
      <c r="W3171" s="277"/>
      <c r="X3171" s="277"/>
      <c r="Y3171" s="277"/>
      <c r="Z3171" s="277"/>
      <c r="AA3171" s="277"/>
      <c r="AB3171" s="277"/>
      <c r="AC3171" s="277"/>
      <c r="AD3171" s="277"/>
      <c r="AE3171" s="277"/>
      <c r="AF3171" s="277"/>
      <c r="AG3171" s="277"/>
      <c r="AH3171" s="277"/>
      <c r="AI3171" s="277"/>
    </row>
    <row r="3172" spans="16:35" s="185" customFormat="1">
      <c r="P3172" s="277"/>
      <c r="Q3172" s="277"/>
      <c r="R3172" s="277"/>
      <c r="S3172" s="291">
        <v>44718</v>
      </c>
      <c r="T3172" s="279">
        <v>3079</v>
      </c>
      <c r="U3172" s="277"/>
      <c r="V3172" s="277"/>
      <c r="W3172" s="277"/>
      <c r="X3172" s="277"/>
      <c r="Y3172" s="277"/>
      <c r="Z3172" s="277"/>
      <c r="AA3172" s="277"/>
      <c r="AB3172" s="277"/>
      <c r="AC3172" s="277"/>
      <c r="AD3172" s="277"/>
      <c r="AE3172" s="277"/>
      <c r="AF3172" s="277"/>
      <c r="AG3172" s="277"/>
      <c r="AH3172" s="277"/>
      <c r="AI3172" s="277"/>
    </row>
    <row r="3173" spans="16:35" s="185" customFormat="1">
      <c r="P3173" s="277"/>
      <c r="Q3173" s="277"/>
      <c r="R3173" s="277"/>
      <c r="S3173" s="291">
        <v>44719</v>
      </c>
      <c r="T3173" s="279">
        <v>3080</v>
      </c>
      <c r="U3173" s="277"/>
      <c r="V3173" s="277"/>
      <c r="W3173" s="277"/>
      <c r="X3173" s="277"/>
      <c r="Y3173" s="277"/>
      <c r="Z3173" s="277"/>
      <c r="AA3173" s="277"/>
      <c r="AB3173" s="277"/>
      <c r="AC3173" s="277"/>
      <c r="AD3173" s="277"/>
      <c r="AE3173" s="277"/>
      <c r="AF3173" s="277"/>
      <c r="AG3173" s="277"/>
      <c r="AH3173" s="277"/>
      <c r="AI3173" s="277"/>
    </row>
    <row r="3174" spans="16:35" s="185" customFormat="1">
      <c r="P3174" s="277"/>
      <c r="Q3174" s="277"/>
      <c r="R3174" s="277"/>
      <c r="S3174" s="291">
        <v>44720</v>
      </c>
      <c r="T3174" s="279">
        <v>3081</v>
      </c>
      <c r="U3174" s="277"/>
      <c r="V3174" s="277"/>
      <c r="W3174" s="277"/>
      <c r="X3174" s="277"/>
      <c r="Y3174" s="277"/>
      <c r="Z3174" s="277"/>
      <c r="AA3174" s="277"/>
      <c r="AB3174" s="277"/>
      <c r="AC3174" s="277"/>
      <c r="AD3174" s="277"/>
      <c r="AE3174" s="277"/>
      <c r="AF3174" s="277"/>
      <c r="AG3174" s="277"/>
      <c r="AH3174" s="277"/>
      <c r="AI3174" s="277"/>
    </row>
    <row r="3175" spans="16:35" s="185" customFormat="1">
      <c r="P3175" s="277"/>
      <c r="Q3175" s="277"/>
      <c r="R3175" s="277"/>
      <c r="S3175" s="291">
        <v>44721</v>
      </c>
      <c r="T3175" s="279">
        <v>3082</v>
      </c>
      <c r="U3175" s="277"/>
      <c r="V3175" s="277"/>
      <c r="W3175" s="277"/>
      <c r="X3175" s="277"/>
      <c r="Y3175" s="277"/>
      <c r="Z3175" s="277"/>
      <c r="AA3175" s="277"/>
      <c r="AB3175" s="277"/>
      <c r="AC3175" s="277"/>
      <c r="AD3175" s="277"/>
      <c r="AE3175" s="277"/>
      <c r="AF3175" s="277"/>
      <c r="AG3175" s="277"/>
      <c r="AH3175" s="277"/>
      <c r="AI3175" s="277"/>
    </row>
    <row r="3176" spans="16:35" s="185" customFormat="1">
      <c r="P3176" s="277"/>
      <c r="Q3176" s="277"/>
      <c r="R3176" s="277"/>
      <c r="S3176" s="277"/>
      <c r="T3176" s="279"/>
      <c r="U3176" s="277"/>
      <c r="V3176" s="277"/>
      <c r="W3176" s="277"/>
      <c r="X3176" s="277"/>
      <c r="Y3176" s="277"/>
      <c r="Z3176" s="277"/>
      <c r="AA3176" s="277"/>
      <c r="AB3176" s="277"/>
      <c r="AC3176" s="277"/>
      <c r="AD3176" s="277"/>
      <c r="AE3176" s="277"/>
      <c r="AF3176" s="277"/>
      <c r="AG3176" s="277"/>
      <c r="AH3176" s="277"/>
      <c r="AI3176" s="277"/>
    </row>
    <row r="3177" spans="16:35" s="185" customFormat="1">
      <c r="P3177" s="277"/>
      <c r="Q3177" s="277"/>
      <c r="R3177" s="277"/>
      <c r="S3177" s="277"/>
      <c r="T3177" s="279"/>
      <c r="U3177" s="277"/>
      <c r="V3177" s="277"/>
      <c r="W3177" s="277"/>
      <c r="X3177" s="277"/>
      <c r="Y3177" s="277"/>
      <c r="Z3177" s="277"/>
      <c r="AA3177" s="277"/>
      <c r="AB3177" s="277"/>
      <c r="AC3177" s="277"/>
      <c r="AD3177" s="277"/>
      <c r="AE3177" s="277"/>
      <c r="AF3177" s="277"/>
      <c r="AG3177" s="277"/>
      <c r="AH3177" s="277"/>
      <c r="AI3177" s="277"/>
    </row>
    <row r="3178" spans="16:35" s="185" customFormat="1">
      <c r="P3178" s="277"/>
      <c r="Q3178" s="277"/>
      <c r="R3178" s="277"/>
      <c r="S3178" s="277"/>
      <c r="T3178" s="279"/>
      <c r="U3178" s="277"/>
      <c r="V3178" s="277"/>
      <c r="W3178" s="277"/>
      <c r="X3178" s="277"/>
      <c r="Y3178" s="277"/>
      <c r="Z3178" s="277"/>
      <c r="AA3178" s="277"/>
      <c r="AB3178" s="277"/>
      <c r="AC3178" s="277"/>
      <c r="AD3178" s="277"/>
      <c r="AE3178" s="277"/>
      <c r="AF3178" s="277"/>
      <c r="AG3178" s="277"/>
      <c r="AH3178" s="277"/>
      <c r="AI3178" s="277"/>
    </row>
    <row r="3179" spans="16:35" s="185" customFormat="1">
      <c r="P3179" s="277"/>
      <c r="Q3179" s="277"/>
      <c r="R3179" s="277"/>
      <c r="S3179" s="277"/>
      <c r="T3179" s="279"/>
      <c r="U3179" s="277"/>
      <c r="V3179" s="277"/>
      <c r="W3179" s="277"/>
      <c r="X3179" s="277"/>
      <c r="Y3179" s="277"/>
      <c r="Z3179" s="277"/>
      <c r="AA3179" s="277"/>
      <c r="AB3179" s="277"/>
      <c r="AC3179" s="277"/>
      <c r="AD3179" s="277"/>
      <c r="AE3179" s="277"/>
      <c r="AF3179" s="277"/>
      <c r="AG3179" s="277"/>
      <c r="AH3179" s="277"/>
      <c r="AI3179" s="277"/>
    </row>
    <row r="3180" spans="16:35" s="185" customFormat="1">
      <c r="P3180" s="277"/>
      <c r="Q3180" s="277"/>
      <c r="R3180" s="277"/>
      <c r="S3180" s="277"/>
      <c r="T3180" s="279"/>
      <c r="U3180" s="277"/>
      <c r="V3180" s="277"/>
      <c r="W3180" s="277"/>
      <c r="X3180" s="277"/>
      <c r="Y3180" s="277"/>
      <c r="Z3180" s="277"/>
      <c r="AA3180" s="277"/>
      <c r="AB3180" s="277"/>
      <c r="AC3180" s="277"/>
      <c r="AD3180" s="277"/>
      <c r="AE3180" s="277"/>
      <c r="AF3180" s="277"/>
      <c r="AG3180" s="277"/>
      <c r="AH3180" s="277"/>
      <c r="AI3180" s="277"/>
    </row>
    <row r="3181" spans="16:35" s="185" customFormat="1">
      <c r="P3181" s="277"/>
      <c r="Q3181" s="277"/>
      <c r="R3181" s="277"/>
      <c r="S3181" s="277"/>
      <c r="T3181" s="279"/>
      <c r="U3181" s="277"/>
      <c r="V3181" s="277"/>
      <c r="W3181" s="277"/>
      <c r="X3181" s="277"/>
      <c r="Y3181" s="277"/>
      <c r="Z3181" s="277"/>
      <c r="AA3181" s="277"/>
      <c r="AB3181" s="277"/>
      <c r="AC3181" s="277"/>
      <c r="AD3181" s="277"/>
      <c r="AE3181" s="277"/>
      <c r="AF3181" s="277"/>
      <c r="AG3181" s="277"/>
      <c r="AH3181" s="277"/>
    </row>
  </sheetData>
  <sheetProtection algorithmName="SHA-512" hashValue="FYLgKDupotsi49pbqXEBOmtaKHnAt1L1DgGvZk0Mt9/dqCRT8pPH+9SN0dghgM1uDM+RcJrSmi3riXe8iqoJvQ==" saltValue="5UPqqhUUhG6BhzBkmNOoCA==" spinCount="100000" sheet="1" objects="1" scenarios="1" selectLockedCells="1"/>
  <mergeCells count="26">
    <mergeCell ref="B31:C31"/>
    <mergeCell ref="B36:C36"/>
    <mergeCell ref="E36:F36"/>
    <mergeCell ref="B2:F3"/>
    <mergeCell ref="B4:F4"/>
    <mergeCell ref="B5:D5"/>
    <mergeCell ref="F5:G5"/>
    <mergeCell ref="B6:D6"/>
    <mergeCell ref="B7:D7"/>
    <mergeCell ref="F7:G7"/>
    <mergeCell ref="AH118:AH121"/>
    <mergeCell ref="AH122:AH125"/>
    <mergeCell ref="AH126:AH129"/>
    <mergeCell ref="B42:C42"/>
    <mergeCell ref="E42:F42"/>
    <mergeCell ref="B49:F58"/>
    <mergeCell ref="T67:Y67"/>
    <mergeCell ref="AH96:AH101"/>
    <mergeCell ref="AH114:AH117"/>
    <mergeCell ref="I9:M47"/>
    <mergeCell ref="B10:F11"/>
    <mergeCell ref="B18:F18"/>
    <mergeCell ref="D20:F20"/>
    <mergeCell ref="B24:C24"/>
    <mergeCell ref="E24:F24"/>
    <mergeCell ref="D25:D28"/>
  </mergeCells>
  <conditionalFormatting sqref="F28">
    <cfRule type="containsText" dxfId="581" priority="3" operator="containsText" text="Enter Dates">
      <formula>NOT(ISERROR(SEARCH("Enter Dates",F28)))</formula>
    </cfRule>
  </conditionalFormatting>
  <conditionalFormatting sqref="C40">
    <cfRule type="containsText" dxfId="580" priority="2" operator="containsText" text="Enter Dates">
      <formula>NOT(ISERROR(SEARCH("Enter Dates",C40)))</formula>
    </cfRule>
  </conditionalFormatting>
  <conditionalFormatting sqref="F34">
    <cfRule type="containsText" dxfId="579" priority="1" operator="containsText" text="Enter Dates">
      <formula>NOT(ISERROR(SEARCH("Enter Dates",F34)))</formula>
    </cfRule>
  </conditionalFormatting>
  <dataValidations count="2">
    <dataValidation type="list" allowBlank="1" showInputMessage="1" showErrorMessage="1" sqref="C21" xr:uid="{AF6893BB-2FC6-454F-93CD-1F8C3A93556E}">
      <formula1>$Q$94:$Q$143</formula1>
    </dataValidation>
    <dataValidation type="list" allowBlank="1" showInputMessage="1" showErrorMessage="1" sqref="B6:D6" xr:uid="{60D7B619-7C88-4665-A200-E0E8284867BE}">
      <formula1>$P$95:$P$98</formula1>
    </dataValidation>
  </dataValidations>
  <pageMargins left="0.25" right="0.25" top="0.75" bottom="0.75" header="0.3" footer="0.3"/>
  <pageSetup scale="67"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DE975-B0EF-4875-84BD-63967DAB60D3}">
  <sheetPr codeName="Sheet2">
    <tabColor rgb="FF7030A0"/>
    <pageSetUpPr fitToPage="1"/>
  </sheetPr>
  <dimension ref="A1:IF3171"/>
  <sheetViews>
    <sheetView topLeftCell="B1" zoomScale="85" zoomScaleNormal="85" workbookViewId="0">
      <selection activeCell="B7" sqref="B7:G8"/>
    </sheetView>
  </sheetViews>
  <sheetFormatPr defaultColWidth="9.140625" defaultRowHeight="15"/>
  <cols>
    <col min="1" max="1" width="12.7109375" style="304" customWidth="1"/>
    <col min="2" max="2" width="37.140625" style="304" customWidth="1"/>
    <col min="3" max="3" width="17.7109375" style="304" customWidth="1"/>
    <col min="4" max="4" width="12.5703125" style="304" bestFit="1" customWidth="1"/>
    <col min="5" max="5" width="37" style="304" customWidth="1"/>
    <col min="6" max="6" width="17.7109375" style="304" customWidth="1"/>
    <col min="7" max="7" width="12.7109375" style="304" customWidth="1"/>
    <col min="8" max="8" width="0.85546875" style="185" customWidth="1"/>
    <col min="9" max="9" width="7.85546875" style="185" bestFit="1" customWidth="1"/>
    <col min="10" max="10" width="8.7109375" style="185" bestFit="1" customWidth="1"/>
    <col min="11" max="11" width="6.85546875" style="185" bestFit="1" customWidth="1"/>
    <col min="12" max="12" width="12.5703125" style="185" customWidth="1"/>
    <col min="13" max="13" width="33.85546875" style="185" customWidth="1"/>
    <col min="14" max="14" width="9.140625" style="185"/>
    <col min="15" max="15" width="13" style="185" customWidth="1"/>
    <col min="16" max="16" width="42.28515625" style="277" customWidth="1"/>
    <col min="17" max="17" width="15.28515625" style="277" customWidth="1"/>
    <col min="18" max="18" width="16.140625" style="277" customWidth="1"/>
    <col min="19" max="19" width="13.85546875" style="277" customWidth="1"/>
    <col min="20" max="20" width="17.5703125" style="279" bestFit="1" customWidth="1"/>
    <col min="21" max="24" width="13.85546875" style="277" customWidth="1"/>
    <col min="25" max="25" width="10.85546875" style="277" customWidth="1"/>
    <col min="26" max="27" width="9.140625" style="277"/>
    <col min="28" max="28" width="22.7109375" style="277" customWidth="1"/>
    <col min="29" max="33" width="14.5703125" style="277" customWidth="1"/>
    <col min="34" max="34" width="32.5703125" style="277" bestFit="1" customWidth="1"/>
    <col min="35" max="240" width="9.140625" style="185"/>
    <col min="241" max="16384" width="9.140625" style="304"/>
  </cols>
  <sheetData>
    <row r="1" spans="1:13" ht="9.9499999999999993" customHeight="1" thickBot="1">
      <c r="A1" s="182"/>
      <c r="B1" s="183"/>
      <c r="C1" s="183"/>
      <c r="D1" s="183"/>
      <c r="E1" s="183"/>
      <c r="F1" s="183"/>
      <c r="G1" s="184"/>
    </row>
    <row r="2" spans="1:13" ht="15.75" customHeight="1">
      <c r="A2" s="186"/>
      <c r="B2" s="1124" t="s">
        <v>635</v>
      </c>
      <c r="C2" s="1125"/>
      <c r="D2" s="1125"/>
      <c r="E2" s="1125"/>
      <c r="F2" s="1126"/>
      <c r="G2" s="187"/>
    </row>
    <row r="3" spans="1:13" ht="36" customHeight="1" thickBot="1">
      <c r="A3" s="186"/>
      <c r="B3" s="1127"/>
      <c r="C3" s="1128"/>
      <c r="D3" s="1128"/>
      <c r="E3" s="1128"/>
      <c r="F3" s="1129"/>
      <c r="G3" s="188" t="str">
        <f>'[3]Reference Sheet'!B2</f>
        <v>Rev. 4.12.2016</v>
      </c>
      <c r="J3" s="189"/>
      <c r="K3" s="189"/>
      <c r="L3" s="189"/>
      <c r="M3" s="189"/>
    </row>
    <row r="4" spans="1:13" ht="9" customHeight="1">
      <c r="A4" s="186"/>
      <c r="B4" s="1130"/>
      <c r="C4" s="1130"/>
      <c r="D4" s="1130"/>
      <c r="E4" s="1130"/>
      <c r="F4" s="1130"/>
      <c r="G4" s="187"/>
      <c r="I4" s="189"/>
      <c r="J4" s="189"/>
      <c r="K4" s="189"/>
      <c r="L4" s="189"/>
      <c r="M4" s="189"/>
    </row>
    <row r="5" spans="1:13" ht="18" customHeight="1" thickBot="1">
      <c r="A5" s="190" t="s">
        <v>533</v>
      </c>
      <c r="B5" s="1131"/>
      <c r="C5" s="1132"/>
      <c r="D5" s="1132"/>
      <c r="E5" s="191" t="s">
        <v>67</v>
      </c>
      <c r="F5" s="1147"/>
      <c r="G5" s="1134"/>
      <c r="I5" s="189"/>
      <c r="J5" s="189"/>
      <c r="K5" s="189"/>
      <c r="L5" s="189"/>
      <c r="M5" s="189"/>
    </row>
    <row r="6" spans="1:13" ht="18" customHeight="1" thickBot="1">
      <c r="A6" s="192" t="s">
        <v>535</v>
      </c>
      <c r="B6" s="1135"/>
      <c r="C6" s="1136"/>
      <c r="D6" s="1136"/>
      <c r="E6" s="193"/>
      <c r="F6" s="194"/>
      <c r="G6" s="195"/>
      <c r="I6" s="189"/>
      <c r="J6" s="189"/>
      <c r="K6" s="189"/>
      <c r="L6" s="189"/>
      <c r="M6" s="189"/>
    </row>
    <row r="7" spans="1:13" ht="18" customHeight="1" thickBot="1">
      <c r="A7" s="190" t="s">
        <v>536</v>
      </c>
      <c r="B7" s="1137"/>
      <c r="C7" s="1138"/>
      <c r="D7" s="1138"/>
      <c r="E7" s="191" t="s">
        <v>538</v>
      </c>
      <c r="F7" s="1139"/>
      <c r="G7" s="1140"/>
      <c r="I7" s="189"/>
      <c r="J7" s="189"/>
      <c r="K7" s="189"/>
      <c r="L7" s="189"/>
      <c r="M7" s="189"/>
    </row>
    <row r="8" spans="1:13" ht="9.9499999999999993" customHeight="1" thickBot="1">
      <c r="A8" s="196"/>
      <c r="B8" s="197"/>
      <c r="C8" s="197"/>
      <c r="D8" s="198"/>
      <c r="E8" s="199"/>
      <c r="F8" s="199"/>
      <c r="G8" s="200"/>
      <c r="I8" s="189"/>
      <c r="J8" s="189"/>
      <c r="K8" s="189"/>
      <c r="L8" s="189"/>
      <c r="M8" s="189"/>
    </row>
    <row r="9" spans="1:13" ht="9.9499999999999993" customHeight="1" thickBot="1">
      <c r="A9" s="201"/>
      <c r="B9" s="202"/>
      <c r="C9" s="202"/>
      <c r="D9" s="203"/>
      <c r="E9" s="204"/>
      <c r="F9" s="204"/>
      <c r="G9" s="205"/>
      <c r="I9" s="1100" t="s">
        <v>636</v>
      </c>
      <c r="J9" s="1101"/>
      <c r="K9" s="1101"/>
      <c r="L9" s="1101"/>
      <c r="M9" s="1102"/>
    </row>
    <row r="10" spans="1:13">
      <c r="A10" s="206"/>
      <c r="B10" s="1109" t="s">
        <v>637</v>
      </c>
      <c r="C10" s="1110"/>
      <c r="D10" s="1110"/>
      <c r="E10" s="1110"/>
      <c r="F10" s="1111"/>
      <c r="G10" s="207"/>
      <c r="I10" s="1103"/>
      <c r="J10" s="1104"/>
      <c r="K10" s="1104"/>
      <c r="L10" s="1104"/>
      <c r="M10" s="1105"/>
    </row>
    <row r="11" spans="1:13" ht="18.75" customHeight="1">
      <c r="A11" s="208"/>
      <c r="B11" s="1112"/>
      <c r="C11" s="1113"/>
      <c r="D11" s="1113"/>
      <c r="E11" s="1113"/>
      <c r="F11" s="1114"/>
      <c r="G11" s="209"/>
      <c r="I11" s="1103"/>
      <c r="J11" s="1104"/>
      <c r="K11" s="1104"/>
      <c r="L11" s="1104"/>
      <c r="M11" s="1105"/>
    </row>
    <row r="12" spans="1:13" ht="3" customHeight="1">
      <c r="A12" s="208"/>
      <c r="B12" s="210"/>
      <c r="C12" s="211"/>
      <c r="D12" s="212"/>
      <c r="E12" s="212"/>
      <c r="F12" s="213"/>
      <c r="G12" s="209"/>
      <c r="I12" s="1103"/>
      <c r="J12" s="1104"/>
      <c r="K12" s="1104"/>
      <c r="L12" s="1104"/>
      <c r="M12" s="1105"/>
    </row>
    <row r="13" spans="1:13">
      <c r="A13" s="214"/>
      <c r="B13" s="215" t="s">
        <v>542</v>
      </c>
      <c r="C13" s="212"/>
      <c r="D13" s="212"/>
      <c r="E13" s="216"/>
      <c r="F13" s="217" t="e">
        <f>(IF(OR(W87=6),"Weekly"," "))</f>
        <v>#N/A</v>
      </c>
      <c r="G13" s="209"/>
      <c r="I13" s="1103"/>
      <c r="J13" s="1104"/>
      <c r="K13" s="1104"/>
      <c r="L13" s="1104"/>
      <c r="M13" s="1105"/>
    </row>
    <row r="14" spans="1:13">
      <c r="A14" s="208"/>
      <c r="B14" s="218" t="s">
        <v>543</v>
      </c>
      <c r="C14" s="219"/>
      <c r="D14" s="212"/>
      <c r="E14" s="220" t="s">
        <v>544</v>
      </c>
      <c r="F14" s="221" t="e">
        <f>(IF(OR(W87=13),"Bi-Weekly"," "))</f>
        <v>#N/A</v>
      </c>
      <c r="G14" s="209"/>
      <c r="I14" s="1103"/>
      <c r="J14" s="1104"/>
      <c r="K14" s="1104"/>
      <c r="L14" s="1104"/>
      <c r="M14" s="1105"/>
    </row>
    <row r="15" spans="1:13">
      <c r="A15" s="208"/>
      <c r="B15" s="222" t="s">
        <v>545</v>
      </c>
      <c r="C15" s="219"/>
      <c r="D15" s="212"/>
      <c r="E15" s="216"/>
      <c r="F15" s="221" t="e">
        <f>(IF(OR(W87=14,W87=15,W87=12, W87=13),"Semi-Monthly"," "))</f>
        <v>#N/A</v>
      </c>
      <c r="G15" s="209"/>
      <c r="I15" s="1103"/>
      <c r="J15" s="1104"/>
      <c r="K15" s="1104"/>
      <c r="L15" s="1104"/>
      <c r="M15" s="1105"/>
    </row>
    <row r="16" spans="1:13">
      <c r="A16" s="208"/>
      <c r="B16" s="223"/>
      <c r="C16" s="211"/>
      <c r="D16" s="212"/>
      <c r="E16" s="216"/>
      <c r="F16" s="224" t="e">
        <f>(IF(OR(W87=30,W87=29,W87=27,W87=28),"Monthly"," "))</f>
        <v>#N/A</v>
      </c>
      <c r="G16" s="209"/>
      <c r="I16" s="1103"/>
      <c r="J16" s="1104"/>
      <c r="K16" s="1104"/>
      <c r="L16" s="1104"/>
      <c r="M16" s="1105"/>
    </row>
    <row r="17" spans="1:13" ht="3" customHeight="1">
      <c r="A17" s="208"/>
      <c r="B17" s="223"/>
      <c r="C17" s="211"/>
      <c r="D17" s="212"/>
      <c r="E17" s="216"/>
      <c r="F17" s="225"/>
      <c r="G17" s="209"/>
      <c r="I17" s="1103"/>
      <c r="J17" s="1104"/>
      <c r="K17" s="1104"/>
      <c r="L17" s="1104"/>
      <c r="M17" s="1105"/>
    </row>
    <row r="18" spans="1:13" ht="40.5" customHeight="1">
      <c r="A18" s="208"/>
      <c r="B18" s="1115" t="s">
        <v>638</v>
      </c>
      <c r="C18" s="1116"/>
      <c r="D18" s="1116"/>
      <c r="E18" s="1116"/>
      <c r="F18" s="1117"/>
      <c r="G18" s="209"/>
      <c r="I18" s="1103"/>
      <c r="J18" s="1104"/>
      <c r="K18" s="1104"/>
      <c r="L18" s="1104"/>
      <c r="M18" s="1105"/>
    </row>
    <row r="19" spans="1:13" ht="3" customHeight="1">
      <c r="A19" s="208"/>
      <c r="B19" s="226"/>
      <c r="C19" s="227"/>
      <c r="D19" s="227"/>
      <c r="E19" s="227"/>
      <c r="F19" s="228"/>
      <c r="G19" s="209"/>
      <c r="I19" s="1103"/>
      <c r="J19" s="1104"/>
      <c r="K19" s="1104"/>
      <c r="L19" s="1104"/>
      <c r="M19" s="1105"/>
    </row>
    <row r="20" spans="1:13" ht="42.75" customHeight="1">
      <c r="A20" s="208"/>
      <c r="B20" s="305" t="s">
        <v>547</v>
      </c>
      <c r="C20" s="306">
        <f>Q59</f>
        <v>0</v>
      </c>
      <c r="D20" s="1141" t="str">
        <f>IF(C21="Select total # of months to average","This figure is calculated from the pay period dates entered above. In conjunction with the pay frequency and income trend, this number will determine how many months or quarters to average the bonus income by."," ")</f>
        <v>This figure is calculated from the pay period dates entered above. In conjunction with the pay frequency and income trend, this number will determine how many months or quarters to average the bonus income by.</v>
      </c>
      <c r="E20" s="1141"/>
      <c r="F20" s="1142"/>
      <c r="G20" s="209"/>
      <c r="I20" s="1103"/>
      <c r="J20" s="1104"/>
      <c r="K20" s="1104"/>
      <c r="L20" s="1104"/>
      <c r="M20" s="1105"/>
    </row>
    <row r="21" spans="1:13" ht="3" customHeight="1">
      <c r="A21" s="208"/>
      <c r="B21" s="307" t="s">
        <v>548</v>
      </c>
      <c r="C21" s="308" t="s">
        <v>549</v>
      </c>
      <c r="D21" s="309" t="str">
        <f>IF(C21="Select total # of months to average"," ","Enter TOTAL number of months to average variable income. YOU MUST EXPLAIN YOUR CALCULATION IN THE NOTES SECTION BELOW")</f>
        <v xml:space="preserve"> </v>
      </c>
      <c r="E21" s="234"/>
      <c r="F21" s="225"/>
      <c r="G21" s="209"/>
      <c r="I21" s="1103"/>
      <c r="J21" s="1104"/>
      <c r="K21" s="1104"/>
      <c r="L21" s="1104"/>
      <c r="M21" s="1105"/>
    </row>
    <row r="22" spans="1:13" ht="3" customHeight="1" thickBot="1">
      <c r="A22" s="208"/>
      <c r="B22" s="235"/>
      <c r="C22" s="236"/>
      <c r="D22" s="236"/>
      <c r="E22" s="237"/>
      <c r="F22" s="238"/>
      <c r="G22" s="209"/>
      <c r="I22" s="1103"/>
      <c r="J22" s="1104"/>
      <c r="K22" s="1104"/>
      <c r="L22" s="1104"/>
      <c r="M22" s="1105"/>
    </row>
    <row r="23" spans="1:13" ht="9.9499999999999993" customHeight="1" thickBot="1">
      <c r="A23" s="208"/>
      <c r="B23" s="239"/>
      <c r="C23" s="239"/>
      <c r="D23" s="239"/>
      <c r="E23" s="239"/>
      <c r="F23" s="239"/>
      <c r="G23" s="209"/>
      <c r="I23" s="1103"/>
      <c r="J23" s="1104"/>
      <c r="K23" s="1104"/>
      <c r="L23" s="1104"/>
      <c r="M23" s="1105"/>
    </row>
    <row r="24" spans="1:13" ht="15.75" customHeight="1">
      <c r="A24" s="208"/>
      <c r="B24" s="1121" t="s">
        <v>639</v>
      </c>
      <c r="C24" s="1122"/>
      <c r="D24" s="261"/>
      <c r="E24" s="1143" t="s">
        <v>640</v>
      </c>
      <c r="F24" s="1144"/>
      <c r="G24" s="209"/>
      <c r="I24" s="1103"/>
      <c r="J24" s="1104"/>
      <c r="K24" s="1104"/>
      <c r="L24" s="1104"/>
      <c r="M24" s="1105"/>
    </row>
    <row r="25" spans="1:13" ht="15.75" customHeight="1">
      <c r="A25" s="208"/>
      <c r="B25" s="1145" t="s">
        <v>641</v>
      </c>
      <c r="C25" s="1146"/>
      <c r="D25" s="261"/>
      <c r="E25" s="1144"/>
      <c r="F25" s="1144"/>
      <c r="G25" s="209"/>
      <c r="I25" s="1103"/>
      <c r="J25" s="1104"/>
      <c r="K25" s="1104"/>
      <c r="L25" s="1104"/>
      <c r="M25" s="1105"/>
    </row>
    <row r="26" spans="1:13" ht="15.75" customHeight="1">
      <c r="A26" s="247"/>
      <c r="B26" s="310" t="s">
        <v>553</v>
      </c>
      <c r="C26" s="243">
        <v>0</v>
      </c>
      <c r="D26" s="261"/>
      <c r="E26" s="1144"/>
      <c r="F26" s="1144"/>
      <c r="G26" s="250"/>
      <c r="I26" s="1103"/>
      <c r="J26" s="1104"/>
      <c r="K26" s="1104"/>
      <c r="L26" s="1104"/>
      <c r="M26" s="1105"/>
    </row>
    <row r="27" spans="1:13" ht="18.75" customHeight="1">
      <c r="A27" s="247"/>
      <c r="B27" s="310" t="s">
        <v>642</v>
      </c>
      <c r="C27" s="244">
        <v>0</v>
      </c>
      <c r="D27" s="261"/>
      <c r="E27" s="1144"/>
      <c r="F27" s="1144"/>
      <c r="G27" s="253"/>
      <c r="I27" s="1103"/>
      <c r="J27" s="1104"/>
      <c r="K27" s="1104"/>
      <c r="L27" s="1104"/>
      <c r="M27" s="1105"/>
    </row>
    <row r="28" spans="1:13">
      <c r="A28" s="247"/>
      <c r="B28" s="311" t="s">
        <v>643</v>
      </c>
      <c r="C28" s="246">
        <v>0</v>
      </c>
      <c r="D28" s="239"/>
      <c r="E28" s="1144"/>
      <c r="F28" s="1144"/>
      <c r="G28" s="255"/>
      <c r="I28" s="1103"/>
      <c r="J28" s="1104"/>
      <c r="K28" s="1104"/>
      <c r="L28" s="1104"/>
      <c r="M28" s="1105"/>
    </row>
    <row r="29" spans="1:13" ht="19.5" thickBot="1">
      <c r="A29" s="247"/>
      <c r="B29" s="251" t="s">
        <v>644</v>
      </c>
      <c r="C29" s="312">
        <f>IF(B25="Select Pay Frequency", "Pay Freq", T64)</f>
        <v>0</v>
      </c>
      <c r="D29" s="239"/>
      <c r="E29" s="1144"/>
      <c r="F29" s="1144"/>
      <c r="G29" s="255"/>
      <c r="I29" s="1103"/>
      <c r="J29" s="1104"/>
      <c r="K29" s="1104"/>
      <c r="L29" s="1104"/>
      <c r="M29" s="1105"/>
    </row>
    <row r="30" spans="1:13" ht="9.9499999999999993" customHeight="1" thickBot="1">
      <c r="A30" s="313"/>
      <c r="B30" s="314"/>
      <c r="C30" s="315"/>
      <c r="D30" s="316"/>
      <c r="E30" s="316"/>
      <c r="F30" s="316"/>
      <c r="G30" s="317"/>
      <c r="I30" s="1106"/>
      <c r="J30" s="1107"/>
      <c r="K30" s="1107"/>
      <c r="L30" s="1107"/>
      <c r="M30" s="1108"/>
    </row>
    <row r="31" spans="1:13" ht="5.0999999999999996" customHeight="1" thickBot="1">
      <c r="A31" s="277"/>
      <c r="B31" s="277"/>
      <c r="C31" s="277"/>
      <c r="D31" s="278"/>
      <c r="E31" s="277"/>
      <c r="F31" s="277"/>
      <c r="G31" s="277"/>
      <c r="I31" s="189"/>
      <c r="J31" s="189"/>
      <c r="K31" s="189"/>
      <c r="L31" s="189"/>
      <c r="M31" s="189"/>
    </row>
    <row r="32" spans="1:13" ht="15.75" customHeight="1">
      <c r="A32" s="277"/>
      <c r="B32" s="1089" t="s">
        <v>645</v>
      </c>
      <c r="C32" s="1090"/>
      <c r="D32" s="1090"/>
      <c r="E32" s="1090"/>
      <c r="F32" s="1091"/>
      <c r="G32" s="277"/>
      <c r="I32" s="189"/>
      <c r="J32" s="189"/>
      <c r="K32" s="189"/>
      <c r="L32" s="189"/>
      <c r="M32" s="189"/>
    </row>
    <row r="33" spans="1:240" ht="15.75" customHeight="1">
      <c r="A33" s="277"/>
      <c r="B33" s="1092"/>
      <c r="C33" s="1093"/>
      <c r="D33" s="1093"/>
      <c r="E33" s="1093"/>
      <c r="F33" s="1094"/>
      <c r="G33" s="277"/>
    </row>
    <row r="34" spans="1:240" ht="15.75" customHeight="1">
      <c r="A34" s="277"/>
      <c r="B34" s="1092"/>
      <c r="C34" s="1093"/>
      <c r="D34" s="1093"/>
      <c r="E34" s="1093"/>
      <c r="F34" s="1094"/>
      <c r="G34" s="277"/>
    </row>
    <row r="35" spans="1:240" ht="21" customHeight="1">
      <c r="A35" s="277"/>
      <c r="B35" s="1092"/>
      <c r="C35" s="1093"/>
      <c r="D35" s="1093"/>
      <c r="E35" s="1093"/>
      <c r="F35" s="1094"/>
      <c r="G35" s="277"/>
    </row>
    <row r="36" spans="1:240" ht="21" customHeight="1">
      <c r="A36" s="277"/>
      <c r="B36" s="1092"/>
      <c r="C36" s="1093"/>
      <c r="D36" s="1093"/>
      <c r="E36" s="1093"/>
      <c r="F36" s="1094"/>
      <c r="G36" s="277"/>
      <c r="P36" s="185"/>
      <c r="Q36" s="185"/>
      <c r="R36" s="185"/>
      <c r="S36" s="185"/>
      <c r="T36" s="318"/>
      <c r="U36" s="185"/>
      <c r="V36" s="185"/>
      <c r="W36" s="185"/>
      <c r="X36" s="185"/>
      <c r="Y36" s="185"/>
      <c r="Z36" s="185"/>
      <c r="AA36" s="185"/>
      <c r="AB36" s="185"/>
      <c r="AC36" s="185"/>
      <c r="AD36" s="185"/>
    </row>
    <row r="37" spans="1:240" ht="15.75" customHeight="1">
      <c r="A37" s="277"/>
      <c r="B37" s="1092"/>
      <c r="C37" s="1093"/>
      <c r="D37" s="1093"/>
      <c r="E37" s="1093"/>
      <c r="F37" s="1094"/>
      <c r="G37" s="277"/>
      <c r="P37" s="185"/>
      <c r="Q37" s="185"/>
      <c r="R37" s="185"/>
      <c r="S37" s="185"/>
      <c r="T37" s="318"/>
      <c r="U37" s="185"/>
      <c r="V37" s="185"/>
      <c r="W37" s="185"/>
      <c r="X37" s="185"/>
      <c r="Y37" s="185"/>
      <c r="Z37" s="185"/>
      <c r="AA37" s="185"/>
      <c r="AB37" s="185"/>
      <c r="AC37" s="185"/>
      <c r="AD37" s="185"/>
    </row>
    <row r="38" spans="1:240" ht="15.75" customHeight="1">
      <c r="A38" s="277"/>
      <c r="B38" s="1092"/>
      <c r="C38" s="1093"/>
      <c r="D38" s="1093"/>
      <c r="E38" s="1093"/>
      <c r="F38" s="1094"/>
      <c r="G38" s="277"/>
      <c r="P38" s="185"/>
      <c r="Q38" s="185"/>
      <c r="R38" s="185"/>
      <c r="S38" s="185"/>
      <c r="T38" s="318"/>
      <c r="U38" s="185"/>
      <c r="V38" s="185"/>
      <c r="W38" s="185"/>
      <c r="X38" s="185"/>
      <c r="Y38" s="185"/>
      <c r="Z38" s="185"/>
      <c r="AA38" s="185"/>
      <c r="AB38" s="185"/>
      <c r="AC38" s="185"/>
      <c r="AD38" s="185"/>
    </row>
    <row r="39" spans="1:240" s="280" customFormat="1" ht="15.75" customHeight="1">
      <c r="A39" s="277"/>
      <c r="B39" s="1092"/>
      <c r="C39" s="1093"/>
      <c r="D39" s="1093"/>
      <c r="E39" s="1093"/>
      <c r="F39" s="1094"/>
      <c r="G39" s="277"/>
      <c r="H39" s="277"/>
      <c r="I39" s="277"/>
      <c r="J39" s="277"/>
      <c r="K39" s="277"/>
      <c r="L39" s="277"/>
      <c r="M39" s="304"/>
      <c r="N39" s="185"/>
      <c r="O39" s="185"/>
      <c r="P39" s="185"/>
      <c r="Q39" s="185"/>
      <c r="R39" s="185"/>
      <c r="S39" s="185"/>
      <c r="T39" s="318"/>
      <c r="U39" s="185"/>
      <c r="V39" s="185"/>
      <c r="W39" s="185"/>
      <c r="X39" s="185"/>
      <c r="Y39" s="185"/>
      <c r="Z39" s="185"/>
      <c r="AA39" s="185"/>
      <c r="AB39" s="185"/>
      <c r="AC39" s="185"/>
      <c r="AD39" s="185"/>
      <c r="AE39" s="277"/>
      <c r="AF39" s="277"/>
      <c r="AG39" s="277"/>
      <c r="AH39" s="277"/>
      <c r="AI39" s="185"/>
      <c r="AJ39" s="185"/>
      <c r="AK39" s="185"/>
      <c r="AL39" s="185"/>
      <c r="AM39" s="185"/>
      <c r="AN39" s="185"/>
      <c r="AO39" s="185"/>
      <c r="AP39" s="185"/>
      <c r="AQ39" s="185"/>
      <c r="AR39" s="185"/>
      <c r="AS39" s="185"/>
      <c r="AT39" s="185"/>
      <c r="AU39" s="185"/>
      <c r="AV39" s="185"/>
      <c r="AW39" s="277"/>
      <c r="AX39" s="277"/>
      <c r="AY39" s="277"/>
      <c r="AZ39" s="277"/>
      <c r="BA39" s="277"/>
      <c r="BB39" s="277"/>
      <c r="BC39" s="277"/>
      <c r="BD39" s="277"/>
      <c r="BE39" s="277"/>
      <c r="BF39" s="277"/>
      <c r="BG39" s="277"/>
      <c r="BH39" s="277"/>
      <c r="BI39" s="277"/>
      <c r="BJ39" s="277"/>
      <c r="BK39" s="277"/>
      <c r="BL39" s="277"/>
      <c r="BM39" s="277"/>
      <c r="BN39" s="277"/>
      <c r="BO39" s="277"/>
      <c r="BP39" s="277"/>
      <c r="BQ39" s="277"/>
      <c r="BR39" s="277"/>
      <c r="BS39" s="277"/>
      <c r="BT39" s="277"/>
      <c r="BU39" s="277"/>
      <c r="BV39" s="277"/>
      <c r="BW39" s="277"/>
      <c r="BX39" s="277"/>
      <c r="BY39" s="277"/>
      <c r="BZ39" s="277"/>
      <c r="CA39" s="277"/>
      <c r="CB39" s="277"/>
      <c r="CC39" s="277"/>
      <c r="CD39" s="277"/>
      <c r="CE39" s="277"/>
      <c r="CF39" s="277"/>
      <c r="CG39" s="277"/>
      <c r="CH39" s="277"/>
      <c r="CI39" s="277"/>
      <c r="CJ39" s="277"/>
      <c r="CK39" s="277"/>
      <c r="CL39" s="277"/>
      <c r="CM39" s="277"/>
      <c r="CN39" s="277"/>
      <c r="CO39" s="277"/>
      <c r="CP39" s="277"/>
      <c r="CQ39" s="277"/>
      <c r="CR39" s="277"/>
      <c r="CS39" s="277"/>
      <c r="CT39" s="277"/>
      <c r="CU39" s="277"/>
      <c r="CV39" s="277"/>
      <c r="CW39" s="277"/>
      <c r="CX39" s="277"/>
      <c r="CY39" s="277"/>
      <c r="CZ39" s="277"/>
      <c r="DA39" s="277"/>
      <c r="DB39" s="277"/>
      <c r="DC39" s="277"/>
      <c r="DD39" s="277"/>
      <c r="DE39" s="277"/>
      <c r="DF39" s="277"/>
      <c r="DG39" s="277"/>
      <c r="DH39" s="277"/>
      <c r="DI39" s="277"/>
      <c r="DJ39" s="277"/>
      <c r="DK39" s="277"/>
      <c r="DL39" s="277"/>
      <c r="DM39" s="277"/>
      <c r="DN39" s="277"/>
      <c r="DO39" s="277"/>
      <c r="DP39" s="277"/>
      <c r="DQ39" s="277"/>
      <c r="DR39" s="277"/>
      <c r="DS39" s="277"/>
      <c r="DT39" s="277"/>
      <c r="DU39" s="277"/>
      <c r="DV39" s="277"/>
      <c r="DW39" s="277"/>
      <c r="DX39" s="277"/>
      <c r="DY39" s="277"/>
      <c r="DZ39" s="277"/>
      <c r="EA39" s="277"/>
      <c r="EB39" s="277"/>
      <c r="EC39" s="277"/>
      <c r="ED39" s="277"/>
      <c r="EE39" s="277"/>
      <c r="EF39" s="277"/>
      <c r="EG39" s="277"/>
      <c r="EH39" s="277"/>
      <c r="EI39" s="277"/>
      <c r="EJ39" s="277"/>
      <c r="EK39" s="277"/>
      <c r="EL39" s="277"/>
      <c r="EM39" s="277"/>
      <c r="EN39" s="277"/>
      <c r="EO39" s="277"/>
      <c r="EP39" s="277"/>
      <c r="EQ39" s="277"/>
      <c r="ER39" s="277"/>
      <c r="ES39" s="277"/>
      <c r="ET39" s="277"/>
      <c r="EU39" s="277"/>
      <c r="EV39" s="277"/>
      <c r="EW39" s="277"/>
      <c r="EX39" s="277"/>
      <c r="EY39" s="277"/>
      <c r="EZ39" s="277"/>
      <c r="FA39" s="277"/>
      <c r="FB39" s="277"/>
      <c r="FC39" s="277"/>
      <c r="FD39" s="277"/>
      <c r="FE39" s="277"/>
      <c r="FF39" s="277"/>
      <c r="FG39" s="277"/>
      <c r="FH39" s="277"/>
      <c r="FI39" s="277"/>
      <c r="FJ39" s="277"/>
      <c r="FK39" s="277"/>
      <c r="FL39" s="277"/>
      <c r="FM39" s="277"/>
      <c r="FN39" s="277"/>
      <c r="FO39" s="277"/>
      <c r="FP39" s="277"/>
      <c r="FQ39" s="277"/>
      <c r="FR39" s="277"/>
      <c r="FS39" s="277"/>
      <c r="FT39" s="277"/>
      <c r="FU39" s="277"/>
      <c r="FV39" s="277"/>
      <c r="FW39" s="277"/>
      <c r="FX39" s="277"/>
      <c r="FY39" s="277"/>
      <c r="FZ39" s="277"/>
      <c r="GA39" s="277"/>
      <c r="GB39" s="277"/>
      <c r="GC39" s="277"/>
      <c r="GD39" s="277"/>
      <c r="GE39" s="277"/>
      <c r="GF39" s="277"/>
      <c r="GG39" s="277"/>
      <c r="GH39" s="277"/>
      <c r="GI39" s="277"/>
      <c r="GJ39" s="277"/>
      <c r="GK39" s="277"/>
      <c r="GL39" s="277"/>
      <c r="GM39" s="277"/>
      <c r="GN39" s="277"/>
      <c r="GO39" s="277"/>
      <c r="GP39" s="277"/>
      <c r="GQ39" s="277"/>
      <c r="GR39" s="277"/>
      <c r="GS39" s="277"/>
      <c r="GT39" s="277"/>
      <c r="GU39" s="277"/>
      <c r="GV39" s="277"/>
      <c r="GW39" s="277"/>
      <c r="GX39" s="277"/>
      <c r="GY39" s="277"/>
      <c r="GZ39" s="277"/>
      <c r="HA39" s="277"/>
      <c r="HB39" s="277"/>
      <c r="HC39" s="277"/>
      <c r="HD39" s="277"/>
      <c r="HE39" s="277"/>
      <c r="HF39" s="277"/>
      <c r="HG39" s="277"/>
      <c r="HH39" s="277"/>
      <c r="HI39" s="277"/>
      <c r="HJ39" s="277"/>
      <c r="HK39" s="277"/>
      <c r="HL39" s="277"/>
      <c r="HM39" s="277"/>
      <c r="HN39" s="277"/>
      <c r="HO39" s="277"/>
      <c r="HP39" s="277"/>
      <c r="HQ39" s="277"/>
      <c r="HR39" s="277"/>
      <c r="HS39" s="277"/>
      <c r="HT39" s="277"/>
      <c r="HU39" s="277"/>
      <c r="HV39" s="277"/>
      <c r="HW39" s="277"/>
      <c r="HX39" s="277"/>
      <c r="HY39" s="277"/>
      <c r="HZ39" s="277"/>
      <c r="IA39" s="277"/>
      <c r="IB39" s="277"/>
      <c r="IC39" s="277"/>
      <c r="ID39" s="277"/>
      <c r="IE39" s="277"/>
      <c r="IF39" s="277"/>
    </row>
    <row r="40" spans="1:240" s="280" customFormat="1" ht="15.75" customHeight="1">
      <c r="A40" s="281"/>
      <c r="B40" s="1092"/>
      <c r="C40" s="1093"/>
      <c r="D40" s="1093"/>
      <c r="E40" s="1093"/>
      <c r="F40" s="1094"/>
      <c r="G40" s="277"/>
      <c r="H40" s="277"/>
      <c r="I40" s="277"/>
      <c r="J40" s="277"/>
      <c r="K40" s="277"/>
      <c r="L40" s="277"/>
      <c r="M40" s="185"/>
      <c r="N40" s="185"/>
      <c r="O40" s="185"/>
      <c r="P40" s="185"/>
      <c r="Q40" s="185"/>
      <c r="R40" s="185"/>
      <c r="S40" s="185"/>
      <c r="T40" s="318"/>
      <c r="U40" s="185"/>
      <c r="V40" s="185"/>
      <c r="W40" s="185"/>
      <c r="X40" s="185"/>
      <c r="Y40" s="185"/>
      <c r="Z40" s="185"/>
      <c r="AA40" s="185"/>
      <c r="AB40" s="185"/>
      <c r="AC40" s="185"/>
      <c r="AD40" s="185"/>
      <c r="AE40" s="277"/>
      <c r="AF40" s="277"/>
      <c r="AG40" s="277"/>
      <c r="AH40" s="277"/>
      <c r="AI40" s="185"/>
      <c r="AJ40" s="185"/>
      <c r="AK40" s="185"/>
      <c r="AL40" s="185"/>
      <c r="AM40" s="185"/>
      <c r="AN40" s="185"/>
      <c r="AO40" s="185"/>
      <c r="AP40" s="185"/>
      <c r="AQ40" s="185"/>
      <c r="AR40" s="185"/>
      <c r="AS40" s="185"/>
      <c r="AT40" s="185"/>
      <c r="AU40" s="185"/>
      <c r="AV40" s="185"/>
      <c r="AW40" s="277"/>
      <c r="AX40" s="277"/>
      <c r="AY40" s="277"/>
      <c r="AZ40" s="277"/>
      <c r="BA40" s="277"/>
      <c r="BB40" s="277"/>
      <c r="BC40" s="277"/>
      <c r="BD40" s="277"/>
      <c r="BE40" s="277"/>
      <c r="BF40" s="277"/>
      <c r="BG40" s="277"/>
      <c r="BH40" s="277"/>
      <c r="BI40" s="277"/>
      <c r="BJ40" s="277"/>
      <c r="BK40" s="277"/>
      <c r="BL40" s="277"/>
      <c r="BM40" s="277"/>
      <c r="BN40" s="277"/>
      <c r="BO40" s="277"/>
      <c r="BP40" s="277"/>
      <c r="BQ40" s="277"/>
      <c r="BR40" s="277"/>
      <c r="BS40" s="277"/>
      <c r="BT40" s="277"/>
      <c r="BU40" s="277"/>
      <c r="BV40" s="277"/>
      <c r="BW40" s="277"/>
      <c r="BX40" s="277"/>
      <c r="BY40" s="277"/>
      <c r="BZ40" s="277"/>
      <c r="CA40" s="277"/>
      <c r="CB40" s="277"/>
      <c r="CC40" s="277"/>
      <c r="CD40" s="277"/>
      <c r="CE40" s="277"/>
      <c r="CF40" s="277"/>
      <c r="CG40" s="277"/>
      <c r="CH40" s="277"/>
      <c r="CI40" s="277"/>
      <c r="CJ40" s="277"/>
      <c r="CK40" s="277"/>
      <c r="CL40" s="277"/>
      <c r="CM40" s="277"/>
      <c r="CN40" s="277"/>
      <c r="CO40" s="277"/>
      <c r="CP40" s="277"/>
      <c r="CQ40" s="277"/>
      <c r="CR40" s="277"/>
      <c r="CS40" s="277"/>
      <c r="CT40" s="277"/>
      <c r="CU40" s="277"/>
      <c r="CV40" s="277"/>
      <c r="CW40" s="277"/>
      <c r="CX40" s="277"/>
      <c r="CY40" s="277"/>
      <c r="CZ40" s="277"/>
      <c r="DA40" s="277"/>
      <c r="DB40" s="277"/>
      <c r="DC40" s="277"/>
      <c r="DD40" s="277"/>
      <c r="DE40" s="277"/>
      <c r="DF40" s="277"/>
      <c r="DG40" s="277"/>
      <c r="DH40" s="277"/>
      <c r="DI40" s="277"/>
      <c r="DJ40" s="277"/>
      <c r="DK40" s="277"/>
      <c r="DL40" s="277"/>
      <c r="DM40" s="277"/>
      <c r="DN40" s="277"/>
      <c r="DO40" s="277"/>
      <c r="DP40" s="277"/>
      <c r="DQ40" s="277"/>
      <c r="DR40" s="277"/>
      <c r="DS40" s="277"/>
      <c r="DT40" s="277"/>
      <c r="DU40" s="277"/>
      <c r="DV40" s="277"/>
      <c r="DW40" s="277"/>
      <c r="DX40" s="277"/>
      <c r="DY40" s="277"/>
      <c r="DZ40" s="277"/>
      <c r="EA40" s="277"/>
      <c r="EB40" s="277"/>
      <c r="EC40" s="277"/>
      <c r="ED40" s="277"/>
      <c r="EE40" s="277"/>
      <c r="EF40" s="277"/>
      <c r="EG40" s="277"/>
      <c r="EH40" s="277"/>
      <c r="EI40" s="277"/>
      <c r="EJ40" s="277"/>
      <c r="EK40" s="277"/>
      <c r="EL40" s="277"/>
      <c r="EM40" s="277"/>
      <c r="EN40" s="277"/>
      <c r="EO40" s="277"/>
      <c r="EP40" s="277"/>
      <c r="EQ40" s="277"/>
      <c r="ER40" s="277"/>
      <c r="ES40" s="277"/>
      <c r="ET40" s="277"/>
      <c r="EU40" s="277"/>
      <c r="EV40" s="277"/>
      <c r="EW40" s="277"/>
      <c r="EX40" s="277"/>
      <c r="EY40" s="277"/>
      <c r="EZ40" s="277"/>
      <c r="FA40" s="277"/>
      <c r="FB40" s="277"/>
      <c r="FC40" s="277"/>
      <c r="FD40" s="277"/>
      <c r="FE40" s="277"/>
      <c r="FF40" s="277"/>
      <c r="FG40" s="277"/>
      <c r="FH40" s="277"/>
      <c r="FI40" s="277"/>
      <c r="FJ40" s="277"/>
      <c r="FK40" s="277"/>
      <c r="FL40" s="277"/>
      <c r="FM40" s="277"/>
      <c r="FN40" s="277"/>
      <c r="FO40" s="277"/>
      <c r="FP40" s="277"/>
      <c r="FQ40" s="277"/>
      <c r="FR40" s="277"/>
      <c r="FS40" s="277"/>
      <c r="FT40" s="277"/>
      <c r="FU40" s="277"/>
      <c r="FV40" s="277"/>
      <c r="FW40" s="277"/>
      <c r="FX40" s="277"/>
      <c r="FY40" s="277"/>
      <c r="FZ40" s="277"/>
      <c r="GA40" s="277"/>
      <c r="GB40" s="277"/>
      <c r="GC40" s="277"/>
      <c r="GD40" s="277"/>
      <c r="GE40" s="277"/>
      <c r="GF40" s="277"/>
      <c r="GG40" s="277"/>
      <c r="GH40" s="277"/>
      <c r="GI40" s="277"/>
      <c r="GJ40" s="277"/>
      <c r="GK40" s="277"/>
      <c r="GL40" s="277"/>
      <c r="GM40" s="277"/>
      <c r="GN40" s="277"/>
      <c r="GO40" s="277"/>
      <c r="GP40" s="277"/>
      <c r="GQ40" s="277"/>
      <c r="GR40" s="277"/>
      <c r="GS40" s="277"/>
      <c r="GT40" s="277"/>
      <c r="GU40" s="277"/>
      <c r="GV40" s="277"/>
      <c r="GW40" s="277"/>
      <c r="GX40" s="277"/>
      <c r="GY40" s="277"/>
      <c r="GZ40" s="277"/>
      <c r="HA40" s="277"/>
      <c r="HB40" s="277"/>
      <c r="HC40" s="277"/>
      <c r="HD40" s="277"/>
      <c r="HE40" s="277"/>
      <c r="HF40" s="277"/>
      <c r="HG40" s="277"/>
      <c r="HH40" s="277"/>
      <c r="HI40" s="277"/>
      <c r="HJ40" s="277"/>
      <c r="HK40" s="277"/>
      <c r="HL40" s="277"/>
      <c r="HM40" s="277"/>
      <c r="HN40" s="277"/>
      <c r="HO40" s="277"/>
      <c r="HP40" s="277"/>
      <c r="HQ40" s="277"/>
      <c r="HR40" s="277"/>
      <c r="HS40" s="277"/>
      <c r="HT40" s="277"/>
      <c r="HU40" s="277"/>
      <c r="HV40" s="277"/>
      <c r="HW40" s="277"/>
      <c r="HX40" s="277"/>
      <c r="HY40" s="277"/>
      <c r="HZ40" s="277"/>
      <c r="IA40" s="277"/>
      <c r="IB40" s="277"/>
      <c r="IC40" s="277"/>
      <c r="ID40" s="277"/>
      <c r="IE40" s="277"/>
      <c r="IF40" s="277"/>
    </row>
    <row r="41" spans="1:240" s="280" customFormat="1" ht="15.75" thickBot="1">
      <c r="A41" s="281"/>
      <c r="B41" s="1095"/>
      <c r="C41" s="1096"/>
      <c r="D41" s="1096"/>
      <c r="E41" s="1096"/>
      <c r="F41" s="1097"/>
      <c r="G41" s="277"/>
      <c r="H41" s="277"/>
      <c r="I41" s="277"/>
      <c r="J41" s="277"/>
      <c r="K41" s="277"/>
      <c r="L41" s="277"/>
      <c r="M41" s="185"/>
      <c r="N41" s="185"/>
      <c r="O41" s="185"/>
      <c r="P41" s="185"/>
      <c r="Q41" s="185"/>
      <c r="R41" s="185"/>
      <c r="S41" s="185"/>
      <c r="T41" s="318"/>
      <c r="U41" s="185"/>
      <c r="V41" s="185"/>
      <c r="W41" s="185"/>
      <c r="X41" s="185"/>
      <c r="Y41" s="185"/>
      <c r="Z41" s="185"/>
      <c r="AA41" s="185"/>
      <c r="AB41" s="185"/>
      <c r="AC41" s="185"/>
      <c r="AD41" s="185"/>
      <c r="AE41" s="277"/>
      <c r="AF41" s="277"/>
      <c r="AG41" s="277"/>
      <c r="AH41" s="277"/>
      <c r="AI41" s="185"/>
      <c r="AJ41" s="185"/>
      <c r="AK41" s="185"/>
      <c r="AL41" s="185"/>
      <c r="AM41" s="185"/>
      <c r="AN41" s="185"/>
      <c r="AO41" s="185"/>
      <c r="AP41" s="185"/>
      <c r="AQ41" s="185"/>
      <c r="AR41" s="185"/>
      <c r="AS41" s="185"/>
      <c r="AT41" s="185"/>
      <c r="AU41" s="185"/>
      <c r="AV41" s="185"/>
      <c r="AW41" s="277"/>
      <c r="AX41" s="277"/>
      <c r="AY41" s="277"/>
      <c r="AZ41" s="277"/>
      <c r="BA41" s="277"/>
      <c r="BB41" s="277"/>
      <c r="BC41" s="277"/>
      <c r="BD41" s="277"/>
      <c r="BE41" s="277"/>
      <c r="BF41" s="277"/>
      <c r="BG41" s="277"/>
      <c r="BH41" s="277"/>
      <c r="BI41" s="277"/>
      <c r="BJ41" s="277"/>
      <c r="BK41" s="277"/>
      <c r="BL41" s="277"/>
      <c r="BM41" s="277"/>
      <c r="BN41" s="277"/>
      <c r="BO41" s="277"/>
      <c r="BP41" s="277"/>
      <c r="BQ41" s="277"/>
      <c r="BR41" s="277"/>
      <c r="BS41" s="277"/>
      <c r="BT41" s="277"/>
      <c r="BU41" s="277"/>
      <c r="BV41" s="277"/>
      <c r="BW41" s="277"/>
      <c r="BX41" s="277"/>
      <c r="BY41" s="277"/>
      <c r="BZ41" s="277"/>
      <c r="CA41" s="277"/>
      <c r="CB41" s="277"/>
      <c r="CC41" s="277"/>
      <c r="CD41" s="277"/>
      <c r="CE41" s="277"/>
      <c r="CF41" s="277"/>
      <c r="CG41" s="277"/>
      <c r="CH41" s="277"/>
      <c r="CI41" s="277"/>
      <c r="CJ41" s="277"/>
      <c r="CK41" s="277"/>
      <c r="CL41" s="277"/>
      <c r="CM41" s="277"/>
      <c r="CN41" s="277"/>
      <c r="CO41" s="277"/>
      <c r="CP41" s="277"/>
      <c r="CQ41" s="277"/>
      <c r="CR41" s="277"/>
      <c r="CS41" s="277"/>
      <c r="CT41" s="277"/>
      <c r="CU41" s="277"/>
      <c r="CV41" s="277"/>
      <c r="CW41" s="277"/>
      <c r="CX41" s="277"/>
      <c r="CY41" s="277"/>
      <c r="CZ41" s="277"/>
      <c r="DA41" s="277"/>
      <c r="DB41" s="277"/>
      <c r="DC41" s="277"/>
      <c r="DD41" s="277"/>
      <c r="DE41" s="277"/>
      <c r="DF41" s="277"/>
      <c r="DG41" s="277"/>
      <c r="DH41" s="277"/>
      <c r="DI41" s="277"/>
      <c r="DJ41" s="277"/>
      <c r="DK41" s="277"/>
      <c r="DL41" s="277"/>
      <c r="DM41" s="277"/>
      <c r="DN41" s="277"/>
      <c r="DO41" s="277"/>
      <c r="DP41" s="277"/>
      <c r="DQ41" s="277"/>
      <c r="DR41" s="277"/>
      <c r="DS41" s="277"/>
      <c r="DT41" s="277"/>
      <c r="DU41" s="277"/>
      <c r="DV41" s="277"/>
      <c r="DW41" s="277"/>
      <c r="DX41" s="277"/>
      <c r="DY41" s="277"/>
      <c r="DZ41" s="277"/>
      <c r="EA41" s="277"/>
      <c r="EB41" s="277"/>
      <c r="EC41" s="277"/>
      <c r="ED41" s="277"/>
      <c r="EE41" s="277"/>
      <c r="EF41" s="277"/>
      <c r="EG41" s="277"/>
      <c r="EH41" s="277"/>
      <c r="EI41" s="277"/>
      <c r="EJ41" s="277"/>
      <c r="EK41" s="277"/>
      <c r="EL41" s="277"/>
      <c r="EM41" s="277"/>
      <c r="EN41" s="277"/>
      <c r="EO41" s="277"/>
      <c r="EP41" s="277"/>
      <c r="EQ41" s="277"/>
      <c r="ER41" s="277"/>
      <c r="ES41" s="277"/>
      <c r="ET41" s="277"/>
      <c r="EU41" s="277"/>
      <c r="EV41" s="277"/>
      <c r="EW41" s="277"/>
      <c r="EX41" s="277"/>
      <c r="EY41" s="277"/>
      <c r="EZ41" s="277"/>
      <c r="FA41" s="277"/>
      <c r="FB41" s="277"/>
      <c r="FC41" s="277"/>
      <c r="FD41" s="277"/>
      <c r="FE41" s="277"/>
      <c r="FF41" s="277"/>
      <c r="FG41" s="277"/>
      <c r="FH41" s="277"/>
      <c r="FI41" s="277"/>
      <c r="FJ41" s="277"/>
      <c r="FK41" s="277"/>
      <c r="FL41" s="277"/>
      <c r="FM41" s="277"/>
      <c r="FN41" s="277"/>
      <c r="FO41" s="277"/>
      <c r="FP41" s="277"/>
      <c r="FQ41" s="277"/>
      <c r="FR41" s="277"/>
      <c r="FS41" s="277"/>
      <c r="FT41" s="277"/>
      <c r="FU41" s="277"/>
      <c r="FV41" s="277"/>
      <c r="FW41" s="277"/>
      <c r="FX41" s="277"/>
      <c r="FY41" s="277"/>
      <c r="FZ41" s="277"/>
      <c r="GA41" s="277"/>
      <c r="GB41" s="277"/>
      <c r="GC41" s="277"/>
      <c r="GD41" s="277"/>
      <c r="GE41" s="277"/>
      <c r="GF41" s="277"/>
      <c r="GG41" s="277"/>
      <c r="GH41" s="277"/>
      <c r="GI41" s="277"/>
      <c r="GJ41" s="277"/>
      <c r="GK41" s="277"/>
      <c r="GL41" s="277"/>
      <c r="GM41" s="277"/>
      <c r="GN41" s="277"/>
      <c r="GO41" s="277"/>
      <c r="GP41" s="277"/>
      <c r="GQ41" s="277"/>
      <c r="GR41" s="277"/>
      <c r="GS41" s="277"/>
      <c r="GT41" s="277"/>
      <c r="GU41" s="277"/>
      <c r="GV41" s="277"/>
      <c r="GW41" s="277"/>
      <c r="GX41" s="277"/>
      <c r="GY41" s="277"/>
      <c r="GZ41" s="277"/>
      <c r="HA41" s="277"/>
      <c r="HB41" s="277"/>
      <c r="HC41" s="277"/>
      <c r="HD41" s="277"/>
      <c r="HE41" s="277"/>
      <c r="HF41" s="277"/>
      <c r="HG41" s="277"/>
      <c r="HH41" s="277"/>
      <c r="HI41" s="277"/>
      <c r="HJ41" s="277"/>
      <c r="HK41" s="277"/>
      <c r="HL41" s="277"/>
      <c r="HM41" s="277"/>
      <c r="HN41" s="277"/>
      <c r="HO41" s="277"/>
      <c r="HP41" s="277"/>
      <c r="HQ41" s="277"/>
      <c r="HR41" s="277"/>
      <c r="HS41" s="277"/>
      <c r="HT41" s="277"/>
      <c r="HU41" s="277"/>
      <c r="HV41" s="277"/>
      <c r="HW41" s="277"/>
      <c r="HX41" s="277"/>
      <c r="HY41" s="277"/>
      <c r="HZ41" s="277"/>
      <c r="IA41" s="277"/>
      <c r="IB41" s="277"/>
      <c r="IC41" s="277"/>
      <c r="ID41" s="277"/>
      <c r="IE41" s="277"/>
      <c r="IF41" s="277"/>
    </row>
    <row r="42" spans="1:240" s="280" customFormat="1" ht="9.9499999999999993" customHeight="1">
      <c r="A42" s="277"/>
      <c r="B42" s="277"/>
      <c r="C42" s="277"/>
      <c r="D42" s="277"/>
      <c r="E42" s="277"/>
      <c r="F42" s="277"/>
      <c r="G42" s="277"/>
      <c r="H42" s="277"/>
      <c r="I42" s="277"/>
      <c r="J42" s="277"/>
      <c r="K42" s="277"/>
      <c r="L42" s="277"/>
      <c r="M42" s="185"/>
      <c r="N42" s="185"/>
      <c r="O42" s="185"/>
      <c r="P42" s="185"/>
      <c r="Q42" s="185"/>
      <c r="R42" s="185"/>
      <c r="S42" s="185"/>
      <c r="T42" s="318"/>
      <c r="U42" s="185"/>
      <c r="V42" s="185"/>
      <c r="W42" s="185"/>
      <c r="X42" s="185"/>
      <c r="Y42" s="185"/>
      <c r="Z42" s="185"/>
      <c r="AA42" s="185"/>
      <c r="AB42" s="185"/>
      <c r="AC42" s="185"/>
      <c r="AD42" s="185"/>
      <c r="AE42" s="277"/>
      <c r="AF42" s="277"/>
      <c r="AG42" s="277"/>
      <c r="AH42" s="277"/>
      <c r="AI42" s="185"/>
      <c r="AJ42" s="185"/>
      <c r="AK42" s="185"/>
      <c r="AL42" s="185"/>
      <c r="AM42" s="185"/>
      <c r="AN42" s="185"/>
      <c r="AO42" s="185"/>
      <c r="AP42" s="185"/>
      <c r="AQ42" s="185"/>
      <c r="AR42" s="185"/>
      <c r="AS42" s="185"/>
      <c r="AT42" s="185"/>
      <c r="AU42" s="185"/>
      <c r="AV42" s="185"/>
      <c r="AW42" s="277"/>
      <c r="AX42" s="277"/>
      <c r="AY42" s="277"/>
      <c r="AZ42" s="277"/>
      <c r="BA42" s="277"/>
      <c r="BB42" s="277"/>
      <c r="BC42" s="277"/>
      <c r="BD42" s="277"/>
      <c r="BE42" s="277"/>
      <c r="BF42" s="277"/>
      <c r="BG42" s="277"/>
      <c r="BH42" s="277"/>
      <c r="BI42" s="277"/>
      <c r="BJ42" s="277"/>
      <c r="BK42" s="277"/>
      <c r="BL42" s="277"/>
      <c r="BM42" s="277"/>
      <c r="BN42" s="277"/>
      <c r="BO42" s="277"/>
      <c r="BP42" s="277"/>
      <c r="BQ42" s="277"/>
      <c r="BR42" s="277"/>
      <c r="BS42" s="277"/>
      <c r="BT42" s="277"/>
      <c r="BU42" s="277"/>
      <c r="BV42" s="277"/>
      <c r="BW42" s="277"/>
      <c r="BX42" s="277"/>
      <c r="BY42" s="277"/>
      <c r="BZ42" s="277"/>
      <c r="CA42" s="277"/>
      <c r="CB42" s="277"/>
      <c r="CC42" s="277"/>
      <c r="CD42" s="277"/>
      <c r="CE42" s="277"/>
      <c r="CF42" s="277"/>
      <c r="CG42" s="277"/>
      <c r="CH42" s="277"/>
      <c r="CI42" s="277"/>
      <c r="CJ42" s="277"/>
      <c r="CK42" s="277"/>
      <c r="CL42" s="277"/>
      <c r="CM42" s="277"/>
      <c r="CN42" s="277"/>
      <c r="CO42" s="277"/>
      <c r="CP42" s="277"/>
      <c r="CQ42" s="277"/>
      <c r="CR42" s="277"/>
      <c r="CS42" s="277"/>
      <c r="CT42" s="277"/>
      <c r="CU42" s="277"/>
      <c r="CV42" s="277"/>
      <c r="CW42" s="277"/>
      <c r="CX42" s="277"/>
      <c r="CY42" s="277"/>
      <c r="CZ42" s="277"/>
      <c r="DA42" s="277"/>
      <c r="DB42" s="277"/>
      <c r="DC42" s="277"/>
      <c r="DD42" s="277"/>
      <c r="DE42" s="277"/>
      <c r="DF42" s="277"/>
      <c r="DG42" s="277"/>
      <c r="DH42" s="277"/>
      <c r="DI42" s="277"/>
      <c r="DJ42" s="277"/>
      <c r="DK42" s="277"/>
      <c r="DL42" s="277"/>
      <c r="DM42" s="277"/>
      <c r="DN42" s="277"/>
      <c r="DO42" s="277"/>
      <c r="DP42" s="277"/>
      <c r="DQ42" s="277"/>
      <c r="DR42" s="277"/>
      <c r="DS42" s="277"/>
      <c r="DT42" s="277"/>
      <c r="DU42" s="277"/>
      <c r="DV42" s="277"/>
      <c r="DW42" s="277"/>
      <c r="DX42" s="277"/>
      <c r="DY42" s="277"/>
      <c r="DZ42" s="277"/>
      <c r="EA42" s="277"/>
      <c r="EB42" s="277"/>
      <c r="EC42" s="277"/>
      <c r="ED42" s="277"/>
      <c r="EE42" s="277"/>
      <c r="EF42" s="277"/>
      <c r="EG42" s="277"/>
      <c r="EH42" s="277"/>
      <c r="EI42" s="277"/>
      <c r="EJ42" s="277"/>
      <c r="EK42" s="277"/>
      <c r="EL42" s="277"/>
      <c r="EM42" s="277"/>
      <c r="EN42" s="277"/>
      <c r="EO42" s="277"/>
      <c r="EP42" s="277"/>
      <c r="EQ42" s="277"/>
      <c r="ER42" s="277"/>
      <c r="ES42" s="277"/>
      <c r="ET42" s="277"/>
      <c r="EU42" s="277"/>
      <c r="EV42" s="277"/>
      <c r="EW42" s="277"/>
      <c r="EX42" s="277"/>
      <c r="EY42" s="277"/>
      <c r="EZ42" s="277"/>
      <c r="FA42" s="277"/>
      <c r="FB42" s="277"/>
      <c r="FC42" s="277"/>
      <c r="FD42" s="277"/>
      <c r="FE42" s="277"/>
      <c r="FF42" s="277"/>
      <c r="FG42" s="277"/>
      <c r="FH42" s="277"/>
      <c r="FI42" s="277"/>
      <c r="FJ42" s="277"/>
      <c r="FK42" s="277"/>
      <c r="FL42" s="277"/>
      <c r="FM42" s="277"/>
      <c r="FN42" s="277"/>
      <c r="FO42" s="277"/>
      <c r="FP42" s="277"/>
      <c r="FQ42" s="277"/>
      <c r="FR42" s="277"/>
      <c r="FS42" s="277"/>
      <c r="FT42" s="277"/>
      <c r="FU42" s="277"/>
      <c r="FV42" s="277"/>
      <c r="FW42" s="277"/>
      <c r="FX42" s="277"/>
      <c r="FY42" s="277"/>
      <c r="FZ42" s="277"/>
      <c r="GA42" s="277"/>
      <c r="GB42" s="277"/>
      <c r="GC42" s="277"/>
      <c r="GD42" s="277"/>
      <c r="GE42" s="277"/>
      <c r="GF42" s="277"/>
      <c r="GG42" s="277"/>
      <c r="GH42" s="277"/>
      <c r="GI42" s="277"/>
      <c r="GJ42" s="277"/>
      <c r="GK42" s="277"/>
      <c r="GL42" s="277"/>
      <c r="GM42" s="277"/>
      <c r="GN42" s="277"/>
      <c r="GO42" s="277"/>
      <c r="GP42" s="277"/>
      <c r="GQ42" s="277"/>
      <c r="GR42" s="277"/>
      <c r="GS42" s="277"/>
      <c r="GT42" s="277"/>
      <c r="GU42" s="277"/>
      <c r="GV42" s="277"/>
      <c r="GW42" s="277"/>
      <c r="GX42" s="277"/>
      <c r="GY42" s="277"/>
      <c r="GZ42" s="277"/>
      <c r="HA42" s="277"/>
      <c r="HB42" s="277"/>
      <c r="HC42" s="277"/>
      <c r="HD42" s="277"/>
      <c r="HE42" s="277"/>
      <c r="HF42" s="277"/>
      <c r="HG42" s="277"/>
      <c r="HH42" s="277"/>
      <c r="HI42" s="277"/>
      <c r="HJ42" s="277"/>
      <c r="HK42" s="277"/>
      <c r="HL42" s="277"/>
      <c r="HM42" s="277"/>
      <c r="HN42" s="277"/>
      <c r="HO42" s="277"/>
      <c r="HP42" s="277"/>
      <c r="HQ42" s="277"/>
      <c r="HR42" s="277"/>
      <c r="HS42" s="277"/>
      <c r="HT42" s="277"/>
      <c r="HU42" s="277"/>
      <c r="HV42" s="277"/>
      <c r="HW42" s="277"/>
      <c r="HX42" s="277"/>
      <c r="HY42" s="277"/>
      <c r="HZ42" s="277"/>
      <c r="IA42" s="277"/>
      <c r="IB42" s="277"/>
      <c r="IC42" s="277"/>
      <c r="ID42" s="277"/>
      <c r="IE42" s="277"/>
      <c r="IF42" s="277"/>
    </row>
    <row r="43" spans="1:240" s="280" customFormat="1" ht="6.75" customHeight="1">
      <c r="A43" s="277"/>
      <c r="B43" s="277"/>
      <c r="C43" s="277"/>
      <c r="D43" s="277"/>
      <c r="E43" s="277"/>
      <c r="F43" s="277"/>
      <c r="G43" s="277"/>
      <c r="H43" s="277"/>
      <c r="I43" s="277"/>
      <c r="J43" s="277"/>
      <c r="K43" s="277"/>
      <c r="L43" s="277"/>
      <c r="M43" s="185"/>
      <c r="N43" s="185"/>
      <c r="O43" s="185"/>
      <c r="P43" s="185"/>
      <c r="Q43" s="185"/>
      <c r="R43" s="185"/>
      <c r="S43" s="185"/>
      <c r="T43" s="318"/>
      <c r="U43" s="185"/>
      <c r="V43" s="185"/>
      <c r="W43" s="185"/>
      <c r="X43" s="185"/>
      <c r="Y43" s="185"/>
      <c r="Z43" s="185"/>
      <c r="AA43" s="185"/>
      <c r="AB43" s="185"/>
      <c r="AC43" s="185"/>
      <c r="AD43" s="185"/>
      <c r="AE43" s="277"/>
      <c r="AF43" s="277"/>
      <c r="AG43" s="277"/>
      <c r="AH43" s="277"/>
      <c r="AI43" s="185"/>
      <c r="AJ43" s="185"/>
      <c r="AK43" s="185"/>
      <c r="AL43" s="185"/>
      <c r="AM43" s="185"/>
      <c r="AN43" s="185"/>
      <c r="AO43" s="185"/>
      <c r="AP43" s="185"/>
      <c r="AQ43" s="185"/>
      <c r="AR43" s="185"/>
      <c r="AS43" s="185"/>
      <c r="AT43" s="185"/>
      <c r="AU43" s="185"/>
      <c r="AV43" s="185"/>
      <c r="AW43" s="277"/>
      <c r="AX43" s="277"/>
      <c r="AY43" s="277"/>
      <c r="AZ43" s="277"/>
      <c r="BA43" s="277"/>
      <c r="BB43" s="277"/>
      <c r="BC43" s="277"/>
      <c r="BD43" s="277"/>
      <c r="BE43" s="277"/>
      <c r="BF43" s="277"/>
      <c r="BG43" s="277"/>
      <c r="BH43" s="277"/>
      <c r="BI43" s="277"/>
      <c r="BJ43" s="277"/>
      <c r="BK43" s="277"/>
      <c r="BL43" s="277"/>
      <c r="BM43" s="277"/>
      <c r="BN43" s="277"/>
      <c r="BO43" s="277"/>
      <c r="BP43" s="277"/>
      <c r="BQ43" s="277"/>
      <c r="BR43" s="277"/>
      <c r="BS43" s="277"/>
      <c r="BT43" s="277"/>
      <c r="BU43" s="277"/>
      <c r="BV43" s="277"/>
      <c r="BW43" s="277"/>
      <c r="BX43" s="277"/>
      <c r="BY43" s="277"/>
      <c r="BZ43" s="277"/>
      <c r="CA43" s="277"/>
      <c r="CB43" s="277"/>
      <c r="CC43" s="277"/>
      <c r="CD43" s="277"/>
      <c r="CE43" s="277"/>
      <c r="CF43" s="277"/>
      <c r="CG43" s="277"/>
      <c r="CH43" s="277"/>
      <c r="CI43" s="277"/>
      <c r="CJ43" s="277"/>
      <c r="CK43" s="277"/>
      <c r="CL43" s="277"/>
      <c r="CM43" s="277"/>
      <c r="CN43" s="277"/>
      <c r="CO43" s="277"/>
      <c r="CP43" s="277"/>
      <c r="CQ43" s="277"/>
      <c r="CR43" s="277"/>
      <c r="CS43" s="277"/>
      <c r="CT43" s="277"/>
      <c r="CU43" s="277"/>
      <c r="CV43" s="277"/>
      <c r="CW43" s="277"/>
      <c r="CX43" s="277"/>
      <c r="CY43" s="277"/>
      <c r="CZ43" s="277"/>
      <c r="DA43" s="277"/>
      <c r="DB43" s="277"/>
      <c r="DC43" s="277"/>
      <c r="DD43" s="277"/>
      <c r="DE43" s="277"/>
      <c r="DF43" s="277"/>
      <c r="DG43" s="277"/>
      <c r="DH43" s="277"/>
      <c r="DI43" s="277"/>
      <c r="DJ43" s="277"/>
      <c r="DK43" s="277"/>
      <c r="DL43" s="277"/>
      <c r="DM43" s="277"/>
      <c r="DN43" s="277"/>
      <c r="DO43" s="277"/>
      <c r="DP43" s="277"/>
      <c r="DQ43" s="277"/>
      <c r="DR43" s="277"/>
      <c r="DS43" s="277"/>
      <c r="DT43" s="277"/>
      <c r="DU43" s="277"/>
      <c r="DV43" s="277"/>
      <c r="DW43" s="277"/>
      <c r="DX43" s="277"/>
      <c r="DY43" s="277"/>
      <c r="DZ43" s="277"/>
      <c r="EA43" s="277"/>
      <c r="EB43" s="277"/>
      <c r="EC43" s="277"/>
      <c r="ED43" s="277"/>
      <c r="EE43" s="277"/>
      <c r="EF43" s="277"/>
      <c r="EG43" s="277"/>
      <c r="EH43" s="277"/>
      <c r="EI43" s="277"/>
      <c r="EJ43" s="277"/>
      <c r="EK43" s="277"/>
      <c r="EL43" s="277"/>
      <c r="EM43" s="277"/>
      <c r="EN43" s="277"/>
      <c r="EO43" s="277"/>
      <c r="EP43" s="277"/>
      <c r="EQ43" s="277"/>
      <c r="ER43" s="277"/>
      <c r="ES43" s="277"/>
      <c r="ET43" s="277"/>
      <c r="EU43" s="277"/>
      <c r="EV43" s="277"/>
      <c r="EW43" s="277"/>
      <c r="EX43" s="277"/>
      <c r="EY43" s="277"/>
      <c r="EZ43" s="277"/>
      <c r="FA43" s="277"/>
      <c r="FB43" s="277"/>
      <c r="FC43" s="277"/>
      <c r="FD43" s="277"/>
      <c r="FE43" s="277"/>
      <c r="FF43" s="277"/>
      <c r="FG43" s="277"/>
      <c r="FH43" s="277"/>
      <c r="FI43" s="277"/>
      <c r="FJ43" s="277"/>
      <c r="FK43" s="277"/>
      <c r="FL43" s="277"/>
      <c r="FM43" s="277"/>
      <c r="FN43" s="277"/>
      <c r="FO43" s="277"/>
      <c r="FP43" s="277"/>
      <c r="FQ43" s="277"/>
      <c r="FR43" s="277"/>
      <c r="FS43" s="277"/>
      <c r="FT43" s="277"/>
      <c r="FU43" s="277"/>
      <c r="FV43" s="277"/>
      <c r="FW43" s="277"/>
      <c r="FX43" s="277"/>
      <c r="FY43" s="277"/>
      <c r="FZ43" s="277"/>
      <c r="GA43" s="277"/>
      <c r="GB43" s="277"/>
      <c r="GC43" s="277"/>
      <c r="GD43" s="277"/>
      <c r="GE43" s="277"/>
      <c r="GF43" s="277"/>
      <c r="GG43" s="277"/>
      <c r="GH43" s="277"/>
      <c r="GI43" s="277"/>
      <c r="GJ43" s="277"/>
      <c r="GK43" s="277"/>
      <c r="GL43" s="277"/>
      <c r="GM43" s="277"/>
      <c r="GN43" s="277"/>
      <c r="GO43" s="277"/>
      <c r="GP43" s="277"/>
      <c r="GQ43" s="277"/>
      <c r="GR43" s="277"/>
      <c r="GS43" s="277"/>
      <c r="GT43" s="277"/>
      <c r="GU43" s="277"/>
      <c r="GV43" s="277"/>
      <c r="GW43" s="277"/>
      <c r="GX43" s="277"/>
      <c r="GY43" s="277"/>
      <c r="GZ43" s="277"/>
      <c r="HA43" s="277"/>
      <c r="HB43" s="277"/>
      <c r="HC43" s="277"/>
      <c r="HD43" s="277"/>
      <c r="HE43" s="277"/>
      <c r="HF43" s="277"/>
      <c r="HG43" s="277"/>
      <c r="HH43" s="277"/>
      <c r="HI43" s="277"/>
      <c r="HJ43" s="277"/>
      <c r="HK43" s="277"/>
      <c r="HL43" s="277"/>
      <c r="HM43" s="277"/>
      <c r="HN43" s="277"/>
      <c r="HO43" s="277"/>
      <c r="HP43" s="277"/>
      <c r="HQ43" s="277"/>
      <c r="HR43" s="277"/>
      <c r="HS43" s="277"/>
      <c r="HT43" s="277"/>
      <c r="HU43" s="277"/>
      <c r="HV43" s="277"/>
      <c r="HW43" s="277"/>
      <c r="HX43" s="277"/>
      <c r="HY43" s="277"/>
      <c r="HZ43" s="277"/>
      <c r="IA43" s="277"/>
      <c r="IB43" s="277"/>
      <c r="IC43" s="277"/>
      <c r="ID43" s="277"/>
      <c r="IE43" s="277"/>
      <c r="IF43" s="277"/>
    </row>
    <row r="44" spans="1:240" s="280" customFormat="1">
      <c r="A44" s="277"/>
      <c r="B44" s="277"/>
      <c r="C44" s="277"/>
      <c r="D44" s="277"/>
      <c r="E44" s="277"/>
      <c r="F44" s="277"/>
      <c r="G44" s="277"/>
      <c r="H44" s="277"/>
      <c r="I44" s="277"/>
      <c r="J44" s="277"/>
      <c r="K44" s="277"/>
      <c r="L44" s="277"/>
      <c r="M44" s="277"/>
      <c r="N44" s="277"/>
      <c r="O44" s="277"/>
      <c r="P44" s="277"/>
      <c r="Q44" s="277"/>
      <c r="R44" s="277"/>
      <c r="S44" s="277"/>
      <c r="T44" s="279"/>
      <c r="U44" s="277"/>
      <c r="V44" s="277"/>
      <c r="W44" s="277"/>
      <c r="X44" s="277"/>
      <c r="Y44" s="277"/>
      <c r="Z44" s="277"/>
      <c r="AA44" s="277"/>
      <c r="AB44" s="277"/>
      <c r="AC44" s="277"/>
      <c r="AD44" s="277"/>
      <c r="AE44" s="277"/>
      <c r="AF44" s="277"/>
      <c r="AG44" s="277"/>
      <c r="AH44" s="277"/>
      <c r="AI44" s="277"/>
      <c r="AJ44" s="277"/>
      <c r="AK44" s="277"/>
      <c r="AL44" s="277"/>
      <c r="AM44" s="277"/>
      <c r="AN44" s="277"/>
      <c r="AO44" s="277"/>
      <c r="AP44" s="277"/>
      <c r="AQ44" s="277"/>
      <c r="AR44" s="277"/>
      <c r="AS44" s="277"/>
      <c r="AT44" s="277"/>
      <c r="AU44" s="277"/>
      <c r="AV44" s="277"/>
      <c r="AW44" s="277"/>
      <c r="AX44" s="277"/>
      <c r="AY44" s="277"/>
      <c r="AZ44" s="277"/>
      <c r="BA44" s="277"/>
      <c r="BB44" s="277"/>
      <c r="BC44" s="277"/>
      <c r="BD44" s="277"/>
      <c r="BE44" s="277"/>
      <c r="BF44" s="277"/>
      <c r="BG44" s="277"/>
      <c r="BH44" s="277"/>
      <c r="BI44" s="277"/>
      <c r="BJ44" s="277"/>
      <c r="BK44" s="277"/>
      <c r="BL44" s="277"/>
      <c r="BM44" s="277"/>
      <c r="BN44" s="277"/>
      <c r="BO44" s="277"/>
      <c r="BP44" s="277"/>
      <c r="BQ44" s="277"/>
      <c r="BR44" s="277"/>
      <c r="BS44" s="277"/>
      <c r="BT44" s="277"/>
      <c r="BU44" s="277"/>
      <c r="BV44" s="277"/>
      <c r="BW44" s="277"/>
      <c r="BX44" s="277"/>
      <c r="BY44" s="277"/>
      <c r="BZ44" s="277"/>
      <c r="CA44" s="277"/>
      <c r="CB44" s="277"/>
      <c r="CC44" s="277"/>
      <c r="CD44" s="277"/>
      <c r="CE44" s="277"/>
      <c r="CF44" s="277"/>
      <c r="CG44" s="277"/>
      <c r="CH44" s="277"/>
      <c r="CI44" s="277"/>
      <c r="CJ44" s="277"/>
      <c r="CK44" s="277"/>
      <c r="CL44" s="277"/>
      <c r="CM44" s="277"/>
      <c r="CN44" s="277"/>
      <c r="CO44" s="277"/>
      <c r="CP44" s="277"/>
      <c r="CQ44" s="277"/>
      <c r="CR44" s="277"/>
      <c r="CS44" s="277"/>
      <c r="CT44" s="277"/>
      <c r="CU44" s="277"/>
      <c r="CV44" s="277"/>
      <c r="CW44" s="277"/>
      <c r="CX44" s="277"/>
      <c r="CY44" s="277"/>
      <c r="CZ44" s="277"/>
      <c r="DA44" s="277"/>
      <c r="DB44" s="277"/>
      <c r="DC44" s="277"/>
      <c r="DD44" s="277"/>
      <c r="DE44" s="277"/>
      <c r="DF44" s="277"/>
      <c r="DG44" s="277"/>
      <c r="DH44" s="277"/>
      <c r="DI44" s="277"/>
      <c r="DJ44" s="277"/>
      <c r="DK44" s="277"/>
      <c r="DL44" s="277"/>
      <c r="DM44" s="277"/>
      <c r="DN44" s="277"/>
      <c r="DO44" s="277"/>
      <c r="DP44" s="277"/>
      <c r="DQ44" s="277"/>
      <c r="DR44" s="277"/>
      <c r="DS44" s="277"/>
      <c r="DT44" s="277"/>
      <c r="DU44" s="277"/>
      <c r="DV44" s="277"/>
      <c r="DW44" s="277"/>
      <c r="DX44" s="277"/>
      <c r="DY44" s="277"/>
      <c r="DZ44" s="277"/>
      <c r="EA44" s="277"/>
      <c r="EB44" s="277"/>
      <c r="EC44" s="277"/>
      <c r="ED44" s="277"/>
      <c r="EE44" s="277"/>
      <c r="EF44" s="277"/>
      <c r="EG44" s="277"/>
      <c r="EH44" s="277"/>
      <c r="EI44" s="277"/>
      <c r="EJ44" s="277"/>
      <c r="EK44" s="277"/>
      <c r="EL44" s="277"/>
      <c r="EM44" s="277"/>
      <c r="EN44" s="277"/>
      <c r="EO44" s="277"/>
      <c r="EP44" s="277"/>
      <c r="EQ44" s="277"/>
      <c r="ER44" s="277"/>
      <c r="ES44" s="277"/>
      <c r="ET44" s="277"/>
      <c r="EU44" s="277"/>
      <c r="EV44" s="277"/>
      <c r="EW44" s="277"/>
      <c r="EX44" s="277"/>
      <c r="EY44" s="277"/>
      <c r="EZ44" s="277"/>
      <c r="FA44" s="277"/>
      <c r="FB44" s="277"/>
      <c r="FC44" s="277"/>
      <c r="FD44" s="277"/>
      <c r="FE44" s="277"/>
      <c r="FF44" s="277"/>
      <c r="FG44" s="277"/>
      <c r="FH44" s="277"/>
      <c r="FI44" s="277"/>
      <c r="FJ44" s="277"/>
      <c r="FK44" s="277"/>
      <c r="FL44" s="277"/>
      <c r="FM44" s="277"/>
      <c r="FN44" s="277"/>
      <c r="FO44" s="277"/>
      <c r="FP44" s="277"/>
      <c r="FQ44" s="277"/>
      <c r="FR44" s="277"/>
      <c r="FS44" s="277"/>
      <c r="FT44" s="277"/>
      <c r="FU44" s="277"/>
      <c r="FV44" s="277"/>
      <c r="FW44" s="277"/>
      <c r="FX44" s="277"/>
      <c r="FY44" s="277"/>
      <c r="FZ44" s="277"/>
      <c r="GA44" s="277"/>
      <c r="GB44" s="277"/>
      <c r="GC44" s="277"/>
      <c r="GD44" s="277"/>
      <c r="GE44" s="277"/>
      <c r="GF44" s="277"/>
      <c r="GG44" s="277"/>
      <c r="GH44" s="277"/>
      <c r="GI44" s="277"/>
      <c r="GJ44" s="277"/>
      <c r="GK44" s="277"/>
      <c r="GL44" s="277"/>
      <c r="GM44" s="277"/>
      <c r="GN44" s="277"/>
      <c r="GO44" s="277"/>
      <c r="GP44" s="277"/>
      <c r="GQ44" s="277"/>
      <c r="GR44" s="277"/>
      <c r="GS44" s="277"/>
      <c r="GT44" s="277"/>
      <c r="GU44" s="277"/>
      <c r="GV44" s="277"/>
      <c r="GW44" s="277"/>
      <c r="GX44" s="277"/>
      <c r="GY44" s="277"/>
      <c r="GZ44" s="277"/>
      <c r="HA44" s="277"/>
      <c r="HB44" s="277"/>
      <c r="HC44" s="277"/>
      <c r="HD44" s="277"/>
      <c r="HE44" s="277"/>
      <c r="HF44" s="277"/>
      <c r="HG44" s="277"/>
      <c r="HH44" s="277"/>
      <c r="HI44" s="277"/>
      <c r="HJ44" s="277"/>
      <c r="HK44" s="277"/>
      <c r="HL44" s="277"/>
      <c r="HM44" s="277"/>
      <c r="HN44" s="277"/>
      <c r="HO44" s="277"/>
      <c r="HP44" s="277"/>
      <c r="HQ44" s="277"/>
      <c r="HR44" s="277"/>
      <c r="HS44" s="277"/>
      <c r="HT44" s="277"/>
      <c r="HU44" s="277"/>
      <c r="HV44" s="277"/>
      <c r="HW44" s="277"/>
      <c r="HX44" s="277"/>
      <c r="HY44" s="277"/>
      <c r="HZ44" s="277"/>
      <c r="IA44" s="277"/>
      <c r="IB44" s="277"/>
      <c r="IC44" s="277"/>
      <c r="ID44" s="277"/>
      <c r="IE44" s="277"/>
      <c r="IF44" s="277"/>
    </row>
    <row r="45" spans="1:240" s="280" customFormat="1">
      <c r="A45" s="277"/>
      <c r="B45" s="277"/>
      <c r="C45" s="277"/>
      <c r="D45" s="277"/>
      <c r="E45" s="277"/>
      <c r="F45" s="277"/>
      <c r="G45" s="277"/>
      <c r="H45" s="277"/>
      <c r="I45" s="277"/>
      <c r="J45" s="277"/>
      <c r="K45" s="277"/>
      <c r="L45" s="277"/>
      <c r="M45" s="277"/>
      <c r="N45" s="277"/>
      <c r="O45" s="277"/>
      <c r="P45" s="277"/>
      <c r="Q45" s="277"/>
      <c r="R45" s="277"/>
      <c r="S45" s="277"/>
      <c r="T45" s="279"/>
      <c r="U45" s="277"/>
      <c r="V45" s="277"/>
      <c r="W45" s="277"/>
      <c r="X45" s="277"/>
      <c r="Y45" s="277"/>
      <c r="Z45" s="277"/>
      <c r="AA45" s="277"/>
      <c r="AB45" s="277"/>
      <c r="AC45" s="277"/>
      <c r="AD45" s="277"/>
      <c r="AE45" s="277"/>
      <c r="AF45" s="277"/>
      <c r="AG45" s="277"/>
      <c r="AH45" s="277"/>
      <c r="AI45" s="277"/>
      <c r="AJ45" s="277"/>
      <c r="AK45" s="277"/>
      <c r="AL45" s="277"/>
      <c r="AM45" s="277"/>
      <c r="AN45" s="277"/>
      <c r="AO45" s="277"/>
      <c r="AP45" s="277"/>
      <c r="AQ45" s="277"/>
      <c r="AR45" s="277"/>
      <c r="AS45" s="277"/>
      <c r="AT45" s="277"/>
      <c r="AU45" s="277"/>
      <c r="AV45" s="277"/>
      <c r="AW45" s="277"/>
      <c r="AX45" s="277"/>
      <c r="AY45" s="277"/>
      <c r="AZ45" s="277"/>
      <c r="BA45" s="277"/>
      <c r="BB45" s="277"/>
      <c r="BC45" s="277"/>
      <c r="BD45" s="277"/>
      <c r="BE45" s="277"/>
      <c r="BF45" s="277"/>
      <c r="BG45" s="277"/>
      <c r="BH45" s="277"/>
      <c r="BI45" s="277"/>
      <c r="BJ45" s="277"/>
      <c r="BK45" s="277"/>
      <c r="BL45" s="277"/>
      <c r="BM45" s="277"/>
      <c r="BN45" s="277"/>
      <c r="BO45" s="277"/>
      <c r="BP45" s="277"/>
      <c r="BQ45" s="277"/>
      <c r="BR45" s="277"/>
      <c r="BS45" s="277"/>
      <c r="BT45" s="277"/>
      <c r="BU45" s="277"/>
      <c r="BV45" s="277"/>
      <c r="BW45" s="277"/>
      <c r="BX45" s="277"/>
      <c r="BY45" s="277"/>
      <c r="BZ45" s="277"/>
      <c r="CA45" s="277"/>
      <c r="CB45" s="277"/>
      <c r="CC45" s="277"/>
      <c r="CD45" s="277"/>
      <c r="CE45" s="277"/>
      <c r="CF45" s="277"/>
      <c r="CG45" s="277"/>
      <c r="CH45" s="277"/>
      <c r="CI45" s="277"/>
      <c r="CJ45" s="277"/>
      <c r="CK45" s="277"/>
      <c r="CL45" s="277"/>
      <c r="CM45" s="277"/>
      <c r="CN45" s="277"/>
      <c r="CO45" s="277"/>
      <c r="CP45" s="277"/>
      <c r="CQ45" s="277"/>
      <c r="CR45" s="277"/>
      <c r="CS45" s="277"/>
      <c r="CT45" s="277"/>
      <c r="CU45" s="277"/>
      <c r="CV45" s="277"/>
      <c r="CW45" s="277"/>
      <c r="CX45" s="277"/>
      <c r="CY45" s="277"/>
      <c r="CZ45" s="277"/>
      <c r="DA45" s="277"/>
      <c r="DB45" s="277"/>
      <c r="DC45" s="277"/>
      <c r="DD45" s="277"/>
      <c r="DE45" s="277"/>
      <c r="DF45" s="277"/>
      <c r="DG45" s="277"/>
      <c r="DH45" s="277"/>
      <c r="DI45" s="277"/>
      <c r="DJ45" s="277"/>
      <c r="DK45" s="277"/>
      <c r="DL45" s="277"/>
      <c r="DM45" s="277"/>
      <c r="DN45" s="277"/>
      <c r="DO45" s="277"/>
      <c r="DP45" s="277"/>
      <c r="DQ45" s="277"/>
      <c r="DR45" s="277"/>
      <c r="DS45" s="277"/>
      <c r="DT45" s="277"/>
      <c r="DU45" s="277"/>
      <c r="DV45" s="277"/>
      <c r="DW45" s="277"/>
      <c r="DX45" s="277"/>
      <c r="DY45" s="277"/>
      <c r="DZ45" s="277"/>
      <c r="EA45" s="277"/>
      <c r="EB45" s="277"/>
      <c r="EC45" s="277"/>
      <c r="ED45" s="277"/>
      <c r="EE45" s="277"/>
      <c r="EF45" s="277"/>
      <c r="EG45" s="277"/>
      <c r="EH45" s="277"/>
      <c r="EI45" s="277"/>
      <c r="EJ45" s="277"/>
      <c r="EK45" s="277"/>
      <c r="EL45" s="277"/>
      <c r="EM45" s="277"/>
      <c r="EN45" s="277"/>
      <c r="EO45" s="277"/>
      <c r="EP45" s="277"/>
      <c r="EQ45" s="277"/>
      <c r="ER45" s="277"/>
      <c r="ES45" s="277"/>
      <c r="ET45" s="277"/>
      <c r="EU45" s="277"/>
      <c r="EV45" s="277"/>
      <c r="EW45" s="277"/>
      <c r="EX45" s="277"/>
      <c r="EY45" s="277"/>
      <c r="EZ45" s="277"/>
      <c r="FA45" s="277"/>
      <c r="FB45" s="277"/>
      <c r="FC45" s="277"/>
      <c r="FD45" s="277"/>
      <c r="FE45" s="277"/>
      <c r="FF45" s="277"/>
      <c r="FG45" s="277"/>
      <c r="FH45" s="277"/>
      <c r="FI45" s="277"/>
      <c r="FJ45" s="277"/>
      <c r="FK45" s="277"/>
      <c r="FL45" s="277"/>
      <c r="FM45" s="277"/>
      <c r="FN45" s="277"/>
      <c r="FO45" s="277"/>
      <c r="FP45" s="277"/>
      <c r="FQ45" s="277"/>
      <c r="FR45" s="277"/>
      <c r="FS45" s="277"/>
      <c r="FT45" s="277"/>
      <c r="FU45" s="277"/>
      <c r="FV45" s="277"/>
      <c r="FW45" s="277"/>
      <c r="FX45" s="277"/>
      <c r="FY45" s="277"/>
      <c r="FZ45" s="277"/>
      <c r="GA45" s="277"/>
      <c r="GB45" s="277"/>
      <c r="GC45" s="277"/>
      <c r="GD45" s="277"/>
      <c r="GE45" s="277"/>
      <c r="GF45" s="277"/>
      <c r="GG45" s="277"/>
      <c r="GH45" s="277"/>
      <c r="GI45" s="277"/>
      <c r="GJ45" s="277"/>
      <c r="GK45" s="277"/>
      <c r="GL45" s="277"/>
      <c r="GM45" s="277"/>
      <c r="GN45" s="277"/>
      <c r="GO45" s="277"/>
      <c r="GP45" s="277"/>
      <c r="GQ45" s="277"/>
      <c r="GR45" s="277"/>
      <c r="GS45" s="277"/>
      <c r="GT45" s="277"/>
      <c r="GU45" s="277"/>
      <c r="GV45" s="277"/>
      <c r="GW45" s="277"/>
      <c r="GX45" s="277"/>
      <c r="GY45" s="277"/>
      <c r="GZ45" s="277"/>
      <c r="HA45" s="277"/>
      <c r="HB45" s="277"/>
      <c r="HC45" s="277"/>
      <c r="HD45" s="277"/>
      <c r="HE45" s="277"/>
      <c r="HF45" s="277"/>
      <c r="HG45" s="277"/>
      <c r="HH45" s="277"/>
      <c r="HI45" s="277"/>
      <c r="HJ45" s="277"/>
      <c r="HK45" s="277"/>
      <c r="HL45" s="277"/>
      <c r="HM45" s="277"/>
      <c r="HN45" s="277"/>
      <c r="HO45" s="277"/>
      <c r="HP45" s="277"/>
      <c r="HQ45" s="277"/>
      <c r="HR45" s="277"/>
      <c r="HS45" s="277"/>
      <c r="HT45" s="277"/>
      <c r="HU45" s="277"/>
      <c r="HV45" s="277"/>
      <c r="HW45" s="277"/>
      <c r="HX45" s="277"/>
      <c r="HY45" s="277"/>
      <c r="HZ45" s="277"/>
      <c r="IA45" s="277"/>
      <c r="IB45" s="277"/>
      <c r="IC45" s="277"/>
      <c r="ID45" s="277"/>
      <c r="IE45" s="277"/>
      <c r="IF45" s="277"/>
    </row>
    <row r="46" spans="1:240" s="280" customFormat="1">
      <c r="A46" s="277"/>
      <c r="B46" s="277"/>
      <c r="C46" s="277"/>
      <c r="D46" s="277"/>
      <c r="E46" s="277"/>
      <c r="F46" s="277"/>
      <c r="G46" s="277"/>
      <c r="H46" s="277"/>
      <c r="I46" s="277"/>
      <c r="J46" s="277"/>
      <c r="K46" s="277"/>
      <c r="L46" s="277"/>
      <c r="M46" s="277"/>
      <c r="N46" s="277"/>
      <c r="O46" s="277"/>
      <c r="P46" s="277"/>
      <c r="Q46" s="277"/>
      <c r="R46" s="277"/>
      <c r="S46" s="277"/>
      <c r="T46" s="279"/>
      <c r="U46" s="277"/>
      <c r="V46" s="277"/>
      <c r="W46" s="277"/>
      <c r="X46" s="277"/>
      <c r="Y46" s="277"/>
      <c r="Z46" s="277"/>
      <c r="AA46" s="277"/>
      <c r="AB46" s="277"/>
      <c r="AC46" s="277"/>
      <c r="AD46" s="277"/>
      <c r="AE46" s="277"/>
      <c r="AF46" s="277"/>
      <c r="AG46" s="277"/>
      <c r="AH46" s="277"/>
      <c r="AI46" s="277"/>
      <c r="AJ46" s="277"/>
      <c r="AK46" s="277"/>
      <c r="AL46" s="277"/>
      <c r="AM46" s="277"/>
      <c r="AN46" s="277"/>
      <c r="AO46" s="277"/>
      <c r="AP46" s="277"/>
      <c r="AQ46" s="277"/>
      <c r="AR46" s="277"/>
      <c r="AS46" s="277"/>
      <c r="AT46" s="277"/>
      <c r="AU46" s="277"/>
      <c r="AV46" s="277"/>
      <c r="AW46" s="277"/>
      <c r="AX46" s="277"/>
      <c r="AY46" s="277"/>
      <c r="AZ46" s="277"/>
      <c r="BA46" s="277"/>
      <c r="BB46" s="277"/>
      <c r="BC46" s="277"/>
      <c r="BD46" s="277"/>
      <c r="BE46" s="277"/>
      <c r="BF46" s="277"/>
      <c r="BG46" s="277"/>
      <c r="BH46" s="277"/>
      <c r="BI46" s="277"/>
      <c r="BJ46" s="277"/>
      <c r="BK46" s="277"/>
      <c r="BL46" s="277"/>
      <c r="BM46" s="277"/>
      <c r="BN46" s="277"/>
      <c r="BO46" s="277"/>
      <c r="BP46" s="277"/>
      <c r="BQ46" s="277"/>
      <c r="BR46" s="277"/>
      <c r="BS46" s="277"/>
      <c r="BT46" s="277"/>
      <c r="BU46" s="277"/>
      <c r="BV46" s="277"/>
      <c r="BW46" s="277"/>
      <c r="BX46" s="277"/>
      <c r="BY46" s="277"/>
      <c r="BZ46" s="277"/>
      <c r="CA46" s="277"/>
      <c r="CB46" s="277"/>
      <c r="CC46" s="277"/>
      <c r="CD46" s="277"/>
      <c r="CE46" s="277"/>
      <c r="CF46" s="277"/>
      <c r="CG46" s="277"/>
      <c r="CH46" s="277"/>
      <c r="CI46" s="277"/>
      <c r="CJ46" s="277"/>
      <c r="CK46" s="277"/>
      <c r="CL46" s="277"/>
      <c r="CM46" s="277"/>
      <c r="CN46" s="277"/>
      <c r="CO46" s="277"/>
      <c r="CP46" s="277"/>
      <c r="CQ46" s="277"/>
      <c r="CR46" s="277"/>
      <c r="CS46" s="277"/>
      <c r="CT46" s="277"/>
      <c r="CU46" s="277"/>
      <c r="CV46" s="277"/>
      <c r="CW46" s="277"/>
      <c r="CX46" s="277"/>
      <c r="CY46" s="277"/>
      <c r="CZ46" s="277"/>
      <c r="DA46" s="277"/>
      <c r="DB46" s="277"/>
      <c r="DC46" s="277"/>
      <c r="DD46" s="277"/>
      <c r="DE46" s="277"/>
      <c r="DF46" s="277"/>
      <c r="DG46" s="277"/>
      <c r="DH46" s="277"/>
      <c r="DI46" s="277"/>
      <c r="DJ46" s="277"/>
      <c r="DK46" s="277"/>
      <c r="DL46" s="277"/>
      <c r="DM46" s="277"/>
      <c r="DN46" s="277"/>
      <c r="DO46" s="277"/>
      <c r="DP46" s="277"/>
      <c r="DQ46" s="277"/>
      <c r="DR46" s="277"/>
      <c r="DS46" s="277"/>
      <c r="DT46" s="277"/>
      <c r="DU46" s="277"/>
      <c r="DV46" s="277"/>
      <c r="DW46" s="277"/>
      <c r="DX46" s="277"/>
      <c r="DY46" s="277"/>
      <c r="DZ46" s="277"/>
      <c r="EA46" s="277"/>
      <c r="EB46" s="277"/>
      <c r="EC46" s="277"/>
      <c r="ED46" s="277"/>
      <c r="EE46" s="277"/>
      <c r="EF46" s="277"/>
      <c r="EG46" s="277"/>
      <c r="EH46" s="277"/>
      <c r="EI46" s="277"/>
      <c r="EJ46" s="277"/>
      <c r="EK46" s="277"/>
      <c r="EL46" s="277"/>
      <c r="EM46" s="277"/>
      <c r="EN46" s="277"/>
      <c r="EO46" s="277"/>
      <c r="EP46" s="277"/>
      <c r="EQ46" s="277"/>
      <c r="ER46" s="277"/>
      <c r="ES46" s="277"/>
      <c r="ET46" s="277"/>
      <c r="EU46" s="277"/>
      <c r="EV46" s="277"/>
      <c r="EW46" s="277"/>
      <c r="EX46" s="277"/>
      <c r="EY46" s="277"/>
      <c r="EZ46" s="277"/>
      <c r="FA46" s="277"/>
      <c r="FB46" s="277"/>
      <c r="FC46" s="277"/>
      <c r="FD46" s="277"/>
      <c r="FE46" s="277"/>
      <c r="FF46" s="277"/>
      <c r="FG46" s="277"/>
      <c r="FH46" s="277"/>
      <c r="FI46" s="277"/>
      <c r="FJ46" s="277"/>
      <c r="FK46" s="277"/>
      <c r="FL46" s="277"/>
      <c r="FM46" s="277"/>
      <c r="FN46" s="277"/>
      <c r="FO46" s="277"/>
      <c r="FP46" s="277"/>
      <c r="FQ46" s="277"/>
      <c r="FR46" s="277"/>
      <c r="FS46" s="277"/>
      <c r="FT46" s="277"/>
      <c r="FU46" s="277"/>
      <c r="FV46" s="277"/>
      <c r="FW46" s="277"/>
      <c r="FX46" s="277"/>
      <c r="FY46" s="277"/>
      <c r="FZ46" s="277"/>
      <c r="GA46" s="277"/>
      <c r="GB46" s="277"/>
      <c r="GC46" s="277"/>
      <c r="GD46" s="277"/>
      <c r="GE46" s="277"/>
      <c r="GF46" s="277"/>
      <c r="GG46" s="277"/>
      <c r="GH46" s="277"/>
      <c r="GI46" s="277"/>
      <c r="GJ46" s="277"/>
      <c r="GK46" s="277"/>
      <c r="GL46" s="277"/>
      <c r="GM46" s="277"/>
      <c r="GN46" s="277"/>
      <c r="GO46" s="277"/>
      <c r="GP46" s="277"/>
      <c r="GQ46" s="277"/>
      <c r="GR46" s="277"/>
      <c r="GS46" s="277"/>
      <c r="GT46" s="277"/>
      <c r="GU46" s="277"/>
      <c r="GV46" s="277"/>
      <c r="GW46" s="277"/>
      <c r="GX46" s="277"/>
      <c r="GY46" s="277"/>
      <c r="GZ46" s="277"/>
      <c r="HA46" s="277"/>
      <c r="HB46" s="277"/>
      <c r="HC46" s="277"/>
      <c r="HD46" s="277"/>
      <c r="HE46" s="277"/>
      <c r="HF46" s="277"/>
      <c r="HG46" s="277"/>
      <c r="HH46" s="277"/>
      <c r="HI46" s="277"/>
      <c r="HJ46" s="277"/>
      <c r="HK46" s="277"/>
      <c r="HL46" s="277"/>
      <c r="HM46" s="277"/>
      <c r="HN46" s="277"/>
      <c r="HO46" s="277"/>
      <c r="HP46" s="277"/>
      <c r="HQ46" s="277"/>
      <c r="HR46" s="277"/>
      <c r="HS46" s="277"/>
      <c r="HT46" s="277"/>
      <c r="HU46" s="277"/>
      <c r="HV46" s="277"/>
      <c r="HW46" s="277"/>
      <c r="HX46" s="277"/>
      <c r="HY46" s="277"/>
      <c r="HZ46" s="277"/>
      <c r="IA46" s="277"/>
      <c r="IB46" s="277"/>
      <c r="IC46" s="277"/>
      <c r="ID46" s="277"/>
      <c r="IE46" s="277"/>
      <c r="IF46" s="277"/>
    </row>
    <row r="47" spans="1:240" s="280" customFormat="1">
      <c r="A47" s="277"/>
      <c r="B47" s="277"/>
      <c r="C47" s="277"/>
      <c r="D47" s="277"/>
      <c r="E47" s="277"/>
      <c r="F47" s="277"/>
      <c r="G47" s="277"/>
      <c r="H47" s="277"/>
      <c r="I47" s="277"/>
      <c r="J47" s="277"/>
      <c r="K47" s="277"/>
      <c r="L47" s="277"/>
      <c r="M47" s="277"/>
      <c r="N47" s="277"/>
      <c r="O47" s="277"/>
      <c r="P47" s="277"/>
      <c r="Q47" s="277"/>
      <c r="R47" s="277"/>
      <c r="S47" s="277"/>
      <c r="T47" s="279"/>
      <c r="U47" s="277"/>
      <c r="V47" s="277"/>
      <c r="W47" s="277"/>
      <c r="X47" s="277"/>
      <c r="Y47" s="277"/>
      <c r="Z47" s="277"/>
      <c r="AA47" s="277"/>
      <c r="AB47" s="277"/>
      <c r="AC47" s="277"/>
      <c r="AD47" s="277"/>
      <c r="AE47" s="277"/>
      <c r="AF47" s="277"/>
      <c r="AG47" s="277"/>
      <c r="AH47" s="277"/>
      <c r="AI47" s="277"/>
      <c r="AJ47" s="277"/>
      <c r="AK47" s="277"/>
      <c r="AL47" s="277"/>
      <c r="AM47" s="277"/>
      <c r="AN47" s="277"/>
      <c r="AO47" s="277"/>
      <c r="AP47" s="277"/>
      <c r="AQ47" s="277"/>
      <c r="AR47" s="277"/>
      <c r="AS47" s="277"/>
      <c r="AT47" s="277"/>
      <c r="AU47" s="277"/>
      <c r="AV47" s="277"/>
      <c r="AW47" s="277"/>
      <c r="AX47" s="277"/>
      <c r="AY47" s="277"/>
      <c r="AZ47" s="277"/>
      <c r="BA47" s="277"/>
      <c r="BB47" s="277"/>
      <c r="BC47" s="277"/>
      <c r="BD47" s="277"/>
      <c r="BE47" s="277"/>
      <c r="BF47" s="277"/>
      <c r="BG47" s="277"/>
      <c r="BH47" s="277"/>
      <c r="BI47" s="277"/>
      <c r="BJ47" s="277"/>
      <c r="BK47" s="277"/>
      <c r="BL47" s="277"/>
      <c r="BM47" s="277"/>
      <c r="BN47" s="277"/>
      <c r="BO47" s="277"/>
      <c r="BP47" s="277"/>
      <c r="BQ47" s="277"/>
      <c r="BR47" s="277"/>
      <c r="BS47" s="277"/>
      <c r="BT47" s="277"/>
      <c r="BU47" s="277"/>
      <c r="BV47" s="277"/>
      <c r="BW47" s="277"/>
      <c r="BX47" s="277"/>
      <c r="BY47" s="277"/>
      <c r="BZ47" s="277"/>
      <c r="CA47" s="277"/>
      <c r="CB47" s="277"/>
      <c r="CC47" s="277"/>
      <c r="CD47" s="277"/>
      <c r="CE47" s="277"/>
      <c r="CF47" s="277"/>
      <c r="CG47" s="277"/>
      <c r="CH47" s="277"/>
      <c r="CI47" s="277"/>
      <c r="CJ47" s="277"/>
      <c r="CK47" s="277"/>
      <c r="CL47" s="277"/>
      <c r="CM47" s="277"/>
      <c r="CN47" s="277"/>
      <c r="CO47" s="277"/>
      <c r="CP47" s="277"/>
      <c r="CQ47" s="277"/>
      <c r="CR47" s="277"/>
      <c r="CS47" s="277"/>
      <c r="CT47" s="277"/>
      <c r="CU47" s="277"/>
      <c r="CV47" s="277"/>
      <c r="CW47" s="277"/>
      <c r="CX47" s="277"/>
      <c r="CY47" s="277"/>
      <c r="CZ47" s="277"/>
      <c r="DA47" s="277"/>
      <c r="DB47" s="277"/>
      <c r="DC47" s="277"/>
      <c r="DD47" s="277"/>
      <c r="DE47" s="277"/>
      <c r="DF47" s="277"/>
      <c r="DG47" s="277"/>
      <c r="DH47" s="277"/>
      <c r="DI47" s="277"/>
      <c r="DJ47" s="277"/>
      <c r="DK47" s="277"/>
      <c r="DL47" s="277"/>
      <c r="DM47" s="277"/>
      <c r="DN47" s="277"/>
      <c r="DO47" s="277"/>
      <c r="DP47" s="277"/>
      <c r="DQ47" s="277"/>
      <c r="DR47" s="277"/>
      <c r="DS47" s="277"/>
      <c r="DT47" s="277"/>
      <c r="DU47" s="277"/>
      <c r="DV47" s="277"/>
      <c r="DW47" s="277"/>
      <c r="DX47" s="277"/>
      <c r="DY47" s="277"/>
      <c r="DZ47" s="277"/>
      <c r="EA47" s="277"/>
      <c r="EB47" s="277"/>
      <c r="EC47" s="277"/>
      <c r="ED47" s="277"/>
      <c r="EE47" s="277"/>
      <c r="EF47" s="277"/>
      <c r="EG47" s="277"/>
      <c r="EH47" s="277"/>
      <c r="EI47" s="277"/>
      <c r="EJ47" s="277"/>
      <c r="EK47" s="277"/>
      <c r="EL47" s="277"/>
      <c r="EM47" s="277"/>
      <c r="EN47" s="277"/>
      <c r="EO47" s="277"/>
      <c r="EP47" s="277"/>
      <c r="EQ47" s="277"/>
      <c r="ER47" s="277"/>
      <c r="ES47" s="277"/>
      <c r="ET47" s="277"/>
      <c r="EU47" s="277"/>
      <c r="EV47" s="277"/>
      <c r="EW47" s="277"/>
      <c r="EX47" s="277"/>
      <c r="EY47" s="277"/>
      <c r="EZ47" s="277"/>
      <c r="FA47" s="277"/>
      <c r="FB47" s="277"/>
      <c r="FC47" s="277"/>
      <c r="FD47" s="277"/>
      <c r="FE47" s="277"/>
      <c r="FF47" s="277"/>
      <c r="FG47" s="277"/>
      <c r="FH47" s="277"/>
      <c r="FI47" s="277"/>
      <c r="FJ47" s="277"/>
      <c r="FK47" s="277"/>
      <c r="FL47" s="277"/>
      <c r="FM47" s="277"/>
      <c r="FN47" s="277"/>
      <c r="FO47" s="277"/>
      <c r="FP47" s="277"/>
      <c r="FQ47" s="277"/>
      <c r="FR47" s="277"/>
      <c r="FS47" s="277"/>
      <c r="FT47" s="277"/>
      <c r="FU47" s="277"/>
      <c r="FV47" s="277"/>
      <c r="FW47" s="277"/>
      <c r="FX47" s="277"/>
      <c r="FY47" s="277"/>
      <c r="FZ47" s="277"/>
      <c r="GA47" s="277"/>
      <c r="GB47" s="277"/>
      <c r="GC47" s="277"/>
      <c r="GD47" s="277"/>
      <c r="GE47" s="277"/>
      <c r="GF47" s="277"/>
      <c r="GG47" s="277"/>
      <c r="GH47" s="277"/>
      <c r="GI47" s="277"/>
      <c r="GJ47" s="277"/>
      <c r="GK47" s="277"/>
      <c r="GL47" s="277"/>
      <c r="GM47" s="277"/>
      <c r="GN47" s="277"/>
      <c r="GO47" s="277"/>
      <c r="GP47" s="277"/>
      <c r="GQ47" s="277"/>
      <c r="GR47" s="277"/>
      <c r="GS47" s="277"/>
      <c r="GT47" s="277"/>
      <c r="GU47" s="277"/>
      <c r="GV47" s="277"/>
      <c r="GW47" s="277"/>
      <c r="GX47" s="277"/>
      <c r="GY47" s="277"/>
      <c r="GZ47" s="277"/>
      <c r="HA47" s="277"/>
      <c r="HB47" s="277"/>
      <c r="HC47" s="277"/>
      <c r="HD47" s="277"/>
      <c r="HE47" s="277"/>
      <c r="HF47" s="277"/>
      <c r="HG47" s="277"/>
      <c r="HH47" s="277"/>
      <c r="HI47" s="277"/>
      <c r="HJ47" s="277"/>
      <c r="HK47" s="277"/>
      <c r="HL47" s="277"/>
      <c r="HM47" s="277"/>
      <c r="HN47" s="277"/>
      <c r="HO47" s="277"/>
      <c r="HP47" s="277"/>
      <c r="HQ47" s="277"/>
      <c r="HR47" s="277"/>
      <c r="HS47" s="277"/>
      <c r="HT47" s="277"/>
      <c r="HU47" s="277"/>
      <c r="HV47" s="277"/>
      <c r="HW47" s="277"/>
      <c r="HX47" s="277"/>
      <c r="HY47" s="277"/>
      <c r="HZ47" s="277"/>
      <c r="IA47" s="277"/>
      <c r="IB47" s="277"/>
      <c r="IC47" s="277"/>
      <c r="ID47" s="277"/>
      <c r="IE47" s="277"/>
      <c r="IF47" s="277"/>
    </row>
    <row r="48" spans="1:240" s="280" customFormat="1">
      <c r="A48" s="277"/>
      <c r="B48" s="277"/>
      <c r="C48" s="277"/>
      <c r="D48" s="277"/>
      <c r="E48" s="277"/>
      <c r="F48" s="277"/>
      <c r="G48" s="277"/>
      <c r="H48" s="277"/>
      <c r="I48" s="277"/>
      <c r="J48" s="277"/>
      <c r="K48" s="277"/>
      <c r="L48" s="277"/>
      <c r="M48" s="277"/>
      <c r="N48" s="277"/>
      <c r="O48" s="277"/>
      <c r="P48" s="277"/>
      <c r="Q48" s="277"/>
      <c r="R48" s="277"/>
      <c r="S48" s="277"/>
      <c r="T48" s="277"/>
      <c r="U48" s="277"/>
      <c r="V48" s="277"/>
      <c r="W48" s="277"/>
      <c r="X48" s="277"/>
      <c r="Y48" s="277"/>
      <c r="Z48" s="277"/>
      <c r="AA48" s="277"/>
      <c r="AB48" s="277"/>
      <c r="AC48" s="277"/>
      <c r="AD48" s="277"/>
      <c r="AE48" s="277"/>
      <c r="AF48" s="277"/>
      <c r="AG48" s="277"/>
      <c r="AH48" s="277"/>
      <c r="AI48" s="277"/>
      <c r="AJ48" s="277"/>
      <c r="AK48" s="277"/>
      <c r="AL48" s="277"/>
      <c r="AM48" s="277"/>
      <c r="AN48" s="277"/>
      <c r="AO48" s="277"/>
      <c r="AP48" s="277"/>
      <c r="AQ48" s="277"/>
      <c r="AR48" s="277"/>
      <c r="AS48" s="277"/>
      <c r="AT48" s="277"/>
      <c r="AU48" s="277"/>
      <c r="AV48" s="277"/>
      <c r="AW48" s="277"/>
      <c r="AX48" s="277"/>
      <c r="AY48" s="277"/>
      <c r="AZ48" s="277"/>
      <c r="BA48" s="277"/>
      <c r="BB48" s="277"/>
      <c r="BC48" s="277"/>
      <c r="BD48" s="277"/>
      <c r="BE48" s="277"/>
      <c r="BF48" s="277"/>
      <c r="BG48" s="277"/>
      <c r="BH48" s="277"/>
      <c r="BI48" s="277"/>
      <c r="BJ48" s="277"/>
      <c r="BK48" s="277"/>
      <c r="BL48" s="277"/>
      <c r="BM48" s="277"/>
      <c r="BN48" s="277"/>
      <c r="BO48" s="277"/>
      <c r="BP48" s="277"/>
      <c r="BQ48" s="277"/>
      <c r="BR48" s="277"/>
      <c r="BS48" s="277"/>
      <c r="BT48" s="277"/>
      <c r="BU48" s="277"/>
      <c r="BV48" s="277"/>
      <c r="BW48" s="277"/>
      <c r="BX48" s="277"/>
      <c r="BY48" s="277"/>
      <c r="BZ48" s="277"/>
      <c r="CA48" s="277"/>
      <c r="CB48" s="277"/>
      <c r="CC48" s="277"/>
      <c r="CD48" s="277"/>
      <c r="CE48" s="277"/>
      <c r="CF48" s="277"/>
      <c r="CG48" s="277"/>
      <c r="CH48" s="277"/>
      <c r="CI48" s="277"/>
      <c r="CJ48" s="277"/>
      <c r="CK48" s="277"/>
      <c r="CL48" s="277"/>
      <c r="CM48" s="277"/>
      <c r="CN48" s="277"/>
      <c r="CO48" s="277"/>
      <c r="CP48" s="277"/>
      <c r="CQ48" s="277"/>
      <c r="CR48" s="277"/>
      <c r="CS48" s="277"/>
      <c r="CT48" s="277"/>
      <c r="CU48" s="277"/>
      <c r="CV48" s="277"/>
      <c r="CW48" s="277"/>
      <c r="CX48" s="277"/>
      <c r="CY48" s="277"/>
      <c r="CZ48" s="277"/>
      <c r="DA48" s="277"/>
      <c r="DB48" s="277"/>
      <c r="DC48" s="277"/>
      <c r="DD48" s="277"/>
      <c r="DE48" s="277"/>
      <c r="DF48" s="277"/>
      <c r="DG48" s="277"/>
      <c r="DH48" s="277"/>
      <c r="DI48" s="277"/>
      <c r="DJ48" s="277"/>
      <c r="DK48" s="277"/>
      <c r="DL48" s="277"/>
      <c r="DM48" s="277"/>
      <c r="DN48" s="277"/>
      <c r="DO48" s="277"/>
      <c r="DP48" s="277"/>
      <c r="DQ48" s="277"/>
      <c r="DR48" s="277"/>
      <c r="DS48" s="277"/>
      <c r="DT48" s="277"/>
      <c r="DU48" s="277"/>
      <c r="DV48" s="277"/>
      <c r="DW48" s="277"/>
      <c r="DX48" s="277"/>
      <c r="DY48" s="277"/>
      <c r="DZ48" s="277"/>
      <c r="EA48" s="277"/>
      <c r="EB48" s="277"/>
      <c r="EC48" s="277"/>
      <c r="ED48" s="277"/>
      <c r="EE48" s="277"/>
      <c r="EF48" s="277"/>
      <c r="EG48" s="277"/>
      <c r="EH48" s="277"/>
      <c r="EI48" s="277"/>
      <c r="EJ48" s="277"/>
      <c r="EK48" s="277"/>
      <c r="EL48" s="277"/>
      <c r="EM48" s="277"/>
      <c r="EN48" s="277"/>
      <c r="EO48" s="277"/>
      <c r="EP48" s="277"/>
      <c r="EQ48" s="277"/>
      <c r="ER48" s="277"/>
      <c r="ES48" s="277"/>
      <c r="ET48" s="277"/>
      <c r="EU48" s="277"/>
      <c r="EV48" s="277"/>
      <c r="EW48" s="277"/>
      <c r="EX48" s="277"/>
      <c r="EY48" s="277"/>
      <c r="EZ48" s="277"/>
      <c r="FA48" s="277"/>
      <c r="FB48" s="277"/>
      <c r="FC48" s="277"/>
      <c r="FD48" s="277"/>
      <c r="FE48" s="277"/>
      <c r="FF48" s="277"/>
      <c r="FG48" s="277"/>
      <c r="FH48" s="277"/>
      <c r="FI48" s="277"/>
      <c r="FJ48" s="277"/>
      <c r="FK48" s="277"/>
      <c r="FL48" s="277"/>
      <c r="FM48" s="277"/>
      <c r="FN48" s="277"/>
      <c r="FO48" s="277"/>
      <c r="FP48" s="277"/>
      <c r="FQ48" s="277"/>
      <c r="FR48" s="277"/>
      <c r="FS48" s="277"/>
      <c r="FT48" s="277"/>
      <c r="FU48" s="277"/>
      <c r="FV48" s="277"/>
      <c r="FW48" s="277"/>
      <c r="FX48" s="277"/>
      <c r="FY48" s="277"/>
      <c r="FZ48" s="277"/>
      <c r="GA48" s="277"/>
      <c r="GB48" s="277"/>
      <c r="GC48" s="277"/>
      <c r="GD48" s="277"/>
      <c r="GE48" s="277"/>
      <c r="GF48" s="277"/>
      <c r="GG48" s="277"/>
      <c r="GH48" s="277"/>
      <c r="GI48" s="277"/>
      <c r="GJ48" s="277"/>
      <c r="GK48" s="277"/>
      <c r="GL48" s="277"/>
      <c r="GM48" s="277"/>
      <c r="GN48" s="277"/>
      <c r="GO48" s="277"/>
      <c r="GP48" s="277"/>
      <c r="GQ48" s="277"/>
      <c r="GR48" s="277"/>
      <c r="GS48" s="277"/>
      <c r="GT48" s="277"/>
      <c r="GU48" s="277"/>
      <c r="GV48" s="277"/>
      <c r="GW48" s="277"/>
      <c r="GX48" s="277"/>
      <c r="GY48" s="277"/>
      <c r="GZ48" s="277"/>
      <c r="HA48" s="277"/>
      <c r="HB48" s="277"/>
      <c r="HC48" s="277"/>
      <c r="HD48" s="277"/>
      <c r="HE48" s="277"/>
      <c r="HF48" s="277"/>
      <c r="HG48" s="277"/>
      <c r="HH48" s="277"/>
      <c r="HI48" s="277"/>
      <c r="HJ48" s="277"/>
      <c r="HK48" s="277"/>
      <c r="HL48" s="277"/>
      <c r="HM48" s="277"/>
      <c r="HN48" s="277"/>
      <c r="HO48" s="277"/>
      <c r="HP48" s="277"/>
      <c r="HQ48" s="277"/>
      <c r="HR48" s="277"/>
      <c r="HS48" s="277"/>
      <c r="HT48" s="277"/>
      <c r="HU48" s="277"/>
      <c r="HV48" s="277"/>
      <c r="HW48" s="277"/>
      <c r="HX48" s="277"/>
      <c r="HY48" s="277"/>
      <c r="HZ48" s="277"/>
      <c r="IA48" s="277"/>
      <c r="IB48" s="277"/>
      <c r="IC48" s="277"/>
      <c r="ID48" s="277"/>
      <c r="IE48" s="277"/>
      <c r="IF48" s="277"/>
    </row>
    <row r="49" spans="1:34" s="277" customFormat="1"/>
    <row r="50" spans="1:34" s="277" customFormat="1">
      <c r="A50" s="281"/>
      <c r="D50" s="281"/>
    </row>
    <row r="51" spans="1:34" s="277" customFormat="1"/>
    <row r="52" spans="1:34" s="277" customFormat="1"/>
    <row r="53" spans="1:34" s="277" customFormat="1" ht="9" customHeight="1">
      <c r="D53" s="288"/>
      <c r="T53" s="279"/>
      <c r="AE53" s="281"/>
      <c r="AF53" s="281"/>
      <c r="AG53" s="281"/>
      <c r="AH53" s="281"/>
    </row>
    <row r="54" spans="1:34" s="277" customFormat="1" ht="9" customHeight="1">
      <c r="T54" s="279"/>
    </row>
    <row r="55" spans="1:34" s="277" customFormat="1">
      <c r="T55" s="279"/>
    </row>
    <row r="56" spans="1:34" s="277" customFormat="1">
      <c r="Q56" s="319"/>
      <c r="T56" s="282"/>
      <c r="AG56" s="279"/>
    </row>
    <row r="57" spans="1:34" s="277" customFormat="1">
      <c r="Q57" s="319"/>
      <c r="S57" s="1098" t="s">
        <v>646</v>
      </c>
      <c r="T57" s="1098"/>
      <c r="U57" s="1098"/>
      <c r="V57" s="1098"/>
      <c r="W57" s="1098"/>
      <c r="X57" s="1098"/>
      <c r="Y57" s="1098"/>
      <c r="Z57" s="1098"/>
      <c r="AA57" s="1098"/>
      <c r="AE57" s="279"/>
      <c r="AG57" s="279"/>
    </row>
    <row r="58" spans="1:34" s="277" customFormat="1">
      <c r="Q58" s="319"/>
      <c r="T58" s="283" t="s">
        <v>647</v>
      </c>
      <c r="U58" s="283" t="s">
        <v>648</v>
      </c>
      <c r="V58" s="283" t="s">
        <v>649</v>
      </c>
      <c r="W58" s="283" t="s">
        <v>650</v>
      </c>
      <c r="X58" s="320" t="s">
        <v>651</v>
      </c>
      <c r="Y58" s="320" t="s">
        <v>652</v>
      </c>
      <c r="Z58" s="320" t="s">
        <v>653</v>
      </c>
      <c r="AA58" s="320" t="s">
        <v>654</v>
      </c>
      <c r="AH58" s="281"/>
    </row>
    <row r="59" spans="1:34" s="277" customFormat="1">
      <c r="P59" s="284" t="s">
        <v>655</v>
      </c>
      <c r="Q59" s="321">
        <f>IF((YEAR(C12)=YEAR(C15)),((MONTH(C15)-1)+(DAY(C15)/(DAY(DATE(YEAR(C15),MONTH(C15)+1,1)-1))))-AB101,(MONTH(C15)-1)+(DAY(C15)/(DAY(DATE(YEAR(C15),MONTH(C15)+1,1)-1))))</f>
        <v>0</v>
      </c>
      <c r="S59" s="322" t="s">
        <v>656</v>
      </c>
      <c r="T59" s="323">
        <f>(C27+C26)/(12+C20)</f>
        <v>0</v>
      </c>
      <c r="U59" s="323">
        <f>(C27+C26)/(12+Y63)</f>
        <v>0</v>
      </c>
      <c r="V59" s="323">
        <f>(C27+C26)/(12+Z59)</f>
        <v>0</v>
      </c>
      <c r="W59" s="323">
        <f>(C27+C26)/(12+AA59)</f>
        <v>0</v>
      </c>
      <c r="X59" s="324">
        <f>IF(C20&lt;12, 0, 1)</f>
        <v>0</v>
      </c>
      <c r="Y59" s="324">
        <f>IF(X71&gt;9.9, 3, 0)</f>
        <v>0</v>
      </c>
      <c r="Z59" s="324">
        <f>IF(C20&lt;6.9, 6, 12)</f>
        <v>6</v>
      </c>
      <c r="AA59" s="324">
        <v>12</v>
      </c>
    </row>
    <row r="60" spans="1:34" s="277" customFormat="1">
      <c r="P60" s="284" t="s">
        <v>657</v>
      </c>
      <c r="Q60" s="319">
        <f>CEILING(Q59, 1)</f>
        <v>0</v>
      </c>
      <c r="S60" s="322" t="s">
        <v>658</v>
      </c>
      <c r="T60" s="287">
        <f>IF(C27&gt;=C28,(C27+C28+C26)/(24+C20),(C27+C26)/(12+C20))</f>
        <v>0</v>
      </c>
      <c r="U60" s="287">
        <f>IF(C27&gt;=C28,(C27+C28+C26)/(24+Y63),(C27+C26)/(12+Y63))</f>
        <v>0</v>
      </c>
      <c r="V60" s="287">
        <f>IF(C27&gt;=C28,(C27+C28+C26)/(24+Z59),(C27+C26)/(12+Z59))</f>
        <v>0</v>
      </c>
      <c r="W60" s="287">
        <f>IF(C27&gt;=C28,(C27+C28+C26)/(24+AA59),(C27+C26)/(12+AA59))</f>
        <v>0</v>
      </c>
      <c r="X60" s="324">
        <f>IF(C20&lt;11, 0, 1)</f>
        <v>0</v>
      </c>
      <c r="Y60" s="324">
        <f>IF(X71&gt;6.9, 3, 0)</f>
        <v>0</v>
      </c>
      <c r="Z60" s="325"/>
      <c r="AA60" s="324"/>
      <c r="AE60" s="279"/>
    </row>
    <row r="61" spans="1:34" s="277" customFormat="1">
      <c r="P61" s="284"/>
      <c r="Q61" s="319"/>
      <c r="S61" s="322" t="s">
        <v>659</v>
      </c>
      <c r="T61" s="287" t="e">
        <f>(C26/C20)*12/12</f>
        <v>#DIV/0!</v>
      </c>
      <c r="U61" s="287" t="e">
        <f>(C26/Y63)*12/12</f>
        <v>#DIV/0!</v>
      </c>
      <c r="V61" s="287">
        <f>(C26/Z59)*12/12</f>
        <v>0</v>
      </c>
      <c r="W61" s="287">
        <f>C26/AA59</f>
        <v>0</v>
      </c>
      <c r="X61" s="324">
        <f>IF(C20&lt;10,0,1)</f>
        <v>0</v>
      </c>
      <c r="Y61" s="324">
        <f>IF(X71&gt;3.9, 3, 0)</f>
        <v>0</v>
      </c>
      <c r="Z61" s="325"/>
      <c r="AA61" s="324"/>
    </row>
    <row r="62" spans="1:34" s="277" customFormat="1">
      <c r="P62" s="284"/>
      <c r="Q62" s="319"/>
      <c r="S62" s="326" t="s">
        <v>660</v>
      </c>
      <c r="T62" s="287" t="e">
        <f>IF(T61&lt;T60, T61,T60)</f>
        <v>#DIV/0!</v>
      </c>
      <c r="U62" s="287" t="e">
        <f>IF(U61&lt;U60, U61,U60)</f>
        <v>#DIV/0!</v>
      </c>
      <c r="V62" s="287">
        <f>IF(V61&lt;V60, V61,V60)</f>
        <v>0</v>
      </c>
      <c r="W62" s="287">
        <f>IF(W61&lt;W60, W61,W60)</f>
        <v>0</v>
      </c>
      <c r="X62" s="324">
        <f>IF(C20&lt;9,0,1)</f>
        <v>0</v>
      </c>
      <c r="Y62" s="324">
        <f>IF(C20&gt;0, 3, 0)</f>
        <v>0</v>
      </c>
      <c r="Z62" s="325"/>
      <c r="AA62" s="324"/>
      <c r="AE62" s="279"/>
    </row>
    <row r="63" spans="1:34" s="277" customFormat="1">
      <c r="P63" s="284"/>
      <c r="Q63" s="327"/>
      <c r="T63" s="282"/>
      <c r="X63" s="324">
        <f>IF(C20&lt;8,0,1)</f>
        <v>0</v>
      </c>
      <c r="Y63" s="324">
        <f>SUM(Y59:Y62)</f>
        <v>0</v>
      </c>
      <c r="Z63" s="325"/>
      <c r="AA63" s="324"/>
      <c r="AE63" s="279"/>
    </row>
    <row r="64" spans="1:34" s="277" customFormat="1">
      <c r="P64" s="284"/>
      <c r="Q64" s="327"/>
      <c r="S64" s="326" t="s">
        <v>661</v>
      </c>
      <c r="T64" s="328">
        <f>IF(B25="Select Pay Frequency","Select Pay Frequency",IF(B25="monthly",T62,IF(B25="Quarterly",U62,IF(B25="Semi-Annually",V62,IF(B25="Annually",W62,0)))))</f>
        <v>0</v>
      </c>
      <c r="X64" s="324">
        <f>IF(C20&lt;7,0,1)</f>
        <v>0</v>
      </c>
      <c r="Y64" s="283"/>
      <c r="Z64" s="324"/>
      <c r="AA64" s="324"/>
      <c r="AE64" s="279"/>
    </row>
    <row r="65" spans="5:48" s="277" customFormat="1">
      <c r="P65" s="284"/>
      <c r="Q65" s="289"/>
      <c r="T65" s="279"/>
      <c r="X65" s="324">
        <f>IF(C20&lt;6,0,1)</f>
        <v>0</v>
      </c>
      <c r="Y65" s="283"/>
      <c r="Z65" s="324"/>
      <c r="AA65" s="324"/>
      <c r="AE65" s="279"/>
      <c r="AG65" s="279"/>
    </row>
    <row r="66" spans="5:48" s="277" customFormat="1">
      <c r="P66" s="284"/>
      <c r="S66" s="326" t="s">
        <v>662</v>
      </c>
      <c r="T66" s="283" t="s">
        <v>663</v>
      </c>
      <c r="X66" s="324">
        <f>IF(C20&lt;5,0,1)</f>
        <v>0</v>
      </c>
      <c r="Y66" s="324"/>
      <c r="Z66" s="324"/>
      <c r="AA66" s="324"/>
      <c r="AE66" s="279"/>
      <c r="AG66" s="279"/>
    </row>
    <row r="67" spans="5:48" s="277" customFormat="1">
      <c r="P67" s="284"/>
      <c r="T67" s="283" t="s">
        <v>647</v>
      </c>
      <c r="X67" s="324">
        <f>IF(C20&lt;4,0,1)</f>
        <v>0</v>
      </c>
      <c r="Y67" s="324"/>
      <c r="Z67" s="324"/>
      <c r="AA67" s="324"/>
      <c r="AE67" s="279"/>
      <c r="AG67" s="279"/>
    </row>
    <row r="68" spans="5:48" s="277" customFormat="1">
      <c r="P68" s="284"/>
      <c r="Q68" s="289"/>
      <c r="T68" s="283" t="s">
        <v>648</v>
      </c>
      <c r="X68" s="324">
        <f>IF(C20&lt;3,0,1)</f>
        <v>0</v>
      </c>
      <c r="Y68" s="324"/>
      <c r="Z68" s="324"/>
      <c r="AA68" s="324"/>
      <c r="AE68" s="279"/>
      <c r="AG68" s="279"/>
    </row>
    <row r="69" spans="5:48" s="277" customFormat="1">
      <c r="P69" s="284"/>
      <c r="Q69" s="289"/>
      <c r="T69" s="283" t="s">
        <v>664</v>
      </c>
      <c r="X69" s="324">
        <f>IF(C20&lt;2,0,1)</f>
        <v>0</v>
      </c>
      <c r="Y69" s="324"/>
      <c r="Z69" s="324"/>
      <c r="AA69" s="324"/>
      <c r="AE69" s="279"/>
      <c r="AG69" s="279"/>
    </row>
    <row r="70" spans="5:48" s="277" customFormat="1">
      <c r="P70" s="284"/>
      <c r="Q70" s="289"/>
      <c r="T70" s="283" t="s">
        <v>641</v>
      </c>
      <c r="X70" s="324">
        <f>IF(C20&lt;1,0,1)</f>
        <v>0</v>
      </c>
      <c r="Y70" s="324"/>
      <c r="Z70" s="324"/>
      <c r="AA70" s="324"/>
    </row>
    <row r="71" spans="5:48" s="277" customFormat="1">
      <c r="P71" s="284"/>
      <c r="Q71" s="289"/>
      <c r="X71" s="324">
        <f>SUM(X60:X70)</f>
        <v>0</v>
      </c>
      <c r="Y71" s="324"/>
      <c r="Z71" s="324"/>
      <c r="AA71" s="324"/>
    </row>
    <row r="72" spans="5:48" s="277" customFormat="1">
      <c r="P72" s="284"/>
    </row>
    <row r="73" spans="5:48" s="277" customFormat="1">
      <c r="P73" s="284"/>
      <c r="Q73" s="290"/>
    </row>
    <row r="74" spans="5:48" s="277" customFormat="1">
      <c r="P74" s="284"/>
      <c r="Q74" s="290"/>
    </row>
    <row r="75" spans="5:48" s="277" customFormat="1">
      <c r="P75" s="284"/>
      <c r="Q75" s="290"/>
      <c r="T75" s="279"/>
    </row>
    <row r="76" spans="5:48" s="277" customFormat="1">
      <c r="P76" s="284"/>
      <c r="T76" s="279"/>
    </row>
    <row r="77" spans="5:48" s="185" customFormat="1">
      <c r="P77" s="329"/>
      <c r="T77" s="318"/>
    </row>
    <row r="78" spans="5:48" s="185" customFormat="1">
      <c r="P78" s="329"/>
      <c r="T78" s="318"/>
    </row>
    <row r="79" spans="5:48" s="185" customFormat="1">
      <c r="P79" s="329"/>
      <c r="T79" s="318"/>
    </row>
    <row r="80" spans="5:48" s="277" customFormat="1">
      <c r="E80" s="185"/>
      <c r="F80" s="185"/>
      <c r="G80" s="185"/>
      <c r="H80" s="185"/>
      <c r="I80" s="185"/>
      <c r="J80" s="185"/>
      <c r="K80" s="185"/>
      <c r="L80" s="185"/>
      <c r="M80" s="185"/>
      <c r="N80" s="185"/>
      <c r="O80" s="185"/>
      <c r="P80" s="284"/>
      <c r="T80" s="279"/>
      <c r="AI80" s="185"/>
      <c r="AJ80" s="185"/>
      <c r="AK80" s="185"/>
      <c r="AL80" s="185"/>
      <c r="AM80" s="185"/>
      <c r="AN80" s="185"/>
      <c r="AO80" s="185"/>
      <c r="AP80" s="185"/>
      <c r="AQ80" s="185"/>
      <c r="AR80" s="185"/>
      <c r="AS80" s="185"/>
      <c r="AT80" s="185"/>
      <c r="AU80" s="185"/>
      <c r="AV80" s="185"/>
    </row>
    <row r="81" spans="5:48" s="277" customFormat="1">
      <c r="E81" s="185"/>
      <c r="F81" s="185"/>
      <c r="G81" s="185"/>
      <c r="H81" s="185"/>
      <c r="I81" s="185"/>
      <c r="J81" s="185"/>
      <c r="K81" s="185"/>
      <c r="L81" s="185"/>
      <c r="M81" s="185"/>
      <c r="N81" s="185"/>
      <c r="O81" s="185"/>
      <c r="T81" s="279"/>
      <c r="AI81" s="185"/>
      <c r="AJ81" s="185"/>
      <c r="AK81" s="185"/>
      <c r="AL81" s="185"/>
      <c r="AM81" s="185"/>
      <c r="AN81" s="185"/>
      <c r="AO81" s="185"/>
      <c r="AP81" s="185"/>
      <c r="AQ81" s="185"/>
      <c r="AR81" s="185"/>
      <c r="AS81" s="185"/>
      <c r="AT81" s="185"/>
      <c r="AU81" s="185"/>
      <c r="AV81" s="185"/>
    </row>
    <row r="82" spans="5:48" s="277" customFormat="1">
      <c r="E82" s="185"/>
      <c r="F82" s="185"/>
      <c r="G82" s="185"/>
      <c r="H82" s="185"/>
      <c r="I82" s="185"/>
      <c r="J82" s="185"/>
      <c r="K82" s="185"/>
      <c r="L82" s="185"/>
      <c r="M82" s="185"/>
      <c r="N82" s="185"/>
      <c r="O82" s="185"/>
      <c r="T82" s="279"/>
      <c r="AI82" s="185"/>
      <c r="AJ82" s="185"/>
      <c r="AK82" s="185"/>
      <c r="AL82" s="185"/>
      <c r="AM82" s="185"/>
      <c r="AN82" s="185"/>
      <c r="AO82" s="185"/>
      <c r="AP82" s="185"/>
      <c r="AQ82" s="185"/>
      <c r="AR82" s="185"/>
      <c r="AS82" s="185"/>
      <c r="AT82" s="185"/>
      <c r="AU82" s="185"/>
      <c r="AV82" s="185"/>
    </row>
    <row r="83" spans="5:48" s="277" customFormat="1">
      <c r="E83" s="185"/>
      <c r="F83" s="185"/>
      <c r="G83" s="185"/>
      <c r="H83" s="185"/>
      <c r="I83" s="185"/>
      <c r="J83" s="185"/>
      <c r="K83" s="185"/>
      <c r="L83" s="185"/>
      <c r="M83" s="185"/>
      <c r="N83" s="185"/>
      <c r="O83" s="185"/>
      <c r="T83" s="279"/>
      <c r="AI83" s="185"/>
      <c r="AJ83" s="185"/>
      <c r="AK83" s="185"/>
      <c r="AL83" s="185"/>
      <c r="AM83" s="185"/>
      <c r="AN83" s="185"/>
      <c r="AO83" s="185"/>
      <c r="AP83" s="185"/>
      <c r="AQ83" s="185"/>
      <c r="AR83" s="185"/>
      <c r="AS83" s="185"/>
      <c r="AT83" s="185"/>
      <c r="AU83" s="185"/>
      <c r="AV83" s="185"/>
    </row>
    <row r="84" spans="5:48" s="277" customFormat="1">
      <c r="E84" s="185"/>
      <c r="F84" s="185"/>
      <c r="G84" s="185"/>
      <c r="H84" s="185"/>
      <c r="I84" s="185"/>
      <c r="J84" s="185"/>
      <c r="K84" s="185"/>
      <c r="L84" s="185"/>
      <c r="M84" s="185"/>
      <c r="N84" s="185"/>
      <c r="O84" s="185"/>
      <c r="Q84" s="279" t="s">
        <v>549</v>
      </c>
      <c r="S84" s="291">
        <v>41640</v>
      </c>
      <c r="T84" s="279">
        <v>1</v>
      </c>
      <c r="AB84" s="291">
        <v>40544</v>
      </c>
      <c r="AD84" s="277">
        <f>IF(C16=1/1/2013,1,0)</f>
        <v>0</v>
      </c>
      <c r="AE84" s="277">
        <f>DAY(C16)</f>
        <v>0</v>
      </c>
      <c r="AF84" s="277" t="s">
        <v>67</v>
      </c>
      <c r="AI84" s="185"/>
      <c r="AJ84" s="185"/>
      <c r="AK84" s="185"/>
      <c r="AL84" s="185"/>
      <c r="AM84" s="185"/>
      <c r="AN84" s="185"/>
      <c r="AO84" s="185"/>
      <c r="AP84" s="185"/>
      <c r="AQ84" s="185"/>
      <c r="AR84" s="185"/>
      <c r="AS84" s="185"/>
      <c r="AT84" s="185"/>
      <c r="AU84" s="185"/>
      <c r="AV84" s="185"/>
    </row>
    <row r="85" spans="5:48" s="277" customFormat="1">
      <c r="E85" s="185"/>
      <c r="F85" s="185"/>
      <c r="G85" s="185"/>
      <c r="H85" s="185"/>
      <c r="I85" s="185"/>
      <c r="J85" s="185"/>
      <c r="K85" s="185"/>
      <c r="L85" s="185"/>
      <c r="M85" s="185"/>
      <c r="N85" s="185"/>
      <c r="O85" s="185"/>
      <c r="P85" s="277" t="s">
        <v>596</v>
      </c>
      <c r="Q85" s="277">
        <v>12</v>
      </c>
      <c r="S85" s="291">
        <v>41641</v>
      </c>
      <c r="T85" s="279">
        <v>2</v>
      </c>
      <c r="U85" s="277" t="s">
        <v>597</v>
      </c>
      <c r="V85" s="291">
        <v>41693</v>
      </c>
      <c r="W85" s="277" t="e">
        <f>VLOOKUP(C14,$S$84:$T$3165,2,FALSE)</f>
        <v>#N/A</v>
      </c>
      <c r="AB85" s="291">
        <v>40909</v>
      </c>
      <c r="AD85" s="277">
        <f>IF(C16=1/2/2013,1,0)</f>
        <v>0</v>
      </c>
      <c r="AE85" s="277">
        <f>MONTH(C16)</f>
        <v>1</v>
      </c>
      <c r="AF85" s="277" t="s">
        <v>127</v>
      </c>
      <c r="AG85" s="277">
        <f>DAYS360(C14,C15)</f>
        <v>0</v>
      </c>
      <c r="AH85" s="277" t="s">
        <v>598</v>
      </c>
      <c r="AI85" s="185"/>
      <c r="AJ85" s="185"/>
      <c r="AK85" s="185"/>
      <c r="AL85" s="185"/>
      <c r="AM85" s="185"/>
      <c r="AN85" s="185"/>
      <c r="AO85" s="185"/>
      <c r="AP85" s="185"/>
      <c r="AQ85" s="185"/>
      <c r="AR85" s="185"/>
      <c r="AS85" s="185"/>
      <c r="AT85" s="185"/>
      <c r="AU85" s="185"/>
      <c r="AV85" s="185"/>
    </row>
    <row r="86" spans="5:48" s="277" customFormat="1">
      <c r="E86" s="185"/>
      <c r="F86" s="185"/>
      <c r="G86" s="185"/>
      <c r="H86" s="185"/>
      <c r="I86" s="185"/>
      <c r="J86" s="185"/>
      <c r="K86" s="185"/>
      <c r="L86" s="185"/>
      <c r="M86" s="185"/>
      <c r="N86" s="185"/>
      <c r="O86" s="185"/>
      <c r="P86" s="277" t="s">
        <v>599</v>
      </c>
      <c r="Q86" s="277">
        <v>12.5</v>
      </c>
      <c r="S86" s="291">
        <v>41642</v>
      </c>
      <c r="T86" s="279">
        <v>3</v>
      </c>
      <c r="U86" s="277" t="s">
        <v>600</v>
      </c>
      <c r="V86" s="291">
        <v>41706</v>
      </c>
      <c r="W86" s="277" t="e">
        <f>VLOOKUP(C15,$S$84:$T$3165,2,FALSE)</f>
        <v>#N/A</v>
      </c>
      <c r="AB86" s="277">
        <f>AB85-AB84</f>
        <v>365</v>
      </c>
      <c r="AD86" s="277">
        <f>IF(C16=1/3/2013,1,0)</f>
        <v>0</v>
      </c>
      <c r="AE86" s="277">
        <f>IF(AE85=1,AE84,0)</f>
        <v>0</v>
      </c>
      <c r="AF86" s="277" t="s">
        <v>601</v>
      </c>
      <c r="AG86" s="277" t="e">
        <f>IF(F13="Weekly",(#REF!*52)/12,0)</f>
        <v>#N/A</v>
      </c>
      <c r="AH86" s="1099" t="s">
        <v>602</v>
      </c>
      <c r="AI86" s="185"/>
      <c r="AJ86" s="185"/>
      <c r="AK86" s="185"/>
      <c r="AL86" s="185"/>
      <c r="AM86" s="185"/>
      <c r="AN86" s="185"/>
      <c r="AO86" s="185"/>
      <c r="AP86" s="185"/>
      <c r="AQ86" s="185"/>
      <c r="AR86" s="185"/>
      <c r="AS86" s="185"/>
      <c r="AT86" s="185"/>
      <c r="AU86" s="185"/>
      <c r="AV86" s="185"/>
    </row>
    <row r="87" spans="5:48" s="277" customFormat="1">
      <c r="E87" s="185"/>
      <c r="F87" s="185"/>
      <c r="G87" s="185"/>
      <c r="H87" s="185"/>
      <c r="I87" s="185"/>
      <c r="J87" s="185"/>
      <c r="K87" s="185"/>
      <c r="L87" s="185"/>
      <c r="M87" s="185"/>
      <c r="N87" s="185"/>
      <c r="O87" s="185"/>
      <c r="P87" s="277" t="s">
        <v>603</v>
      </c>
      <c r="Q87" s="277">
        <v>13</v>
      </c>
      <c r="S87" s="291">
        <v>41643</v>
      </c>
      <c r="T87" s="279">
        <v>4</v>
      </c>
      <c r="W87" s="277" t="e">
        <f>W86-W85</f>
        <v>#N/A</v>
      </c>
      <c r="X87" s="292" t="e">
        <f>(IF(OR(W87=6),"Weekly"," "))</f>
        <v>#N/A</v>
      </c>
      <c r="AB87" s="289"/>
      <c r="AD87" s="277">
        <f>IF(C16=1/4/2013,1,0)</f>
        <v>0</v>
      </c>
      <c r="AE87" s="277">
        <f>IF(AE85=2,31+AE84,0)</f>
        <v>0</v>
      </c>
      <c r="AF87" s="277" t="s">
        <v>604</v>
      </c>
      <c r="AH87" s="1099"/>
      <c r="AI87" s="185"/>
      <c r="AJ87" s="185"/>
      <c r="AK87" s="185"/>
      <c r="AL87" s="185"/>
      <c r="AM87" s="185"/>
      <c r="AN87" s="185"/>
      <c r="AO87" s="185"/>
      <c r="AP87" s="185"/>
      <c r="AQ87" s="185"/>
      <c r="AR87" s="185"/>
      <c r="AS87" s="185"/>
      <c r="AT87" s="185"/>
      <c r="AU87" s="185"/>
      <c r="AV87" s="185"/>
    </row>
    <row r="88" spans="5:48" s="277" customFormat="1">
      <c r="E88" s="185"/>
      <c r="F88" s="185"/>
      <c r="G88" s="185"/>
      <c r="H88" s="185"/>
      <c r="I88" s="185"/>
      <c r="J88" s="185"/>
      <c r="K88" s="185"/>
      <c r="L88" s="185"/>
      <c r="M88" s="185"/>
      <c r="N88" s="185"/>
      <c r="O88" s="185"/>
      <c r="P88" s="277" t="s">
        <v>605</v>
      </c>
      <c r="Q88" s="277">
        <v>13.5</v>
      </c>
      <c r="S88" s="291">
        <v>41644</v>
      </c>
      <c r="T88" s="279">
        <v>5</v>
      </c>
      <c r="X88" s="293" t="e">
        <f>(IF(OR(W87=13),"Bi-Weekly"," "))</f>
        <v>#N/A</v>
      </c>
      <c r="AB88" s="289"/>
      <c r="AD88" s="277">
        <f>IF(C16=1/5/2013,1,0)</f>
        <v>0</v>
      </c>
      <c r="AE88" s="277">
        <f>IF(AE85=3,59+AE84,0)</f>
        <v>0</v>
      </c>
      <c r="AF88" s="277" t="s">
        <v>606</v>
      </c>
      <c r="AG88" s="277" t="e">
        <f>IF(F14="Bi-Weekly",(#REF!*26)/12,0)</f>
        <v>#N/A</v>
      </c>
      <c r="AH88" s="1099"/>
      <c r="AI88" s="185"/>
      <c r="AJ88" s="185"/>
      <c r="AK88" s="185"/>
      <c r="AL88" s="185"/>
      <c r="AM88" s="185"/>
      <c r="AN88" s="185"/>
      <c r="AO88" s="185"/>
      <c r="AP88" s="185"/>
      <c r="AQ88" s="185"/>
      <c r="AR88" s="185"/>
      <c r="AS88" s="185"/>
      <c r="AT88" s="185"/>
      <c r="AU88" s="185"/>
      <c r="AV88" s="185"/>
    </row>
    <row r="89" spans="5:48" s="277" customFormat="1">
      <c r="E89" s="185"/>
      <c r="F89" s="185"/>
      <c r="G89" s="185"/>
      <c r="H89" s="185"/>
      <c r="I89" s="185"/>
      <c r="J89" s="185"/>
      <c r="K89" s="185"/>
      <c r="L89" s="185"/>
      <c r="M89" s="185"/>
      <c r="N89" s="185"/>
      <c r="O89" s="185"/>
      <c r="Q89" s="277">
        <v>14</v>
      </c>
      <c r="S89" s="291">
        <v>41645</v>
      </c>
      <c r="T89" s="279">
        <v>6</v>
      </c>
      <c r="X89" s="293" t="e">
        <f>(IF(OR(W87=14,W87=15,W87=12),"Semi-Monthly"," "))</f>
        <v>#N/A</v>
      </c>
      <c r="AB89" s="289"/>
      <c r="AD89" s="277">
        <f>IF(C16=1/6/2013,1,0)</f>
        <v>0</v>
      </c>
      <c r="AE89" s="277">
        <f>IF(AE85=4,90+AE84,0)</f>
        <v>0</v>
      </c>
      <c r="AF89" s="277" t="s">
        <v>607</v>
      </c>
      <c r="AH89" s="1099"/>
      <c r="AI89" s="185"/>
      <c r="AJ89" s="185"/>
      <c r="AK89" s="185"/>
      <c r="AL89" s="185"/>
      <c r="AM89" s="185"/>
      <c r="AN89" s="185"/>
      <c r="AO89" s="185"/>
      <c r="AP89" s="185"/>
      <c r="AQ89" s="185"/>
      <c r="AR89" s="185"/>
      <c r="AS89" s="185"/>
      <c r="AT89" s="185"/>
      <c r="AU89" s="185"/>
      <c r="AV89" s="185"/>
    </row>
    <row r="90" spans="5:48" s="277" customFormat="1">
      <c r="E90" s="185"/>
      <c r="F90" s="185"/>
      <c r="G90" s="185"/>
      <c r="H90" s="185"/>
      <c r="I90" s="185"/>
      <c r="J90" s="185"/>
      <c r="K90" s="185"/>
      <c r="L90" s="185"/>
      <c r="M90" s="185"/>
      <c r="N90" s="185"/>
      <c r="O90" s="185"/>
      <c r="Q90" s="277">
        <v>14.5</v>
      </c>
      <c r="S90" s="291">
        <v>41646</v>
      </c>
      <c r="T90" s="279">
        <v>7</v>
      </c>
      <c r="X90" s="294" t="e">
        <f>(IF(OR(W87=30,W87=29,W87=27,W87=28),"Monthly"," "))</f>
        <v>#N/A</v>
      </c>
      <c r="AB90" s="289"/>
      <c r="AD90" s="277">
        <f>IF(C16=1/7/2013,1,0)</f>
        <v>0</v>
      </c>
      <c r="AE90" s="277">
        <f>IF(AE85=5,120+AE84,0)</f>
        <v>0</v>
      </c>
      <c r="AF90" s="277" t="s">
        <v>137</v>
      </c>
      <c r="AG90" s="277" t="e">
        <f>IF(F15="Semi-Monthly",(#REF!*24)/12,0)</f>
        <v>#N/A</v>
      </c>
      <c r="AH90" s="1099"/>
      <c r="AI90" s="185"/>
      <c r="AJ90" s="185"/>
      <c r="AK90" s="185"/>
      <c r="AL90" s="185"/>
      <c r="AM90" s="185"/>
      <c r="AN90" s="185"/>
      <c r="AO90" s="185"/>
      <c r="AP90" s="185"/>
      <c r="AQ90" s="185"/>
      <c r="AR90" s="185"/>
      <c r="AS90" s="185"/>
      <c r="AT90" s="185"/>
      <c r="AU90" s="185"/>
      <c r="AV90" s="185"/>
    </row>
    <row r="91" spans="5:48" s="277" customFormat="1">
      <c r="E91" s="185"/>
      <c r="F91" s="185"/>
      <c r="G91" s="185"/>
      <c r="H91" s="185"/>
      <c r="I91" s="185"/>
      <c r="J91" s="185"/>
      <c r="K91" s="185"/>
      <c r="L91" s="185"/>
      <c r="M91" s="185"/>
      <c r="N91" s="185"/>
      <c r="O91" s="185"/>
      <c r="Q91" s="277">
        <v>15</v>
      </c>
      <c r="S91" s="291">
        <v>41647</v>
      </c>
      <c r="T91" s="279">
        <v>8</v>
      </c>
      <c r="AB91" s="289"/>
      <c r="AD91" s="277">
        <f>IF(C16=1/8/2013,1,0)</f>
        <v>0</v>
      </c>
      <c r="AE91" s="277">
        <f>IF(AE85=6,151+AE84,0)</f>
        <v>0</v>
      </c>
      <c r="AF91" s="277" t="s">
        <v>608</v>
      </c>
      <c r="AG91" s="277" t="e">
        <f>IF(F16="Monthly",(#REF!*12)/12,0)</f>
        <v>#N/A</v>
      </c>
      <c r="AH91" s="1099"/>
      <c r="AI91" s="185"/>
      <c r="AJ91" s="185"/>
      <c r="AK91" s="185"/>
      <c r="AL91" s="185"/>
      <c r="AM91" s="185"/>
      <c r="AN91" s="185"/>
      <c r="AO91" s="185"/>
      <c r="AP91" s="185"/>
      <c r="AQ91" s="185"/>
      <c r="AR91" s="185"/>
      <c r="AS91" s="185"/>
      <c r="AT91" s="185"/>
      <c r="AU91" s="185"/>
      <c r="AV91" s="185"/>
    </row>
    <row r="92" spans="5:48" s="277" customFormat="1">
      <c r="E92" s="185"/>
      <c r="F92" s="185"/>
      <c r="G92" s="185"/>
      <c r="H92" s="185"/>
      <c r="I92" s="185"/>
      <c r="J92" s="185"/>
      <c r="K92" s="185"/>
      <c r="L92" s="185"/>
      <c r="M92" s="185"/>
      <c r="N92" s="185"/>
      <c r="O92" s="185"/>
      <c r="P92" s="277" t="s">
        <v>665</v>
      </c>
      <c r="Q92" s="277">
        <v>15.5</v>
      </c>
      <c r="S92" s="291">
        <v>41648</v>
      </c>
      <c r="T92" s="279">
        <v>9</v>
      </c>
      <c r="AB92" s="295"/>
      <c r="AD92" s="277">
        <f>IF(C16=1/9/2013,1,0)</f>
        <v>0</v>
      </c>
      <c r="AE92" s="277">
        <f>IF(AE85=7,181+AE84,0)</f>
        <v>0</v>
      </c>
      <c r="AF92" s="277" t="s">
        <v>609</v>
      </c>
      <c r="AG92" s="277" t="e">
        <f>IF(F13="Weekly",(AG102*52)/12,0)</f>
        <v>#N/A</v>
      </c>
      <c r="AH92" s="296" t="s">
        <v>610</v>
      </c>
      <c r="AI92" s="185"/>
      <c r="AJ92" s="185"/>
      <c r="AK92" s="185"/>
      <c r="AL92" s="185"/>
      <c r="AM92" s="185"/>
      <c r="AN92" s="185"/>
      <c r="AO92" s="185"/>
      <c r="AP92" s="185"/>
      <c r="AQ92" s="185"/>
      <c r="AR92" s="185"/>
      <c r="AS92" s="185"/>
      <c r="AT92" s="185"/>
      <c r="AU92" s="185"/>
      <c r="AV92" s="185"/>
    </row>
    <row r="93" spans="5:48" s="277" customFormat="1">
      <c r="E93" s="185"/>
      <c r="F93" s="185"/>
      <c r="G93" s="185"/>
      <c r="H93" s="185"/>
      <c r="I93" s="185"/>
      <c r="J93" s="185"/>
      <c r="K93" s="185"/>
      <c r="L93" s="185"/>
      <c r="M93" s="185"/>
      <c r="N93" s="185"/>
      <c r="O93" s="185"/>
      <c r="P93" s="277" t="s">
        <v>666</v>
      </c>
      <c r="Q93" s="277">
        <v>16</v>
      </c>
      <c r="S93" s="291">
        <v>41649</v>
      </c>
      <c r="T93" s="279">
        <v>10</v>
      </c>
      <c r="AB93" s="289"/>
      <c r="AD93" s="277">
        <f>IF(C16=1/10/2013,1,0)</f>
        <v>0</v>
      </c>
      <c r="AE93" s="277">
        <f>IF(AE85=8,212+AE84,0)</f>
        <v>0</v>
      </c>
      <c r="AF93" s="277" t="s">
        <v>611</v>
      </c>
      <c r="AG93" s="297">
        <f>DAYS360(AH93,C16)</f>
        <v>-40681</v>
      </c>
      <c r="AH93" s="298">
        <v>41275</v>
      </c>
      <c r="AI93" s="185"/>
      <c r="AJ93" s="185"/>
      <c r="AK93" s="185"/>
      <c r="AL93" s="185"/>
      <c r="AM93" s="185"/>
      <c r="AN93" s="185"/>
      <c r="AO93" s="185"/>
      <c r="AP93" s="185"/>
      <c r="AQ93" s="185"/>
      <c r="AR93" s="185"/>
      <c r="AS93" s="185"/>
      <c r="AT93" s="185"/>
      <c r="AU93" s="185"/>
      <c r="AV93" s="185"/>
    </row>
    <row r="94" spans="5:48" s="277" customFormat="1">
      <c r="E94" s="185"/>
      <c r="F94" s="185"/>
      <c r="G94" s="185"/>
      <c r="H94" s="185"/>
      <c r="I94" s="185"/>
      <c r="J94" s="185"/>
      <c r="K94" s="185"/>
      <c r="L94" s="185"/>
      <c r="M94" s="185"/>
      <c r="N94" s="185"/>
      <c r="O94" s="185"/>
      <c r="P94" s="277" t="s">
        <v>667</v>
      </c>
      <c r="Q94" s="277">
        <v>16.5</v>
      </c>
      <c r="S94" s="291">
        <v>41650</v>
      </c>
      <c r="T94" s="279">
        <v>11</v>
      </c>
      <c r="AB94" s="289"/>
      <c r="AD94" s="277">
        <f>IF(C16=1/11/2013,1,0)</f>
        <v>0</v>
      </c>
      <c r="AE94" s="277">
        <f>IF(AE85=9,243+AE84,0)</f>
        <v>0</v>
      </c>
      <c r="AF94" s="299" t="s">
        <v>612</v>
      </c>
      <c r="AG94" s="300">
        <f>AG93/30</f>
        <v>-1356.0333333333333</v>
      </c>
      <c r="AH94" s="296" t="s">
        <v>613</v>
      </c>
      <c r="AI94" s="185"/>
      <c r="AJ94" s="185"/>
      <c r="AK94" s="185"/>
      <c r="AL94" s="185"/>
      <c r="AM94" s="185"/>
      <c r="AN94" s="185"/>
      <c r="AO94" s="185"/>
      <c r="AP94" s="185"/>
      <c r="AQ94" s="185"/>
      <c r="AR94" s="185"/>
      <c r="AS94" s="185"/>
      <c r="AT94" s="185"/>
      <c r="AU94" s="185"/>
      <c r="AV94" s="185"/>
    </row>
    <row r="95" spans="5:48" s="277" customFormat="1">
      <c r="E95" s="185"/>
      <c r="F95" s="185"/>
      <c r="G95" s="185"/>
      <c r="H95" s="185"/>
      <c r="I95" s="185"/>
      <c r="J95" s="185"/>
      <c r="K95" s="185"/>
      <c r="L95" s="185"/>
      <c r="M95" s="185"/>
      <c r="N95" s="185"/>
      <c r="O95" s="185"/>
      <c r="P95" s="277" t="s">
        <v>668</v>
      </c>
      <c r="Q95" s="277">
        <v>17</v>
      </c>
      <c r="S95" s="291">
        <v>41651</v>
      </c>
      <c r="T95" s="279">
        <v>12</v>
      </c>
      <c r="AB95" s="289"/>
      <c r="AD95" s="277">
        <f>IF(C16=1/12/2013,1,0)</f>
        <v>0</v>
      </c>
      <c r="AE95" s="277">
        <f>IF(AE85=10,273+AE84,0)</f>
        <v>0</v>
      </c>
      <c r="AF95" s="277" t="s">
        <v>614</v>
      </c>
      <c r="AG95" s="277" t="e">
        <f>IF(F14="Bi-Weekly",(AG102*26)/12,0)</f>
        <v>#N/A</v>
      </c>
      <c r="AH95" s="296" t="s">
        <v>610</v>
      </c>
      <c r="AI95" s="185"/>
      <c r="AJ95" s="185"/>
      <c r="AK95" s="185"/>
      <c r="AL95" s="185"/>
      <c r="AM95" s="185"/>
      <c r="AN95" s="185"/>
      <c r="AO95" s="185"/>
      <c r="AP95" s="185"/>
      <c r="AQ95" s="185"/>
      <c r="AR95" s="185"/>
      <c r="AS95" s="185"/>
      <c r="AT95" s="185"/>
      <c r="AU95" s="185"/>
      <c r="AV95" s="185"/>
    </row>
    <row r="96" spans="5:48" s="277" customFormat="1">
      <c r="E96" s="185"/>
      <c r="F96" s="185"/>
      <c r="G96" s="185"/>
      <c r="H96" s="185"/>
      <c r="I96" s="185"/>
      <c r="J96" s="185"/>
      <c r="K96" s="185"/>
      <c r="L96" s="185"/>
      <c r="M96" s="185"/>
      <c r="N96" s="185"/>
      <c r="O96" s="185"/>
      <c r="Q96" s="277">
        <v>17.5</v>
      </c>
      <c r="S96" s="291">
        <v>41652</v>
      </c>
      <c r="T96" s="279">
        <v>13</v>
      </c>
      <c r="AB96" s="289"/>
      <c r="AD96" s="277" t="e">
        <f>IF(#REF!=1/4/2013,1,0)</f>
        <v>#REF!</v>
      </c>
      <c r="AE96" s="277">
        <f>IF(AE85=11,304+AE84,0)</f>
        <v>0</v>
      </c>
      <c r="AF96" s="277" t="s">
        <v>615</v>
      </c>
      <c r="AG96" s="277" t="e">
        <f>IF(F15="Semi-Monthly",(AG102*24)/12,0)</f>
        <v>#N/A</v>
      </c>
      <c r="AH96" s="296" t="s">
        <v>610</v>
      </c>
      <c r="AI96" s="185"/>
      <c r="AJ96" s="185"/>
      <c r="AK96" s="185"/>
      <c r="AL96" s="185"/>
      <c r="AM96" s="185"/>
      <c r="AN96" s="185"/>
      <c r="AO96" s="185"/>
      <c r="AP96" s="185"/>
      <c r="AQ96" s="185"/>
      <c r="AR96" s="185"/>
      <c r="AS96" s="185"/>
      <c r="AT96" s="185"/>
      <c r="AU96" s="185"/>
      <c r="AV96" s="185"/>
    </row>
    <row r="97" spans="5:48" s="277" customFormat="1">
      <c r="E97" s="185"/>
      <c r="F97" s="185"/>
      <c r="G97" s="185"/>
      <c r="H97" s="185"/>
      <c r="I97" s="185"/>
      <c r="J97" s="185"/>
      <c r="K97" s="185"/>
      <c r="L97" s="185"/>
      <c r="M97" s="185"/>
      <c r="N97" s="185"/>
      <c r="O97" s="185"/>
      <c r="Q97" s="277">
        <v>18</v>
      </c>
      <c r="S97" s="291">
        <v>41653</v>
      </c>
      <c r="T97" s="279">
        <v>14</v>
      </c>
      <c r="AB97" s="301"/>
      <c r="AD97" s="277" t="e">
        <f>IF(#REF!=1/4/2013,1,0)</f>
        <v>#REF!</v>
      </c>
      <c r="AE97" s="277">
        <f>IF(AE85=12,334+AE84,0)</f>
        <v>0</v>
      </c>
      <c r="AF97" s="277" t="s">
        <v>616</v>
      </c>
      <c r="AG97" s="277" t="e">
        <f>IF(F16="Monthly",(AG102*12)/12,0)</f>
        <v>#N/A</v>
      </c>
      <c r="AH97" s="296" t="s">
        <v>610</v>
      </c>
      <c r="AI97" s="185"/>
      <c r="AJ97" s="185"/>
      <c r="AK97" s="185"/>
      <c r="AL97" s="185"/>
      <c r="AM97" s="185"/>
      <c r="AN97" s="185"/>
      <c r="AO97" s="185"/>
      <c r="AP97" s="185"/>
      <c r="AQ97" s="185"/>
      <c r="AR97" s="185"/>
      <c r="AS97" s="185"/>
      <c r="AT97" s="185"/>
      <c r="AU97" s="185"/>
      <c r="AV97" s="185"/>
    </row>
    <row r="98" spans="5:48" s="277" customFormat="1">
      <c r="E98" s="185"/>
      <c r="F98" s="185"/>
      <c r="G98" s="185"/>
      <c r="H98" s="185"/>
      <c r="I98" s="185"/>
      <c r="J98" s="185"/>
      <c r="K98" s="185"/>
      <c r="L98" s="185"/>
      <c r="M98" s="185"/>
      <c r="N98" s="185"/>
      <c r="O98" s="185"/>
      <c r="Q98" s="277">
        <v>18.5</v>
      </c>
      <c r="S98" s="291">
        <v>41654</v>
      </c>
      <c r="T98" s="279">
        <v>15</v>
      </c>
      <c r="AB98" s="289"/>
      <c r="AD98" s="277" t="e">
        <f>IF(#REF!=1/4/2013,1,0)</f>
        <v>#REF!</v>
      </c>
      <c r="AE98" s="277">
        <f>SUM(AE86:AE97)</f>
        <v>0</v>
      </c>
      <c r="AG98" s="277" t="e">
        <f>AVERAGE(#REF!,#REF!,#REF!,#REF!)</f>
        <v>#REF!</v>
      </c>
      <c r="AH98" s="277" t="s">
        <v>617</v>
      </c>
      <c r="AI98" s="185"/>
      <c r="AJ98" s="185"/>
      <c r="AK98" s="185"/>
      <c r="AL98" s="185"/>
      <c r="AM98" s="185"/>
      <c r="AN98" s="185"/>
      <c r="AO98" s="185"/>
      <c r="AP98" s="185"/>
      <c r="AQ98" s="185"/>
      <c r="AR98" s="185"/>
      <c r="AS98" s="185"/>
      <c r="AT98" s="185"/>
      <c r="AU98" s="185"/>
      <c r="AV98" s="185"/>
    </row>
    <row r="99" spans="5:48" s="277" customFormat="1">
      <c r="E99" s="185"/>
      <c r="F99" s="185"/>
      <c r="G99" s="185"/>
      <c r="H99" s="185"/>
      <c r="I99" s="185"/>
      <c r="J99" s="185"/>
      <c r="K99" s="185"/>
      <c r="L99" s="185"/>
      <c r="M99" s="185"/>
      <c r="N99" s="185"/>
      <c r="O99" s="185"/>
      <c r="Q99" s="277">
        <v>19</v>
      </c>
      <c r="S99" s="291">
        <v>41655</v>
      </c>
      <c r="T99" s="279">
        <v>16</v>
      </c>
      <c r="AD99" s="277">
        <f>IF(C30=1/4/2013,1,0)</f>
        <v>0</v>
      </c>
      <c r="AE99" s="302">
        <f>AE98/30</f>
        <v>0</v>
      </c>
      <c r="AG99" s="277" t="e">
        <f>AVERAGE(#REF!,#REF!,#REF!,#REF!)</f>
        <v>#REF!</v>
      </c>
      <c r="AH99" s="277" t="s">
        <v>618</v>
      </c>
      <c r="AI99" s="185"/>
      <c r="AJ99" s="185"/>
      <c r="AK99" s="185"/>
      <c r="AL99" s="185"/>
      <c r="AM99" s="185"/>
      <c r="AN99" s="185"/>
      <c r="AO99" s="185"/>
      <c r="AP99" s="185"/>
      <c r="AQ99" s="185"/>
      <c r="AR99" s="185"/>
      <c r="AS99" s="185"/>
      <c r="AT99" s="185"/>
      <c r="AU99" s="185"/>
      <c r="AV99" s="185"/>
    </row>
    <row r="100" spans="5:48" s="277" customFormat="1">
      <c r="E100" s="185"/>
      <c r="F100" s="185"/>
      <c r="G100" s="185"/>
      <c r="H100" s="185"/>
      <c r="I100" s="185"/>
      <c r="J100" s="185"/>
      <c r="K100" s="185"/>
      <c r="L100" s="185"/>
      <c r="M100" s="185"/>
      <c r="N100" s="185"/>
      <c r="O100" s="185"/>
      <c r="Q100" s="277">
        <v>19.5</v>
      </c>
      <c r="S100" s="291">
        <v>41656</v>
      </c>
      <c r="T100" s="279">
        <v>17</v>
      </c>
      <c r="AD100" s="277" t="e">
        <f>IF(#REF!=1/4/2013,1,0)</f>
        <v>#REF!</v>
      </c>
      <c r="AG100" s="277" t="e">
        <f>AVERAGE(#REF!,#REF!,#REF!,#REF!)</f>
        <v>#REF!</v>
      </c>
      <c r="AH100" s="277" t="s">
        <v>619</v>
      </c>
      <c r="AI100" s="185"/>
      <c r="AJ100" s="185"/>
      <c r="AK100" s="185"/>
      <c r="AL100" s="185"/>
      <c r="AM100" s="185"/>
      <c r="AN100" s="185"/>
      <c r="AO100" s="185"/>
      <c r="AP100" s="185"/>
      <c r="AQ100" s="185"/>
      <c r="AR100" s="185"/>
      <c r="AS100" s="185"/>
      <c r="AT100" s="185"/>
      <c r="AU100" s="185"/>
      <c r="AV100" s="185"/>
    </row>
    <row r="101" spans="5:48" s="277" customFormat="1">
      <c r="E101" s="185"/>
      <c r="F101" s="185"/>
      <c r="G101" s="185"/>
      <c r="H101" s="185"/>
      <c r="I101" s="185"/>
      <c r="J101" s="185"/>
      <c r="K101" s="185"/>
      <c r="L101" s="185"/>
      <c r="M101" s="185"/>
      <c r="N101" s="185"/>
      <c r="O101" s="185"/>
      <c r="Q101" s="277">
        <v>20</v>
      </c>
      <c r="S101" s="291">
        <v>41657</v>
      </c>
      <c r="T101" s="279">
        <v>18</v>
      </c>
      <c r="AB101" s="277">
        <f>(MONTH(C12)-1)+(DAY(C12)/(DAY(DATE(YEAR(C12),MONTH(C12)+1,1)-1)))</f>
        <v>0</v>
      </c>
      <c r="AG101" s="290" t="e">
        <f>AVERAGE(#REF!)</f>
        <v>#REF!</v>
      </c>
      <c r="AH101" s="277" t="s">
        <v>620</v>
      </c>
      <c r="AI101" s="185"/>
      <c r="AJ101" s="185"/>
      <c r="AK101" s="185"/>
      <c r="AL101" s="185"/>
      <c r="AM101" s="185"/>
      <c r="AN101" s="185"/>
      <c r="AO101" s="185"/>
      <c r="AP101" s="185"/>
      <c r="AQ101" s="185"/>
      <c r="AR101" s="185"/>
      <c r="AS101" s="185"/>
      <c r="AT101" s="185"/>
      <c r="AU101" s="185"/>
      <c r="AV101" s="185"/>
    </row>
    <row r="102" spans="5:48" s="277" customFormat="1">
      <c r="E102" s="185"/>
      <c r="F102" s="185"/>
      <c r="G102" s="185"/>
      <c r="H102" s="185"/>
      <c r="I102" s="185"/>
      <c r="J102" s="185"/>
      <c r="K102" s="185"/>
      <c r="L102" s="185"/>
      <c r="M102" s="185"/>
      <c r="N102" s="185"/>
      <c r="O102" s="185"/>
      <c r="Q102" s="277">
        <v>20.5</v>
      </c>
      <c r="S102" s="291">
        <v>41658</v>
      </c>
      <c r="T102" s="279">
        <v>19</v>
      </c>
      <c r="AD102" s="277" t="e">
        <f>IF(#REF!=1/4/2013,1,0)</f>
        <v>#REF!</v>
      </c>
      <c r="AG102" s="289" t="e">
        <f>AG101*C30</f>
        <v>#REF!</v>
      </c>
      <c r="AI102" s="185"/>
      <c r="AJ102" s="185"/>
      <c r="AK102" s="185"/>
      <c r="AL102" s="185"/>
      <c r="AM102" s="185"/>
      <c r="AN102" s="185"/>
      <c r="AO102" s="185"/>
      <c r="AP102" s="185"/>
      <c r="AQ102" s="185"/>
      <c r="AR102" s="185"/>
      <c r="AS102" s="185"/>
      <c r="AT102" s="185"/>
      <c r="AU102" s="185"/>
      <c r="AV102" s="185"/>
    </row>
    <row r="103" spans="5:48" s="277" customFormat="1">
      <c r="E103" s="185"/>
      <c r="F103" s="185"/>
      <c r="G103" s="185"/>
      <c r="H103" s="185"/>
      <c r="I103" s="185"/>
      <c r="J103" s="185"/>
      <c r="K103" s="185"/>
      <c r="L103" s="185"/>
      <c r="M103" s="185"/>
      <c r="N103" s="185"/>
      <c r="O103" s="185"/>
      <c r="Q103" s="277">
        <v>21</v>
      </c>
      <c r="S103" s="291">
        <v>41659</v>
      </c>
      <c r="T103" s="279">
        <v>20</v>
      </c>
      <c r="AB103" s="291"/>
      <c r="AD103" s="277" t="e">
        <f>IF(#REF!=1/4/2013,1,0)</f>
        <v>#REF!</v>
      </c>
      <c r="AG103" s="277" t="e">
        <f>AVERAGE(#REF!,#REF!,#REF!,#REF!)</f>
        <v>#REF!</v>
      </c>
      <c r="AH103" s="277" t="s">
        <v>621</v>
      </c>
      <c r="AI103" s="185"/>
      <c r="AJ103" s="185"/>
      <c r="AK103" s="185"/>
      <c r="AL103" s="185"/>
      <c r="AM103" s="185"/>
      <c r="AN103" s="185"/>
      <c r="AO103" s="185"/>
      <c r="AP103" s="185"/>
      <c r="AQ103" s="185"/>
      <c r="AR103" s="185"/>
      <c r="AS103" s="185"/>
      <c r="AT103" s="185"/>
      <c r="AU103" s="185"/>
      <c r="AV103" s="185"/>
    </row>
    <row r="104" spans="5:48" s="277" customFormat="1">
      <c r="E104" s="185"/>
      <c r="F104" s="185"/>
      <c r="G104" s="185"/>
      <c r="H104" s="185"/>
      <c r="I104" s="185"/>
      <c r="J104" s="185"/>
      <c r="K104" s="185"/>
      <c r="L104" s="185"/>
      <c r="M104" s="185"/>
      <c r="N104" s="185"/>
      <c r="O104" s="185"/>
      <c r="Q104" s="277">
        <v>21.5</v>
      </c>
      <c r="S104" s="291">
        <v>41660</v>
      </c>
      <c r="T104" s="279">
        <v>21</v>
      </c>
      <c r="AB104" s="289"/>
      <c r="AD104" s="277" t="e">
        <f>IF(#REF!=1/4/2013,1,0)</f>
        <v>#REF!</v>
      </c>
      <c r="AG104" s="277" t="e">
        <f>IF(F13="Weekly",(AG98*52)/12,0)</f>
        <v>#N/A</v>
      </c>
      <c r="AH104" s="1084" t="s">
        <v>622</v>
      </c>
      <c r="AI104" s="185"/>
      <c r="AJ104" s="185"/>
      <c r="AK104" s="185"/>
      <c r="AL104" s="185"/>
      <c r="AM104" s="185"/>
      <c r="AN104" s="185"/>
      <c r="AO104" s="185"/>
      <c r="AP104" s="185"/>
      <c r="AQ104" s="185"/>
      <c r="AR104" s="185"/>
      <c r="AS104" s="185"/>
      <c r="AT104" s="185"/>
      <c r="AU104" s="185"/>
      <c r="AV104" s="185"/>
    </row>
    <row r="105" spans="5:48" s="277" customFormat="1">
      <c r="E105" s="185"/>
      <c r="F105" s="185"/>
      <c r="G105" s="185"/>
      <c r="H105" s="185"/>
      <c r="I105" s="185"/>
      <c r="J105" s="185"/>
      <c r="K105" s="185"/>
      <c r="L105" s="185"/>
      <c r="M105" s="185"/>
      <c r="N105" s="185"/>
      <c r="O105" s="185"/>
      <c r="Q105" s="277">
        <v>22</v>
      </c>
      <c r="S105" s="291">
        <v>41661</v>
      </c>
      <c r="T105" s="279">
        <v>22</v>
      </c>
      <c r="AB105" s="289"/>
      <c r="AD105" s="277" t="e">
        <f>IF(#REF!=1/4/2013,1,0)</f>
        <v>#REF!</v>
      </c>
      <c r="AG105" s="277" t="e">
        <f>IF(F14="Bi-Weekly",(AG98*26)/12,0)</f>
        <v>#N/A</v>
      </c>
      <c r="AH105" s="1084"/>
      <c r="AI105" s="185"/>
      <c r="AJ105" s="185"/>
      <c r="AK105" s="185"/>
      <c r="AL105" s="185"/>
      <c r="AM105" s="185"/>
      <c r="AN105" s="185"/>
      <c r="AO105" s="185"/>
      <c r="AP105" s="185"/>
      <c r="AQ105" s="185"/>
      <c r="AR105" s="185"/>
      <c r="AS105" s="185"/>
      <c r="AT105" s="185"/>
      <c r="AU105" s="185"/>
      <c r="AV105" s="185"/>
    </row>
    <row r="106" spans="5:48" s="277" customFormat="1">
      <c r="E106" s="185"/>
      <c r="F106" s="185"/>
      <c r="G106" s="185"/>
      <c r="H106" s="185"/>
      <c r="I106" s="185"/>
      <c r="J106" s="185"/>
      <c r="K106" s="185"/>
      <c r="L106" s="185"/>
      <c r="M106" s="185"/>
      <c r="N106" s="185"/>
      <c r="O106" s="185"/>
      <c r="Q106" s="277">
        <v>22.5</v>
      </c>
      <c r="S106" s="291">
        <v>41662</v>
      </c>
      <c r="T106" s="279">
        <v>23</v>
      </c>
      <c r="AB106" s="289"/>
      <c r="AD106" s="277" t="e">
        <f>IF(#REF!=1/4/2013,1,0)</f>
        <v>#REF!</v>
      </c>
      <c r="AG106" s="277" t="e">
        <f>IF(F15="Semi-Monthly",(AG98*24)/12,0)</f>
        <v>#N/A</v>
      </c>
      <c r="AH106" s="1084"/>
      <c r="AI106" s="185"/>
      <c r="AJ106" s="185"/>
      <c r="AK106" s="185"/>
      <c r="AL106" s="185"/>
      <c r="AM106" s="185"/>
      <c r="AN106" s="185"/>
      <c r="AO106" s="185"/>
      <c r="AP106" s="185"/>
      <c r="AQ106" s="185"/>
      <c r="AR106" s="185"/>
      <c r="AS106" s="185"/>
      <c r="AT106" s="185"/>
      <c r="AU106" s="185"/>
      <c r="AV106" s="185"/>
    </row>
    <row r="107" spans="5:48" s="277" customFormat="1">
      <c r="E107" s="185"/>
      <c r="F107" s="185"/>
      <c r="G107" s="185"/>
      <c r="H107" s="185"/>
      <c r="I107" s="185"/>
      <c r="J107" s="185"/>
      <c r="K107" s="185"/>
      <c r="L107" s="185"/>
      <c r="M107" s="185"/>
      <c r="N107" s="185"/>
      <c r="O107" s="185"/>
      <c r="Q107" s="277">
        <v>23</v>
      </c>
      <c r="S107" s="291">
        <v>41663</v>
      </c>
      <c r="T107" s="279">
        <v>24</v>
      </c>
      <c r="AB107" s="289"/>
      <c r="AD107" s="277" t="e">
        <f>IF(#REF!=1/4/2013,1,0)</f>
        <v>#REF!</v>
      </c>
      <c r="AG107" s="277" t="e">
        <f>IF(F16="Monthly",(AG98*12)/12,0)</f>
        <v>#N/A</v>
      </c>
      <c r="AH107" s="1084"/>
      <c r="AI107" s="185"/>
      <c r="AJ107" s="185"/>
      <c r="AK107" s="185"/>
      <c r="AL107" s="185"/>
      <c r="AM107" s="185"/>
      <c r="AN107" s="185"/>
      <c r="AO107" s="185"/>
      <c r="AP107" s="185"/>
      <c r="AQ107" s="185"/>
      <c r="AR107" s="185"/>
      <c r="AS107" s="185"/>
      <c r="AT107" s="185"/>
      <c r="AU107" s="185"/>
      <c r="AV107" s="185"/>
    </row>
    <row r="108" spans="5:48" s="277" customFormat="1">
      <c r="E108" s="185"/>
      <c r="F108" s="185"/>
      <c r="G108" s="185"/>
      <c r="H108" s="185"/>
      <c r="I108" s="185"/>
      <c r="J108" s="185"/>
      <c r="K108" s="185"/>
      <c r="L108" s="185"/>
      <c r="M108" s="185"/>
      <c r="N108" s="185"/>
      <c r="O108" s="185"/>
      <c r="Q108" s="277">
        <v>23.5</v>
      </c>
      <c r="S108" s="291">
        <v>41664</v>
      </c>
      <c r="T108" s="279">
        <v>25</v>
      </c>
      <c r="AB108" s="289"/>
      <c r="AD108" s="277" t="e">
        <f>IF(#REF!=1/4/2013,1,0)</f>
        <v>#REF!</v>
      </c>
      <c r="AG108" s="277" t="e">
        <f>IF(F13="Weekly",(AG99*52)/12,0)</f>
        <v>#N/A</v>
      </c>
      <c r="AH108" s="1084" t="s">
        <v>623</v>
      </c>
      <c r="AI108" s="185"/>
      <c r="AJ108" s="185"/>
      <c r="AK108" s="185"/>
      <c r="AL108" s="185"/>
      <c r="AM108" s="185"/>
      <c r="AN108" s="185"/>
      <c r="AO108" s="185"/>
      <c r="AP108" s="185"/>
      <c r="AQ108" s="185"/>
      <c r="AR108" s="185"/>
      <c r="AS108" s="185"/>
      <c r="AT108" s="185"/>
      <c r="AU108" s="185"/>
      <c r="AV108" s="185"/>
    </row>
    <row r="109" spans="5:48" s="277" customFormat="1">
      <c r="E109" s="185"/>
      <c r="F109" s="185"/>
      <c r="G109" s="185"/>
      <c r="H109" s="185"/>
      <c r="I109" s="185"/>
      <c r="J109" s="185"/>
      <c r="K109" s="185"/>
      <c r="L109" s="185"/>
      <c r="M109" s="185"/>
      <c r="N109" s="185"/>
      <c r="O109" s="185"/>
      <c r="Q109" s="277">
        <v>24</v>
      </c>
      <c r="S109" s="291">
        <v>41665</v>
      </c>
      <c r="T109" s="279">
        <v>26</v>
      </c>
      <c r="AB109" s="303"/>
      <c r="AD109" s="277" t="e">
        <f>IF(#REF!=1/4/2013,1,0)</f>
        <v>#REF!</v>
      </c>
      <c r="AG109" s="277" t="e">
        <f>IF(F14="Bi-Weekly",(AG99*26)/12,0)</f>
        <v>#N/A</v>
      </c>
      <c r="AH109" s="1084"/>
      <c r="AI109" s="185"/>
      <c r="AJ109" s="185"/>
      <c r="AK109" s="185"/>
      <c r="AL109" s="185"/>
      <c r="AM109" s="185"/>
      <c r="AN109" s="185"/>
      <c r="AO109" s="185"/>
      <c r="AP109" s="185"/>
      <c r="AQ109" s="185"/>
      <c r="AR109" s="185"/>
      <c r="AS109" s="185"/>
      <c r="AT109" s="185"/>
      <c r="AU109" s="185"/>
      <c r="AV109" s="185"/>
    </row>
    <row r="110" spans="5:48" s="277" customFormat="1">
      <c r="E110" s="185"/>
      <c r="F110" s="185"/>
      <c r="G110" s="185"/>
      <c r="H110" s="185"/>
      <c r="I110" s="185"/>
      <c r="J110" s="185"/>
      <c r="K110" s="185"/>
      <c r="L110" s="185"/>
      <c r="M110" s="185"/>
      <c r="N110" s="185"/>
      <c r="O110" s="185"/>
      <c r="Q110" s="277">
        <v>24.5</v>
      </c>
      <c r="S110" s="291">
        <v>41666</v>
      </c>
      <c r="T110" s="279">
        <v>27</v>
      </c>
      <c r="AB110" s="303"/>
      <c r="AD110" s="277" t="e">
        <f>IF(#REF!=1/4/2013,1,0)</f>
        <v>#REF!</v>
      </c>
      <c r="AG110" s="277" t="e">
        <f>IF(F15="Semi-Monthly",(AG99*24)/12,0)</f>
        <v>#N/A</v>
      </c>
      <c r="AH110" s="1084"/>
      <c r="AI110" s="185"/>
      <c r="AJ110" s="185"/>
      <c r="AK110" s="185"/>
      <c r="AL110" s="185"/>
      <c r="AM110" s="185"/>
      <c r="AN110" s="185"/>
      <c r="AO110" s="185"/>
      <c r="AP110" s="185"/>
      <c r="AQ110" s="185"/>
      <c r="AR110" s="185"/>
      <c r="AS110" s="185"/>
      <c r="AT110" s="185"/>
      <c r="AU110" s="185"/>
      <c r="AV110" s="185"/>
    </row>
    <row r="111" spans="5:48" s="277" customFormat="1">
      <c r="E111" s="185"/>
      <c r="F111" s="185"/>
      <c r="G111" s="185"/>
      <c r="H111" s="185"/>
      <c r="I111" s="185"/>
      <c r="J111" s="185"/>
      <c r="K111" s="185"/>
      <c r="L111" s="185"/>
      <c r="M111" s="185"/>
      <c r="N111" s="185"/>
      <c r="O111" s="185"/>
      <c r="Q111" s="277">
        <v>25</v>
      </c>
      <c r="S111" s="291">
        <v>41667</v>
      </c>
      <c r="T111" s="279">
        <v>28</v>
      </c>
      <c r="AB111" s="303"/>
      <c r="AD111" s="277" t="e">
        <f>IF(#REF!=1/4/2013,1,0)</f>
        <v>#REF!</v>
      </c>
      <c r="AG111" s="277" t="e">
        <f>IF(F16="Monthly",(AG99*12)/12,0)</f>
        <v>#N/A</v>
      </c>
      <c r="AH111" s="1084"/>
      <c r="AI111" s="185"/>
      <c r="AJ111" s="185"/>
      <c r="AK111" s="185"/>
      <c r="AL111" s="185"/>
      <c r="AM111" s="185"/>
      <c r="AN111" s="185"/>
      <c r="AO111" s="185"/>
      <c r="AP111" s="185"/>
      <c r="AQ111" s="185"/>
      <c r="AR111" s="185"/>
      <c r="AS111" s="185"/>
      <c r="AT111" s="185"/>
      <c r="AU111" s="185"/>
      <c r="AV111" s="185"/>
    </row>
    <row r="112" spans="5:48" s="277" customFormat="1">
      <c r="E112" s="185"/>
      <c r="F112" s="185"/>
      <c r="G112" s="185"/>
      <c r="H112" s="185"/>
      <c r="I112" s="185"/>
      <c r="J112" s="185"/>
      <c r="K112" s="185"/>
      <c r="L112" s="185"/>
      <c r="M112" s="185"/>
      <c r="N112" s="185"/>
      <c r="O112" s="185"/>
      <c r="Q112" s="277">
        <v>25.5</v>
      </c>
      <c r="S112" s="291">
        <v>41668</v>
      </c>
      <c r="T112" s="279">
        <v>29</v>
      </c>
      <c r="AB112" s="303"/>
      <c r="AD112" s="277">
        <f>IF(Q69=1/4/2013,1,0)</f>
        <v>0</v>
      </c>
      <c r="AG112" s="277" t="e">
        <f>IF(F13="Weekly",(AG100*52)/12,0)</f>
        <v>#N/A</v>
      </c>
      <c r="AH112" s="1084" t="s">
        <v>624</v>
      </c>
      <c r="AI112" s="185"/>
      <c r="AJ112" s="185"/>
      <c r="AK112" s="185"/>
      <c r="AL112" s="185"/>
      <c r="AM112" s="185"/>
      <c r="AN112" s="185"/>
      <c r="AO112" s="185"/>
      <c r="AP112" s="185"/>
      <c r="AQ112" s="185"/>
      <c r="AR112" s="185"/>
      <c r="AS112" s="185"/>
      <c r="AT112" s="185"/>
      <c r="AU112" s="185"/>
      <c r="AV112" s="185"/>
    </row>
    <row r="113" spans="5:48" s="277" customFormat="1">
      <c r="E113" s="185"/>
      <c r="F113" s="185"/>
      <c r="G113" s="185"/>
      <c r="H113" s="185"/>
      <c r="I113" s="185"/>
      <c r="J113" s="185"/>
      <c r="K113" s="185"/>
      <c r="L113" s="185"/>
      <c r="M113" s="185"/>
      <c r="N113" s="185"/>
      <c r="O113" s="185"/>
      <c r="Q113" s="277">
        <v>26</v>
      </c>
      <c r="S113" s="291">
        <v>41669</v>
      </c>
      <c r="T113" s="279">
        <v>30</v>
      </c>
      <c r="AB113" s="289"/>
      <c r="AG113" s="277" t="e">
        <f>IF(F14="Bi-Weekly",(AG100*26)/12,0)</f>
        <v>#N/A</v>
      </c>
      <c r="AH113" s="1084"/>
      <c r="AI113" s="185"/>
      <c r="AJ113" s="185"/>
      <c r="AK113" s="185"/>
      <c r="AL113" s="185"/>
      <c r="AM113" s="185"/>
      <c r="AN113" s="185"/>
      <c r="AO113" s="185"/>
      <c r="AP113" s="185"/>
      <c r="AQ113" s="185"/>
      <c r="AR113" s="185"/>
      <c r="AS113" s="185"/>
      <c r="AT113" s="185"/>
      <c r="AU113" s="185"/>
      <c r="AV113" s="185"/>
    </row>
    <row r="114" spans="5:48" s="277" customFormat="1">
      <c r="E114" s="185"/>
      <c r="F114" s="185"/>
      <c r="G114" s="185"/>
      <c r="H114" s="185"/>
      <c r="I114" s="185"/>
      <c r="J114" s="185"/>
      <c r="K114" s="185"/>
      <c r="L114" s="185"/>
      <c r="M114" s="185"/>
      <c r="N114" s="185"/>
      <c r="O114" s="185"/>
      <c r="Q114" s="277">
        <v>26.5</v>
      </c>
      <c r="S114" s="291">
        <v>41670</v>
      </c>
      <c r="T114" s="279">
        <v>31</v>
      </c>
      <c r="AB114" s="289"/>
      <c r="AG114" s="277" t="e">
        <f>IF(F15="Semi-Monthly",(AG100*24)/12,0)</f>
        <v>#N/A</v>
      </c>
      <c r="AH114" s="1084"/>
      <c r="AI114" s="185"/>
      <c r="AJ114" s="185"/>
      <c r="AK114" s="185"/>
      <c r="AL114" s="185"/>
      <c r="AM114" s="185"/>
      <c r="AN114" s="185"/>
      <c r="AO114" s="185"/>
      <c r="AP114" s="185"/>
      <c r="AQ114" s="185"/>
      <c r="AR114" s="185"/>
      <c r="AS114" s="185"/>
      <c r="AT114" s="185"/>
      <c r="AU114" s="185"/>
      <c r="AV114" s="185"/>
    </row>
    <row r="115" spans="5:48" s="277" customFormat="1">
      <c r="E115" s="185"/>
      <c r="F115" s="185"/>
      <c r="G115" s="185"/>
      <c r="H115" s="185"/>
      <c r="I115" s="185"/>
      <c r="J115" s="185"/>
      <c r="K115" s="185"/>
      <c r="L115" s="185"/>
      <c r="M115" s="185"/>
      <c r="N115" s="185"/>
      <c r="O115" s="185"/>
      <c r="Q115" s="277">
        <v>27</v>
      </c>
      <c r="S115" s="291">
        <v>41671</v>
      </c>
      <c r="T115" s="279">
        <v>32</v>
      </c>
      <c r="AB115" s="289"/>
      <c r="AG115" s="277" t="e">
        <f>IF(F16="Monthly",(AG100*12)/12,0)</f>
        <v>#N/A</v>
      </c>
      <c r="AH115" s="1084"/>
      <c r="AI115" s="185"/>
      <c r="AJ115" s="185"/>
      <c r="AK115" s="185"/>
      <c r="AL115" s="185"/>
      <c r="AM115" s="185"/>
      <c r="AN115" s="185"/>
      <c r="AO115" s="185"/>
      <c r="AP115" s="185"/>
      <c r="AQ115" s="185"/>
      <c r="AR115" s="185"/>
      <c r="AS115" s="185"/>
      <c r="AT115" s="185"/>
      <c r="AU115" s="185"/>
      <c r="AV115" s="185"/>
    </row>
    <row r="116" spans="5:48" s="277" customFormat="1">
      <c r="E116" s="185"/>
      <c r="F116" s="185"/>
      <c r="G116" s="185"/>
      <c r="H116" s="185"/>
      <c r="I116" s="185"/>
      <c r="J116" s="185"/>
      <c r="K116" s="185"/>
      <c r="L116" s="185"/>
      <c r="M116" s="185"/>
      <c r="N116" s="185"/>
      <c r="O116" s="185"/>
      <c r="Q116" s="277">
        <v>27.5</v>
      </c>
      <c r="S116" s="291">
        <v>41672</v>
      </c>
      <c r="T116" s="279">
        <v>33</v>
      </c>
      <c r="AB116" s="289"/>
      <c r="AG116" s="277" t="e">
        <f>IF(F13="Weekly",(AG103*52)/12,0)</f>
        <v>#N/A</v>
      </c>
      <c r="AH116" s="1084" t="s">
        <v>625</v>
      </c>
      <c r="AI116" s="185"/>
      <c r="AJ116" s="185"/>
      <c r="AK116" s="185"/>
      <c r="AL116" s="185"/>
      <c r="AM116" s="185"/>
      <c r="AN116" s="185"/>
      <c r="AO116" s="185"/>
      <c r="AP116" s="185"/>
      <c r="AQ116" s="185"/>
      <c r="AR116" s="185"/>
      <c r="AS116" s="185"/>
      <c r="AT116" s="185"/>
      <c r="AU116" s="185"/>
      <c r="AV116" s="185"/>
    </row>
    <row r="117" spans="5:48" s="277" customFormat="1">
      <c r="E117" s="185"/>
      <c r="F117" s="185"/>
      <c r="G117" s="185"/>
      <c r="H117" s="185"/>
      <c r="I117" s="185"/>
      <c r="J117" s="185"/>
      <c r="K117" s="185"/>
      <c r="L117" s="185"/>
      <c r="M117" s="185"/>
      <c r="N117" s="185"/>
      <c r="O117" s="185"/>
      <c r="Q117" s="277">
        <v>28</v>
      </c>
      <c r="S117" s="291">
        <v>41673</v>
      </c>
      <c r="T117" s="279">
        <v>34</v>
      </c>
      <c r="AB117" s="289"/>
      <c r="AG117" s="277" t="e">
        <f>IF(F14="Bi-Weekly",(AG103*26)/12,0)</f>
        <v>#N/A</v>
      </c>
      <c r="AH117" s="1084"/>
      <c r="AI117" s="185"/>
      <c r="AJ117" s="185"/>
      <c r="AK117" s="185"/>
      <c r="AL117" s="185"/>
      <c r="AM117" s="185"/>
      <c r="AN117" s="185"/>
      <c r="AO117" s="185"/>
      <c r="AP117" s="185"/>
      <c r="AQ117" s="185"/>
      <c r="AR117" s="185"/>
      <c r="AS117" s="185"/>
      <c r="AT117" s="185"/>
      <c r="AU117" s="185"/>
      <c r="AV117" s="185"/>
    </row>
    <row r="118" spans="5:48" s="277" customFormat="1">
      <c r="E118" s="185"/>
      <c r="F118" s="185"/>
      <c r="G118" s="185"/>
      <c r="H118" s="185"/>
      <c r="I118" s="185"/>
      <c r="J118" s="185"/>
      <c r="K118" s="185"/>
      <c r="L118" s="185"/>
      <c r="M118" s="185"/>
      <c r="N118" s="185"/>
      <c r="O118" s="185"/>
      <c r="Q118" s="277">
        <v>28.5</v>
      </c>
      <c r="S118" s="291">
        <v>41674</v>
      </c>
      <c r="T118" s="279">
        <v>35</v>
      </c>
      <c r="AB118" s="289"/>
      <c r="AG118" s="277" t="e">
        <f>IF(F15="Semi-Monthly",(AG103*24)/12,0)</f>
        <v>#N/A</v>
      </c>
      <c r="AH118" s="1084"/>
      <c r="AI118" s="185"/>
      <c r="AJ118" s="185"/>
      <c r="AK118" s="185"/>
      <c r="AL118" s="185"/>
      <c r="AM118" s="185"/>
      <c r="AN118" s="185"/>
      <c r="AO118" s="185"/>
      <c r="AP118" s="185"/>
      <c r="AQ118" s="185"/>
      <c r="AR118" s="185"/>
      <c r="AS118" s="185"/>
      <c r="AT118" s="185"/>
      <c r="AU118" s="185"/>
      <c r="AV118" s="185"/>
    </row>
    <row r="119" spans="5:48" s="277" customFormat="1">
      <c r="E119" s="185"/>
      <c r="F119" s="185"/>
      <c r="G119" s="185"/>
      <c r="H119" s="185"/>
      <c r="I119" s="185"/>
      <c r="J119" s="185"/>
      <c r="K119" s="185"/>
      <c r="L119" s="185"/>
      <c r="M119" s="185"/>
      <c r="N119" s="185"/>
      <c r="O119" s="185"/>
      <c r="Q119" s="277">
        <v>29</v>
      </c>
      <c r="S119" s="291">
        <v>41675</v>
      </c>
      <c r="T119" s="279">
        <v>36</v>
      </c>
      <c r="AB119" s="289"/>
      <c r="AG119" s="277" t="e">
        <f>IF(F16="Monthly",(AG103*12)/12,0)</f>
        <v>#N/A</v>
      </c>
      <c r="AH119" s="1084"/>
      <c r="AI119" s="185"/>
      <c r="AJ119" s="185"/>
      <c r="AK119" s="185"/>
      <c r="AL119" s="185"/>
      <c r="AM119" s="185"/>
      <c r="AN119" s="185"/>
      <c r="AO119" s="185"/>
      <c r="AP119" s="185"/>
      <c r="AQ119" s="185"/>
      <c r="AR119" s="185"/>
      <c r="AS119" s="185"/>
      <c r="AT119" s="185"/>
      <c r="AU119" s="185"/>
      <c r="AV119" s="185"/>
    </row>
    <row r="120" spans="5:48" s="277" customFormat="1">
      <c r="E120" s="185"/>
      <c r="F120" s="185"/>
      <c r="G120" s="185"/>
      <c r="H120" s="185"/>
      <c r="I120" s="185"/>
      <c r="J120" s="185"/>
      <c r="K120" s="185"/>
      <c r="L120" s="185"/>
      <c r="M120" s="185"/>
      <c r="N120" s="185"/>
      <c r="O120" s="185"/>
      <c r="Q120" s="277">
        <v>29.5</v>
      </c>
      <c r="S120" s="291">
        <v>41676</v>
      </c>
      <c r="T120" s="279">
        <v>37</v>
      </c>
      <c r="AB120" s="289"/>
      <c r="AG120" s="277" t="e">
        <f>AG104+AG105+AG106+AG107</f>
        <v>#N/A</v>
      </c>
      <c r="AH120" s="277" t="s">
        <v>626</v>
      </c>
      <c r="AI120" s="185"/>
      <c r="AJ120" s="185"/>
      <c r="AK120" s="185"/>
      <c r="AL120" s="185"/>
      <c r="AM120" s="185"/>
      <c r="AN120" s="185"/>
      <c r="AO120" s="185"/>
      <c r="AP120" s="185"/>
      <c r="AQ120" s="185"/>
      <c r="AR120" s="185"/>
      <c r="AS120" s="185"/>
      <c r="AT120" s="185"/>
      <c r="AU120" s="185"/>
      <c r="AV120" s="185"/>
    </row>
    <row r="121" spans="5:48" s="277" customFormat="1">
      <c r="E121" s="185"/>
      <c r="F121" s="185"/>
      <c r="G121" s="185"/>
      <c r="H121" s="185"/>
      <c r="I121" s="185"/>
      <c r="J121" s="185"/>
      <c r="K121" s="185"/>
      <c r="L121" s="185"/>
      <c r="M121" s="185"/>
      <c r="N121" s="185"/>
      <c r="O121" s="185"/>
      <c r="Q121" s="277">
        <v>30</v>
      </c>
      <c r="S121" s="291">
        <v>41677</v>
      </c>
      <c r="T121" s="279">
        <v>38</v>
      </c>
      <c r="AB121" s="289"/>
      <c r="AG121" s="277" t="e">
        <f>AG108+AG109+AG110+AG111</f>
        <v>#N/A</v>
      </c>
      <c r="AH121" s="277" t="s">
        <v>627</v>
      </c>
      <c r="AI121" s="185"/>
      <c r="AJ121" s="185"/>
      <c r="AK121" s="185"/>
      <c r="AL121" s="185"/>
      <c r="AM121" s="185"/>
      <c r="AN121" s="185"/>
      <c r="AO121" s="185"/>
      <c r="AP121" s="185"/>
      <c r="AQ121" s="185"/>
      <c r="AR121" s="185"/>
      <c r="AS121" s="185"/>
      <c r="AT121" s="185"/>
      <c r="AU121" s="185"/>
      <c r="AV121" s="185"/>
    </row>
    <row r="122" spans="5:48" s="277" customFormat="1">
      <c r="E122" s="185"/>
      <c r="F122" s="185"/>
      <c r="G122" s="185"/>
      <c r="H122" s="185"/>
      <c r="I122" s="185"/>
      <c r="J122" s="185"/>
      <c r="K122" s="185"/>
      <c r="L122" s="185"/>
      <c r="M122" s="185"/>
      <c r="N122" s="185"/>
      <c r="O122" s="185"/>
      <c r="Q122" s="277">
        <v>30.5</v>
      </c>
      <c r="S122" s="291">
        <v>41678</v>
      </c>
      <c r="T122" s="279">
        <v>39</v>
      </c>
      <c r="AB122" s="289"/>
      <c r="AG122" s="277" t="e">
        <f>AG112+AG113+AG114+AG115</f>
        <v>#N/A</v>
      </c>
      <c r="AH122" s="277" t="s">
        <v>628</v>
      </c>
      <c r="AI122" s="185"/>
      <c r="AJ122" s="185"/>
      <c r="AK122" s="185"/>
      <c r="AL122" s="185"/>
      <c r="AM122" s="185"/>
      <c r="AN122" s="185"/>
      <c r="AO122" s="185"/>
      <c r="AP122" s="185"/>
      <c r="AQ122" s="185"/>
      <c r="AR122" s="185"/>
      <c r="AS122" s="185"/>
      <c r="AT122" s="185"/>
      <c r="AU122" s="185"/>
      <c r="AV122" s="185"/>
    </row>
    <row r="123" spans="5:48" s="277" customFormat="1">
      <c r="E123" s="185"/>
      <c r="F123" s="185"/>
      <c r="G123" s="185"/>
      <c r="H123" s="185"/>
      <c r="I123" s="185"/>
      <c r="J123" s="185"/>
      <c r="K123" s="185"/>
      <c r="L123" s="185"/>
      <c r="M123" s="185"/>
      <c r="N123" s="185"/>
      <c r="O123" s="185"/>
      <c r="Q123" s="277">
        <v>31</v>
      </c>
      <c r="S123" s="291">
        <v>41679</v>
      </c>
      <c r="T123" s="279">
        <v>40</v>
      </c>
      <c r="AB123" s="289"/>
      <c r="AG123" s="277" t="e">
        <f>AG116+AG117+AG118+AG119</f>
        <v>#N/A</v>
      </c>
      <c r="AH123" s="277" t="s">
        <v>629</v>
      </c>
      <c r="AI123" s="185"/>
      <c r="AJ123" s="185"/>
      <c r="AK123" s="185"/>
      <c r="AL123" s="185"/>
      <c r="AM123" s="185"/>
      <c r="AN123" s="185"/>
      <c r="AO123" s="185"/>
      <c r="AP123" s="185"/>
      <c r="AQ123" s="185"/>
      <c r="AR123" s="185"/>
      <c r="AS123" s="185"/>
      <c r="AT123" s="185"/>
      <c r="AU123" s="185"/>
      <c r="AV123" s="185"/>
    </row>
    <row r="124" spans="5:48" s="277" customFormat="1">
      <c r="E124" s="185"/>
      <c r="F124" s="185"/>
      <c r="G124" s="185"/>
      <c r="H124" s="185"/>
      <c r="I124" s="185"/>
      <c r="J124" s="185"/>
      <c r="K124" s="185"/>
      <c r="L124" s="185"/>
      <c r="M124" s="185"/>
      <c r="N124" s="185"/>
      <c r="O124" s="185"/>
      <c r="Q124" s="277">
        <v>31.5</v>
      </c>
      <c r="S124" s="291">
        <v>41680</v>
      </c>
      <c r="T124" s="279">
        <v>41</v>
      </c>
      <c r="AB124" s="289"/>
      <c r="AG124" s="289" t="e">
        <f>SUM(AG86:AG91)</f>
        <v>#N/A</v>
      </c>
      <c r="AH124" s="277" t="s">
        <v>630</v>
      </c>
      <c r="AI124" s="185"/>
      <c r="AJ124" s="185"/>
      <c r="AK124" s="185"/>
      <c r="AL124" s="185"/>
      <c r="AM124" s="185"/>
      <c r="AN124" s="185"/>
      <c r="AO124" s="185"/>
      <c r="AP124" s="185"/>
      <c r="AQ124" s="185"/>
      <c r="AR124" s="185"/>
      <c r="AS124" s="185"/>
      <c r="AT124" s="185"/>
      <c r="AU124" s="185"/>
      <c r="AV124" s="185"/>
    </row>
    <row r="125" spans="5:48" s="277" customFormat="1">
      <c r="E125" s="185"/>
      <c r="F125" s="185"/>
      <c r="G125" s="185"/>
      <c r="H125" s="185"/>
      <c r="I125" s="185"/>
      <c r="J125" s="185"/>
      <c r="K125" s="185"/>
      <c r="L125" s="185"/>
      <c r="M125" s="185"/>
      <c r="N125" s="185"/>
      <c r="O125" s="185"/>
      <c r="Q125" s="277">
        <v>32</v>
      </c>
      <c r="S125" s="291">
        <v>41681</v>
      </c>
      <c r="T125" s="279">
        <v>42</v>
      </c>
      <c r="AB125" s="289"/>
      <c r="AG125" s="277" t="e">
        <f>SUM(AG92,AG95,AG96,AG97)</f>
        <v>#N/A</v>
      </c>
      <c r="AH125" s="277" t="s">
        <v>620</v>
      </c>
      <c r="AI125" s="185"/>
      <c r="AJ125" s="185"/>
      <c r="AK125" s="185"/>
      <c r="AL125" s="185"/>
      <c r="AM125" s="185"/>
      <c r="AN125" s="185"/>
      <c r="AO125" s="185"/>
      <c r="AP125" s="185"/>
      <c r="AQ125" s="185"/>
      <c r="AR125" s="185"/>
      <c r="AS125" s="185"/>
      <c r="AT125" s="185"/>
      <c r="AU125" s="185"/>
      <c r="AV125" s="185"/>
    </row>
    <row r="126" spans="5:48" s="277" customFormat="1">
      <c r="E126" s="185"/>
      <c r="F126" s="185"/>
      <c r="G126" s="185"/>
      <c r="H126" s="185"/>
      <c r="I126" s="185"/>
      <c r="J126" s="185"/>
      <c r="K126" s="185"/>
      <c r="L126" s="185"/>
      <c r="M126" s="185"/>
      <c r="N126" s="185"/>
      <c r="O126" s="185"/>
      <c r="Q126" s="277">
        <v>32.5</v>
      </c>
      <c r="S126" s="291">
        <v>41682</v>
      </c>
      <c r="T126" s="279">
        <v>43</v>
      </c>
      <c r="AB126" s="289"/>
      <c r="AG126" s="277" t="e">
        <f>IF(#REF!&gt;#REF!,#REF!,#REF!)</f>
        <v>#REF!</v>
      </c>
      <c r="AH126" s="277" t="s">
        <v>631</v>
      </c>
      <c r="AI126" s="185"/>
      <c r="AJ126" s="185"/>
      <c r="AK126" s="185"/>
      <c r="AL126" s="185"/>
      <c r="AM126" s="185"/>
      <c r="AN126" s="185"/>
      <c r="AO126" s="185"/>
      <c r="AP126" s="185"/>
      <c r="AQ126" s="185"/>
      <c r="AR126" s="185"/>
      <c r="AS126" s="185"/>
      <c r="AT126" s="185"/>
      <c r="AU126" s="185"/>
      <c r="AV126" s="185"/>
    </row>
    <row r="127" spans="5:48" s="277" customFormat="1">
      <c r="E127" s="185"/>
      <c r="F127" s="185"/>
      <c r="G127" s="185"/>
      <c r="H127" s="185"/>
      <c r="I127" s="185"/>
      <c r="J127" s="185"/>
      <c r="K127" s="185"/>
      <c r="L127" s="185"/>
      <c r="M127" s="185"/>
      <c r="N127" s="185"/>
      <c r="O127" s="185"/>
      <c r="Q127" s="277">
        <v>33</v>
      </c>
      <c r="S127" s="291">
        <v>41683</v>
      </c>
      <c r="T127" s="279">
        <v>44</v>
      </c>
      <c r="AB127" s="289"/>
      <c r="AG127" s="277" t="e">
        <f>IF(AG126&gt;#REF!,#REF!,AG126)</f>
        <v>#REF!</v>
      </c>
      <c r="AI127" s="185"/>
      <c r="AJ127" s="185"/>
      <c r="AK127" s="185"/>
      <c r="AL127" s="185"/>
      <c r="AM127" s="185"/>
      <c r="AN127" s="185"/>
      <c r="AO127" s="185"/>
      <c r="AP127" s="185"/>
      <c r="AQ127" s="185"/>
      <c r="AR127" s="185"/>
      <c r="AS127" s="185"/>
      <c r="AT127" s="185"/>
      <c r="AU127" s="185"/>
      <c r="AV127" s="185"/>
    </row>
    <row r="128" spans="5:48" s="277" customFormat="1">
      <c r="E128" s="185"/>
      <c r="F128" s="185"/>
      <c r="G128" s="185"/>
      <c r="H128" s="185"/>
      <c r="I128" s="185"/>
      <c r="J128" s="185"/>
      <c r="K128" s="185"/>
      <c r="L128" s="185"/>
      <c r="M128" s="185"/>
      <c r="N128" s="185"/>
      <c r="O128" s="185"/>
      <c r="Q128" s="277">
        <v>33.5</v>
      </c>
      <c r="S128" s="291">
        <v>41684</v>
      </c>
      <c r="T128" s="279">
        <v>45</v>
      </c>
      <c r="AB128" s="289"/>
      <c r="AG128" s="277" t="e">
        <f>IF(#REF!&gt;#REF!,#REF!,#REF!)</f>
        <v>#REF!</v>
      </c>
      <c r="AH128" s="277" t="s">
        <v>632</v>
      </c>
      <c r="AI128" s="185"/>
      <c r="AJ128" s="185"/>
      <c r="AK128" s="185"/>
      <c r="AL128" s="185"/>
      <c r="AM128" s="185"/>
      <c r="AN128" s="185"/>
      <c r="AO128" s="185"/>
      <c r="AP128" s="185"/>
      <c r="AQ128" s="185"/>
      <c r="AR128" s="185"/>
      <c r="AS128" s="185"/>
      <c r="AT128" s="185"/>
      <c r="AU128" s="185"/>
      <c r="AV128" s="185"/>
    </row>
    <row r="129" spans="5:48" s="277" customFormat="1">
      <c r="E129" s="185"/>
      <c r="F129" s="185"/>
      <c r="G129" s="185"/>
      <c r="H129" s="185"/>
      <c r="I129" s="185"/>
      <c r="J129" s="185"/>
      <c r="K129" s="185"/>
      <c r="L129" s="185"/>
      <c r="M129" s="185"/>
      <c r="N129" s="185"/>
      <c r="O129" s="185"/>
      <c r="Q129" s="277">
        <v>34</v>
      </c>
      <c r="S129" s="291">
        <v>41685</v>
      </c>
      <c r="T129" s="279">
        <v>46</v>
      </c>
      <c r="AB129" s="289"/>
      <c r="AG129" s="277" t="e">
        <f>IF(Q64&gt;AG128,AG128,Q64)</f>
        <v>#REF!</v>
      </c>
      <c r="AI129" s="185"/>
      <c r="AJ129" s="185"/>
      <c r="AK129" s="185"/>
      <c r="AL129" s="185"/>
      <c r="AM129" s="185"/>
      <c r="AN129" s="185"/>
      <c r="AO129" s="185"/>
      <c r="AP129" s="185"/>
      <c r="AQ129" s="185"/>
      <c r="AR129" s="185"/>
      <c r="AS129" s="185"/>
      <c r="AT129" s="185"/>
      <c r="AU129" s="185"/>
      <c r="AV129" s="185"/>
    </row>
    <row r="130" spans="5:48" s="277" customFormat="1">
      <c r="E130" s="185"/>
      <c r="F130" s="185"/>
      <c r="G130" s="185"/>
      <c r="H130" s="185"/>
      <c r="I130" s="185"/>
      <c r="J130" s="185"/>
      <c r="K130" s="185"/>
      <c r="L130" s="185"/>
      <c r="M130" s="185"/>
      <c r="N130" s="185"/>
      <c r="O130" s="185"/>
      <c r="Q130" s="277">
        <v>34.5</v>
      </c>
      <c r="S130" s="291">
        <v>41686</v>
      </c>
      <c r="T130" s="279">
        <v>47</v>
      </c>
      <c r="AB130" s="289"/>
      <c r="AG130" s="277" t="e">
        <f>IF(#REF!&gt;#REF!,#REF!,#REF!)</f>
        <v>#REF!</v>
      </c>
      <c r="AH130" s="277" t="s">
        <v>633</v>
      </c>
      <c r="AI130" s="185"/>
      <c r="AJ130" s="185"/>
      <c r="AK130" s="185"/>
      <c r="AL130" s="185"/>
      <c r="AM130" s="185"/>
      <c r="AN130" s="185"/>
      <c r="AO130" s="185"/>
      <c r="AP130" s="185"/>
      <c r="AQ130" s="185"/>
      <c r="AR130" s="185"/>
      <c r="AS130" s="185"/>
      <c r="AT130" s="185"/>
      <c r="AU130" s="185"/>
      <c r="AV130" s="185"/>
    </row>
    <row r="131" spans="5:48" s="277" customFormat="1">
      <c r="E131" s="185"/>
      <c r="F131" s="185"/>
      <c r="G131" s="185"/>
      <c r="H131" s="185"/>
      <c r="I131" s="185"/>
      <c r="J131" s="185"/>
      <c r="K131" s="185"/>
      <c r="L131" s="185"/>
      <c r="M131" s="185"/>
      <c r="N131" s="185"/>
      <c r="O131" s="185"/>
      <c r="Q131" s="277">
        <v>35</v>
      </c>
      <c r="S131" s="291">
        <v>41687</v>
      </c>
      <c r="T131" s="279">
        <v>48</v>
      </c>
      <c r="AB131" s="289"/>
      <c r="AG131" s="277" t="e">
        <f>IF(#REF!&gt;AG130,AG130,#REF!)</f>
        <v>#REF!</v>
      </c>
      <c r="AI131" s="185"/>
      <c r="AJ131" s="185"/>
      <c r="AK131" s="185"/>
      <c r="AL131" s="185"/>
      <c r="AM131" s="185"/>
      <c r="AN131" s="185"/>
      <c r="AO131" s="185"/>
      <c r="AP131" s="185"/>
      <c r="AQ131" s="185"/>
      <c r="AR131" s="185"/>
      <c r="AS131" s="185"/>
      <c r="AT131" s="185"/>
      <c r="AU131" s="185"/>
      <c r="AV131" s="185"/>
    </row>
    <row r="132" spans="5:48" s="277" customFormat="1">
      <c r="E132" s="185"/>
      <c r="F132" s="185"/>
      <c r="G132" s="185"/>
      <c r="H132" s="185"/>
      <c r="I132" s="185"/>
      <c r="J132" s="185"/>
      <c r="K132" s="185"/>
      <c r="L132" s="185"/>
      <c r="M132" s="185"/>
      <c r="N132" s="185"/>
      <c r="O132" s="185"/>
      <c r="Q132" s="277">
        <v>35.5</v>
      </c>
      <c r="S132" s="291">
        <v>41688</v>
      </c>
      <c r="T132" s="279">
        <v>49</v>
      </c>
      <c r="AB132" s="289"/>
      <c r="AG132" s="277" t="e">
        <f>IF(#REF!&gt;#REF!,#REF!,#REF!)</f>
        <v>#REF!</v>
      </c>
      <c r="AH132" s="277" t="s">
        <v>634</v>
      </c>
      <c r="AI132" s="185"/>
      <c r="AJ132" s="185"/>
      <c r="AK132" s="185"/>
      <c r="AL132" s="185"/>
      <c r="AM132" s="185"/>
      <c r="AN132" s="185"/>
      <c r="AO132" s="185"/>
      <c r="AP132" s="185"/>
      <c r="AQ132" s="185"/>
      <c r="AR132" s="185"/>
      <c r="AS132" s="185"/>
      <c r="AT132" s="185"/>
      <c r="AU132" s="185"/>
      <c r="AV132" s="185"/>
    </row>
    <row r="133" spans="5:48" s="277" customFormat="1">
      <c r="E133" s="185"/>
      <c r="F133" s="185"/>
      <c r="G133" s="185"/>
      <c r="H133" s="185"/>
      <c r="I133" s="185"/>
      <c r="J133" s="185"/>
      <c r="K133" s="185"/>
      <c r="L133" s="185"/>
      <c r="M133" s="185"/>
      <c r="N133" s="185"/>
      <c r="O133" s="185"/>
      <c r="Q133" s="277">
        <v>36</v>
      </c>
      <c r="S133" s="291">
        <v>41689</v>
      </c>
      <c r="T133" s="279">
        <v>50</v>
      </c>
      <c r="AB133" s="289"/>
      <c r="AG133" s="277" t="e">
        <f>IF(#REF!&gt;AG132,AG132,#REF!)</f>
        <v>#REF!</v>
      </c>
      <c r="AI133" s="185"/>
      <c r="AJ133" s="185"/>
      <c r="AK133" s="185"/>
      <c r="AL133" s="185"/>
      <c r="AM133" s="185"/>
      <c r="AN133" s="185"/>
      <c r="AO133" s="185"/>
      <c r="AP133" s="185"/>
      <c r="AQ133" s="185"/>
      <c r="AR133" s="185"/>
      <c r="AS133" s="185"/>
      <c r="AT133" s="185"/>
      <c r="AU133" s="185"/>
      <c r="AV133" s="185"/>
    </row>
    <row r="134" spans="5:48" s="277" customFormat="1">
      <c r="E134" s="185"/>
      <c r="F134" s="185"/>
      <c r="G134" s="185"/>
      <c r="H134" s="185"/>
      <c r="I134" s="185"/>
      <c r="J134" s="185"/>
      <c r="K134" s="185"/>
      <c r="L134" s="185"/>
      <c r="M134" s="185"/>
      <c r="N134" s="185"/>
      <c r="O134" s="185"/>
      <c r="S134" s="291">
        <v>41690</v>
      </c>
      <c r="T134" s="279">
        <v>51</v>
      </c>
      <c r="AB134" s="289"/>
      <c r="AI134" s="185"/>
      <c r="AJ134" s="185"/>
      <c r="AK134" s="185"/>
      <c r="AL134" s="185"/>
      <c r="AM134" s="185"/>
      <c r="AN134" s="185"/>
      <c r="AO134" s="185"/>
      <c r="AP134" s="185"/>
      <c r="AQ134" s="185"/>
      <c r="AR134" s="185"/>
      <c r="AS134" s="185"/>
      <c r="AT134" s="185"/>
      <c r="AU134" s="185"/>
      <c r="AV134" s="185"/>
    </row>
    <row r="135" spans="5:48" s="277" customFormat="1">
      <c r="E135" s="185"/>
      <c r="F135" s="185"/>
      <c r="G135" s="185"/>
      <c r="H135" s="185"/>
      <c r="I135" s="185"/>
      <c r="J135" s="185"/>
      <c r="K135" s="185"/>
      <c r="L135" s="185"/>
      <c r="M135" s="185"/>
      <c r="N135" s="185"/>
      <c r="O135" s="185"/>
      <c r="S135" s="291">
        <v>41691</v>
      </c>
      <c r="T135" s="279">
        <v>52</v>
      </c>
      <c r="AB135" s="289"/>
      <c r="AI135" s="185"/>
      <c r="AJ135" s="185"/>
      <c r="AK135" s="185"/>
      <c r="AL135" s="185"/>
      <c r="AM135" s="185"/>
      <c r="AN135" s="185"/>
      <c r="AO135" s="185"/>
      <c r="AP135" s="185"/>
      <c r="AQ135" s="185"/>
      <c r="AR135" s="185"/>
      <c r="AS135" s="185"/>
      <c r="AT135" s="185"/>
      <c r="AU135" s="185"/>
      <c r="AV135" s="185"/>
    </row>
    <row r="136" spans="5:48" s="277" customFormat="1">
      <c r="E136" s="185"/>
      <c r="F136" s="185"/>
      <c r="G136" s="185"/>
      <c r="H136" s="185"/>
      <c r="I136" s="185"/>
      <c r="J136" s="185"/>
      <c r="K136" s="185"/>
      <c r="L136" s="185"/>
      <c r="M136" s="185"/>
      <c r="N136" s="185"/>
      <c r="O136" s="185"/>
      <c r="S136" s="291">
        <v>41692</v>
      </c>
      <c r="T136" s="279">
        <v>53</v>
      </c>
      <c r="AI136" s="185"/>
      <c r="AJ136" s="185"/>
      <c r="AK136" s="185"/>
      <c r="AL136" s="185"/>
      <c r="AM136" s="185"/>
      <c r="AN136" s="185"/>
      <c r="AO136" s="185"/>
      <c r="AP136" s="185"/>
      <c r="AQ136" s="185"/>
      <c r="AR136" s="185"/>
      <c r="AS136" s="185"/>
      <c r="AT136" s="185"/>
      <c r="AU136" s="185"/>
      <c r="AV136" s="185"/>
    </row>
    <row r="137" spans="5:48" s="277" customFormat="1">
      <c r="E137" s="185"/>
      <c r="F137" s="185"/>
      <c r="G137" s="185"/>
      <c r="H137" s="185"/>
      <c r="I137" s="185"/>
      <c r="J137" s="185"/>
      <c r="K137" s="185"/>
      <c r="L137" s="185"/>
      <c r="M137" s="185"/>
      <c r="N137" s="185"/>
      <c r="O137" s="185"/>
      <c r="S137" s="291">
        <v>41693</v>
      </c>
      <c r="T137" s="279">
        <v>54</v>
      </c>
      <c r="AI137" s="185"/>
      <c r="AJ137" s="185"/>
      <c r="AK137" s="185"/>
      <c r="AL137" s="185"/>
      <c r="AM137" s="185"/>
      <c r="AN137" s="185"/>
      <c r="AO137" s="185"/>
      <c r="AP137" s="185"/>
      <c r="AQ137" s="185"/>
      <c r="AR137" s="185"/>
      <c r="AS137" s="185"/>
      <c r="AT137" s="185"/>
      <c r="AU137" s="185"/>
      <c r="AV137" s="185"/>
    </row>
    <row r="138" spans="5:48" s="277" customFormat="1">
      <c r="E138" s="185"/>
      <c r="F138" s="185"/>
      <c r="G138" s="185"/>
      <c r="H138" s="185"/>
      <c r="I138" s="185"/>
      <c r="J138" s="185"/>
      <c r="K138" s="185"/>
      <c r="L138" s="185"/>
      <c r="M138" s="185"/>
      <c r="N138" s="185"/>
      <c r="O138" s="185"/>
      <c r="S138" s="291">
        <v>41694</v>
      </c>
      <c r="T138" s="279">
        <v>55</v>
      </c>
      <c r="AI138" s="185"/>
      <c r="AJ138" s="185"/>
      <c r="AK138" s="185"/>
      <c r="AL138" s="185"/>
      <c r="AM138" s="185"/>
      <c r="AN138" s="185"/>
      <c r="AO138" s="185"/>
      <c r="AP138" s="185"/>
      <c r="AQ138" s="185"/>
      <c r="AR138" s="185"/>
      <c r="AS138" s="185"/>
      <c r="AT138" s="185"/>
      <c r="AU138" s="185"/>
      <c r="AV138" s="185"/>
    </row>
    <row r="139" spans="5:48" s="277" customFormat="1">
      <c r="E139" s="185"/>
      <c r="F139" s="185"/>
      <c r="G139" s="185"/>
      <c r="H139" s="185"/>
      <c r="I139" s="185"/>
      <c r="J139" s="185"/>
      <c r="K139" s="185"/>
      <c r="L139" s="185"/>
      <c r="M139" s="185"/>
      <c r="N139" s="185"/>
      <c r="O139" s="185"/>
      <c r="S139" s="291">
        <v>41695</v>
      </c>
      <c r="T139" s="279">
        <v>56</v>
      </c>
      <c r="AI139" s="185"/>
      <c r="AJ139" s="185"/>
      <c r="AK139" s="185"/>
      <c r="AL139" s="185"/>
      <c r="AM139" s="185"/>
      <c r="AN139" s="185"/>
      <c r="AO139" s="185"/>
      <c r="AP139" s="185"/>
      <c r="AQ139" s="185"/>
      <c r="AR139" s="185"/>
      <c r="AS139" s="185"/>
      <c r="AT139" s="185"/>
      <c r="AU139" s="185"/>
      <c r="AV139" s="185"/>
    </row>
    <row r="140" spans="5:48" s="277" customFormat="1">
      <c r="E140" s="185"/>
      <c r="F140" s="185"/>
      <c r="G140" s="185"/>
      <c r="H140" s="185"/>
      <c r="I140" s="185"/>
      <c r="J140" s="185"/>
      <c r="K140" s="185"/>
      <c r="L140" s="185"/>
      <c r="M140" s="185"/>
      <c r="N140" s="185"/>
      <c r="O140" s="185"/>
      <c r="S140" s="291">
        <v>41696</v>
      </c>
      <c r="T140" s="279">
        <v>57</v>
      </c>
      <c r="AI140" s="185"/>
      <c r="AJ140" s="185"/>
      <c r="AK140" s="185"/>
      <c r="AL140" s="185"/>
      <c r="AM140" s="185"/>
      <c r="AN140" s="185"/>
      <c r="AO140" s="185"/>
      <c r="AP140" s="185"/>
      <c r="AQ140" s="185"/>
      <c r="AR140" s="185"/>
      <c r="AS140" s="185"/>
      <c r="AT140" s="185"/>
      <c r="AU140" s="185"/>
      <c r="AV140" s="185"/>
    </row>
    <row r="141" spans="5:48" s="277" customFormat="1">
      <c r="E141" s="185"/>
      <c r="F141" s="185"/>
      <c r="G141" s="185"/>
      <c r="H141" s="185"/>
      <c r="I141" s="185"/>
      <c r="J141" s="185"/>
      <c r="K141" s="185"/>
      <c r="L141" s="185"/>
      <c r="M141" s="185"/>
      <c r="N141" s="185"/>
      <c r="O141" s="185"/>
      <c r="S141" s="291">
        <v>41697</v>
      </c>
      <c r="T141" s="279">
        <v>58</v>
      </c>
      <c r="AI141" s="185"/>
      <c r="AJ141" s="185"/>
      <c r="AK141" s="185"/>
      <c r="AL141" s="185"/>
      <c r="AM141" s="185"/>
      <c r="AN141" s="185"/>
      <c r="AO141" s="185"/>
      <c r="AP141" s="185"/>
      <c r="AQ141" s="185"/>
      <c r="AR141" s="185"/>
      <c r="AS141" s="185"/>
      <c r="AT141" s="185"/>
      <c r="AU141" s="185"/>
      <c r="AV141" s="185"/>
    </row>
    <row r="142" spans="5:48" s="277" customFormat="1">
      <c r="E142" s="185"/>
      <c r="F142" s="185"/>
      <c r="G142" s="185"/>
      <c r="H142" s="185"/>
      <c r="I142" s="185"/>
      <c r="J142" s="185"/>
      <c r="K142" s="185"/>
      <c r="L142" s="185"/>
      <c r="M142" s="185"/>
      <c r="N142" s="185"/>
      <c r="O142" s="185"/>
      <c r="S142" s="291">
        <v>41698</v>
      </c>
      <c r="T142" s="279">
        <v>59</v>
      </c>
      <c r="AI142" s="185"/>
      <c r="AJ142" s="185"/>
      <c r="AK142" s="185"/>
      <c r="AL142" s="185"/>
      <c r="AM142" s="185"/>
      <c r="AN142" s="185"/>
      <c r="AO142" s="185"/>
      <c r="AP142" s="185"/>
      <c r="AQ142" s="185"/>
      <c r="AR142" s="185"/>
      <c r="AS142" s="185"/>
      <c r="AT142" s="185"/>
      <c r="AU142" s="185"/>
      <c r="AV142" s="185"/>
    </row>
    <row r="143" spans="5:48" s="277" customFormat="1">
      <c r="E143" s="185"/>
      <c r="F143" s="185"/>
      <c r="G143" s="185"/>
      <c r="H143" s="185"/>
      <c r="I143" s="185"/>
      <c r="J143" s="185"/>
      <c r="K143" s="185"/>
      <c r="L143" s="185"/>
      <c r="M143" s="185"/>
      <c r="N143" s="185"/>
      <c r="O143" s="185"/>
      <c r="S143" s="291">
        <v>41699</v>
      </c>
      <c r="T143" s="279">
        <v>60</v>
      </c>
      <c r="AI143" s="185"/>
      <c r="AJ143" s="185"/>
      <c r="AK143" s="185"/>
      <c r="AL143" s="185"/>
      <c r="AM143" s="185"/>
      <c r="AN143" s="185"/>
      <c r="AO143" s="185"/>
      <c r="AP143" s="185"/>
      <c r="AQ143" s="185"/>
      <c r="AR143" s="185"/>
      <c r="AS143" s="185"/>
      <c r="AT143" s="185"/>
      <c r="AU143" s="185"/>
      <c r="AV143" s="185"/>
    </row>
    <row r="144" spans="5:48" s="277" customFormat="1">
      <c r="E144" s="185"/>
      <c r="F144" s="185"/>
      <c r="G144" s="185"/>
      <c r="H144" s="185"/>
      <c r="I144" s="185"/>
      <c r="J144" s="185"/>
      <c r="K144" s="185"/>
      <c r="L144" s="185"/>
      <c r="M144" s="185"/>
      <c r="N144" s="185"/>
      <c r="O144" s="185"/>
      <c r="S144" s="291">
        <v>41700</v>
      </c>
      <c r="T144" s="279">
        <v>61</v>
      </c>
      <c r="AI144" s="185"/>
      <c r="AJ144" s="185"/>
      <c r="AK144" s="185"/>
      <c r="AL144" s="185"/>
      <c r="AM144" s="185"/>
      <c r="AN144" s="185"/>
      <c r="AO144" s="185"/>
      <c r="AP144" s="185"/>
      <c r="AQ144" s="185"/>
      <c r="AR144" s="185"/>
      <c r="AS144" s="185"/>
      <c r="AT144" s="185"/>
      <c r="AU144" s="185"/>
      <c r="AV144" s="185"/>
    </row>
    <row r="145" spans="5:48" s="277" customFormat="1">
      <c r="E145" s="185"/>
      <c r="F145" s="185"/>
      <c r="G145" s="185"/>
      <c r="H145" s="185"/>
      <c r="I145" s="185"/>
      <c r="J145" s="185"/>
      <c r="K145" s="185"/>
      <c r="L145" s="185"/>
      <c r="M145" s="185"/>
      <c r="N145" s="185"/>
      <c r="O145" s="185"/>
      <c r="S145" s="291">
        <v>41701</v>
      </c>
      <c r="T145" s="279">
        <v>62</v>
      </c>
      <c r="AI145" s="185"/>
      <c r="AJ145" s="185"/>
      <c r="AK145" s="185"/>
      <c r="AL145" s="185"/>
      <c r="AM145" s="185"/>
      <c r="AN145" s="185"/>
      <c r="AO145" s="185"/>
      <c r="AP145" s="185"/>
      <c r="AQ145" s="185"/>
      <c r="AR145" s="185"/>
      <c r="AS145" s="185"/>
      <c r="AT145" s="185"/>
      <c r="AU145" s="185"/>
      <c r="AV145" s="185"/>
    </row>
    <row r="146" spans="5:48" s="277" customFormat="1">
      <c r="E146" s="185"/>
      <c r="F146" s="185"/>
      <c r="G146" s="185"/>
      <c r="H146" s="185"/>
      <c r="I146" s="185"/>
      <c r="J146" s="185"/>
      <c r="K146" s="185"/>
      <c r="L146" s="185"/>
      <c r="M146" s="185"/>
      <c r="N146" s="185"/>
      <c r="O146" s="185"/>
      <c r="S146" s="291">
        <v>41702</v>
      </c>
      <c r="T146" s="279">
        <v>63</v>
      </c>
      <c r="AI146" s="185"/>
      <c r="AJ146" s="185"/>
      <c r="AK146" s="185"/>
      <c r="AL146" s="185"/>
      <c r="AM146" s="185"/>
      <c r="AN146" s="185"/>
      <c r="AO146" s="185"/>
      <c r="AP146" s="185"/>
      <c r="AQ146" s="185"/>
      <c r="AR146" s="185"/>
      <c r="AS146" s="185"/>
      <c r="AT146" s="185"/>
      <c r="AU146" s="185"/>
      <c r="AV146" s="185"/>
    </row>
    <row r="147" spans="5:48" s="277" customFormat="1">
      <c r="E147" s="185"/>
      <c r="F147" s="185"/>
      <c r="G147" s="185"/>
      <c r="H147" s="185"/>
      <c r="I147" s="185"/>
      <c r="J147" s="185"/>
      <c r="K147" s="185"/>
      <c r="L147" s="185"/>
      <c r="M147" s="185"/>
      <c r="N147" s="185"/>
      <c r="O147" s="185"/>
      <c r="S147" s="291">
        <v>41703</v>
      </c>
      <c r="T147" s="279">
        <v>64</v>
      </c>
      <c r="AI147" s="185"/>
      <c r="AJ147" s="185"/>
      <c r="AK147" s="185"/>
      <c r="AL147" s="185"/>
      <c r="AM147" s="185"/>
      <c r="AN147" s="185"/>
      <c r="AO147" s="185"/>
      <c r="AP147" s="185"/>
      <c r="AQ147" s="185"/>
      <c r="AR147" s="185"/>
      <c r="AS147" s="185"/>
      <c r="AT147" s="185"/>
      <c r="AU147" s="185"/>
      <c r="AV147" s="185"/>
    </row>
    <row r="148" spans="5:48" s="277" customFormat="1">
      <c r="E148" s="185"/>
      <c r="F148" s="185"/>
      <c r="G148" s="185"/>
      <c r="H148" s="185"/>
      <c r="I148" s="185"/>
      <c r="J148" s="185"/>
      <c r="K148" s="185"/>
      <c r="L148" s="185"/>
      <c r="M148" s="185"/>
      <c r="N148" s="185"/>
      <c r="O148" s="185"/>
      <c r="S148" s="291">
        <v>41704</v>
      </c>
      <c r="T148" s="279">
        <v>65</v>
      </c>
      <c r="AI148" s="185"/>
      <c r="AJ148" s="185"/>
      <c r="AK148" s="185"/>
      <c r="AL148" s="185"/>
      <c r="AM148" s="185"/>
      <c r="AN148" s="185"/>
      <c r="AO148" s="185"/>
      <c r="AP148" s="185"/>
      <c r="AQ148" s="185"/>
      <c r="AR148" s="185"/>
      <c r="AS148" s="185"/>
      <c r="AT148" s="185"/>
      <c r="AU148" s="185"/>
      <c r="AV148" s="185"/>
    </row>
    <row r="149" spans="5:48" s="277" customFormat="1">
      <c r="E149" s="185"/>
      <c r="F149" s="185"/>
      <c r="G149" s="185"/>
      <c r="H149" s="185"/>
      <c r="I149" s="185"/>
      <c r="J149" s="185"/>
      <c r="K149" s="185"/>
      <c r="L149" s="185"/>
      <c r="M149" s="185"/>
      <c r="N149" s="185"/>
      <c r="O149" s="185"/>
      <c r="S149" s="291">
        <v>41705</v>
      </c>
      <c r="T149" s="279">
        <v>66</v>
      </c>
      <c r="AI149" s="185"/>
      <c r="AJ149" s="185"/>
      <c r="AK149" s="185"/>
      <c r="AL149" s="185"/>
      <c r="AM149" s="185"/>
      <c r="AN149" s="185"/>
      <c r="AO149" s="185"/>
      <c r="AP149" s="185"/>
      <c r="AQ149" s="185"/>
      <c r="AR149" s="185"/>
      <c r="AS149" s="185"/>
      <c r="AT149" s="185"/>
      <c r="AU149" s="185"/>
      <c r="AV149" s="185"/>
    </row>
    <row r="150" spans="5:48" s="277" customFormat="1">
      <c r="E150" s="185"/>
      <c r="F150" s="185"/>
      <c r="G150" s="185"/>
      <c r="H150" s="185"/>
      <c r="I150" s="185"/>
      <c r="J150" s="185"/>
      <c r="K150" s="185"/>
      <c r="L150" s="185"/>
      <c r="M150" s="185"/>
      <c r="N150" s="185"/>
      <c r="O150" s="185"/>
      <c r="S150" s="291">
        <v>41706</v>
      </c>
      <c r="T150" s="279">
        <v>67</v>
      </c>
      <c r="AI150" s="185"/>
      <c r="AJ150" s="185"/>
      <c r="AK150" s="185"/>
      <c r="AL150" s="185"/>
      <c r="AM150" s="185"/>
      <c r="AN150" s="185"/>
      <c r="AO150" s="185"/>
      <c r="AP150" s="185"/>
      <c r="AQ150" s="185"/>
      <c r="AR150" s="185"/>
      <c r="AS150" s="185"/>
      <c r="AT150" s="185"/>
      <c r="AU150" s="185"/>
      <c r="AV150" s="185"/>
    </row>
    <row r="151" spans="5:48" s="277" customFormat="1">
      <c r="E151" s="185"/>
      <c r="F151" s="185"/>
      <c r="G151" s="185"/>
      <c r="H151" s="185"/>
      <c r="I151" s="185"/>
      <c r="J151" s="185"/>
      <c r="K151" s="185"/>
      <c r="L151" s="185"/>
      <c r="M151" s="185"/>
      <c r="N151" s="185"/>
      <c r="O151" s="185"/>
      <c r="S151" s="291">
        <v>41707</v>
      </c>
      <c r="T151" s="279">
        <v>68</v>
      </c>
      <c r="AI151" s="185"/>
      <c r="AJ151" s="185"/>
      <c r="AK151" s="185"/>
      <c r="AL151" s="185"/>
      <c r="AM151" s="185"/>
      <c r="AN151" s="185"/>
      <c r="AO151" s="185"/>
      <c r="AP151" s="185"/>
      <c r="AQ151" s="185"/>
      <c r="AR151" s="185"/>
      <c r="AS151" s="185"/>
      <c r="AT151" s="185"/>
      <c r="AU151" s="185"/>
      <c r="AV151" s="185"/>
    </row>
    <row r="152" spans="5:48" s="277" customFormat="1">
      <c r="E152" s="185"/>
      <c r="F152" s="185"/>
      <c r="G152" s="185"/>
      <c r="H152" s="185"/>
      <c r="I152" s="185"/>
      <c r="J152" s="185"/>
      <c r="K152" s="185"/>
      <c r="L152" s="185"/>
      <c r="M152" s="185"/>
      <c r="N152" s="185"/>
      <c r="O152" s="185"/>
      <c r="S152" s="291">
        <v>41708</v>
      </c>
      <c r="T152" s="279">
        <v>69</v>
      </c>
      <c r="AI152" s="185"/>
      <c r="AJ152" s="185"/>
      <c r="AK152" s="185"/>
      <c r="AL152" s="185"/>
      <c r="AM152" s="185"/>
      <c r="AN152" s="185"/>
      <c r="AO152" s="185"/>
      <c r="AP152" s="185"/>
      <c r="AQ152" s="185"/>
      <c r="AR152" s="185"/>
      <c r="AS152" s="185"/>
      <c r="AT152" s="185"/>
      <c r="AU152" s="185"/>
      <c r="AV152" s="185"/>
    </row>
    <row r="153" spans="5:48" s="277" customFormat="1">
      <c r="E153" s="185"/>
      <c r="F153" s="185"/>
      <c r="G153" s="185"/>
      <c r="H153" s="185"/>
      <c r="I153" s="185"/>
      <c r="J153" s="185"/>
      <c r="K153" s="185"/>
      <c r="L153" s="185"/>
      <c r="M153" s="185"/>
      <c r="N153" s="185"/>
      <c r="O153" s="185"/>
      <c r="S153" s="291">
        <v>41709</v>
      </c>
      <c r="T153" s="279">
        <v>70</v>
      </c>
      <c r="AI153" s="185"/>
      <c r="AJ153" s="185"/>
      <c r="AK153" s="185"/>
      <c r="AL153" s="185"/>
      <c r="AM153" s="185"/>
      <c r="AN153" s="185"/>
      <c r="AO153" s="185"/>
      <c r="AP153" s="185"/>
      <c r="AQ153" s="185"/>
      <c r="AR153" s="185"/>
      <c r="AS153" s="185"/>
      <c r="AT153" s="185"/>
      <c r="AU153" s="185"/>
      <c r="AV153" s="185"/>
    </row>
    <row r="154" spans="5:48" s="277" customFormat="1">
      <c r="E154" s="185"/>
      <c r="F154" s="185"/>
      <c r="G154" s="185"/>
      <c r="H154" s="185"/>
      <c r="I154" s="185"/>
      <c r="J154" s="185"/>
      <c r="K154" s="185"/>
      <c r="L154" s="185"/>
      <c r="M154" s="185"/>
      <c r="N154" s="185"/>
      <c r="O154" s="185"/>
      <c r="S154" s="291">
        <v>41710</v>
      </c>
      <c r="T154" s="279">
        <v>71</v>
      </c>
      <c r="AI154" s="185"/>
      <c r="AJ154" s="185"/>
      <c r="AK154" s="185"/>
      <c r="AL154" s="185"/>
      <c r="AM154" s="185"/>
      <c r="AN154" s="185"/>
      <c r="AO154" s="185"/>
      <c r="AP154" s="185"/>
      <c r="AQ154" s="185"/>
      <c r="AR154" s="185"/>
      <c r="AS154" s="185"/>
      <c r="AT154" s="185"/>
      <c r="AU154" s="185"/>
      <c r="AV154" s="185"/>
    </row>
    <row r="155" spans="5:48" s="277" customFormat="1">
      <c r="E155" s="185"/>
      <c r="F155" s="185"/>
      <c r="G155" s="185"/>
      <c r="H155" s="185"/>
      <c r="I155" s="185"/>
      <c r="J155" s="185"/>
      <c r="K155" s="185"/>
      <c r="L155" s="185"/>
      <c r="M155" s="185"/>
      <c r="N155" s="185"/>
      <c r="O155" s="185"/>
      <c r="S155" s="291">
        <v>41711</v>
      </c>
      <c r="T155" s="279">
        <v>72</v>
      </c>
      <c r="AI155" s="185"/>
      <c r="AJ155" s="185"/>
      <c r="AK155" s="185"/>
      <c r="AL155" s="185"/>
      <c r="AM155" s="185"/>
      <c r="AN155" s="185"/>
      <c r="AO155" s="185"/>
      <c r="AP155" s="185"/>
      <c r="AQ155" s="185"/>
      <c r="AR155" s="185"/>
      <c r="AS155" s="185"/>
      <c r="AT155" s="185"/>
      <c r="AU155" s="185"/>
      <c r="AV155" s="185"/>
    </row>
    <row r="156" spans="5:48" s="277" customFormat="1">
      <c r="E156" s="185"/>
      <c r="F156" s="185"/>
      <c r="G156" s="185"/>
      <c r="H156" s="185"/>
      <c r="I156" s="185"/>
      <c r="J156" s="185"/>
      <c r="K156" s="185"/>
      <c r="L156" s="185"/>
      <c r="M156" s="185"/>
      <c r="N156" s="185"/>
      <c r="O156" s="185"/>
      <c r="S156" s="291">
        <v>41712</v>
      </c>
      <c r="T156" s="279">
        <v>73</v>
      </c>
      <c r="AI156" s="185"/>
      <c r="AJ156" s="185"/>
      <c r="AK156" s="185"/>
      <c r="AL156" s="185"/>
      <c r="AM156" s="185"/>
      <c r="AN156" s="185"/>
      <c r="AO156" s="185"/>
      <c r="AP156" s="185"/>
      <c r="AQ156" s="185"/>
      <c r="AR156" s="185"/>
      <c r="AS156" s="185"/>
      <c r="AT156" s="185"/>
      <c r="AU156" s="185"/>
      <c r="AV156" s="185"/>
    </row>
    <row r="157" spans="5:48" s="277" customFormat="1">
      <c r="E157" s="185"/>
      <c r="F157" s="185"/>
      <c r="G157" s="185"/>
      <c r="H157" s="185"/>
      <c r="I157" s="185"/>
      <c r="J157" s="185"/>
      <c r="K157" s="185"/>
      <c r="L157" s="185"/>
      <c r="M157" s="185"/>
      <c r="N157" s="185"/>
      <c r="O157" s="185"/>
      <c r="S157" s="291">
        <v>41713</v>
      </c>
      <c r="T157" s="279">
        <v>74</v>
      </c>
      <c r="AI157" s="185"/>
      <c r="AJ157" s="185"/>
      <c r="AK157" s="185"/>
      <c r="AL157" s="185"/>
      <c r="AM157" s="185"/>
      <c r="AN157" s="185"/>
      <c r="AO157" s="185"/>
      <c r="AP157" s="185"/>
      <c r="AQ157" s="185"/>
      <c r="AR157" s="185"/>
      <c r="AS157" s="185"/>
      <c r="AT157" s="185"/>
      <c r="AU157" s="185"/>
      <c r="AV157" s="185"/>
    </row>
    <row r="158" spans="5:48" s="277" customFormat="1">
      <c r="E158" s="185"/>
      <c r="F158" s="185"/>
      <c r="G158" s="185"/>
      <c r="H158" s="185"/>
      <c r="I158" s="185"/>
      <c r="J158" s="185"/>
      <c r="K158" s="185"/>
      <c r="L158" s="185"/>
      <c r="M158" s="185"/>
      <c r="N158" s="185"/>
      <c r="O158" s="185"/>
      <c r="S158" s="291">
        <v>41714</v>
      </c>
      <c r="T158" s="279">
        <v>75</v>
      </c>
      <c r="AI158" s="185"/>
      <c r="AJ158" s="185"/>
      <c r="AK158" s="185"/>
      <c r="AL158" s="185"/>
      <c r="AM158" s="185"/>
      <c r="AN158" s="185"/>
      <c r="AO158" s="185"/>
      <c r="AP158" s="185"/>
      <c r="AQ158" s="185"/>
      <c r="AR158" s="185"/>
      <c r="AS158" s="185"/>
      <c r="AT158" s="185"/>
      <c r="AU158" s="185"/>
      <c r="AV158" s="185"/>
    </row>
    <row r="159" spans="5:48" s="277" customFormat="1">
      <c r="E159" s="185"/>
      <c r="F159" s="185"/>
      <c r="G159" s="185"/>
      <c r="H159" s="185"/>
      <c r="I159" s="185"/>
      <c r="J159" s="185"/>
      <c r="K159" s="185"/>
      <c r="L159" s="185"/>
      <c r="M159" s="185"/>
      <c r="N159" s="185"/>
      <c r="O159" s="185"/>
      <c r="S159" s="291">
        <v>41715</v>
      </c>
      <c r="T159" s="279">
        <v>76</v>
      </c>
      <c r="AI159" s="185"/>
      <c r="AJ159" s="185"/>
      <c r="AK159" s="185"/>
      <c r="AL159" s="185"/>
      <c r="AM159" s="185"/>
      <c r="AN159" s="185"/>
      <c r="AO159" s="185"/>
      <c r="AP159" s="185"/>
      <c r="AQ159" s="185"/>
      <c r="AR159" s="185"/>
      <c r="AS159" s="185"/>
      <c r="AT159" s="185"/>
      <c r="AU159" s="185"/>
      <c r="AV159" s="185"/>
    </row>
    <row r="160" spans="5:48" s="277" customFormat="1">
      <c r="E160" s="185"/>
      <c r="F160" s="185"/>
      <c r="G160" s="185"/>
      <c r="H160" s="185"/>
      <c r="I160" s="185"/>
      <c r="J160" s="185"/>
      <c r="K160" s="185"/>
      <c r="L160" s="185"/>
      <c r="M160" s="185"/>
      <c r="N160" s="185"/>
      <c r="O160" s="185"/>
      <c r="S160" s="291">
        <v>41716</v>
      </c>
      <c r="T160" s="279">
        <v>77</v>
      </c>
      <c r="AI160" s="185"/>
      <c r="AJ160" s="185"/>
      <c r="AK160" s="185"/>
      <c r="AL160" s="185"/>
      <c r="AM160" s="185"/>
      <c r="AN160" s="185"/>
      <c r="AO160" s="185"/>
      <c r="AP160" s="185"/>
      <c r="AQ160" s="185"/>
      <c r="AR160" s="185"/>
      <c r="AS160" s="185"/>
      <c r="AT160" s="185"/>
      <c r="AU160" s="185"/>
      <c r="AV160" s="185"/>
    </row>
    <row r="161" spans="5:48" s="277" customFormat="1">
      <c r="E161" s="185"/>
      <c r="F161" s="185"/>
      <c r="G161" s="185"/>
      <c r="H161" s="185"/>
      <c r="I161" s="185"/>
      <c r="J161" s="185"/>
      <c r="K161" s="185"/>
      <c r="L161" s="185"/>
      <c r="M161" s="185"/>
      <c r="N161" s="185"/>
      <c r="O161" s="185"/>
      <c r="S161" s="291">
        <v>41717</v>
      </c>
      <c r="T161" s="279">
        <v>78</v>
      </c>
      <c r="AI161" s="185"/>
      <c r="AJ161" s="185"/>
      <c r="AK161" s="185"/>
      <c r="AL161" s="185"/>
      <c r="AM161" s="185"/>
      <c r="AN161" s="185"/>
      <c r="AO161" s="185"/>
      <c r="AP161" s="185"/>
      <c r="AQ161" s="185"/>
      <c r="AR161" s="185"/>
      <c r="AS161" s="185"/>
      <c r="AT161" s="185"/>
      <c r="AU161" s="185"/>
      <c r="AV161" s="185"/>
    </row>
    <row r="162" spans="5:48" s="277" customFormat="1">
      <c r="E162" s="185"/>
      <c r="F162" s="185"/>
      <c r="G162" s="185"/>
      <c r="H162" s="185"/>
      <c r="I162" s="185"/>
      <c r="J162" s="185"/>
      <c r="K162" s="185"/>
      <c r="L162" s="185"/>
      <c r="M162" s="185"/>
      <c r="N162" s="185"/>
      <c r="O162" s="185"/>
      <c r="S162" s="291">
        <v>41718</v>
      </c>
      <c r="T162" s="279">
        <v>79</v>
      </c>
      <c r="AI162" s="185"/>
      <c r="AJ162" s="185"/>
      <c r="AK162" s="185"/>
      <c r="AL162" s="185"/>
      <c r="AM162" s="185"/>
      <c r="AN162" s="185"/>
      <c r="AO162" s="185"/>
      <c r="AP162" s="185"/>
      <c r="AQ162" s="185"/>
      <c r="AR162" s="185"/>
      <c r="AS162" s="185"/>
      <c r="AT162" s="185"/>
      <c r="AU162" s="185"/>
      <c r="AV162" s="185"/>
    </row>
    <row r="163" spans="5:48" s="277" customFormat="1">
      <c r="E163" s="185"/>
      <c r="F163" s="185"/>
      <c r="G163" s="185"/>
      <c r="H163" s="185"/>
      <c r="I163" s="185"/>
      <c r="J163" s="185"/>
      <c r="K163" s="185"/>
      <c r="L163" s="185"/>
      <c r="M163" s="185"/>
      <c r="N163" s="185"/>
      <c r="O163" s="185"/>
      <c r="S163" s="291">
        <v>41719</v>
      </c>
      <c r="T163" s="279">
        <v>80</v>
      </c>
      <c r="AI163" s="185"/>
      <c r="AJ163" s="185"/>
      <c r="AK163" s="185"/>
      <c r="AL163" s="185"/>
      <c r="AM163" s="185"/>
      <c r="AN163" s="185"/>
      <c r="AO163" s="185"/>
      <c r="AP163" s="185"/>
      <c r="AQ163" s="185"/>
      <c r="AR163" s="185"/>
      <c r="AS163" s="185"/>
      <c r="AT163" s="185"/>
      <c r="AU163" s="185"/>
      <c r="AV163" s="185"/>
    </row>
    <row r="164" spans="5:48" s="277" customFormat="1">
      <c r="E164" s="185"/>
      <c r="F164" s="185"/>
      <c r="G164" s="185"/>
      <c r="H164" s="185"/>
      <c r="I164" s="185"/>
      <c r="J164" s="185"/>
      <c r="K164" s="185"/>
      <c r="L164" s="185"/>
      <c r="M164" s="185"/>
      <c r="N164" s="185"/>
      <c r="O164" s="185"/>
      <c r="S164" s="291">
        <v>41720</v>
      </c>
      <c r="T164" s="279">
        <v>81</v>
      </c>
      <c r="AI164" s="185"/>
      <c r="AJ164" s="185"/>
      <c r="AK164" s="185"/>
      <c r="AL164" s="185"/>
      <c r="AM164" s="185"/>
      <c r="AN164" s="185"/>
      <c r="AO164" s="185"/>
      <c r="AP164" s="185"/>
      <c r="AQ164" s="185"/>
      <c r="AR164" s="185"/>
      <c r="AS164" s="185"/>
      <c r="AT164" s="185"/>
      <c r="AU164" s="185"/>
      <c r="AV164" s="185"/>
    </row>
    <row r="165" spans="5:48" s="277" customFormat="1">
      <c r="E165" s="185"/>
      <c r="F165" s="185"/>
      <c r="G165" s="185"/>
      <c r="H165" s="185"/>
      <c r="I165" s="185"/>
      <c r="J165" s="185"/>
      <c r="K165" s="185"/>
      <c r="L165" s="185"/>
      <c r="M165" s="185"/>
      <c r="N165" s="185"/>
      <c r="O165" s="185"/>
      <c r="S165" s="291">
        <v>41721</v>
      </c>
      <c r="T165" s="279">
        <v>82</v>
      </c>
      <c r="AI165" s="185"/>
      <c r="AJ165" s="185"/>
      <c r="AK165" s="185"/>
      <c r="AL165" s="185"/>
      <c r="AM165" s="185"/>
      <c r="AN165" s="185"/>
      <c r="AO165" s="185"/>
      <c r="AP165" s="185"/>
      <c r="AQ165" s="185"/>
      <c r="AR165" s="185"/>
      <c r="AS165" s="185"/>
      <c r="AT165" s="185"/>
      <c r="AU165" s="185"/>
      <c r="AV165" s="185"/>
    </row>
    <row r="166" spans="5:48" s="277" customFormat="1">
      <c r="E166" s="185"/>
      <c r="F166" s="185"/>
      <c r="G166" s="185"/>
      <c r="H166" s="185"/>
      <c r="I166" s="185"/>
      <c r="J166" s="185"/>
      <c r="K166" s="185"/>
      <c r="L166" s="185"/>
      <c r="M166" s="185"/>
      <c r="N166" s="185"/>
      <c r="O166" s="185"/>
      <c r="S166" s="291">
        <v>41722</v>
      </c>
      <c r="T166" s="279">
        <v>83</v>
      </c>
      <c r="AI166" s="185"/>
      <c r="AJ166" s="185"/>
      <c r="AK166" s="185"/>
      <c r="AL166" s="185"/>
      <c r="AM166" s="185"/>
      <c r="AN166" s="185"/>
      <c r="AO166" s="185"/>
      <c r="AP166" s="185"/>
      <c r="AQ166" s="185"/>
      <c r="AR166" s="185"/>
      <c r="AS166" s="185"/>
      <c r="AT166" s="185"/>
      <c r="AU166" s="185"/>
      <c r="AV166" s="185"/>
    </row>
    <row r="167" spans="5:48" s="277" customFormat="1">
      <c r="E167" s="185"/>
      <c r="F167" s="185"/>
      <c r="G167" s="185"/>
      <c r="H167" s="185"/>
      <c r="I167" s="185"/>
      <c r="J167" s="185"/>
      <c r="K167" s="185"/>
      <c r="L167" s="185"/>
      <c r="M167" s="185"/>
      <c r="N167" s="185"/>
      <c r="O167" s="185"/>
      <c r="S167" s="291">
        <v>41723</v>
      </c>
      <c r="T167" s="279">
        <v>84</v>
      </c>
      <c r="AI167" s="185"/>
      <c r="AJ167" s="185"/>
      <c r="AK167" s="185"/>
      <c r="AL167" s="185"/>
      <c r="AM167" s="185"/>
      <c r="AN167" s="185"/>
      <c r="AO167" s="185"/>
      <c r="AP167" s="185"/>
      <c r="AQ167" s="185"/>
      <c r="AR167" s="185"/>
      <c r="AS167" s="185"/>
      <c r="AT167" s="185"/>
      <c r="AU167" s="185"/>
      <c r="AV167" s="185"/>
    </row>
    <row r="168" spans="5:48" s="277" customFormat="1">
      <c r="E168" s="185"/>
      <c r="F168" s="185"/>
      <c r="G168" s="185"/>
      <c r="H168" s="185"/>
      <c r="I168" s="185"/>
      <c r="J168" s="185"/>
      <c r="K168" s="185"/>
      <c r="L168" s="185"/>
      <c r="M168" s="185"/>
      <c r="N168" s="185"/>
      <c r="O168" s="185"/>
      <c r="S168" s="291">
        <v>41724</v>
      </c>
      <c r="T168" s="279">
        <v>85</v>
      </c>
      <c r="AI168" s="185"/>
      <c r="AJ168" s="185"/>
      <c r="AK168" s="185"/>
      <c r="AL168" s="185"/>
      <c r="AM168" s="185"/>
      <c r="AN168" s="185"/>
      <c r="AO168" s="185"/>
      <c r="AP168" s="185"/>
      <c r="AQ168" s="185"/>
      <c r="AR168" s="185"/>
      <c r="AS168" s="185"/>
      <c r="AT168" s="185"/>
      <c r="AU168" s="185"/>
      <c r="AV168" s="185"/>
    </row>
    <row r="169" spans="5:48" s="277" customFormat="1">
      <c r="E169" s="185"/>
      <c r="F169" s="185"/>
      <c r="G169" s="185"/>
      <c r="H169" s="185"/>
      <c r="I169" s="185"/>
      <c r="J169" s="185"/>
      <c r="K169" s="185"/>
      <c r="L169" s="185"/>
      <c r="M169" s="185"/>
      <c r="N169" s="185"/>
      <c r="O169" s="185"/>
      <c r="S169" s="291">
        <v>41725</v>
      </c>
      <c r="T169" s="279">
        <v>86</v>
      </c>
      <c r="AI169" s="185"/>
      <c r="AJ169" s="185"/>
      <c r="AK169" s="185"/>
      <c r="AL169" s="185"/>
      <c r="AM169" s="185"/>
      <c r="AN169" s="185"/>
      <c r="AO169" s="185"/>
      <c r="AP169" s="185"/>
      <c r="AQ169" s="185"/>
      <c r="AR169" s="185"/>
      <c r="AS169" s="185"/>
      <c r="AT169" s="185"/>
      <c r="AU169" s="185"/>
      <c r="AV169" s="185"/>
    </row>
    <row r="170" spans="5:48" s="277" customFormat="1">
      <c r="E170" s="185"/>
      <c r="F170" s="185"/>
      <c r="G170" s="185"/>
      <c r="H170" s="185"/>
      <c r="I170" s="185"/>
      <c r="J170" s="185"/>
      <c r="K170" s="185"/>
      <c r="L170" s="185"/>
      <c r="M170" s="185"/>
      <c r="N170" s="185"/>
      <c r="O170" s="185"/>
      <c r="S170" s="291">
        <v>41726</v>
      </c>
      <c r="T170" s="279">
        <v>87</v>
      </c>
      <c r="AI170" s="185"/>
      <c r="AJ170" s="185"/>
      <c r="AK170" s="185"/>
      <c r="AL170" s="185"/>
      <c r="AM170" s="185"/>
      <c r="AN170" s="185"/>
      <c r="AO170" s="185"/>
      <c r="AP170" s="185"/>
      <c r="AQ170" s="185"/>
      <c r="AR170" s="185"/>
      <c r="AS170" s="185"/>
      <c r="AT170" s="185"/>
      <c r="AU170" s="185"/>
      <c r="AV170" s="185"/>
    </row>
    <row r="171" spans="5:48" s="277" customFormat="1">
      <c r="E171" s="185"/>
      <c r="F171" s="185"/>
      <c r="G171" s="185"/>
      <c r="H171" s="185"/>
      <c r="I171" s="185"/>
      <c r="J171" s="185"/>
      <c r="K171" s="185"/>
      <c r="L171" s="185"/>
      <c r="M171" s="185"/>
      <c r="N171" s="185"/>
      <c r="O171" s="185"/>
      <c r="S171" s="291">
        <v>41727</v>
      </c>
      <c r="T171" s="279">
        <v>88</v>
      </c>
      <c r="AI171" s="185"/>
      <c r="AJ171" s="185"/>
      <c r="AK171" s="185"/>
      <c r="AL171" s="185"/>
      <c r="AM171" s="185"/>
      <c r="AN171" s="185"/>
      <c r="AO171" s="185"/>
      <c r="AP171" s="185"/>
      <c r="AQ171" s="185"/>
      <c r="AR171" s="185"/>
      <c r="AS171" s="185"/>
      <c r="AT171" s="185"/>
      <c r="AU171" s="185"/>
      <c r="AV171" s="185"/>
    </row>
    <row r="172" spans="5:48" s="277" customFormat="1">
      <c r="E172" s="185"/>
      <c r="F172" s="185"/>
      <c r="G172" s="185"/>
      <c r="H172" s="185"/>
      <c r="I172" s="185"/>
      <c r="J172" s="185"/>
      <c r="K172" s="185"/>
      <c r="L172" s="185"/>
      <c r="M172" s="185"/>
      <c r="N172" s="185"/>
      <c r="O172" s="185"/>
      <c r="S172" s="291">
        <v>41728</v>
      </c>
      <c r="T172" s="279">
        <v>89</v>
      </c>
      <c r="AI172" s="185"/>
      <c r="AJ172" s="185"/>
      <c r="AK172" s="185"/>
      <c r="AL172" s="185"/>
      <c r="AM172" s="185"/>
      <c r="AN172" s="185"/>
      <c r="AO172" s="185"/>
      <c r="AP172" s="185"/>
      <c r="AQ172" s="185"/>
      <c r="AR172" s="185"/>
      <c r="AS172" s="185"/>
      <c r="AT172" s="185"/>
      <c r="AU172" s="185"/>
      <c r="AV172" s="185"/>
    </row>
    <row r="173" spans="5:48" s="277" customFormat="1">
      <c r="E173" s="185"/>
      <c r="F173" s="185"/>
      <c r="G173" s="185"/>
      <c r="H173" s="185"/>
      <c r="I173" s="185"/>
      <c r="J173" s="185"/>
      <c r="K173" s="185"/>
      <c r="L173" s="185"/>
      <c r="M173" s="185"/>
      <c r="N173" s="185"/>
      <c r="O173" s="185"/>
      <c r="S173" s="291">
        <v>41729</v>
      </c>
      <c r="T173" s="279">
        <v>90</v>
      </c>
      <c r="AI173" s="185"/>
      <c r="AJ173" s="185"/>
      <c r="AK173" s="185"/>
      <c r="AL173" s="185"/>
      <c r="AM173" s="185"/>
      <c r="AN173" s="185"/>
      <c r="AO173" s="185"/>
      <c r="AP173" s="185"/>
      <c r="AQ173" s="185"/>
      <c r="AR173" s="185"/>
      <c r="AS173" s="185"/>
      <c r="AT173" s="185"/>
      <c r="AU173" s="185"/>
      <c r="AV173" s="185"/>
    </row>
    <row r="174" spans="5:48" s="277" customFormat="1">
      <c r="E174" s="185"/>
      <c r="F174" s="185"/>
      <c r="G174" s="185"/>
      <c r="H174" s="185"/>
      <c r="I174" s="185"/>
      <c r="J174" s="185"/>
      <c r="K174" s="185"/>
      <c r="L174" s="185"/>
      <c r="M174" s="185"/>
      <c r="N174" s="185"/>
      <c r="O174" s="185"/>
      <c r="S174" s="291">
        <v>41730</v>
      </c>
      <c r="T174" s="279">
        <v>91</v>
      </c>
      <c r="AI174" s="185"/>
      <c r="AJ174" s="185"/>
      <c r="AK174" s="185"/>
      <c r="AL174" s="185"/>
      <c r="AM174" s="185"/>
      <c r="AN174" s="185"/>
      <c r="AO174" s="185"/>
      <c r="AP174" s="185"/>
      <c r="AQ174" s="185"/>
      <c r="AR174" s="185"/>
      <c r="AS174" s="185"/>
      <c r="AT174" s="185"/>
      <c r="AU174" s="185"/>
      <c r="AV174" s="185"/>
    </row>
    <row r="175" spans="5:48" s="277" customFormat="1">
      <c r="E175" s="185"/>
      <c r="F175" s="185"/>
      <c r="G175" s="185"/>
      <c r="H175" s="185"/>
      <c r="I175" s="185"/>
      <c r="J175" s="185"/>
      <c r="K175" s="185"/>
      <c r="L175" s="185"/>
      <c r="M175" s="185"/>
      <c r="N175" s="185"/>
      <c r="O175" s="185"/>
      <c r="S175" s="291">
        <v>41731</v>
      </c>
      <c r="T175" s="279">
        <v>92</v>
      </c>
      <c r="AI175" s="185"/>
      <c r="AJ175" s="185"/>
      <c r="AK175" s="185"/>
      <c r="AL175" s="185"/>
      <c r="AM175" s="185"/>
      <c r="AN175" s="185"/>
      <c r="AO175" s="185"/>
      <c r="AP175" s="185"/>
      <c r="AQ175" s="185"/>
      <c r="AR175" s="185"/>
      <c r="AS175" s="185"/>
      <c r="AT175" s="185"/>
      <c r="AU175" s="185"/>
      <c r="AV175" s="185"/>
    </row>
    <row r="176" spans="5:48" s="277" customFormat="1">
      <c r="E176" s="185"/>
      <c r="F176" s="185"/>
      <c r="G176" s="185"/>
      <c r="H176" s="185"/>
      <c r="I176" s="185"/>
      <c r="J176" s="185"/>
      <c r="K176" s="185"/>
      <c r="L176" s="185"/>
      <c r="M176" s="185"/>
      <c r="N176" s="185"/>
      <c r="O176" s="185"/>
      <c r="S176" s="291">
        <v>41732</v>
      </c>
      <c r="T176" s="279">
        <v>93</v>
      </c>
      <c r="AI176" s="185"/>
      <c r="AJ176" s="185"/>
      <c r="AK176" s="185"/>
      <c r="AL176" s="185"/>
      <c r="AM176" s="185"/>
      <c r="AN176" s="185"/>
      <c r="AO176" s="185"/>
      <c r="AP176" s="185"/>
      <c r="AQ176" s="185"/>
      <c r="AR176" s="185"/>
      <c r="AS176" s="185"/>
      <c r="AT176" s="185"/>
      <c r="AU176" s="185"/>
      <c r="AV176" s="185"/>
    </row>
    <row r="177" spans="5:48" s="277" customFormat="1">
      <c r="E177" s="185"/>
      <c r="F177" s="185"/>
      <c r="G177" s="185"/>
      <c r="H177" s="185"/>
      <c r="I177" s="185"/>
      <c r="J177" s="185"/>
      <c r="K177" s="185"/>
      <c r="L177" s="185"/>
      <c r="M177" s="185"/>
      <c r="N177" s="185"/>
      <c r="O177" s="185"/>
      <c r="S177" s="291">
        <v>41733</v>
      </c>
      <c r="T177" s="279">
        <v>94</v>
      </c>
      <c r="AI177" s="185"/>
      <c r="AJ177" s="185"/>
      <c r="AK177" s="185"/>
      <c r="AL177" s="185"/>
      <c r="AM177" s="185"/>
      <c r="AN177" s="185"/>
      <c r="AO177" s="185"/>
      <c r="AP177" s="185"/>
      <c r="AQ177" s="185"/>
      <c r="AR177" s="185"/>
      <c r="AS177" s="185"/>
      <c r="AT177" s="185"/>
      <c r="AU177" s="185"/>
      <c r="AV177" s="185"/>
    </row>
    <row r="178" spans="5:48" s="277" customFormat="1">
      <c r="E178" s="185"/>
      <c r="F178" s="185"/>
      <c r="G178" s="185"/>
      <c r="H178" s="185"/>
      <c r="I178" s="185"/>
      <c r="J178" s="185"/>
      <c r="K178" s="185"/>
      <c r="L178" s="185"/>
      <c r="M178" s="185"/>
      <c r="N178" s="185"/>
      <c r="O178" s="185"/>
      <c r="S178" s="291">
        <v>41734</v>
      </c>
      <c r="T178" s="279">
        <v>95</v>
      </c>
      <c r="AI178" s="185"/>
      <c r="AJ178" s="185"/>
      <c r="AK178" s="185"/>
      <c r="AL178" s="185"/>
      <c r="AM178" s="185"/>
      <c r="AN178" s="185"/>
      <c r="AO178" s="185"/>
      <c r="AP178" s="185"/>
      <c r="AQ178" s="185"/>
      <c r="AR178" s="185"/>
      <c r="AS178" s="185"/>
      <c r="AT178" s="185"/>
      <c r="AU178" s="185"/>
      <c r="AV178" s="185"/>
    </row>
    <row r="179" spans="5:48" s="277" customFormat="1">
      <c r="E179" s="185"/>
      <c r="F179" s="185"/>
      <c r="G179" s="185"/>
      <c r="H179" s="185"/>
      <c r="I179" s="185"/>
      <c r="J179" s="185"/>
      <c r="K179" s="185"/>
      <c r="L179" s="185"/>
      <c r="M179" s="185"/>
      <c r="N179" s="185"/>
      <c r="O179" s="185"/>
      <c r="S179" s="291">
        <v>41735</v>
      </c>
      <c r="T179" s="279">
        <v>96</v>
      </c>
      <c r="AI179" s="185"/>
      <c r="AJ179" s="185"/>
      <c r="AK179" s="185"/>
      <c r="AL179" s="185"/>
      <c r="AM179" s="185"/>
      <c r="AN179" s="185"/>
      <c r="AO179" s="185"/>
      <c r="AP179" s="185"/>
      <c r="AQ179" s="185"/>
      <c r="AR179" s="185"/>
      <c r="AS179" s="185"/>
      <c r="AT179" s="185"/>
      <c r="AU179" s="185"/>
      <c r="AV179" s="185"/>
    </row>
    <row r="180" spans="5:48" s="277" customFormat="1">
      <c r="E180" s="185"/>
      <c r="F180" s="185"/>
      <c r="G180" s="185"/>
      <c r="H180" s="185"/>
      <c r="I180" s="185"/>
      <c r="J180" s="185"/>
      <c r="K180" s="185"/>
      <c r="L180" s="185"/>
      <c r="M180" s="185"/>
      <c r="N180" s="185"/>
      <c r="O180" s="185"/>
      <c r="S180" s="291">
        <v>41736</v>
      </c>
      <c r="T180" s="279">
        <v>97</v>
      </c>
      <c r="AI180" s="185"/>
      <c r="AJ180" s="185"/>
      <c r="AK180" s="185"/>
      <c r="AL180" s="185"/>
      <c r="AM180" s="185"/>
      <c r="AN180" s="185"/>
      <c r="AO180" s="185"/>
      <c r="AP180" s="185"/>
      <c r="AQ180" s="185"/>
      <c r="AR180" s="185"/>
      <c r="AS180" s="185"/>
      <c r="AT180" s="185"/>
      <c r="AU180" s="185"/>
      <c r="AV180" s="185"/>
    </row>
    <row r="181" spans="5:48" s="277" customFormat="1">
      <c r="E181" s="185"/>
      <c r="F181" s="185"/>
      <c r="G181" s="185"/>
      <c r="H181" s="185"/>
      <c r="I181" s="185"/>
      <c r="J181" s="185"/>
      <c r="K181" s="185"/>
      <c r="L181" s="185"/>
      <c r="M181" s="185"/>
      <c r="N181" s="185"/>
      <c r="O181" s="185"/>
      <c r="S181" s="291">
        <v>41737</v>
      </c>
      <c r="T181" s="279">
        <v>98</v>
      </c>
      <c r="AI181" s="185"/>
      <c r="AJ181" s="185"/>
      <c r="AK181" s="185"/>
      <c r="AL181" s="185"/>
      <c r="AM181" s="185"/>
      <c r="AN181" s="185"/>
      <c r="AO181" s="185"/>
      <c r="AP181" s="185"/>
      <c r="AQ181" s="185"/>
      <c r="AR181" s="185"/>
      <c r="AS181" s="185"/>
      <c r="AT181" s="185"/>
      <c r="AU181" s="185"/>
      <c r="AV181" s="185"/>
    </row>
    <row r="182" spans="5:48" s="277" customFormat="1">
      <c r="E182" s="185"/>
      <c r="F182" s="185"/>
      <c r="G182" s="185"/>
      <c r="H182" s="185"/>
      <c r="I182" s="185"/>
      <c r="J182" s="185"/>
      <c r="K182" s="185"/>
      <c r="L182" s="185"/>
      <c r="M182" s="185"/>
      <c r="N182" s="185"/>
      <c r="O182" s="185"/>
      <c r="S182" s="291">
        <v>41738</v>
      </c>
      <c r="T182" s="279">
        <v>99</v>
      </c>
      <c r="AI182" s="185"/>
      <c r="AJ182" s="185"/>
      <c r="AK182" s="185"/>
      <c r="AL182" s="185"/>
      <c r="AM182" s="185"/>
      <c r="AN182" s="185"/>
      <c r="AO182" s="185"/>
      <c r="AP182" s="185"/>
      <c r="AQ182" s="185"/>
      <c r="AR182" s="185"/>
      <c r="AS182" s="185"/>
      <c r="AT182" s="185"/>
      <c r="AU182" s="185"/>
      <c r="AV182" s="185"/>
    </row>
    <row r="183" spans="5:48" s="277" customFormat="1">
      <c r="E183" s="185"/>
      <c r="F183" s="185"/>
      <c r="G183" s="185"/>
      <c r="H183" s="185"/>
      <c r="I183" s="185"/>
      <c r="J183" s="185"/>
      <c r="K183" s="185"/>
      <c r="L183" s="185"/>
      <c r="M183" s="185"/>
      <c r="N183" s="185"/>
      <c r="O183" s="185"/>
      <c r="S183" s="291">
        <v>41739</v>
      </c>
      <c r="T183" s="279">
        <v>100</v>
      </c>
      <c r="AI183" s="185"/>
      <c r="AJ183" s="185"/>
      <c r="AK183" s="185"/>
      <c r="AL183" s="185"/>
      <c r="AM183" s="185"/>
      <c r="AN183" s="185"/>
      <c r="AO183" s="185"/>
      <c r="AP183" s="185"/>
      <c r="AQ183" s="185"/>
      <c r="AR183" s="185"/>
      <c r="AS183" s="185"/>
      <c r="AT183" s="185"/>
      <c r="AU183" s="185"/>
      <c r="AV183" s="185"/>
    </row>
    <row r="184" spans="5:48" s="277" customFormat="1">
      <c r="E184" s="185"/>
      <c r="F184" s="185"/>
      <c r="G184" s="185"/>
      <c r="H184" s="185"/>
      <c r="I184" s="185"/>
      <c r="J184" s="185"/>
      <c r="K184" s="185"/>
      <c r="L184" s="185"/>
      <c r="M184" s="185"/>
      <c r="N184" s="185"/>
      <c r="O184" s="185"/>
      <c r="S184" s="291">
        <v>41740</v>
      </c>
      <c r="T184" s="279">
        <v>101</v>
      </c>
      <c r="AI184" s="185"/>
      <c r="AJ184" s="185"/>
      <c r="AK184" s="185"/>
      <c r="AL184" s="185"/>
      <c r="AM184" s="185"/>
      <c r="AN184" s="185"/>
      <c r="AO184" s="185"/>
      <c r="AP184" s="185"/>
      <c r="AQ184" s="185"/>
      <c r="AR184" s="185"/>
      <c r="AS184" s="185"/>
      <c r="AT184" s="185"/>
      <c r="AU184" s="185"/>
      <c r="AV184" s="185"/>
    </row>
    <row r="185" spans="5:48" s="277" customFormat="1">
      <c r="E185" s="185"/>
      <c r="F185" s="185"/>
      <c r="G185" s="185"/>
      <c r="H185" s="185"/>
      <c r="I185" s="185"/>
      <c r="J185" s="185"/>
      <c r="K185" s="185"/>
      <c r="L185" s="185"/>
      <c r="M185" s="185"/>
      <c r="N185" s="185"/>
      <c r="O185" s="185"/>
      <c r="S185" s="291">
        <v>41741</v>
      </c>
      <c r="T185" s="279">
        <v>102</v>
      </c>
      <c r="AI185" s="185"/>
      <c r="AJ185" s="185"/>
      <c r="AK185" s="185"/>
      <c r="AL185" s="185"/>
      <c r="AM185" s="185"/>
      <c r="AN185" s="185"/>
      <c r="AO185" s="185"/>
      <c r="AP185" s="185"/>
      <c r="AQ185" s="185"/>
      <c r="AR185" s="185"/>
      <c r="AS185" s="185"/>
      <c r="AT185" s="185"/>
      <c r="AU185" s="185"/>
      <c r="AV185" s="185"/>
    </row>
    <row r="186" spans="5:48" s="277" customFormat="1">
      <c r="E186" s="185"/>
      <c r="F186" s="185"/>
      <c r="G186" s="185"/>
      <c r="H186" s="185"/>
      <c r="I186" s="185"/>
      <c r="J186" s="185"/>
      <c r="K186" s="185"/>
      <c r="L186" s="185"/>
      <c r="M186" s="185"/>
      <c r="N186" s="185"/>
      <c r="O186" s="185"/>
      <c r="S186" s="291">
        <v>41742</v>
      </c>
      <c r="T186" s="279">
        <v>103</v>
      </c>
      <c r="AI186" s="185"/>
      <c r="AJ186" s="185"/>
      <c r="AK186" s="185"/>
      <c r="AL186" s="185"/>
      <c r="AM186" s="185"/>
      <c r="AN186" s="185"/>
      <c r="AO186" s="185"/>
      <c r="AP186" s="185"/>
      <c r="AQ186" s="185"/>
      <c r="AR186" s="185"/>
      <c r="AS186" s="185"/>
      <c r="AT186" s="185"/>
      <c r="AU186" s="185"/>
      <c r="AV186" s="185"/>
    </row>
    <row r="187" spans="5:48" s="277" customFormat="1">
      <c r="E187" s="185"/>
      <c r="F187" s="185"/>
      <c r="G187" s="185"/>
      <c r="H187" s="185"/>
      <c r="I187" s="185"/>
      <c r="J187" s="185"/>
      <c r="K187" s="185"/>
      <c r="L187" s="185"/>
      <c r="M187" s="185"/>
      <c r="N187" s="185"/>
      <c r="O187" s="185"/>
      <c r="S187" s="291">
        <v>41743</v>
      </c>
      <c r="T187" s="279">
        <v>104</v>
      </c>
      <c r="AI187" s="185"/>
      <c r="AJ187" s="185"/>
      <c r="AK187" s="185"/>
      <c r="AL187" s="185"/>
      <c r="AM187" s="185"/>
      <c r="AN187" s="185"/>
      <c r="AO187" s="185"/>
      <c r="AP187" s="185"/>
      <c r="AQ187" s="185"/>
      <c r="AR187" s="185"/>
      <c r="AS187" s="185"/>
      <c r="AT187" s="185"/>
      <c r="AU187" s="185"/>
      <c r="AV187" s="185"/>
    </row>
    <row r="188" spans="5:48" s="277" customFormat="1">
      <c r="E188" s="185"/>
      <c r="F188" s="185"/>
      <c r="G188" s="185"/>
      <c r="H188" s="185"/>
      <c r="I188" s="185"/>
      <c r="J188" s="185"/>
      <c r="K188" s="185"/>
      <c r="L188" s="185"/>
      <c r="M188" s="185"/>
      <c r="N188" s="185"/>
      <c r="O188" s="185"/>
      <c r="S188" s="291">
        <v>41744</v>
      </c>
      <c r="T188" s="279">
        <v>105</v>
      </c>
      <c r="AI188" s="185"/>
      <c r="AJ188" s="185"/>
      <c r="AK188" s="185"/>
      <c r="AL188" s="185"/>
      <c r="AM188" s="185"/>
      <c r="AN188" s="185"/>
      <c r="AO188" s="185"/>
      <c r="AP188" s="185"/>
      <c r="AQ188" s="185"/>
      <c r="AR188" s="185"/>
      <c r="AS188" s="185"/>
      <c r="AT188" s="185"/>
      <c r="AU188" s="185"/>
      <c r="AV188" s="185"/>
    </row>
    <row r="189" spans="5:48" s="277" customFormat="1">
      <c r="E189" s="185"/>
      <c r="F189" s="185"/>
      <c r="G189" s="185"/>
      <c r="H189" s="185"/>
      <c r="I189" s="185"/>
      <c r="J189" s="185"/>
      <c r="K189" s="185"/>
      <c r="L189" s="185"/>
      <c r="M189" s="185"/>
      <c r="N189" s="185"/>
      <c r="O189" s="185"/>
      <c r="S189" s="291">
        <v>41745</v>
      </c>
      <c r="T189" s="279">
        <v>106</v>
      </c>
      <c r="AI189" s="185"/>
      <c r="AJ189" s="185"/>
      <c r="AK189" s="185"/>
      <c r="AL189" s="185"/>
      <c r="AM189" s="185"/>
      <c r="AN189" s="185"/>
      <c r="AO189" s="185"/>
      <c r="AP189" s="185"/>
      <c r="AQ189" s="185"/>
      <c r="AR189" s="185"/>
      <c r="AS189" s="185"/>
      <c r="AT189" s="185"/>
      <c r="AU189" s="185"/>
      <c r="AV189" s="185"/>
    </row>
    <row r="190" spans="5:48" s="277" customFormat="1">
      <c r="E190" s="185"/>
      <c r="F190" s="185"/>
      <c r="G190" s="185"/>
      <c r="H190" s="185"/>
      <c r="I190" s="185"/>
      <c r="J190" s="185"/>
      <c r="K190" s="185"/>
      <c r="L190" s="185"/>
      <c r="M190" s="185"/>
      <c r="N190" s="185"/>
      <c r="O190" s="185"/>
      <c r="S190" s="291">
        <v>41746</v>
      </c>
      <c r="T190" s="279">
        <v>107</v>
      </c>
      <c r="AI190" s="185"/>
      <c r="AJ190" s="185"/>
      <c r="AK190" s="185"/>
      <c r="AL190" s="185"/>
      <c r="AM190" s="185"/>
      <c r="AN190" s="185"/>
      <c r="AO190" s="185"/>
      <c r="AP190" s="185"/>
      <c r="AQ190" s="185"/>
      <c r="AR190" s="185"/>
      <c r="AS190" s="185"/>
      <c r="AT190" s="185"/>
      <c r="AU190" s="185"/>
      <c r="AV190" s="185"/>
    </row>
    <row r="191" spans="5:48" s="277" customFormat="1">
      <c r="E191" s="185"/>
      <c r="F191" s="185"/>
      <c r="G191" s="185"/>
      <c r="H191" s="185"/>
      <c r="I191" s="185"/>
      <c r="J191" s="185"/>
      <c r="K191" s="185"/>
      <c r="L191" s="185"/>
      <c r="M191" s="185"/>
      <c r="N191" s="185"/>
      <c r="O191" s="185"/>
      <c r="S191" s="291">
        <v>41747</v>
      </c>
      <c r="T191" s="279">
        <v>108</v>
      </c>
      <c r="AI191" s="185"/>
      <c r="AJ191" s="185"/>
      <c r="AK191" s="185"/>
      <c r="AL191" s="185"/>
      <c r="AM191" s="185"/>
      <c r="AN191" s="185"/>
      <c r="AO191" s="185"/>
      <c r="AP191" s="185"/>
      <c r="AQ191" s="185"/>
      <c r="AR191" s="185"/>
      <c r="AS191" s="185"/>
      <c r="AT191" s="185"/>
      <c r="AU191" s="185"/>
      <c r="AV191" s="185"/>
    </row>
    <row r="192" spans="5:48" s="277" customFormat="1">
      <c r="E192" s="185"/>
      <c r="F192" s="185"/>
      <c r="G192" s="185"/>
      <c r="H192" s="185"/>
      <c r="I192" s="185"/>
      <c r="J192" s="185"/>
      <c r="K192" s="185"/>
      <c r="L192" s="185"/>
      <c r="M192" s="185"/>
      <c r="N192" s="185"/>
      <c r="O192" s="185"/>
      <c r="S192" s="291">
        <v>41748</v>
      </c>
      <c r="T192" s="279">
        <v>109</v>
      </c>
      <c r="AI192" s="185"/>
      <c r="AJ192" s="185"/>
      <c r="AK192" s="185"/>
      <c r="AL192" s="185"/>
      <c r="AM192" s="185"/>
      <c r="AN192" s="185"/>
      <c r="AO192" s="185"/>
      <c r="AP192" s="185"/>
      <c r="AQ192" s="185"/>
      <c r="AR192" s="185"/>
      <c r="AS192" s="185"/>
      <c r="AT192" s="185"/>
      <c r="AU192" s="185"/>
      <c r="AV192" s="185"/>
    </row>
    <row r="193" spans="5:48" s="277" customFormat="1">
      <c r="E193" s="185"/>
      <c r="F193" s="185"/>
      <c r="G193" s="185"/>
      <c r="H193" s="185"/>
      <c r="I193" s="185"/>
      <c r="J193" s="185"/>
      <c r="K193" s="185"/>
      <c r="L193" s="185"/>
      <c r="M193" s="185"/>
      <c r="N193" s="185"/>
      <c r="O193" s="185"/>
      <c r="S193" s="291">
        <v>41749</v>
      </c>
      <c r="T193" s="279">
        <v>110</v>
      </c>
      <c r="AI193" s="185"/>
      <c r="AJ193" s="185"/>
      <c r="AK193" s="185"/>
      <c r="AL193" s="185"/>
      <c r="AM193" s="185"/>
      <c r="AN193" s="185"/>
      <c r="AO193" s="185"/>
      <c r="AP193" s="185"/>
      <c r="AQ193" s="185"/>
      <c r="AR193" s="185"/>
      <c r="AS193" s="185"/>
      <c r="AT193" s="185"/>
      <c r="AU193" s="185"/>
      <c r="AV193" s="185"/>
    </row>
    <row r="194" spans="5:48" s="277" customFormat="1">
      <c r="E194" s="185"/>
      <c r="F194" s="185"/>
      <c r="G194" s="185"/>
      <c r="H194" s="185"/>
      <c r="I194" s="185"/>
      <c r="J194" s="185"/>
      <c r="K194" s="185"/>
      <c r="L194" s="185"/>
      <c r="M194" s="185"/>
      <c r="N194" s="185"/>
      <c r="O194" s="185"/>
      <c r="S194" s="291">
        <v>41750</v>
      </c>
      <c r="T194" s="279">
        <v>111</v>
      </c>
      <c r="AI194" s="185"/>
      <c r="AJ194" s="185"/>
      <c r="AK194" s="185"/>
      <c r="AL194" s="185"/>
      <c r="AM194" s="185"/>
      <c r="AN194" s="185"/>
      <c r="AO194" s="185"/>
      <c r="AP194" s="185"/>
      <c r="AQ194" s="185"/>
      <c r="AR194" s="185"/>
      <c r="AS194" s="185"/>
      <c r="AT194" s="185"/>
      <c r="AU194" s="185"/>
      <c r="AV194" s="185"/>
    </row>
    <row r="195" spans="5:48" s="277" customFormat="1">
      <c r="E195" s="185"/>
      <c r="F195" s="185"/>
      <c r="G195" s="185"/>
      <c r="H195" s="185"/>
      <c r="I195" s="185"/>
      <c r="J195" s="185"/>
      <c r="K195" s="185"/>
      <c r="L195" s="185"/>
      <c r="M195" s="185"/>
      <c r="N195" s="185"/>
      <c r="O195" s="185"/>
      <c r="S195" s="291">
        <v>41751</v>
      </c>
      <c r="T195" s="279">
        <v>112</v>
      </c>
      <c r="AI195" s="185"/>
      <c r="AJ195" s="185"/>
      <c r="AK195" s="185"/>
      <c r="AL195" s="185"/>
      <c r="AM195" s="185"/>
      <c r="AN195" s="185"/>
      <c r="AO195" s="185"/>
      <c r="AP195" s="185"/>
      <c r="AQ195" s="185"/>
      <c r="AR195" s="185"/>
      <c r="AS195" s="185"/>
      <c r="AT195" s="185"/>
      <c r="AU195" s="185"/>
      <c r="AV195" s="185"/>
    </row>
    <row r="196" spans="5:48" s="277" customFormat="1">
      <c r="E196" s="185"/>
      <c r="F196" s="185"/>
      <c r="G196" s="185"/>
      <c r="H196" s="185"/>
      <c r="I196" s="185"/>
      <c r="J196" s="185"/>
      <c r="K196" s="185"/>
      <c r="L196" s="185"/>
      <c r="M196" s="185"/>
      <c r="N196" s="185"/>
      <c r="O196" s="185"/>
      <c r="S196" s="291">
        <v>41752</v>
      </c>
      <c r="T196" s="279">
        <v>113</v>
      </c>
      <c r="AI196" s="185"/>
      <c r="AJ196" s="185"/>
      <c r="AK196" s="185"/>
      <c r="AL196" s="185"/>
      <c r="AM196" s="185"/>
      <c r="AN196" s="185"/>
      <c r="AO196" s="185"/>
      <c r="AP196" s="185"/>
      <c r="AQ196" s="185"/>
      <c r="AR196" s="185"/>
      <c r="AS196" s="185"/>
      <c r="AT196" s="185"/>
      <c r="AU196" s="185"/>
      <c r="AV196" s="185"/>
    </row>
    <row r="197" spans="5:48" s="277" customFormat="1">
      <c r="E197" s="185"/>
      <c r="F197" s="185"/>
      <c r="G197" s="185"/>
      <c r="H197" s="185"/>
      <c r="I197" s="185"/>
      <c r="J197" s="185"/>
      <c r="K197" s="185"/>
      <c r="L197" s="185"/>
      <c r="M197" s="185"/>
      <c r="N197" s="185"/>
      <c r="O197" s="185"/>
      <c r="S197" s="291">
        <v>41753</v>
      </c>
      <c r="T197" s="279">
        <v>114</v>
      </c>
      <c r="AI197" s="185"/>
      <c r="AJ197" s="185"/>
      <c r="AK197" s="185"/>
      <c r="AL197" s="185"/>
      <c r="AM197" s="185"/>
      <c r="AN197" s="185"/>
      <c r="AO197" s="185"/>
      <c r="AP197" s="185"/>
      <c r="AQ197" s="185"/>
      <c r="AR197" s="185"/>
      <c r="AS197" s="185"/>
      <c r="AT197" s="185"/>
      <c r="AU197" s="185"/>
      <c r="AV197" s="185"/>
    </row>
    <row r="198" spans="5:48" s="277" customFormat="1">
      <c r="E198" s="185"/>
      <c r="F198" s="185"/>
      <c r="G198" s="185"/>
      <c r="H198" s="185"/>
      <c r="I198" s="185"/>
      <c r="J198" s="185"/>
      <c r="K198" s="185"/>
      <c r="L198" s="185"/>
      <c r="M198" s="185"/>
      <c r="N198" s="185"/>
      <c r="O198" s="185"/>
      <c r="S198" s="291">
        <v>41754</v>
      </c>
      <c r="T198" s="279">
        <v>115</v>
      </c>
      <c r="AI198" s="185"/>
      <c r="AJ198" s="185"/>
      <c r="AK198" s="185"/>
      <c r="AL198" s="185"/>
      <c r="AM198" s="185"/>
      <c r="AN198" s="185"/>
      <c r="AO198" s="185"/>
      <c r="AP198" s="185"/>
      <c r="AQ198" s="185"/>
      <c r="AR198" s="185"/>
      <c r="AS198" s="185"/>
      <c r="AT198" s="185"/>
      <c r="AU198" s="185"/>
      <c r="AV198" s="185"/>
    </row>
    <row r="199" spans="5:48" s="277" customFormat="1">
      <c r="E199" s="185"/>
      <c r="F199" s="185"/>
      <c r="G199" s="185"/>
      <c r="H199" s="185"/>
      <c r="I199" s="185"/>
      <c r="J199" s="185"/>
      <c r="K199" s="185"/>
      <c r="L199" s="185"/>
      <c r="M199" s="185"/>
      <c r="N199" s="185"/>
      <c r="O199" s="185"/>
      <c r="S199" s="291">
        <v>41755</v>
      </c>
      <c r="T199" s="279">
        <v>116</v>
      </c>
      <c r="AI199" s="185"/>
      <c r="AJ199" s="185"/>
      <c r="AK199" s="185"/>
      <c r="AL199" s="185"/>
      <c r="AM199" s="185"/>
      <c r="AN199" s="185"/>
      <c r="AO199" s="185"/>
      <c r="AP199" s="185"/>
      <c r="AQ199" s="185"/>
      <c r="AR199" s="185"/>
      <c r="AS199" s="185"/>
      <c r="AT199" s="185"/>
      <c r="AU199" s="185"/>
      <c r="AV199" s="185"/>
    </row>
    <row r="200" spans="5:48" s="277" customFormat="1">
      <c r="E200" s="185"/>
      <c r="F200" s="185"/>
      <c r="G200" s="185"/>
      <c r="H200" s="185"/>
      <c r="I200" s="185"/>
      <c r="J200" s="185"/>
      <c r="K200" s="185"/>
      <c r="L200" s="185"/>
      <c r="M200" s="185"/>
      <c r="N200" s="185"/>
      <c r="O200" s="185"/>
      <c r="S200" s="291">
        <v>41756</v>
      </c>
      <c r="T200" s="279">
        <v>117</v>
      </c>
      <c r="AI200" s="185"/>
      <c r="AJ200" s="185"/>
      <c r="AK200" s="185"/>
      <c r="AL200" s="185"/>
      <c r="AM200" s="185"/>
      <c r="AN200" s="185"/>
      <c r="AO200" s="185"/>
      <c r="AP200" s="185"/>
      <c r="AQ200" s="185"/>
      <c r="AR200" s="185"/>
      <c r="AS200" s="185"/>
      <c r="AT200" s="185"/>
      <c r="AU200" s="185"/>
      <c r="AV200" s="185"/>
    </row>
    <row r="201" spans="5:48" s="277" customFormat="1">
      <c r="E201" s="185"/>
      <c r="F201" s="185"/>
      <c r="G201" s="185"/>
      <c r="H201" s="185"/>
      <c r="I201" s="185"/>
      <c r="J201" s="185"/>
      <c r="K201" s="185"/>
      <c r="L201" s="185"/>
      <c r="M201" s="185"/>
      <c r="N201" s="185"/>
      <c r="O201" s="185"/>
      <c r="S201" s="291">
        <v>41757</v>
      </c>
      <c r="T201" s="279">
        <v>118</v>
      </c>
      <c r="AI201" s="185"/>
      <c r="AJ201" s="185"/>
      <c r="AK201" s="185"/>
      <c r="AL201" s="185"/>
      <c r="AM201" s="185"/>
      <c r="AN201" s="185"/>
      <c r="AO201" s="185"/>
      <c r="AP201" s="185"/>
      <c r="AQ201" s="185"/>
      <c r="AR201" s="185"/>
      <c r="AS201" s="185"/>
      <c r="AT201" s="185"/>
      <c r="AU201" s="185"/>
      <c r="AV201" s="185"/>
    </row>
    <row r="202" spans="5:48" s="277" customFormat="1">
      <c r="E202" s="185"/>
      <c r="F202" s="185"/>
      <c r="G202" s="185"/>
      <c r="H202" s="185"/>
      <c r="I202" s="185"/>
      <c r="J202" s="185"/>
      <c r="K202" s="185"/>
      <c r="L202" s="185"/>
      <c r="M202" s="185"/>
      <c r="N202" s="185"/>
      <c r="O202" s="185"/>
      <c r="S202" s="291">
        <v>41758</v>
      </c>
      <c r="T202" s="279">
        <v>119</v>
      </c>
      <c r="AI202" s="185"/>
      <c r="AJ202" s="185"/>
      <c r="AK202" s="185"/>
      <c r="AL202" s="185"/>
      <c r="AM202" s="185"/>
      <c r="AN202" s="185"/>
      <c r="AO202" s="185"/>
      <c r="AP202" s="185"/>
      <c r="AQ202" s="185"/>
      <c r="AR202" s="185"/>
      <c r="AS202" s="185"/>
      <c r="AT202" s="185"/>
      <c r="AU202" s="185"/>
      <c r="AV202" s="185"/>
    </row>
    <row r="203" spans="5:48" s="277" customFormat="1">
      <c r="E203" s="185"/>
      <c r="F203" s="185"/>
      <c r="G203" s="185"/>
      <c r="H203" s="185"/>
      <c r="I203" s="185"/>
      <c r="J203" s="185"/>
      <c r="K203" s="185"/>
      <c r="L203" s="185"/>
      <c r="M203" s="185"/>
      <c r="N203" s="185"/>
      <c r="O203" s="185"/>
      <c r="S203" s="291">
        <v>41759</v>
      </c>
      <c r="T203" s="279">
        <v>120</v>
      </c>
      <c r="AI203" s="185"/>
      <c r="AJ203" s="185"/>
      <c r="AK203" s="185"/>
      <c r="AL203" s="185"/>
      <c r="AM203" s="185"/>
      <c r="AN203" s="185"/>
      <c r="AO203" s="185"/>
      <c r="AP203" s="185"/>
      <c r="AQ203" s="185"/>
      <c r="AR203" s="185"/>
      <c r="AS203" s="185"/>
      <c r="AT203" s="185"/>
      <c r="AU203" s="185"/>
      <c r="AV203" s="185"/>
    </row>
    <row r="204" spans="5:48" s="277" customFormat="1">
      <c r="E204" s="185"/>
      <c r="F204" s="185"/>
      <c r="G204" s="185"/>
      <c r="H204" s="185"/>
      <c r="I204" s="185"/>
      <c r="J204" s="185"/>
      <c r="K204" s="185"/>
      <c r="L204" s="185"/>
      <c r="M204" s="185"/>
      <c r="N204" s="185"/>
      <c r="O204" s="185"/>
      <c r="S204" s="291">
        <v>41760</v>
      </c>
      <c r="T204" s="279">
        <v>121</v>
      </c>
      <c r="AI204" s="185"/>
      <c r="AJ204" s="185"/>
      <c r="AK204" s="185"/>
      <c r="AL204" s="185"/>
      <c r="AM204" s="185"/>
      <c r="AN204" s="185"/>
      <c r="AO204" s="185"/>
      <c r="AP204" s="185"/>
      <c r="AQ204" s="185"/>
      <c r="AR204" s="185"/>
      <c r="AS204" s="185"/>
      <c r="AT204" s="185"/>
      <c r="AU204" s="185"/>
      <c r="AV204" s="185"/>
    </row>
    <row r="205" spans="5:48" s="277" customFormat="1">
      <c r="E205" s="185"/>
      <c r="F205" s="185"/>
      <c r="G205" s="185"/>
      <c r="H205" s="185"/>
      <c r="I205" s="185"/>
      <c r="J205" s="185"/>
      <c r="K205" s="185"/>
      <c r="L205" s="185"/>
      <c r="M205" s="185"/>
      <c r="N205" s="185"/>
      <c r="O205" s="185"/>
      <c r="S205" s="291">
        <v>41761</v>
      </c>
      <c r="T205" s="279">
        <v>122</v>
      </c>
      <c r="AI205" s="185"/>
      <c r="AJ205" s="185"/>
      <c r="AK205" s="185"/>
      <c r="AL205" s="185"/>
      <c r="AM205" s="185"/>
      <c r="AN205" s="185"/>
      <c r="AO205" s="185"/>
      <c r="AP205" s="185"/>
      <c r="AQ205" s="185"/>
      <c r="AR205" s="185"/>
      <c r="AS205" s="185"/>
      <c r="AT205" s="185"/>
      <c r="AU205" s="185"/>
      <c r="AV205" s="185"/>
    </row>
    <row r="206" spans="5:48" s="277" customFormat="1">
      <c r="E206" s="185"/>
      <c r="F206" s="185"/>
      <c r="G206" s="185"/>
      <c r="H206" s="185"/>
      <c r="I206" s="185"/>
      <c r="J206" s="185"/>
      <c r="K206" s="185"/>
      <c r="L206" s="185"/>
      <c r="M206" s="185"/>
      <c r="N206" s="185"/>
      <c r="O206" s="185"/>
      <c r="S206" s="291">
        <v>41762</v>
      </c>
      <c r="T206" s="279">
        <v>123</v>
      </c>
      <c r="AI206" s="185"/>
      <c r="AJ206" s="185"/>
      <c r="AK206" s="185"/>
      <c r="AL206" s="185"/>
      <c r="AM206" s="185"/>
      <c r="AN206" s="185"/>
      <c r="AO206" s="185"/>
      <c r="AP206" s="185"/>
      <c r="AQ206" s="185"/>
      <c r="AR206" s="185"/>
      <c r="AS206" s="185"/>
      <c r="AT206" s="185"/>
      <c r="AU206" s="185"/>
      <c r="AV206" s="185"/>
    </row>
    <row r="207" spans="5:48" s="277" customFormat="1">
      <c r="E207" s="185"/>
      <c r="F207" s="185"/>
      <c r="G207" s="185"/>
      <c r="H207" s="185"/>
      <c r="I207" s="185"/>
      <c r="J207" s="185"/>
      <c r="K207" s="185"/>
      <c r="L207" s="185"/>
      <c r="M207" s="185"/>
      <c r="N207" s="185"/>
      <c r="O207" s="185"/>
      <c r="S207" s="291">
        <v>41763</v>
      </c>
      <c r="T207" s="279">
        <v>124</v>
      </c>
      <c r="AI207" s="185"/>
      <c r="AJ207" s="185"/>
      <c r="AK207" s="185"/>
      <c r="AL207" s="185"/>
      <c r="AM207" s="185"/>
      <c r="AN207" s="185"/>
      <c r="AO207" s="185"/>
      <c r="AP207" s="185"/>
      <c r="AQ207" s="185"/>
      <c r="AR207" s="185"/>
      <c r="AS207" s="185"/>
      <c r="AT207" s="185"/>
      <c r="AU207" s="185"/>
      <c r="AV207" s="185"/>
    </row>
    <row r="208" spans="5:48" s="277" customFormat="1">
      <c r="E208" s="185"/>
      <c r="F208" s="185"/>
      <c r="G208" s="185"/>
      <c r="H208" s="185"/>
      <c r="I208" s="185"/>
      <c r="J208" s="185"/>
      <c r="K208" s="185"/>
      <c r="L208" s="185"/>
      <c r="M208" s="185"/>
      <c r="N208" s="185"/>
      <c r="O208" s="185"/>
      <c r="S208" s="291">
        <v>41764</v>
      </c>
      <c r="T208" s="279">
        <v>125</v>
      </c>
      <c r="AI208" s="185"/>
      <c r="AJ208" s="185"/>
      <c r="AK208" s="185"/>
      <c r="AL208" s="185"/>
      <c r="AM208" s="185"/>
      <c r="AN208" s="185"/>
      <c r="AO208" s="185"/>
      <c r="AP208" s="185"/>
      <c r="AQ208" s="185"/>
      <c r="AR208" s="185"/>
      <c r="AS208" s="185"/>
      <c r="AT208" s="185"/>
      <c r="AU208" s="185"/>
      <c r="AV208" s="185"/>
    </row>
    <row r="209" spans="5:48" s="277" customFormat="1">
      <c r="E209" s="185"/>
      <c r="F209" s="185"/>
      <c r="G209" s="185"/>
      <c r="H209" s="185"/>
      <c r="I209" s="185"/>
      <c r="J209" s="185"/>
      <c r="K209" s="185"/>
      <c r="L209" s="185"/>
      <c r="M209" s="185"/>
      <c r="N209" s="185"/>
      <c r="O209" s="185"/>
      <c r="S209" s="291">
        <v>41765</v>
      </c>
      <c r="T209" s="279">
        <v>126</v>
      </c>
      <c r="AI209" s="185"/>
      <c r="AJ209" s="185"/>
      <c r="AK209" s="185"/>
      <c r="AL209" s="185"/>
      <c r="AM209" s="185"/>
      <c r="AN209" s="185"/>
      <c r="AO209" s="185"/>
      <c r="AP209" s="185"/>
      <c r="AQ209" s="185"/>
      <c r="AR209" s="185"/>
      <c r="AS209" s="185"/>
      <c r="AT209" s="185"/>
      <c r="AU209" s="185"/>
      <c r="AV209" s="185"/>
    </row>
    <row r="210" spans="5:48" s="277" customFormat="1">
      <c r="E210" s="185"/>
      <c r="F210" s="185"/>
      <c r="G210" s="185"/>
      <c r="H210" s="185"/>
      <c r="I210" s="185"/>
      <c r="J210" s="185"/>
      <c r="K210" s="185"/>
      <c r="L210" s="185"/>
      <c r="M210" s="185"/>
      <c r="N210" s="185"/>
      <c r="O210" s="185"/>
      <c r="S210" s="291">
        <v>41766</v>
      </c>
      <c r="T210" s="279">
        <v>127</v>
      </c>
      <c r="AI210" s="185"/>
      <c r="AJ210" s="185"/>
      <c r="AK210" s="185"/>
      <c r="AL210" s="185"/>
      <c r="AM210" s="185"/>
      <c r="AN210" s="185"/>
      <c r="AO210" s="185"/>
      <c r="AP210" s="185"/>
      <c r="AQ210" s="185"/>
      <c r="AR210" s="185"/>
      <c r="AS210" s="185"/>
      <c r="AT210" s="185"/>
      <c r="AU210" s="185"/>
      <c r="AV210" s="185"/>
    </row>
    <row r="211" spans="5:48" s="277" customFormat="1">
      <c r="E211" s="185"/>
      <c r="F211" s="185"/>
      <c r="G211" s="185"/>
      <c r="H211" s="185"/>
      <c r="I211" s="185"/>
      <c r="J211" s="185"/>
      <c r="K211" s="185"/>
      <c r="L211" s="185"/>
      <c r="M211" s="185"/>
      <c r="N211" s="185"/>
      <c r="O211" s="185"/>
      <c r="S211" s="291">
        <v>41767</v>
      </c>
      <c r="T211" s="279">
        <v>128</v>
      </c>
      <c r="AI211" s="185"/>
      <c r="AJ211" s="185"/>
      <c r="AK211" s="185"/>
      <c r="AL211" s="185"/>
      <c r="AM211" s="185"/>
      <c r="AN211" s="185"/>
      <c r="AO211" s="185"/>
      <c r="AP211" s="185"/>
      <c r="AQ211" s="185"/>
      <c r="AR211" s="185"/>
      <c r="AS211" s="185"/>
      <c r="AT211" s="185"/>
      <c r="AU211" s="185"/>
      <c r="AV211" s="185"/>
    </row>
    <row r="212" spans="5:48" s="277" customFormat="1">
      <c r="E212" s="185"/>
      <c r="F212" s="185"/>
      <c r="G212" s="185"/>
      <c r="H212" s="185"/>
      <c r="I212" s="185"/>
      <c r="J212" s="185"/>
      <c r="K212" s="185"/>
      <c r="L212" s="185"/>
      <c r="M212" s="185"/>
      <c r="N212" s="185"/>
      <c r="O212" s="185"/>
      <c r="S212" s="291">
        <v>41768</v>
      </c>
      <c r="T212" s="279">
        <v>129</v>
      </c>
      <c r="AI212" s="185"/>
      <c r="AJ212" s="185"/>
      <c r="AK212" s="185"/>
      <c r="AL212" s="185"/>
      <c r="AM212" s="185"/>
      <c r="AN212" s="185"/>
      <c r="AO212" s="185"/>
      <c r="AP212" s="185"/>
      <c r="AQ212" s="185"/>
      <c r="AR212" s="185"/>
      <c r="AS212" s="185"/>
      <c r="AT212" s="185"/>
      <c r="AU212" s="185"/>
      <c r="AV212" s="185"/>
    </row>
    <row r="213" spans="5:48" s="277" customFormat="1">
      <c r="E213" s="185"/>
      <c r="F213" s="185"/>
      <c r="G213" s="185"/>
      <c r="H213" s="185"/>
      <c r="I213" s="185"/>
      <c r="J213" s="185"/>
      <c r="K213" s="185"/>
      <c r="L213" s="185"/>
      <c r="M213" s="185"/>
      <c r="N213" s="185"/>
      <c r="O213" s="185"/>
      <c r="S213" s="291">
        <v>41769</v>
      </c>
      <c r="T213" s="279">
        <v>130</v>
      </c>
      <c r="AI213" s="185"/>
      <c r="AJ213" s="185"/>
      <c r="AK213" s="185"/>
      <c r="AL213" s="185"/>
      <c r="AM213" s="185"/>
      <c r="AN213" s="185"/>
      <c r="AO213" s="185"/>
      <c r="AP213" s="185"/>
      <c r="AQ213" s="185"/>
      <c r="AR213" s="185"/>
      <c r="AS213" s="185"/>
      <c r="AT213" s="185"/>
      <c r="AU213" s="185"/>
      <c r="AV213" s="185"/>
    </row>
    <row r="214" spans="5:48" s="277" customFormat="1">
      <c r="E214" s="185"/>
      <c r="F214" s="185"/>
      <c r="G214" s="185"/>
      <c r="H214" s="185"/>
      <c r="I214" s="185"/>
      <c r="J214" s="185"/>
      <c r="K214" s="185"/>
      <c r="L214" s="185"/>
      <c r="M214" s="185"/>
      <c r="N214" s="185"/>
      <c r="O214" s="185"/>
      <c r="S214" s="291">
        <v>41770</v>
      </c>
      <c r="T214" s="279">
        <v>131</v>
      </c>
      <c r="AI214" s="185"/>
      <c r="AJ214" s="185"/>
      <c r="AK214" s="185"/>
      <c r="AL214" s="185"/>
      <c r="AM214" s="185"/>
      <c r="AN214" s="185"/>
      <c r="AO214" s="185"/>
      <c r="AP214" s="185"/>
      <c r="AQ214" s="185"/>
      <c r="AR214" s="185"/>
      <c r="AS214" s="185"/>
      <c r="AT214" s="185"/>
      <c r="AU214" s="185"/>
      <c r="AV214" s="185"/>
    </row>
    <row r="215" spans="5:48" s="277" customFormat="1">
      <c r="E215" s="185"/>
      <c r="F215" s="185"/>
      <c r="G215" s="185"/>
      <c r="H215" s="185"/>
      <c r="I215" s="185"/>
      <c r="J215" s="185"/>
      <c r="K215" s="185"/>
      <c r="L215" s="185"/>
      <c r="M215" s="185"/>
      <c r="N215" s="185"/>
      <c r="O215" s="185"/>
      <c r="S215" s="291">
        <v>41771</v>
      </c>
      <c r="T215" s="279">
        <v>132</v>
      </c>
      <c r="AI215" s="185"/>
      <c r="AJ215" s="185"/>
      <c r="AK215" s="185"/>
      <c r="AL215" s="185"/>
      <c r="AM215" s="185"/>
      <c r="AN215" s="185"/>
      <c r="AO215" s="185"/>
      <c r="AP215" s="185"/>
      <c r="AQ215" s="185"/>
      <c r="AR215" s="185"/>
      <c r="AS215" s="185"/>
      <c r="AT215" s="185"/>
      <c r="AU215" s="185"/>
      <c r="AV215" s="185"/>
    </row>
    <row r="216" spans="5:48" s="277" customFormat="1">
      <c r="E216" s="185"/>
      <c r="F216" s="185"/>
      <c r="G216" s="185"/>
      <c r="H216" s="185"/>
      <c r="I216" s="185"/>
      <c r="J216" s="185"/>
      <c r="K216" s="185"/>
      <c r="L216" s="185"/>
      <c r="M216" s="185"/>
      <c r="N216" s="185"/>
      <c r="O216" s="185"/>
      <c r="S216" s="291">
        <v>41772</v>
      </c>
      <c r="T216" s="279">
        <v>133</v>
      </c>
      <c r="AI216" s="185"/>
      <c r="AJ216" s="185"/>
      <c r="AK216" s="185"/>
      <c r="AL216" s="185"/>
      <c r="AM216" s="185"/>
      <c r="AN216" s="185"/>
      <c r="AO216" s="185"/>
      <c r="AP216" s="185"/>
      <c r="AQ216" s="185"/>
      <c r="AR216" s="185"/>
      <c r="AS216" s="185"/>
      <c r="AT216" s="185"/>
      <c r="AU216" s="185"/>
      <c r="AV216" s="185"/>
    </row>
    <row r="217" spans="5:48" s="277" customFormat="1">
      <c r="E217" s="185"/>
      <c r="F217" s="185"/>
      <c r="G217" s="185"/>
      <c r="H217" s="185"/>
      <c r="I217" s="185"/>
      <c r="J217" s="185"/>
      <c r="K217" s="185"/>
      <c r="L217" s="185"/>
      <c r="M217" s="185"/>
      <c r="N217" s="185"/>
      <c r="O217" s="185"/>
      <c r="S217" s="291">
        <v>41773</v>
      </c>
      <c r="T217" s="279">
        <v>134</v>
      </c>
      <c r="AI217" s="185"/>
      <c r="AJ217" s="185"/>
      <c r="AK217" s="185"/>
      <c r="AL217" s="185"/>
      <c r="AM217" s="185"/>
      <c r="AN217" s="185"/>
      <c r="AO217" s="185"/>
      <c r="AP217" s="185"/>
      <c r="AQ217" s="185"/>
      <c r="AR217" s="185"/>
      <c r="AS217" s="185"/>
      <c r="AT217" s="185"/>
      <c r="AU217" s="185"/>
      <c r="AV217" s="185"/>
    </row>
    <row r="218" spans="5:48" s="277" customFormat="1">
      <c r="E218" s="185"/>
      <c r="F218" s="185"/>
      <c r="G218" s="185"/>
      <c r="H218" s="185"/>
      <c r="I218" s="185"/>
      <c r="J218" s="185"/>
      <c r="K218" s="185"/>
      <c r="L218" s="185"/>
      <c r="M218" s="185"/>
      <c r="N218" s="185"/>
      <c r="O218" s="185"/>
      <c r="S218" s="291">
        <v>41774</v>
      </c>
      <c r="T218" s="279">
        <v>135</v>
      </c>
      <c r="AI218" s="185"/>
      <c r="AJ218" s="185"/>
      <c r="AK218" s="185"/>
      <c r="AL218" s="185"/>
      <c r="AM218" s="185"/>
      <c r="AN218" s="185"/>
      <c r="AO218" s="185"/>
      <c r="AP218" s="185"/>
      <c r="AQ218" s="185"/>
      <c r="AR218" s="185"/>
      <c r="AS218" s="185"/>
      <c r="AT218" s="185"/>
      <c r="AU218" s="185"/>
      <c r="AV218" s="185"/>
    </row>
    <row r="219" spans="5:48" s="277" customFormat="1">
      <c r="E219" s="185"/>
      <c r="F219" s="185"/>
      <c r="G219" s="185"/>
      <c r="H219" s="185"/>
      <c r="I219" s="185"/>
      <c r="J219" s="185"/>
      <c r="K219" s="185"/>
      <c r="L219" s="185"/>
      <c r="M219" s="185"/>
      <c r="N219" s="185"/>
      <c r="O219" s="185"/>
      <c r="S219" s="291">
        <v>41775</v>
      </c>
      <c r="T219" s="279">
        <v>136</v>
      </c>
      <c r="AI219" s="185"/>
      <c r="AJ219" s="185"/>
      <c r="AK219" s="185"/>
      <c r="AL219" s="185"/>
      <c r="AM219" s="185"/>
      <c r="AN219" s="185"/>
      <c r="AO219" s="185"/>
      <c r="AP219" s="185"/>
      <c r="AQ219" s="185"/>
      <c r="AR219" s="185"/>
      <c r="AS219" s="185"/>
      <c r="AT219" s="185"/>
      <c r="AU219" s="185"/>
      <c r="AV219" s="185"/>
    </row>
    <row r="220" spans="5:48" s="277" customFormat="1">
      <c r="E220" s="185"/>
      <c r="F220" s="185"/>
      <c r="G220" s="185"/>
      <c r="H220" s="185"/>
      <c r="I220" s="185"/>
      <c r="J220" s="185"/>
      <c r="K220" s="185"/>
      <c r="L220" s="185"/>
      <c r="M220" s="185"/>
      <c r="N220" s="185"/>
      <c r="O220" s="185"/>
      <c r="S220" s="291">
        <v>41776</v>
      </c>
      <c r="T220" s="279">
        <v>137</v>
      </c>
      <c r="AI220" s="185"/>
      <c r="AJ220" s="185"/>
      <c r="AK220" s="185"/>
      <c r="AL220" s="185"/>
      <c r="AM220" s="185"/>
      <c r="AN220" s="185"/>
      <c r="AO220" s="185"/>
      <c r="AP220" s="185"/>
      <c r="AQ220" s="185"/>
      <c r="AR220" s="185"/>
      <c r="AS220" s="185"/>
      <c r="AT220" s="185"/>
      <c r="AU220" s="185"/>
      <c r="AV220" s="185"/>
    </row>
    <row r="221" spans="5:48" s="277" customFormat="1">
      <c r="E221" s="185"/>
      <c r="F221" s="185"/>
      <c r="G221" s="185"/>
      <c r="H221" s="185"/>
      <c r="I221" s="185"/>
      <c r="J221" s="185"/>
      <c r="K221" s="185"/>
      <c r="L221" s="185"/>
      <c r="M221" s="185"/>
      <c r="N221" s="185"/>
      <c r="O221" s="185"/>
      <c r="S221" s="291">
        <v>41777</v>
      </c>
      <c r="T221" s="279">
        <v>138</v>
      </c>
      <c r="AI221" s="185"/>
      <c r="AJ221" s="185"/>
      <c r="AK221" s="185"/>
      <c r="AL221" s="185"/>
      <c r="AM221" s="185"/>
      <c r="AN221" s="185"/>
      <c r="AO221" s="185"/>
      <c r="AP221" s="185"/>
      <c r="AQ221" s="185"/>
      <c r="AR221" s="185"/>
      <c r="AS221" s="185"/>
      <c r="AT221" s="185"/>
      <c r="AU221" s="185"/>
      <c r="AV221" s="185"/>
    </row>
    <row r="222" spans="5:48" s="277" customFormat="1">
      <c r="E222" s="185"/>
      <c r="F222" s="185"/>
      <c r="G222" s="185"/>
      <c r="H222" s="185"/>
      <c r="I222" s="185"/>
      <c r="J222" s="185"/>
      <c r="K222" s="185"/>
      <c r="L222" s="185"/>
      <c r="M222" s="185"/>
      <c r="N222" s="185"/>
      <c r="O222" s="185"/>
      <c r="S222" s="291">
        <v>41778</v>
      </c>
      <c r="T222" s="279">
        <v>139</v>
      </c>
      <c r="AI222" s="185"/>
      <c r="AJ222" s="185"/>
      <c r="AK222" s="185"/>
      <c r="AL222" s="185"/>
      <c r="AM222" s="185"/>
      <c r="AN222" s="185"/>
      <c r="AO222" s="185"/>
      <c r="AP222" s="185"/>
      <c r="AQ222" s="185"/>
      <c r="AR222" s="185"/>
      <c r="AS222" s="185"/>
      <c r="AT222" s="185"/>
      <c r="AU222" s="185"/>
      <c r="AV222" s="185"/>
    </row>
    <row r="223" spans="5:48" s="277" customFormat="1">
      <c r="E223" s="185"/>
      <c r="F223" s="185"/>
      <c r="G223" s="185"/>
      <c r="H223" s="185"/>
      <c r="I223" s="185"/>
      <c r="J223" s="185"/>
      <c r="K223" s="185"/>
      <c r="L223" s="185"/>
      <c r="M223" s="185"/>
      <c r="N223" s="185"/>
      <c r="O223" s="185"/>
      <c r="S223" s="291">
        <v>41779</v>
      </c>
      <c r="T223" s="279">
        <v>140</v>
      </c>
      <c r="AI223" s="185"/>
      <c r="AJ223" s="185"/>
      <c r="AK223" s="185"/>
      <c r="AL223" s="185"/>
      <c r="AM223" s="185"/>
      <c r="AN223" s="185"/>
      <c r="AO223" s="185"/>
      <c r="AP223" s="185"/>
      <c r="AQ223" s="185"/>
      <c r="AR223" s="185"/>
      <c r="AS223" s="185"/>
      <c r="AT223" s="185"/>
      <c r="AU223" s="185"/>
      <c r="AV223" s="185"/>
    </row>
    <row r="224" spans="5:48" s="277" customFormat="1">
      <c r="E224" s="185"/>
      <c r="F224" s="185"/>
      <c r="G224" s="185"/>
      <c r="H224" s="185"/>
      <c r="I224" s="185"/>
      <c r="J224" s="185"/>
      <c r="K224" s="185"/>
      <c r="L224" s="185"/>
      <c r="M224" s="185"/>
      <c r="N224" s="185"/>
      <c r="O224" s="185"/>
      <c r="S224" s="291">
        <v>41780</v>
      </c>
      <c r="T224" s="279">
        <v>141</v>
      </c>
      <c r="AI224" s="185"/>
      <c r="AJ224" s="185"/>
      <c r="AK224" s="185"/>
      <c r="AL224" s="185"/>
      <c r="AM224" s="185"/>
      <c r="AN224" s="185"/>
      <c r="AO224" s="185"/>
      <c r="AP224" s="185"/>
      <c r="AQ224" s="185"/>
      <c r="AR224" s="185"/>
      <c r="AS224" s="185"/>
      <c r="AT224" s="185"/>
      <c r="AU224" s="185"/>
      <c r="AV224" s="185"/>
    </row>
    <row r="225" spans="5:48" s="277" customFormat="1">
      <c r="E225" s="185"/>
      <c r="F225" s="185"/>
      <c r="G225" s="185"/>
      <c r="H225" s="185"/>
      <c r="I225" s="185"/>
      <c r="J225" s="185"/>
      <c r="K225" s="185"/>
      <c r="L225" s="185"/>
      <c r="M225" s="185"/>
      <c r="N225" s="185"/>
      <c r="O225" s="185"/>
      <c r="S225" s="291">
        <v>41781</v>
      </c>
      <c r="T225" s="279">
        <v>142</v>
      </c>
      <c r="AI225" s="185"/>
      <c r="AJ225" s="185"/>
      <c r="AK225" s="185"/>
      <c r="AL225" s="185"/>
      <c r="AM225" s="185"/>
      <c r="AN225" s="185"/>
      <c r="AO225" s="185"/>
      <c r="AP225" s="185"/>
      <c r="AQ225" s="185"/>
      <c r="AR225" s="185"/>
      <c r="AS225" s="185"/>
      <c r="AT225" s="185"/>
      <c r="AU225" s="185"/>
      <c r="AV225" s="185"/>
    </row>
    <row r="226" spans="5:48" s="277" customFormat="1">
      <c r="E226" s="185"/>
      <c r="F226" s="185"/>
      <c r="G226" s="185"/>
      <c r="H226" s="185"/>
      <c r="I226" s="185"/>
      <c r="J226" s="185"/>
      <c r="K226" s="185"/>
      <c r="L226" s="185"/>
      <c r="M226" s="185"/>
      <c r="N226" s="185"/>
      <c r="O226" s="185"/>
      <c r="S226" s="291">
        <v>41782</v>
      </c>
      <c r="T226" s="279">
        <v>143</v>
      </c>
      <c r="AI226" s="185"/>
      <c r="AJ226" s="185"/>
      <c r="AK226" s="185"/>
      <c r="AL226" s="185"/>
      <c r="AM226" s="185"/>
      <c r="AN226" s="185"/>
      <c r="AO226" s="185"/>
      <c r="AP226" s="185"/>
      <c r="AQ226" s="185"/>
      <c r="AR226" s="185"/>
      <c r="AS226" s="185"/>
      <c r="AT226" s="185"/>
      <c r="AU226" s="185"/>
      <c r="AV226" s="185"/>
    </row>
    <row r="227" spans="5:48" s="277" customFormat="1">
      <c r="E227" s="185"/>
      <c r="F227" s="185"/>
      <c r="G227" s="185"/>
      <c r="H227" s="185"/>
      <c r="I227" s="185"/>
      <c r="J227" s="185"/>
      <c r="K227" s="185"/>
      <c r="L227" s="185"/>
      <c r="M227" s="185"/>
      <c r="N227" s="185"/>
      <c r="O227" s="185"/>
      <c r="S227" s="291">
        <v>41783</v>
      </c>
      <c r="T227" s="279">
        <v>144</v>
      </c>
      <c r="AI227" s="185"/>
      <c r="AJ227" s="185"/>
      <c r="AK227" s="185"/>
      <c r="AL227" s="185"/>
      <c r="AM227" s="185"/>
      <c r="AN227" s="185"/>
      <c r="AO227" s="185"/>
      <c r="AP227" s="185"/>
      <c r="AQ227" s="185"/>
      <c r="AR227" s="185"/>
      <c r="AS227" s="185"/>
      <c r="AT227" s="185"/>
      <c r="AU227" s="185"/>
      <c r="AV227" s="185"/>
    </row>
    <row r="228" spans="5:48" s="277" customFormat="1">
      <c r="E228" s="185"/>
      <c r="F228" s="185"/>
      <c r="G228" s="185"/>
      <c r="H228" s="185"/>
      <c r="I228" s="185"/>
      <c r="J228" s="185"/>
      <c r="K228" s="185"/>
      <c r="L228" s="185"/>
      <c r="M228" s="185"/>
      <c r="N228" s="185"/>
      <c r="O228" s="185"/>
      <c r="S228" s="291">
        <v>41784</v>
      </c>
      <c r="T228" s="279">
        <v>145</v>
      </c>
      <c r="AI228" s="185"/>
      <c r="AJ228" s="185"/>
      <c r="AK228" s="185"/>
      <c r="AL228" s="185"/>
      <c r="AM228" s="185"/>
      <c r="AN228" s="185"/>
      <c r="AO228" s="185"/>
      <c r="AP228" s="185"/>
      <c r="AQ228" s="185"/>
      <c r="AR228" s="185"/>
      <c r="AS228" s="185"/>
      <c r="AT228" s="185"/>
      <c r="AU228" s="185"/>
      <c r="AV228" s="185"/>
    </row>
    <row r="229" spans="5:48" s="277" customFormat="1">
      <c r="E229" s="185"/>
      <c r="F229" s="185"/>
      <c r="G229" s="185"/>
      <c r="H229" s="185"/>
      <c r="I229" s="185"/>
      <c r="J229" s="185"/>
      <c r="K229" s="185"/>
      <c r="L229" s="185"/>
      <c r="M229" s="185"/>
      <c r="N229" s="185"/>
      <c r="O229" s="185"/>
      <c r="S229" s="291">
        <v>41785</v>
      </c>
      <c r="T229" s="279">
        <v>146</v>
      </c>
      <c r="AI229" s="185"/>
      <c r="AJ229" s="185"/>
      <c r="AK229" s="185"/>
      <c r="AL229" s="185"/>
      <c r="AM229" s="185"/>
      <c r="AN229" s="185"/>
      <c r="AO229" s="185"/>
      <c r="AP229" s="185"/>
      <c r="AQ229" s="185"/>
      <c r="AR229" s="185"/>
      <c r="AS229" s="185"/>
      <c r="AT229" s="185"/>
      <c r="AU229" s="185"/>
      <c r="AV229" s="185"/>
    </row>
    <row r="230" spans="5:48" s="277" customFormat="1">
      <c r="E230" s="185"/>
      <c r="F230" s="185"/>
      <c r="G230" s="185"/>
      <c r="H230" s="185"/>
      <c r="I230" s="185"/>
      <c r="J230" s="185"/>
      <c r="K230" s="185"/>
      <c r="L230" s="185"/>
      <c r="M230" s="185"/>
      <c r="N230" s="185"/>
      <c r="O230" s="185"/>
      <c r="S230" s="291">
        <v>41786</v>
      </c>
      <c r="T230" s="279">
        <v>147</v>
      </c>
      <c r="AI230" s="185"/>
      <c r="AJ230" s="185"/>
      <c r="AK230" s="185"/>
      <c r="AL230" s="185"/>
      <c r="AM230" s="185"/>
      <c r="AN230" s="185"/>
      <c r="AO230" s="185"/>
      <c r="AP230" s="185"/>
      <c r="AQ230" s="185"/>
      <c r="AR230" s="185"/>
      <c r="AS230" s="185"/>
      <c r="AT230" s="185"/>
      <c r="AU230" s="185"/>
      <c r="AV230" s="185"/>
    </row>
    <row r="231" spans="5:48" s="277" customFormat="1">
      <c r="H231" s="185"/>
      <c r="I231" s="185"/>
      <c r="J231" s="185"/>
      <c r="K231" s="185"/>
      <c r="L231" s="185"/>
      <c r="M231" s="185"/>
      <c r="N231" s="185"/>
      <c r="O231" s="185"/>
      <c r="S231" s="291">
        <v>41787</v>
      </c>
      <c r="T231" s="279">
        <v>148</v>
      </c>
      <c r="AI231" s="185"/>
      <c r="AJ231" s="185"/>
      <c r="AK231" s="185"/>
      <c r="AL231" s="185"/>
      <c r="AM231" s="185"/>
      <c r="AN231" s="185"/>
      <c r="AO231" s="185"/>
      <c r="AP231" s="185"/>
      <c r="AQ231" s="185"/>
      <c r="AR231" s="185"/>
      <c r="AS231" s="185"/>
      <c r="AT231" s="185"/>
      <c r="AU231" s="185"/>
      <c r="AV231" s="185"/>
    </row>
    <row r="232" spans="5:48" s="277" customFormat="1">
      <c r="H232" s="185"/>
      <c r="I232" s="185"/>
      <c r="J232" s="185"/>
      <c r="K232" s="185"/>
      <c r="L232" s="185"/>
      <c r="M232" s="185"/>
      <c r="N232" s="185"/>
      <c r="O232" s="185"/>
      <c r="S232" s="291">
        <v>41788</v>
      </c>
      <c r="T232" s="279">
        <v>149</v>
      </c>
      <c r="AI232" s="185"/>
      <c r="AJ232" s="185"/>
      <c r="AK232" s="185"/>
      <c r="AL232" s="185"/>
      <c r="AM232" s="185"/>
      <c r="AN232" s="185"/>
      <c r="AO232" s="185"/>
      <c r="AP232" s="185"/>
      <c r="AQ232" s="185"/>
      <c r="AR232" s="185"/>
      <c r="AS232" s="185"/>
      <c r="AT232" s="185"/>
      <c r="AU232" s="185"/>
      <c r="AV232" s="185"/>
    </row>
    <row r="233" spans="5:48" s="277" customFormat="1">
      <c r="H233" s="185"/>
      <c r="I233" s="185"/>
      <c r="J233" s="185"/>
      <c r="K233" s="185"/>
      <c r="L233" s="185"/>
      <c r="M233" s="185"/>
      <c r="N233" s="185"/>
      <c r="O233" s="185"/>
      <c r="S233" s="291">
        <v>41789</v>
      </c>
      <c r="T233" s="279">
        <v>150</v>
      </c>
      <c r="AI233" s="185"/>
      <c r="AJ233" s="185"/>
      <c r="AK233" s="185"/>
      <c r="AL233" s="185"/>
      <c r="AM233" s="185"/>
      <c r="AN233" s="185"/>
      <c r="AO233" s="185"/>
      <c r="AP233" s="185"/>
      <c r="AQ233" s="185"/>
      <c r="AR233" s="185"/>
      <c r="AS233" s="185"/>
      <c r="AT233" s="185"/>
      <c r="AU233" s="185"/>
      <c r="AV233" s="185"/>
    </row>
    <row r="234" spans="5:48" s="277" customFormat="1">
      <c r="H234" s="185"/>
      <c r="I234" s="185"/>
      <c r="J234" s="185"/>
      <c r="K234" s="185"/>
      <c r="L234" s="185"/>
      <c r="M234" s="185"/>
      <c r="N234" s="185"/>
      <c r="O234" s="185"/>
      <c r="S234" s="291">
        <v>41790</v>
      </c>
      <c r="T234" s="279">
        <v>151</v>
      </c>
      <c r="AI234" s="185"/>
      <c r="AJ234" s="185"/>
      <c r="AK234" s="185"/>
      <c r="AL234" s="185"/>
      <c r="AM234" s="185"/>
      <c r="AN234" s="185"/>
      <c r="AO234" s="185"/>
      <c r="AP234" s="185"/>
      <c r="AQ234" s="185"/>
      <c r="AR234" s="185"/>
      <c r="AS234" s="185"/>
      <c r="AT234" s="185"/>
      <c r="AU234" s="185"/>
      <c r="AV234" s="185"/>
    </row>
    <row r="235" spans="5:48" s="277" customFormat="1">
      <c r="H235" s="185"/>
      <c r="I235" s="185"/>
      <c r="J235" s="185"/>
      <c r="K235" s="185"/>
      <c r="L235" s="185"/>
      <c r="M235" s="185"/>
      <c r="N235" s="185"/>
      <c r="O235" s="185"/>
      <c r="S235" s="291">
        <v>41791</v>
      </c>
      <c r="T235" s="279">
        <v>152</v>
      </c>
      <c r="AI235" s="185"/>
      <c r="AJ235" s="185"/>
      <c r="AK235" s="185"/>
      <c r="AL235" s="185"/>
      <c r="AM235" s="185"/>
      <c r="AN235" s="185"/>
      <c r="AO235" s="185"/>
      <c r="AP235" s="185"/>
      <c r="AQ235" s="185"/>
      <c r="AR235" s="185"/>
      <c r="AS235" s="185"/>
      <c r="AT235" s="185"/>
      <c r="AU235" s="185"/>
      <c r="AV235" s="185"/>
    </row>
    <row r="236" spans="5:48" s="277" customFormat="1">
      <c r="H236" s="185"/>
      <c r="I236" s="185"/>
      <c r="J236" s="185"/>
      <c r="K236" s="185"/>
      <c r="L236" s="185"/>
      <c r="M236" s="185"/>
      <c r="N236" s="185"/>
      <c r="O236" s="185"/>
      <c r="S236" s="291">
        <v>41792</v>
      </c>
      <c r="T236" s="279">
        <v>153</v>
      </c>
      <c r="AI236" s="185"/>
      <c r="AJ236" s="185"/>
      <c r="AK236" s="185"/>
      <c r="AL236" s="185"/>
      <c r="AM236" s="185"/>
      <c r="AN236" s="185"/>
      <c r="AO236" s="185"/>
      <c r="AP236" s="185"/>
      <c r="AQ236" s="185"/>
      <c r="AR236" s="185"/>
      <c r="AS236" s="185"/>
      <c r="AT236" s="185"/>
      <c r="AU236" s="185"/>
      <c r="AV236" s="185"/>
    </row>
    <row r="237" spans="5:48" s="277" customFormat="1">
      <c r="H237" s="185"/>
      <c r="I237" s="185"/>
      <c r="J237" s="185"/>
      <c r="K237" s="185"/>
      <c r="L237" s="185"/>
      <c r="M237" s="185"/>
      <c r="N237" s="185"/>
      <c r="O237" s="185"/>
      <c r="S237" s="291">
        <v>41793</v>
      </c>
      <c r="T237" s="279">
        <v>154</v>
      </c>
      <c r="AI237" s="185"/>
      <c r="AJ237" s="185"/>
      <c r="AK237" s="185"/>
      <c r="AL237" s="185"/>
      <c r="AM237" s="185"/>
      <c r="AN237" s="185"/>
      <c r="AO237" s="185"/>
      <c r="AP237" s="185"/>
      <c r="AQ237" s="185"/>
      <c r="AR237" s="185"/>
      <c r="AS237" s="185"/>
      <c r="AT237" s="185"/>
      <c r="AU237" s="185"/>
      <c r="AV237" s="185"/>
    </row>
    <row r="238" spans="5:48" s="277" customFormat="1">
      <c r="H238" s="185"/>
      <c r="I238" s="185"/>
      <c r="J238" s="185"/>
      <c r="K238" s="185"/>
      <c r="L238" s="185"/>
      <c r="M238" s="185"/>
      <c r="N238" s="185"/>
      <c r="O238" s="185"/>
      <c r="S238" s="291">
        <v>41794</v>
      </c>
      <c r="T238" s="279">
        <v>155</v>
      </c>
      <c r="AI238" s="185"/>
      <c r="AJ238" s="185"/>
      <c r="AK238" s="185"/>
      <c r="AL238" s="185"/>
      <c r="AM238" s="185"/>
      <c r="AN238" s="185"/>
      <c r="AO238" s="185"/>
      <c r="AP238" s="185"/>
      <c r="AQ238" s="185"/>
      <c r="AR238" s="185"/>
      <c r="AS238" s="185"/>
      <c r="AT238" s="185"/>
      <c r="AU238" s="185"/>
      <c r="AV238" s="185"/>
    </row>
    <row r="239" spans="5:48" s="277" customFormat="1">
      <c r="H239" s="185"/>
      <c r="I239" s="185"/>
      <c r="J239" s="185"/>
      <c r="K239" s="185"/>
      <c r="L239" s="185"/>
      <c r="M239" s="185"/>
      <c r="N239" s="185"/>
      <c r="O239" s="185"/>
      <c r="S239" s="291">
        <v>41795</v>
      </c>
      <c r="T239" s="279">
        <v>156</v>
      </c>
      <c r="AI239" s="185"/>
      <c r="AJ239" s="185"/>
      <c r="AK239" s="185"/>
      <c r="AL239" s="185"/>
      <c r="AM239" s="185"/>
      <c r="AN239" s="185"/>
      <c r="AO239" s="185"/>
      <c r="AP239" s="185"/>
      <c r="AQ239" s="185"/>
      <c r="AR239" s="185"/>
      <c r="AS239" s="185"/>
      <c r="AT239" s="185"/>
      <c r="AU239" s="185"/>
      <c r="AV239" s="185"/>
    </row>
    <row r="240" spans="5:48" s="277" customFormat="1">
      <c r="H240" s="185"/>
      <c r="I240" s="185"/>
      <c r="J240" s="185"/>
      <c r="K240" s="185"/>
      <c r="L240" s="185"/>
      <c r="M240" s="185"/>
      <c r="N240" s="185"/>
      <c r="O240" s="185"/>
      <c r="S240" s="291">
        <v>41796</v>
      </c>
      <c r="T240" s="279">
        <v>157</v>
      </c>
      <c r="AI240" s="185"/>
      <c r="AJ240" s="185"/>
      <c r="AK240" s="185"/>
      <c r="AL240" s="185"/>
      <c r="AM240" s="185"/>
      <c r="AN240" s="185"/>
      <c r="AO240" s="185"/>
      <c r="AP240" s="185"/>
      <c r="AQ240" s="185"/>
      <c r="AR240" s="185"/>
      <c r="AS240" s="185"/>
      <c r="AT240" s="185"/>
      <c r="AU240" s="185"/>
      <c r="AV240" s="185"/>
    </row>
    <row r="241" spans="8:48" s="277" customFormat="1">
      <c r="H241" s="185"/>
      <c r="I241" s="185"/>
      <c r="J241" s="185"/>
      <c r="K241" s="185"/>
      <c r="L241" s="185"/>
      <c r="M241" s="185"/>
      <c r="N241" s="185"/>
      <c r="O241" s="185"/>
      <c r="S241" s="291">
        <v>41797</v>
      </c>
      <c r="T241" s="279">
        <v>158</v>
      </c>
      <c r="AI241" s="185"/>
      <c r="AJ241" s="185"/>
      <c r="AK241" s="185"/>
      <c r="AL241" s="185"/>
      <c r="AM241" s="185"/>
      <c r="AN241" s="185"/>
      <c r="AO241" s="185"/>
      <c r="AP241" s="185"/>
      <c r="AQ241" s="185"/>
      <c r="AR241" s="185"/>
      <c r="AS241" s="185"/>
      <c r="AT241" s="185"/>
      <c r="AU241" s="185"/>
      <c r="AV241" s="185"/>
    </row>
    <row r="242" spans="8:48" s="277" customFormat="1">
      <c r="H242" s="185"/>
      <c r="I242" s="185"/>
      <c r="J242" s="185"/>
      <c r="K242" s="185"/>
      <c r="L242" s="185"/>
      <c r="M242" s="185"/>
      <c r="N242" s="185"/>
      <c r="O242" s="185"/>
      <c r="S242" s="291">
        <v>41798</v>
      </c>
      <c r="T242" s="279">
        <v>159</v>
      </c>
      <c r="AI242" s="185"/>
      <c r="AJ242" s="185"/>
      <c r="AK242" s="185"/>
      <c r="AL242" s="185"/>
      <c r="AM242" s="185"/>
      <c r="AN242" s="185"/>
      <c r="AO242" s="185"/>
      <c r="AP242" s="185"/>
      <c r="AQ242" s="185"/>
      <c r="AR242" s="185"/>
      <c r="AS242" s="185"/>
      <c r="AT242" s="185"/>
      <c r="AU242" s="185"/>
      <c r="AV242" s="185"/>
    </row>
    <row r="243" spans="8:48" s="277" customFormat="1">
      <c r="M243" s="185"/>
      <c r="N243" s="185"/>
      <c r="O243" s="185"/>
      <c r="S243" s="291">
        <v>41799</v>
      </c>
      <c r="T243" s="279">
        <v>160</v>
      </c>
      <c r="AI243" s="185"/>
      <c r="AJ243" s="185"/>
      <c r="AK243" s="185"/>
      <c r="AL243" s="185"/>
      <c r="AM243" s="185"/>
      <c r="AN243" s="185"/>
      <c r="AO243" s="185"/>
      <c r="AP243" s="185"/>
      <c r="AQ243" s="185"/>
      <c r="AR243" s="185"/>
      <c r="AS243" s="185"/>
      <c r="AT243" s="185"/>
      <c r="AU243" s="185"/>
      <c r="AV243" s="185"/>
    </row>
    <row r="244" spans="8:48" s="277" customFormat="1">
      <c r="M244" s="185"/>
      <c r="N244" s="185"/>
      <c r="O244" s="185"/>
      <c r="S244" s="291">
        <v>41800</v>
      </c>
      <c r="T244" s="279">
        <v>161</v>
      </c>
      <c r="AI244" s="185"/>
      <c r="AJ244" s="185"/>
      <c r="AK244" s="185"/>
      <c r="AL244" s="185"/>
      <c r="AM244" s="185"/>
      <c r="AN244" s="185"/>
      <c r="AO244" s="185"/>
      <c r="AP244" s="185"/>
      <c r="AQ244" s="185"/>
      <c r="AR244" s="185"/>
      <c r="AS244" s="185"/>
      <c r="AT244" s="185"/>
      <c r="AU244" s="185"/>
      <c r="AV244" s="185"/>
    </row>
    <row r="245" spans="8:48" s="277" customFormat="1">
      <c r="M245" s="185"/>
      <c r="N245" s="185"/>
      <c r="O245" s="185"/>
      <c r="S245" s="291">
        <v>41801</v>
      </c>
      <c r="T245" s="279">
        <v>162</v>
      </c>
      <c r="AI245" s="185"/>
      <c r="AJ245" s="185"/>
      <c r="AK245" s="185"/>
      <c r="AL245" s="185"/>
      <c r="AM245" s="185"/>
      <c r="AN245" s="185"/>
      <c r="AO245" s="185"/>
      <c r="AP245" s="185"/>
      <c r="AQ245" s="185"/>
      <c r="AR245" s="185"/>
      <c r="AS245" s="185"/>
      <c r="AT245" s="185"/>
      <c r="AU245" s="185"/>
      <c r="AV245" s="185"/>
    </row>
    <row r="246" spans="8:48" s="277" customFormat="1">
      <c r="M246" s="185"/>
      <c r="N246" s="185"/>
      <c r="O246" s="185"/>
      <c r="S246" s="291">
        <v>41802</v>
      </c>
      <c r="T246" s="279">
        <v>163</v>
      </c>
      <c r="AI246" s="185"/>
      <c r="AJ246" s="185"/>
      <c r="AK246" s="185"/>
      <c r="AL246" s="185"/>
      <c r="AM246" s="185"/>
      <c r="AN246" s="185"/>
      <c r="AO246" s="185"/>
      <c r="AP246" s="185"/>
      <c r="AQ246" s="185"/>
      <c r="AR246" s="185"/>
      <c r="AS246" s="185"/>
      <c r="AT246" s="185"/>
      <c r="AU246" s="185"/>
      <c r="AV246" s="185"/>
    </row>
    <row r="247" spans="8:48" s="277" customFormat="1">
      <c r="M247" s="185"/>
      <c r="N247" s="185"/>
      <c r="O247" s="185"/>
      <c r="S247" s="291">
        <v>41803</v>
      </c>
      <c r="T247" s="279">
        <v>164</v>
      </c>
      <c r="AI247" s="185"/>
      <c r="AJ247" s="185"/>
      <c r="AK247" s="185"/>
      <c r="AL247" s="185"/>
      <c r="AM247" s="185"/>
      <c r="AN247" s="185"/>
      <c r="AO247" s="185"/>
      <c r="AP247" s="185"/>
      <c r="AQ247" s="185"/>
      <c r="AR247" s="185"/>
      <c r="AS247" s="185"/>
      <c r="AT247" s="185"/>
      <c r="AU247" s="185"/>
      <c r="AV247" s="185"/>
    </row>
    <row r="248" spans="8:48" s="277" customFormat="1">
      <c r="M248" s="185"/>
      <c r="N248" s="185"/>
      <c r="O248" s="185"/>
      <c r="S248" s="291">
        <v>41804</v>
      </c>
      <c r="T248" s="279">
        <v>165</v>
      </c>
      <c r="AI248" s="185"/>
      <c r="AJ248" s="185"/>
      <c r="AK248" s="185"/>
      <c r="AL248" s="185"/>
      <c r="AM248" s="185"/>
      <c r="AN248" s="185"/>
      <c r="AO248" s="185"/>
      <c r="AP248" s="185"/>
      <c r="AQ248" s="185"/>
      <c r="AR248" s="185"/>
      <c r="AS248" s="185"/>
      <c r="AT248" s="185"/>
      <c r="AU248" s="185"/>
      <c r="AV248" s="185"/>
    </row>
    <row r="249" spans="8:48" s="277" customFormat="1">
      <c r="M249" s="185"/>
      <c r="N249" s="185"/>
      <c r="O249" s="185"/>
      <c r="S249" s="291">
        <v>41805</v>
      </c>
      <c r="T249" s="279">
        <v>166</v>
      </c>
      <c r="AI249" s="185"/>
      <c r="AJ249" s="185"/>
      <c r="AK249" s="185"/>
      <c r="AL249" s="185"/>
      <c r="AM249" s="185"/>
      <c r="AN249" s="185"/>
      <c r="AO249" s="185"/>
      <c r="AP249" s="185"/>
      <c r="AQ249" s="185"/>
      <c r="AR249" s="185"/>
      <c r="AS249" s="185"/>
      <c r="AT249" s="185"/>
      <c r="AU249" s="185"/>
      <c r="AV249" s="185"/>
    </row>
    <row r="250" spans="8:48" s="277" customFormat="1">
      <c r="M250" s="185"/>
      <c r="N250" s="185"/>
      <c r="O250" s="185"/>
      <c r="S250" s="291">
        <v>41806</v>
      </c>
      <c r="T250" s="279">
        <v>167</v>
      </c>
      <c r="AI250" s="185"/>
      <c r="AJ250" s="185"/>
      <c r="AK250" s="185"/>
      <c r="AL250" s="185"/>
      <c r="AM250" s="185"/>
      <c r="AN250" s="185"/>
      <c r="AO250" s="185"/>
      <c r="AP250" s="185"/>
      <c r="AQ250" s="185"/>
      <c r="AR250" s="185"/>
      <c r="AS250" s="185"/>
      <c r="AT250" s="185"/>
      <c r="AU250" s="185"/>
      <c r="AV250" s="185"/>
    </row>
    <row r="251" spans="8:48" s="277" customFormat="1">
      <c r="M251" s="185"/>
      <c r="N251" s="185"/>
      <c r="O251" s="185"/>
      <c r="S251" s="291">
        <v>41807</v>
      </c>
      <c r="T251" s="279">
        <v>168</v>
      </c>
      <c r="AI251" s="185"/>
      <c r="AJ251" s="185"/>
      <c r="AK251" s="185"/>
      <c r="AL251" s="185"/>
      <c r="AM251" s="185"/>
      <c r="AN251" s="185"/>
      <c r="AO251" s="185"/>
      <c r="AP251" s="185"/>
      <c r="AQ251" s="185"/>
      <c r="AR251" s="185"/>
      <c r="AS251" s="185"/>
      <c r="AT251" s="185"/>
      <c r="AU251" s="185"/>
      <c r="AV251" s="185"/>
    </row>
    <row r="252" spans="8:48" s="277" customFormat="1">
      <c r="M252" s="185"/>
      <c r="N252" s="185"/>
      <c r="O252" s="185"/>
      <c r="S252" s="291">
        <v>41808</v>
      </c>
      <c r="T252" s="279">
        <v>169</v>
      </c>
      <c r="AI252" s="185"/>
      <c r="AJ252" s="185"/>
      <c r="AK252" s="185"/>
      <c r="AL252" s="185"/>
      <c r="AM252" s="185"/>
      <c r="AN252" s="185"/>
      <c r="AO252" s="185"/>
      <c r="AP252" s="185"/>
      <c r="AQ252" s="185"/>
      <c r="AR252" s="185"/>
      <c r="AS252" s="185"/>
      <c r="AT252" s="185"/>
      <c r="AU252" s="185"/>
      <c r="AV252" s="185"/>
    </row>
    <row r="253" spans="8:48" s="277" customFormat="1">
      <c r="M253" s="185"/>
      <c r="N253" s="185"/>
      <c r="O253" s="185"/>
      <c r="S253" s="291">
        <v>41809</v>
      </c>
      <c r="T253" s="279">
        <v>170</v>
      </c>
      <c r="AI253" s="185"/>
      <c r="AJ253" s="185"/>
      <c r="AK253" s="185"/>
      <c r="AL253" s="185"/>
      <c r="AM253" s="185"/>
      <c r="AN253" s="185"/>
      <c r="AO253" s="185"/>
      <c r="AP253" s="185"/>
      <c r="AQ253" s="185"/>
      <c r="AR253" s="185"/>
      <c r="AS253" s="185"/>
      <c r="AT253" s="185"/>
      <c r="AU253" s="185"/>
      <c r="AV253" s="185"/>
    </row>
    <row r="254" spans="8:48" s="277" customFormat="1">
      <c r="M254" s="185"/>
      <c r="N254" s="185"/>
      <c r="O254" s="185"/>
      <c r="S254" s="291">
        <v>41810</v>
      </c>
      <c r="T254" s="279">
        <v>171</v>
      </c>
      <c r="AI254" s="185"/>
      <c r="AJ254" s="185"/>
      <c r="AK254" s="185"/>
      <c r="AL254" s="185"/>
      <c r="AM254" s="185"/>
      <c r="AN254" s="185"/>
      <c r="AO254" s="185"/>
      <c r="AP254" s="185"/>
      <c r="AQ254" s="185"/>
      <c r="AR254" s="185"/>
      <c r="AS254" s="185"/>
      <c r="AT254" s="185"/>
      <c r="AU254" s="185"/>
      <c r="AV254" s="185"/>
    </row>
    <row r="255" spans="8:48" s="277" customFormat="1">
      <c r="M255" s="185"/>
      <c r="N255" s="185"/>
      <c r="O255" s="185"/>
      <c r="S255" s="291">
        <v>41811</v>
      </c>
      <c r="T255" s="279">
        <v>172</v>
      </c>
      <c r="AI255" s="185"/>
      <c r="AJ255" s="185"/>
      <c r="AK255" s="185"/>
      <c r="AL255" s="185"/>
      <c r="AM255" s="185"/>
      <c r="AN255" s="185"/>
      <c r="AO255" s="185"/>
      <c r="AP255" s="185"/>
      <c r="AQ255" s="185"/>
      <c r="AR255" s="185"/>
      <c r="AS255" s="185"/>
      <c r="AT255" s="185"/>
      <c r="AU255" s="185"/>
      <c r="AV255" s="185"/>
    </row>
    <row r="256" spans="8:48" s="277" customFormat="1">
      <c r="M256" s="185"/>
      <c r="N256" s="185"/>
      <c r="O256" s="185"/>
      <c r="S256" s="291">
        <v>41812</v>
      </c>
      <c r="T256" s="279">
        <v>173</v>
      </c>
      <c r="AI256" s="185"/>
      <c r="AJ256" s="185"/>
      <c r="AK256" s="185"/>
      <c r="AL256" s="185"/>
      <c r="AM256" s="185"/>
      <c r="AN256" s="185"/>
      <c r="AO256" s="185"/>
      <c r="AP256" s="185"/>
      <c r="AQ256" s="185"/>
      <c r="AR256" s="185"/>
      <c r="AS256" s="185"/>
      <c r="AT256" s="185"/>
      <c r="AU256" s="185"/>
      <c r="AV256" s="185"/>
    </row>
    <row r="257" spans="13:48" s="277" customFormat="1">
      <c r="M257" s="185"/>
      <c r="N257" s="185"/>
      <c r="O257" s="185"/>
      <c r="S257" s="291">
        <v>41813</v>
      </c>
      <c r="T257" s="279">
        <v>174</v>
      </c>
      <c r="AI257" s="185"/>
      <c r="AJ257" s="185"/>
      <c r="AK257" s="185"/>
      <c r="AL257" s="185"/>
      <c r="AM257" s="185"/>
      <c r="AN257" s="185"/>
      <c r="AO257" s="185"/>
      <c r="AP257" s="185"/>
      <c r="AQ257" s="185"/>
      <c r="AR257" s="185"/>
      <c r="AS257" s="185"/>
      <c r="AT257" s="185"/>
      <c r="AU257" s="185"/>
      <c r="AV257" s="185"/>
    </row>
    <row r="258" spans="13:48" s="277" customFormat="1">
      <c r="M258" s="185"/>
      <c r="N258" s="185"/>
      <c r="O258" s="185"/>
      <c r="S258" s="291">
        <v>41814</v>
      </c>
      <c r="T258" s="279">
        <v>175</v>
      </c>
      <c r="AI258" s="185"/>
      <c r="AJ258" s="185"/>
      <c r="AK258" s="185"/>
      <c r="AL258" s="185"/>
      <c r="AM258" s="185"/>
      <c r="AN258" s="185"/>
      <c r="AO258" s="185"/>
      <c r="AP258" s="185"/>
      <c r="AQ258" s="185"/>
      <c r="AR258" s="185"/>
      <c r="AS258" s="185"/>
      <c r="AT258" s="185"/>
      <c r="AU258" s="185"/>
      <c r="AV258" s="185"/>
    </row>
    <row r="259" spans="13:48" s="277" customFormat="1">
      <c r="M259" s="185"/>
      <c r="N259" s="185"/>
      <c r="O259" s="185"/>
      <c r="S259" s="291">
        <v>41815</v>
      </c>
      <c r="T259" s="279">
        <v>176</v>
      </c>
      <c r="AI259" s="185"/>
      <c r="AJ259" s="185"/>
      <c r="AK259" s="185"/>
      <c r="AL259" s="185"/>
      <c r="AM259" s="185"/>
      <c r="AN259" s="185"/>
      <c r="AO259" s="185"/>
      <c r="AP259" s="185"/>
      <c r="AQ259" s="185"/>
      <c r="AR259" s="185"/>
      <c r="AS259" s="185"/>
      <c r="AT259" s="185"/>
      <c r="AU259" s="185"/>
      <c r="AV259" s="185"/>
    </row>
    <row r="260" spans="13:48" s="277" customFormat="1">
      <c r="M260" s="185"/>
      <c r="N260" s="185"/>
      <c r="O260" s="185"/>
      <c r="S260" s="291">
        <v>41816</v>
      </c>
      <c r="T260" s="279">
        <v>177</v>
      </c>
      <c r="AI260" s="185"/>
      <c r="AJ260" s="185"/>
      <c r="AK260" s="185"/>
      <c r="AL260" s="185"/>
      <c r="AM260" s="185"/>
      <c r="AN260" s="185"/>
      <c r="AO260" s="185"/>
      <c r="AP260" s="185"/>
      <c r="AQ260" s="185"/>
      <c r="AR260" s="185"/>
      <c r="AS260" s="185"/>
      <c r="AT260" s="185"/>
      <c r="AU260" s="185"/>
      <c r="AV260" s="185"/>
    </row>
    <row r="261" spans="13:48" s="277" customFormat="1">
      <c r="M261" s="185"/>
      <c r="N261" s="185"/>
      <c r="O261" s="185"/>
      <c r="S261" s="291">
        <v>41817</v>
      </c>
      <c r="T261" s="279">
        <v>178</v>
      </c>
      <c r="AI261" s="185"/>
      <c r="AJ261" s="185"/>
      <c r="AK261" s="185"/>
      <c r="AL261" s="185"/>
      <c r="AM261" s="185"/>
      <c r="AN261" s="185"/>
      <c r="AO261" s="185"/>
      <c r="AP261" s="185"/>
      <c r="AQ261" s="185"/>
      <c r="AR261" s="185"/>
      <c r="AS261" s="185"/>
      <c r="AT261" s="185"/>
      <c r="AU261" s="185"/>
      <c r="AV261" s="185"/>
    </row>
    <row r="262" spans="13:48" s="277" customFormat="1">
      <c r="M262" s="185"/>
      <c r="N262" s="185"/>
      <c r="O262" s="185"/>
      <c r="S262" s="291">
        <v>41818</v>
      </c>
      <c r="T262" s="279">
        <v>179</v>
      </c>
      <c r="AI262" s="185"/>
      <c r="AJ262" s="185"/>
      <c r="AK262" s="185"/>
      <c r="AL262" s="185"/>
      <c r="AM262" s="185"/>
      <c r="AN262" s="185"/>
      <c r="AO262" s="185"/>
      <c r="AP262" s="185"/>
      <c r="AQ262" s="185"/>
      <c r="AR262" s="185"/>
      <c r="AS262" s="185"/>
      <c r="AT262" s="185"/>
      <c r="AU262" s="185"/>
      <c r="AV262" s="185"/>
    </row>
    <row r="263" spans="13:48" s="277" customFormat="1">
      <c r="M263" s="185"/>
      <c r="N263" s="185"/>
      <c r="O263" s="185"/>
      <c r="S263" s="291">
        <v>41819</v>
      </c>
      <c r="T263" s="279">
        <v>180</v>
      </c>
      <c r="AI263" s="185"/>
      <c r="AJ263" s="185"/>
      <c r="AK263" s="185"/>
      <c r="AL263" s="185"/>
      <c r="AM263" s="185"/>
      <c r="AN263" s="185"/>
      <c r="AO263" s="185"/>
      <c r="AP263" s="185"/>
      <c r="AQ263" s="185"/>
      <c r="AR263" s="185"/>
      <c r="AS263" s="185"/>
      <c r="AT263" s="185"/>
      <c r="AU263" s="185"/>
      <c r="AV263" s="185"/>
    </row>
    <row r="264" spans="13:48" s="277" customFormat="1">
      <c r="M264" s="185"/>
      <c r="N264" s="185"/>
      <c r="O264" s="185"/>
      <c r="S264" s="291">
        <v>41820</v>
      </c>
      <c r="T264" s="279">
        <v>181</v>
      </c>
      <c r="AI264" s="185"/>
      <c r="AJ264" s="185"/>
      <c r="AK264" s="185"/>
      <c r="AL264" s="185"/>
      <c r="AM264" s="185"/>
      <c r="AN264" s="185"/>
      <c r="AO264" s="185"/>
      <c r="AP264" s="185"/>
      <c r="AQ264" s="185"/>
      <c r="AR264" s="185"/>
      <c r="AS264" s="185"/>
      <c r="AT264" s="185"/>
      <c r="AU264" s="185"/>
      <c r="AV264" s="185"/>
    </row>
    <row r="265" spans="13:48" s="277" customFormat="1">
      <c r="M265" s="185"/>
      <c r="N265" s="185"/>
      <c r="O265" s="185"/>
      <c r="S265" s="291">
        <v>41821</v>
      </c>
      <c r="T265" s="279">
        <v>182</v>
      </c>
      <c r="AI265" s="185"/>
      <c r="AJ265" s="185"/>
      <c r="AK265" s="185"/>
      <c r="AL265" s="185"/>
      <c r="AM265" s="185"/>
      <c r="AN265" s="185"/>
      <c r="AO265" s="185"/>
      <c r="AP265" s="185"/>
      <c r="AQ265" s="185"/>
      <c r="AR265" s="185"/>
      <c r="AS265" s="185"/>
      <c r="AT265" s="185"/>
      <c r="AU265" s="185"/>
      <c r="AV265" s="185"/>
    </row>
    <row r="266" spans="13:48" s="277" customFormat="1">
      <c r="M266" s="185"/>
      <c r="N266" s="185"/>
      <c r="O266" s="185"/>
      <c r="S266" s="291">
        <v>41822</v>
      </c>
      <c r="T266" s="279">
        <v>183</v>
      </c>
      <c r="AI266" s="185"/>
      <c r="AJ266" s="185"/>
      <c r="AK266" s="185"/>
      <c r="AL266" s="185"/>
      <c r="AM266" s="185"/>
      <c r="AN266" s="185"/>
      <c r="AO266" s="185"/>
      <c r="AP266" s="185"/>
      <c r="AQ266" s="185"/>
      <c r="AR266" s="185"/>
      <c r="AS266" s="185"/>
      <c r="AT266" s="185"/>
      <c r="AU266" s="185"/>
      <c r="AV266" s="185"/>
    </row>
    <row r="267" spans="13:48" s="277" customFormat="1">
      <c r="M267" s="185"/>
      <c r="N267" s="185"/>
      <c r="O267" s="185"/>
      <c r="S267" s="291">
        <v>41823</v>
      </c>
      <c r="T267" s="279">
        <v>184</v>
      </c>
      <c r="AI267" s="185"/>
      <c r="AJ267" s="185"/>
      <c r="AK267" s="185"/>
      <c r="AL267" s="185"/>
      <c r="AM267" s="185"/>
      <c r="AN267" s="185"/>
      <c r="AO267" s="185"/>
      <c r="AP267" s="185"/>
      <c r="AQ267" s="185"/>
      <c r="AR267" s="185"/>
      <c r="AS267" s="185"/>
      <c r="AT267" s="185"/>
      <c r="AU267" s="185"/>
      <c r="AV267" s="185"/>
    </row>
    <row r="268" spans="13:48" s="277" customFormat="1">
      <c r="M268" s="185"/>
      <c r="N268" s="185"/>
      <c r="O268" s="185"/>
      <c r="S268" s="291">
        <v>41824</v>
      </c>
      <c r="T268" s="279">
        <v>185</v>
      </c>
      <c r="AI268" s="185"/>
      <c r="AJ268" s="185"/>
      <c r="AK268" s="185"/>
      <c r="AL268" s="185"/>
      <c r="AM268" s="185"/>
      <c r="AN268" s="185"/>
      <c r="AO268" s="185"/>
      <c r="AP268" s="185"/>
      <c r="AQ268" s="185"/>
      <c r="AR268" s="185"/>
      <c r="AS268" s="185"/>
      <c r="AT268" s="185"/>
      <c r="AU268" s="185"/>
      <c r="AV268" s="185"/>
    </row>
    <row r="269" spans="13:48" s="277" customFormat="1">
      <c r="M269" s="185"/>
      <c r="N269" s="185"/>
      <c r="O269" s="185"/>
      <c r="S269" s="291">
        <v>41825</v>
      </c>
      <c r="T269" s="279">
        <v>186</v>
      </c>
      <c r="AI269" s="185"/>
      <c r="AJ269" s="185"/>
      <c r="AK269" s="185"/>
      <c r="AL269" s="185"/>
      <c r="AM269" s="185"/>
      <c r="AN269" s="185"/>
      <c r="AO269" s="185"/>
      <c r="AP269" s="185"/>
      <c r="AQ269" s="185"/>
      <c r="AR269" s="185"/>
      <c r="AS269" s="185"/>
      <c r="AT269" s="185"/>
      <c r="AU269" s="185"/>
      <c r="AV269" s="185"/>
    </row>
    <row r="270" spans="13:48" s="277" customFormat="1">
      <c r="M270" s="185"/>
      <c r="N270" s="185"/>
      <c r="O270" s="185"/>
      <c r="S270" s="291">
        <v>41826</v>
      </c>
      <c r="T270" s="279">
        <v>187</v>
      </c>
      <c r="AI270" s="185"/>
      <c r="AJ270" s="185"/>
      <c r="AK270" s="185"/>
      <c r="AL270" s="185"/>
      <c r="AM270" s="185"/>
      <c r="AN270" s="185"/>
      <c r="AO270" s="185"/>
      <c r="AP270" s="185"/>
      <c r="AQ270" s="185"/>
      <c r="AR270" s="185"/>
      <c r="AS270" s="185"/>
      <c r="AT270" s="185"/>
      <c r="AU270" s="185"/>
      <c r="AV270" s="185"/>
    </row>
    <row r="271" spans="13:48" s="277" customFormat="1">
      <c r="M271" s="185"/>
      <c r="N271" s="185"/>
      <c r="O271" s="185"/>
      <c r="S271" s="291">
        <v>41827</v>
      </c>
      <c r="T271" s="279">
        <v>188</v>
      </c>
      <c r="AI271" s="185"/>
      <c r="AJ271" s="185"/>
      <c r="AK271" s="185"/>
      <c r="AL271" s="185"/>
      <c r="AM271" s="185"/>
      <c r="AN271" s="185"/>
      <c r="AO271" s="185"/>
      <c r="AP271" s="185"/>
      <c r="AQ271" s="185"/>
      <c r="AR271" s="185"/>
      <c r="AS271" s="185"/>
      <c r="AT271" s="185"/>
      <c r="AU271" s="185"/>
      <c r="AV271" s="185"/>
    </row>
    <row r="272" spans="13:48" s="277" customFormat="1">
      <c r="M272" s="185"/>
      <c r="N272" s="185"/>
      <c r="O272" s="185"/>
      <c r="S272" s="291">
        <v>41828</v>
      </c>
      <c r="T272" s="279">
        <v>189</v>
      </c>
      <c r="AI272" s="185"/>
      <c r="AJ272" s="185"/>
      <c r="AK272" s="185"/>
      <c r="AL272" s="185"/>
      <c r="AM272" s="185"/>
      <c r="AN272" s="185"/>
      <c r="AO272" s="185"/>
      <c r="AP272" s="185"/>
      <c r="AQ272" s="185"/>
      <c r="AR272" s="185"/>
      <c r="AS272" s="185"/>
      <c r="AT272" s="185"/>
      <c r="AU272" s="185"/>
      <c r="AV272" s="185"/>
    </row>
    <row r="273" spans="13:48" s="277" customFormat="1">
      <c r="M273" s="185"/>
      <c r="N273" s="185"/>
      <c r="O273" s="185"/>
      <c r="S273" s="291">
        <v>41829</v>
      </c>
      <c r="T273" s="279">
        <v>190</v>
      </c>
      <c r="AI273" s="185"/>
      <c r="AJ273" s="185"/>
      <c r="AK273" s="185"/>
      <c r="AL273" s="185"/>
      <c r="AM273" s="185"/>
      <c r="AN273" s="185"/>
      <c r="AO273" s="185"/>
      <c r="AP273" s="185"/>
      <c r="AQ273" s="185"/>
      <c r="AR273" s="185"/>
      <c r="AS273" s="185"/>
      <c r="AT273" s="185"/>
      <c r="AU273" s="185"/>
      <c r="AV273" s="185"/>
    </row>
    <row r="274" spans="13:48" s="277" customFormat="1">
      <c r="M274" s="185"/>
      <c r="N274" s="185"/>
      <c r="O274" s="185"/>
      <c r="S274" s="291">
        <v>41830</v>
      </c>
      <c r="T274" s="279">
        <v>191</v>
      </c>
      <c r="AI274" s="185"/>
      <c r="AJ274" s="185"/>
      <c r="AK274" s="185"/>
      <c r="AL274" s="185"/>
      <c r="AM274" s="185"/>
      <c r="AN274" s="185"/>
      <c r="AO274" s="185"/>
      <c r="AP274" s="185"/>
      <c r="AQ274" s="185"/>
      <c r="AR274" s="185"/>
      <c r="AS274" s="185"/>
      <c r="AT274" s="185"/>
      <c r="AU274" s="185"/>
      <c r="AV274" s="185"/>
    </row>
    <row r="275" spans="13:48" s="277" customFormat="1">
      <c r="M275" s="185"/>
      <c r="N275" s="185"/>
      <c r="O275" s="185"/>
      <c r="S275" s="291">
        <v>41831</v>
      </c>
      <c r="T275" s="279">
        <v>192</v>
      </c>
      <c r="AI275" s="185"/>
      <c r="AJ275" s="185"/>
      <c r="AK275" s="185"/>
      <c r="AL275" s="185"/>
      <c r="AM275" s="185"/>
      <c r="AN275" s="185"/>
      <c r="AO275" s="185"/>
      <c r="AP275" s="185"/>
      <c r="AQ275" s="185"/>
      <c r="AR275" s="185"/>
      <c r="AS275" s="185"/>
      <c r="AT275" s="185"/>
      <c r="AU275" s="185"/>
      <c r="AV275" s="185"/>
    </row>
    <row r="276" spans="13:48" s="277" customFormat="1">
      <c r="M276" s="185"/>
      <c r="N276" s="185"/>
      <c r="O276" s="185"/>
      <c r="S276" s="291">
        <v>41832</v>
      </c>
      <c r="T276" s="279">
        <v>193</v>
      </c>
      <c r="AI276" s="185"/>
      <c r="AJ276" s="185"/>
      <c r="AK276" s="185"/>
      <c r="AL276" s="185"/>
      <c r="AM276" s="185"/>
      <c r="AN276" s="185"/>
      <c r="AO276" s="185"/>
      <c r="AP276" s="185"/>
      <c r="AQ276" s="185"/>
      <c r="AR276" s="185"/>
      <c r="AS276" s="185"/>
      <c r="AT276" s="185"/>
      <c r="AU276" s="185"/>
      <c r="AV276" s="185"/>
    </row>
    <row r="277" spans="13:48" s="277" customFormat="1">
      <c r="M277" s="185"/>
      <c r="N277" s="185"/>
      <c r="O277" s="185"/>
      <c r="S277" s="291">
        <v>41833</v>
      </c>
      <c r="T277" s="279">
        <v>194</v>
      </c>
      <c r="AI277" s="185"/>
      <c r="AJ277" s="185"/>
      <c r="AK277" s="185"/>
      <c r="AL277" s="185"/>
      <c r="AM277" s="185"/>
      <c r="AN277" s="185"/>
      <c r="AO277" s="185"/>
      <c r="AP277" s="185"/>
      <c r="AQ277" s="185"/>
      <c r="AR277" s="185"/>
      <c r="AS277" s="185"/>
      <c r="AT277" s="185"/>
      <c r="AU277" s="185"/>
      <c r="AV277" s="185"/>
    </row>
    <row r="278" spans="13:48" s="277" customFormat="1">
      <c r="M278" s="185"/>
      <c r="N278" s="185"/>
      <c r="O278" s="185"/>
      <c r="S278" s="291">
        <v>41834</v>
      </c>
      <c r="T278" s="279">
        <v>195</v>
      </c>
      <c r="AI278" s="185"/>
      <c r="AJ278" s="185"/>
      <c r="AK278" s="185"/>
      <c r="AL278" s="185"/>
      <c r="AM278" s="185"/>
      <c r="AN278" s="185"/>
      <c r="AO278" s="185"/>
      <c r="AP278" s="185"/>
      <c r="AQ278" s="185"/>
      <c r="AR278" s="185"/>
      <c r="AS278" s="185"/>
      <c r="AT278" s="185"/>
      <c r="AU278" s="185"/>
      <c r="AV278" s="185"/>
    </row>
    <row r="279" spans="13:48" s="277" customFormat="1">
      <c r="M279" s="185"/>
      <c r="N279" s="185"/>
      <c r="O279" s="185"/>
      <c r="S279" s="291">
        <v>41835</v>
      </c>
      <c r="T279" s="279">
        <v>196</v>
      </c>
      <c r="AI279" s="185"/>
      <c r="AJ279" s="185"/>
      <c r="AK279" s="185"/>
      <c r="AL279" s="185"/>
      <c r="AM279" s="185"/>
      <c r="AN279" s="185"/>
      <c r="AO279" s="185"/>
      <c r="AP279" s="185"/>
      <c r="AQ279" s="185"/>
      <c r="AR279" s="185"/>
      <c r="AS279" s="185"/>
      <c r="AT279" s="185"/>
      <c r="AU279" s="185"/>
      <c r="AV279" s="185"/>
    </row>
    <row r="280" spans="13:48" s="277" customFormat="1">
      <c r="M280" s="185"/>
      <c r="N280" s="185"/>
      <c r="O280" s="185"/>
      <c r="S280" s="291">
        <v>41836</v>
      </c>
      <c r="T280" s="279">
        <v>197</v>
      </c>
      <c r="AI280" s="185"/>
      <c r="AJ280" s="185"/>
      <c r="AK280" s="185"/>
      <c r="AL280" s="185"/>
      <c r="AM280" s="185"/>
      <c r="AN280" s="185"/>
      <c r="AO280" s="185"/>
      <c r="AP280" s="185"/>
      <c r="AQ280" s="185"/>
      <c r="AR280" s="185"/>
      <c r="AS280" s="185"/>
      <c r="AT280" s="185"/>
      <c r="AU280" s="185"/>
      <c r="AV280" s="185"/>
    </row>
    <row r="281" spans="13:48" s="277" customFormat="1">
      <c r="M281" s="185"/>
      <c r="N281" s="185"/>
      <c r="O281" s="185"/>
      <c r="S281" s="291">
        <v>41837</v>
      </c>
      <c r="T281" s="279">
        <v>198</v>
      </c>
      <c r="AI281" s="185"/>
      <c r="AJ281" s="185"/>
      <c r="AK281" s="185"/>
      <c r="AL281" s="185"/>
      <c r="AM281" s="185"/>
      <c r="AN281" s="185"/>
      <c r="AO281" s="185"/>
      <c r="AP281" s="185"/>
      <c r="AQ281" s="185"/>
      <c r="AR281" s="185"/>
      <c r="AS281" s="185"/>
      <c r="AT281" s="185"/>
      <c r="AU281" s="185"/>
      <c r="AV281" s="185"/>
    </row>
    <row r="282" spans="13:48" s="277" customFormat="1">
      <c r="M282" s="185"/>
      <c r="N282" s="185"/>
      <c r="O282" s="185"/>
      <c r="S282" s="291">
        <v>41838</v>
      </c>
      <c r="T282" s="279">
        <v>199</v>
      </c>
      <c r="AI282" s="185"/>
      <c r="AJ282" s="185"/>
      <c r="AK282" s="185"/>
      <c r="AL282" s="185"/>
      <c r="AM282" s="185"/>
      <c r="AN282" s="185"/>
      <c r="AO282" s="185"/>
      <c r="AP282" s="185"/>
      <c r="AQ282" s="185"/>
      <c r="AR282" s="185"/>
      <c r="AS282" s="185"/>
      <c r="AT282" s="185"/>
      <c r="AU282" s="185"/>
      <c r="AV282" s="185"/>
    </row>
    <row r="283" spans="13:48" s="277" customFormat="1">
      <c r="M283" s="185"/>
      <c r="N283" s="185"/>
      <c r="O283" s="185"/>
      <c r="S283" s="291">
        <v>41839</v>
      </c>
      <c r="T283" s="279">
        <v>200</v>
      </c>
      <c r="AI283" s="185"/>
      <c r="AJ283" s="185"/>
      <c r="AK283" s="185"/>
      <c r="AL283" s="185"/>
      <c r="AM283" s="185"/>
      <c r="AN283" s="185"/>
      <c r="AO283" s="185"/>
      <c r="AP283" s="185"/>
      <c r="AQ283" s="185"/>
      <c r="AR283" s="185"/>
      <c r="AS283" s="185"/>
      <c r="AT283" s="185"/>
      <c r="AU283" s="185"/>
      <c r="AV283" s="185"/>
    </row>
    <row r="284" spans="13:48" s="277" customFormat="1">
      <c r="M284" s="185"/>
      <c r="N284" s="185"/>
      <c r="O284" s="185"/>
      <c r="S284" s="291">
        <v>41840</v>
      </c>
      <c r="T284" s="279">
        <v>201</v>
      </c>
      <c r="AI284" s="185"/>
      <c r="AJ284" s="185"/>
      <c r="AK284" s="185"/>
      <c r="AL284" s="185"/>
      <c r="AM284" s="185"/>
      <c r="AN284" s="185"/>
      <c r="AO284" s="185"/>
      <c r="AP284" s="185"/>
      <c r="AQ284" s="185"/>
      <c r="AR284" s="185"/>
      <c r="AS284" s="185"/>
      <c r="AT284" s="185"/>
      <c r="AU284" s="185"/>
      <c r="AV284" s="185"/>
    </row>
    <row r="285" spans="13:48" s="277" customFormat="1">
      <c r="M285" s="185"/>
      <c r="N285" s="185"/>
      <c r="O285" s="185"/>
      <c r="S285" s="291">
        <v>41841</v>
      </c>
      <c r="T285" s="279">
        <v>202</v>
      </c>
      <c r="AI285" s="185"/>
      <c r="AJ285" s="185"/>
      <c r="AK285" s="185"/>
      <c r="AL285" s="185"/>
      <c r="AM285" s="185"/>
      <c r="AN285" s="185"/>
      <c r="AO285" s="185"/>
      <c r="AP285" s="185"/>
      <c r="AQ285" s="185"/>
      <c r="AR285" s="185"/>
      <c r="AS285" s="185"/>
      <c r="AT285" s="185"/>
      <c r="AU285" s="185"/>
      <c r="AV285" s="185"/>
    </row>
    <row r="286" spans="13:48" s="277" customFormat="1">
      <c r="M286" s="185"/>
      <c r="N286" s="185"/>
      <c r="O286" s="185"/>
      <c r="S286" s="291">
        <v>41842</v>
      </c>
      <c r="T286" s="279">
        <v>203</v>
      </c>
      <c r="AI286" s="185"/>
      <c r="AJ286" s="185"/>
      <c r="AK286" s="185"/>
      <c r="AL286" s="185"/>
      <c r="AM286" s="185"/>
      <c r="AN286" s="185"/>
      <c r="AO286" s="185"/>
      <c r="AP286" s="185"/>
      <c r="AQ286" s="185"/>
      <c r="AR286" s="185"/>
      <c r="AS286" s="185"/>
      <c r="AT286" s="185"/>
      <c r="AU286" s="185"/>
      <c r="AV286" s="185"/>
    </row>
    <row r="287" spans="13:48" s="277" customFormat="1">
      <c r="M287" s="185"/>
      <c r="N287" s="185"/>
      <c r="O287" s="185"/>
      <c r="S287" s="291">
        <v>41843</v>
      </c>
      <c r="T287" s="279">
        <v>204</v>
      </c>
      <c r="AI287" s="185"/>
      <c r="AJ287" s="185"/>
      <c r="AK287" s="185"/>
      <c r="AL287" s="185"/>
      <c r="AM287" s="185"/>
      <c r="AN287" s="185"/>
      <c r="AO287" s="185"/>
      <c r="AP287" s="185"/>
      <c r="AQ287" s="185"/>
      <c r="AR287" s="185"/>
      <c r="AS287" s="185"/>
      <c r="AT287" s="185"/>
      <c r="AU287" s="185"/>
      <c r="AV287" s="185"/>
    </row>
    <row r="288" spans="13:48" s="277" customFormat="1">
      <c r="M288" s="185"/>
      <c r="N288" s="185"/>
      <c r="O288" s="185"/>
      <c r="S288" s="291">
        <v>41844</v>
      </c>
      <c r="T288" s="279">
        <v>205</v>
      </c>
      <c r="AI288" s="185"/>
      <c r="AJ288" s="185"/>
      <c r="AK288" s="185"/>
      <c r="AL288" s="185"/>
      <c r="AM288" s="185"/>
      <c r="AN288" s="185"/>
      <c r="AO288" s="185"/>
      <c r="AP288" s="185"/>
      <c r="AQ288" s="185"/>
      <c r="AR288" s="185"/>
      <c r="AS288" s="185"/>
      <c r="AT288" s="185"/>
      <c r="AU288" s="185"/>
      <c r="AV288" s="185"/>
    </row>
    <row r="289" spans="13:48" s="277" customFormat="1">
      <c r="M289" s="185"/>
      <c r="N289" s="185"/>
      <c r="O289" s="185"/>
      <c r="S289" s="291">
        <v>41845</v>
      </c>
      <c r="T289" s="279">
        <v>206</v>
      </c>
      <c r="AI289" s="185"/>
      <c r="AJ289" s="185"/>
      <c r="AK289" s="185"/>
      <c r="AL289" s="185"/>
      <c r="AM289" s="185"/>
      <c r="AN289" s="185"/>
      <c r="AO289" s="185"/>
      <c r="AP289" s="185"/>
      <c r="AQ289" s="185"/>
      <c r="AR289" s="185"/>
      <c r="AS289" s="185"/>
      <c r="AT289" s="185"/>
      <c r="AU289" s="185"/>
      <c r="AV289" s="185"/>
    </row>
    <row r="290" spans="13:48" s="277" customFormat="1">
      <c r="M290" s="185"/>
      <c r="N290" s="185"/>
      <c r="O290" s="185"/>
      <c r="S290" s="291">
        <v>41846</v>
      </c>
      <c r="T290" s="279">
        <v>207</v>
      </c>
      <c r="AI290" s="185"/>
      <c r="AJ290" s="185"/>
      <c r="AK290" s="185"/>
      <c r="AL290" s="185"/>
      <c r="AM290" s="185"/>
      <c r="AN290" s="185"/>
      <c r="AO290" s="185"/>
      <c r="AP290" s="185"/>
      <c r="AQ290" s="185"/>
      <c r="AR290" s="185"/>
      <c r="AS290" s="185"/>
      <c r="AT290" s="185"/>
      <c r="AU290" s="185"/>
      <c r="AV290" s="185"/>
    </row>
    <row r="291" spans="13:48" s="277" customFormat="1">
      <c r="M291" s="185"/>
      <c r="N291" s="185"/>
      <c r="O291" s="185"/>
      <c r="S291" s="291">
        <v>41847</v>
      </c>
      <c r="T291" s="279">
        <v>208</v>
      </c>
      <c r="AI291" s="185"/>
      <c r="AJ291" s="185"/>
      <c r="AK291" s="185"/>
      <c r="AL291" s="185"/>
      <c r="AM291" s="185"/>
      <c r="AN291" s="185"/>
      <c r="AO291" s="185"/>
      <c r="AP291" s="185"/>
      <c r="AQ291" s="185"/>
      <c r="AR291" s="185"/>
      <c r="AS291" s="185"/>
      <c r="AT291" s="185"/>
      <c r="AU291" s="185"/>
      <c r="AV291" s="185"/>
    </row>
    <row r="292" spans="13:48" s="277" customFormat="1">
      <c r="M292" s="185"/>
      <c r="N292" s="185"/>
      <c r="O292" s="185"/>
      <c r="S292" s="291">
        <v>41848</v>
      </c>
      <c r="T292" s="279">
        <v>209</v>
      </c>
      <c r="AI292" s="185"/>
      <c r="AJ292" s="185"/>
      <c r="AK292" s="185"/>
      <c r="AL292" s="185"/>
      <c r="AM292" s="185"/>
      <c r="AN292" s="185"/>
      <c r="AO292" s="185"/>
      <c r="AP292" s="185"/>
      <c r="AQ292" s="185"/>
      <c r="AR292" s="185"/>
      <c r="AS292" s="185"/>
      <c r="AT292" s="185"/>
      <c r="AU292" s="185"/>
      <c r="AV292" s="185"/>
    </row>
    <row r="293" spans="13:48" s="277" customFormat="1">
      <c r="M293" s="185"/>
      <c r="N293" s="185"/>
      <c r="O293" s="185"/>
      <c r="S293" s="291">
        <v>41849</v>
      </c>
      <c r="T293" s="279">
        <v>210</v>
      </c>
      <c r="AI293" s="185"/>
      <c r="AJ293" s="185"/>
      <c r="AK293" s="185"/>
      <c r="AL293" s="185"/>
      <c r="AM293" s="185"/>
      <c r="AN293" s="185"/>
      <c r="AO293" s="185"/>
      <c r="AP293" s="185"/>
      <c r="AQ293" s="185"/>
      <c r="AR293" s="185"/>
      <c r="AS293" s="185"/>
      <c r="AT293" s="185"/>
      <c r="AU293" s="185"/>
      <c r="AV293" s="185"/>
    </row>
    <row r="294" spans="13:48" s="277" customFormat="1">
      <c r="M294" s="185"/>
      <c r="N294" s="185"/>
      <c r="O294" s="185"/>
      <c r="S294" s="291">
        <v>41850</v>
      </c>
      <c r="T294" s="279">
        <v>211</v>
      </c>
      <c r="AI294" s="185"/>
      <c r="AJ294" s="185"/>
      <c r="AK294" s="185"/>
      <c r="AL294" s="185"/>
      <c r="AM294" s="185"/>
      <c r="AN294" s="185"/>
      <c r="AO294" s="185"/>
      <c r="AP294" s="185"/>
      <c r="AQ294" s="185"/>
      <c r="AR294" s="185"/>
      <c r="AS294" s="185"/>
      <c r="AT294" s="185"/>
      <c r="AU294" s="185"/>
      <c r="AV294" s="185"/>
    </row>
    <row r="295" spans="13:48" s="277" customFormat="1">
      <c r="M295" s="185"/>
      <c r="N295" s="185"/>
      <c r="O295" s="185"/>
      <c r="S295" s="291">
        <v>41851</v>
      </c>
      <c r="T295" s="279">
        <v>212</v>
      </c>
      <c r="AI295" s="185"/>
      <c r="AJ295" s="185"/>
      <c r="AK295" s="185"/>
      <c r="AL295" s="185"/>
      <c r="AM295" s="185"/>
      <c r="AN295" s="185"/>
      <c r="AO295" s="185"/>
      <c r="AP295" s="185"/>
      <c r="AQ295" s="185"/>
      <c r="AR295" s="185"/>
      <c r="AS295" s="185"/>
      <c r="AT295" s="185"/>
      <c r="AU295" s="185"/>
      <c r="AV295" s="185"/>
    </row>
    <row r="296" spans="13:48" s="277" customFormat="1">
      <c r="M296" s="185"/>
      <c r="N296" s="185"/>
      <c r="O296" s="185"/>
      <c r="S296" s="291">
        <v>41852</v>
      </c>
      <c r="T296" s="279">
        <v>213</v>
      </c>
      <c r="AI296" s="185"/>
      <c r="AJ296" s="185"/>
      <c r="AK296" s="185"/>
      <c r="AL296" s="185"/>
      <c r="AM296" s="185"/>
      <c r="AN296" s="185"/>
      <c r="AO296" s="185"/>
      <c r="AP296" s="185"/>
      <c r="AQ296" s="185"/>
      <c r="AR296" s="185"/>
      <c r="AS296" s="185"/>
      <c r="AT296" s="185"/>
      <c r="AU296" s="185"/>
      <c r="AV296" s="185"/>
    </row>
    <row r="297" spans="13:48" s="277" customFormat="1">
      <c r="M297" s="185"/>
      <c r="N297" s="185"/>
      <c r="O297" s="185"/>
      <c r="S297" s="291">
        <v>41853</v>
      </c>
      <c r="T297" s="279">
        <v>214</v>
      </c>
      <c r="AI297" s="185"/>
      <c r="AJ297" s="185"/>
      <c r="AK297" s="185"/>
      <c r="AL297" s="185"/>
      <c r="AM297" s="185"/>
      <c r="AN297" s="185"/>
      <c r="AO297" s="185"/>
      <c r="AP297" s="185"/>
      <c r="AQ297" s="185"/>
      <c r="AR297" s="185"/>
      <c r="AS297" s="185"/>
      <c r="AT297" s="185"/>
      <c r="AU297" s="185"/>
      <c r="AV297" s="185"/>
    </row>
    <row r="298" spans="13:48" s="277" customFormat="1">
      <c r="M298" s="185"/>
      <c r="N298" s="185"/>
      <c r="O298" s="185"/>
      <c r="S298" s="291">
        <v>41854</v>
      </c>
      <c r="T298" s="279">
        <v>215</v>
      </c>
      <c r="AI298" s="185"/>
      <c r="AJ298" s="185"/>
      <c r="AK298" s="185"/>
      <c r="AL298" s="185"/>
      <c r="AM298" s="185"/>
      <c r="AN298" s="185"/>
      <c r="AO298" s="185"/>
      <c r="AP298" s="185"/>
      <c r="AQ298" s="185"/>
      <c r="AR298" s="185"/>
      <c r="AS298" s="185"/>
      <c r="AT298" s="185"/>
      <c r="AU298" s="185"/>
      <c r="AV298" s="185"/>
    </row>
    <row r="299" spans="13:48" s="277" customFormat="1">
      <c r="M299" s="185"/>
      <c r="N299" s="185"/>
      <c r="O299" s="185"/>
      <c r="S299" s="291">
        <v>41855</v>
      </c>
      <c r="T299" s="279">
        <v>216</v>
      </c>
      <c r="AI299" s="185"/>
      <c r="AJ299" s="185"/>
      <c r="AK299" s="185"/>
      <c r="AL299" s="185"/>
      <c r="AM299" s="185"/>
      <c r="AN299" s="185"/>
      <c r="AO299" s="185"/>
      <c r="AP299" s="185"/>
      <c r="AQ299" s="185"/>
      <c r="AR299" s="185"/>
      <c r="AS299" s="185"/>
      <c r="AT299" s="185"/>
      <c r="AU299" s="185"/>
      <c r="AV299" s="185"/>
    </row>
    <row r="300" spans="13:48" s="277" customFormat="1">
      <c r="M300" s="185"/>
      <c r="N300" s="185"/>
      <c r="O300" s="185"/>
      <c r="S300" s="291">
        <v>41856</v>
      </c>
      <c r="T300" s="279">
        <v>217</v>
      </c>
      <c r="AI300" s="185"/>
      <c r="AJ300" s="185"/>
      <c r="AK300" s="185"/>
      <c r="AL300" s="185"/>
      <c r="AM300" s="185"/>
      <c r="AN300" s="185"/>
      <c r="AO300" s="185"/>
      <c r="AP300" s="185"/>
      <c r="AQ300" s="185"/>
      <c r="AR300" s="185"/>
      <c r="AS300" s="185"/>
      <c r="AT300" s="185"/>
      <c r="AU300" s="185"/>
      <c r="AV300" s="185"/>
    </row>
    <row r="301" spans="13:48" s="277" customFormat="1">
      <c r="M301" s="185"/>
      <c r="N301" s="185"/>
      <c r="O301" s="185"/>
      <c r="S301" s="291">
        <v>41857</v>
      </c>
      <c r="T301" s="279">
        <v>218</v>
      </c>
      <c r="AI301" s="185"/>
      <c r="AJ301" s="185"/>
      <c r="AK301" s="185"/>
      <c r="AL301" s="185"/>
      <c r="AM301" s="185"/>
      <c r="AN301" s="185"/>
      <c r="AO301" s="185"/>
      <c r="AP301" s="185"/>
      <c r="AQ301" s="185"/>
      <c r="AR301" s="185"/>
      <c r="AS301" s="185"/>
      <c r="AT301" s="185"/>
      <c r="AU301" s="185"/>
      <c r="AV301" s="185"/>
    </row>
    <row r="302" spans="13:48" s="277" customFormat="1">
      <c r="M302" s="185"/>
      <c r="N302" s="185"/>
      <c r="O302" s="185"/>
      <c r="S302" s="291">
        <v>41858</v>
      </c>
      <c r="T302" s="279">
        <v>219</v>
      </c>
      <c r="AI302" s="185"/>
      <c r="AJ302" s="185"/>
      <c r="AK302" s="185"/>
      <c r="AL302" s="185"/>
      <c r="AM302" s="185"/>
      <c r="AN302" s="185"/>
      <c r="AO302" s="185"/>
      <c r="AP302" s="185"/>
      <c r="AQ302" s="185"/>
      <c r="AR302" s="185"/>
      <c r="AS302" s="185"/>
      <c r="AT302" s="185"/>
      <c r="AU302" s="185"/>
      <c r="AV302" s="185"/>
    </row>
    <row r="303" spans="13:48" s="277" customFormat="1">
      <c r="M303" s="185"/>
      <c r="N303" s="185"/>
      <c r="O303" s="185"/>
      <c r="S303" s="291">
        <v>41859</v>
      </c>
      <c r="T303" s="279">
        <v>220</v>
      </c>
      <c r="AI303" s="185"/>
      <c r="AJ303" s="185"/>
      <c r="AK303" s="185"/>
      <c r="AL303" s="185"/>
      <c r="AM303" s="185"/>
      <c r="AN303" s="185"/>
      <c r="AO303" s="185"/>
      <c r="AP303" s="185"/>
      <c r="AQ303" s="185"/>
      <c r="AR303" s="185"/>
      <c r="AS303" s="185"/>
      <c r="AT303" s="185"/>
      <c r="AU303" s="185"/>
      <c r="AV303" s="185"/>
    </row>
    <row r="304" spans="13:48" s="277" customFormat="1">
      <c r="M304" s="185"/>
      <c r="N304" s="185"/>
      <c r="O304" s="185"/>
      <c r="S304" s="291">
        <v>41860</v>
      </c>
      <c r="T304" s="279">
        <v>221</v>
      </c>
      <c r="AI304" s="185"/>
      <c r="AJ304" s="185"/>
      <c r="AK304" s="185"/>
      <c r="AL304" s="185"/>
      <c r="AM304" s="185"/>
      <c r="AN304" s="185"/>
      <c r="AO304" s="185"/>
      <c r="AP304" s="185"/>
      <c r="AQ304" s="185"/>
      <c r="AR304" s="185"/>
      <c r="AS304" s="185"/>
      <c r="AT304" s="185"/>
      <c r="AU304" s="185"/>
      <c r="AV304" s="185"/>
    </row>
    <row r="305" spans="13:48" s="277" customFormat="1">
      <c r="M305" s="185"/>
      <c r="N305" s="185"/>
      <c r="O305" s="185"/>
      <c r="S305" s="291">
        <v>41861</v>
      </c>
      <c r="T305" s="279">
        <v>222</v>
      </c>
      <c r="AI305" s="185"/>
      <c r="AJ305" s="185"/>
      <c r="AK305" s="185"/>
      <c r="AL305" s="185"/>
      <c r="AM305" s="185"/>
      <c r="AN305" s="185"/>
      <c r="AO305" s="185"/>
      <c r="AP305" s="185"/>
      <c r="AQ305" s="185"/>
      <c r="AR305" s="185"/>
      <c r="AS305" s="185"/>
      <c r="AT305" s="185"/>
      <c r="AU305" s="185"/>
      <c r="AV305" s="185"/>
    </row>
    <row r="306" spans="13:48" s="277" customFormat="1">
      <c r="M306" s="185"/>
      <c r="N306" s="185"/>
      <c r="O306" s="185"/>
      <c r="S306" s="291">
        <v>41862</v>
      </c>
      <c r="T306" s="279">
        <v>223</v>
      </c>
      <c r="AI306" s="185"/>
      <c r="AJ306" s="185"/>
      <c r="AK306" s="185"/>
      <c r="AL306" s="185"/>
      <c r="AM306" s="185"/>
      <c r="AN306" s="185"/>
      <c r="AO306" s="185"/>
      <c r="AP306" s="185"/>
      <c r="AQ306" s="185"/>
      <c r="AR306" s="185"/>
      <c r="AS306" s="185"/>
      <c r="AT306" s="185"/>
      <c r="AU306" s="185"/>
      <c r="AV306" s="185"/>
    </row>
    <row r="307" spans="13:48" s="277" customFormat="1">
      <c r="M307" s="185"/>
      <c r="N307" s="185"/>
      <c r="O307" s="185"/>
      <c r="S307" s="291">
        <v>41863</v>
      </c>
      <c r="T307" s="279">
        <v>224</v>
      </c>
      <c r="AI307" s="185"/>
      <c r="AJ307" s="185"/>
      <c r="AK307" s="185"/>
      <c r="AL307" s="185"/>
      <c r="AM307" s="185"/>
      <c r="AN307" s="185"/>
      <c r="AO307" s="185"/>
      <c r="AP307" s="185"/>
      <c r="AQ307" s="185"/>
      <c r="AR307" s="185"/>
      <c r="AS307" s="185"/>
      <c r="AT307" s="185"/>
      <c r="AU307" s="185"/>
      <c r="AV307" s="185"/>
    </row>
    <row r="308" spans="13:48" s="277" customFormat="1">
      <c r="M308" s="185"/>
      <c r="N308" s="185"/>
      <c r="O308" s="185"/>
      <c r="S308" s="291">
        <v>41864</v>
      </c>
      <c r="T308" s="279">
        <v>225</v>
      </c>
      <c r="AI308" s="185"/>
      <c r="AJ308" s="185"/>
      <c r="AK308" s="185"/>
      <c r="AL308" s="185"/>
      <c r="AM308" s="185"/>
      <c r="AN308" s="185"/>
      <c r="AO308" s="185"/>
      <c r="AP308" s="185"/>
      <c r="AQ308" s="185"/>
      <c r="AR308" s="185"/>
      <c r="AS308" s="185"/>
      <c r="AT308" s="185"/>
      <c r="AU308" s="185"/>
      <c r="AV308" s="185"/>
    </row>
    <row r="309" spans="13:48" s="277" customFormat="1">
      <c r="M309" s="185"/>
      <c r="N309" s="185"/>
      <c r="O309" s="185"/>
      <c r="S309" s="291">
        <v>41865</v>
      </c>
      <c r="T309" s="279">
        <v>226</v>
      </c>
      <c r="AI309" s="185"/>
      <c r="AJ309" s="185"/>
      <c r="AK309" s="185"/>
      <c r="AL309" s="185"/>
      <c r="AM309" s="185"/>
      <c r="AN309" s="185"/>
      <c r="AO309" s="185"/>
      <c r="AP309" s="185"/>
      <c r="AQ309" s="185"/>
      <c r="AR309" s="185"/>
      <c r="AS309" s="185"/>
      <c r="AT309" s="185"/>
      <c r="AU309" s="185"/>
      <c r="AV309" s="185"/>
    </row>
    <row r="310" spans="13:48" s="277" customFormat="1">
      <c r="M310" s="185"/>
      <c r="N310" s="185"/>
      <c r="O310" s="185"/>
      <c r="S310" s="291">
        <v>41866</v>
      </c>
      <c r="T310" s="279">
        <v>227</v>
      </c>
      <c r="AI310" s="185"/>
      <c r="AJ310" s="185"/>
      <c r="AK310" s="185"/>
      <c r="AL310" s="185"/>
      <c r="AM310" s="185"/>
      <c r="AN310" s="185"/>
      <c r="AO310" s="185"/>
      <c r="AP310" s="185"/>
      <c r="AQ310" s="185"/>
      <c r="AR310" s="185"/>
      <c r="AS310" s="185"/>
      <c r="AT310" s="185"/>
      <c r="AU310" s="185"/>
      <c r="AV310" s="185"/>
    </row>
    <row r="311" spans="13:48" s="277" customFormat="1">
      <c r="M311" s="185"/>
      <c r="N311" s="185"/>
      <c r="O311" s="185"/>
      <c r="S311" s="291">
        <v>41867</v>
      </c>
      <c r="T311" s="279">
        <v>228</v>
      </c>
      <c r="AI311" s="185"/>
      <c r="AJ311" s="185"/>
      <c r="AK311" s="185"/>
      <c r="AL311" s="185"/>
      <c r="AM311" s="185"/>
      <c r="AN311" s="185"/>
      <c r="AO311" s="185"/>
      <c r="AP311" s="185"/>
      <c r="AQ311" s="185"/>
      <c r="AR311" s="185"/>
      <c r="AS311" s="185"/>
      <c r="AT311" s="185"/>
      <c r="AU311" s="185"/>
      <c r="AV311" s="185"/>
    </row>
    <row r="312" spans="13:48" s="277" customFormat="1">
      <c r="M312" s="185"/>
      <c r="N312" s="185"/>
      <c r="O312" s="185"/>
      <c r="S312" s="291">
        <v>41868</v>
      </c>
      <c r="T312" s="279">
        <v>229</v>
      </c>
      <c r="AI312" s="185"/>
      <c r="AJ312" s="185"/>
      <c r="AK312" s="185"/>
      <c r="AL312" s="185"/>
      <c r="AM312" s="185"/>
      <c r="AN312" s="185"/>
      <c r="AO312" s="185"/>
      <c r="AP312" s="185"/>
      <c r="AQ312" s="185"/>
      <c r="AR312" s="185"/>
      <c r="AS312" s="185"/>
      <c r="AT312" s="185"/>
      <c r="AU312" s="185"/>
      <c r="AV312" s="185"/>
    </row>
    <row r="313" spans="13:48" s="277" customFormat="1">
      <c r="M313" s="185"/>
      <c r="N313" s="185"/>
      <c r="O313" s="185"/>
      <c r="S313" s="291">
        <v>41869</v>
      </c>
      <c r="T313" s="279">
        <v>230</v>
      </c>
      <c r="AI313" s="185"/>
      <c r="AJ313" s="185"/>
      <c r="AK313" s="185"/>
      <c r="AL313" s="185"/>
      <c r="AM313" s="185"/>
      <c r="AN313" s="185"/>
      <c r="AO313" s="185"/>
      <c r="AP313" s="185"/>
      <c r="AQ313" s="185"/>
      <c r="AR313" s="185"/>
      <c r="AS313" s="185"/>
      <c r="AT313" s="185"/>
      <c r="AU313" s="185"/>
      <c r="AV313" s="185"/>
    </row>
    <row r="314" spans="13:48" s="277" customFormat="1">
      <c r="M314" s="185"/>
      <c r="N314" s="185"/>
      <c r="O314" s="185"/>
      <c r="S314" s="291">
        <v>41870</v>
      </c>
      <c r="T314" s="279">
        <v>231</v>
      </c>
      <c r="AI314" s="185"/>
      <c r="AJ314" s="185"/>
      <c r="AK314" s="185"/>
      <c r="AL314" s="185"/>
      <c r="AM314" s="185"/>
      <c r="AN314" s="185"/>
      <c r="AO314" s="185"/>
      <c r="AP314" s="185"/>
      <c r="AQ314" s="185"/>
      <c r="AR314" s="185"/>
      <c r="AS314" s="185"/>
      <c r="AT314" s="185"/>
      <c r="AU314" s="185"/>
      <c r="AV314" s="185"/>
    </row>
    <row r="315" spans="13:48" s="277" customFormat="1">
      <c r="M315" s="185"/>
      <c r="N315" s="185"/>
      <c r="O315" s="185"/>
      <c r="S315" s="291">
        <v>41871</v>
      </c>
      <c r="T315" s="279">
        <v>232</v>
      </c>
      <c r="AI315" s="185"/>
      <c r="AJ315" s="185"/>
      <c r="AK315" s="185"/>
      <c r="AL315" s="185"/>
      <c r="AM315" s="185"/>
      <c r="AN315" s="185"/>
      <c r="AO315" s="185"/>
      <c r="AP315" s="185"/>
      <c r="AQ315" s="185"/>
      <c r="AR315" s="185"/>
      <c r="AS315" s="185"/>
      <c r="AT315" s="185"/>
      <c r="AU315" s="185"/>
      <c r="AV315" s="185"/>
    </row>
    <row r="316" spans="13:48" s="277" customFormat="1">
      <c r="M316" s="185"/>
      <c r="N316" s="185"/>
      <c r="O316" s="185"/>
      <c r="S316" s="291">
        <v>41872</v>
      </c>
      <c r="T316" s="279">
        <v>233</v>
      </c>
      <c r="AI316" s="185"/>
      <c r="AJ316" s="185"/>
      <c r="AK316" s="185"/>
      <c r="AL316" s="185"/>
      <c r="AM316" s="185"/>
      <c r="AN316" s="185"/>
      <c r="AO316" s="185"/>
      <c r="AP316" s="185"/>
      <c r="AQ316" s="185"/>
      <c r="AR316" s="185"/>
      <c r="AS316" s="185"/>
      <c r="AT316" s="185"/>
      <c r="AU316" s="185"/>
      <c r="AV316" s="185"/>
    </row>
    <row r="317" spans="13:48" s="277" customFormat="1">
      <c r="M317" s="185"/>
      <c r="N317" s="185"/>
      <c r="O317" s="185"/>
      <c r="S317" s="291">
        <v>41873</v>
      </c>
      <c r="T317" s="279">
        <v>234</v>
      </c>
      <c r="AI317" s="185"/>
      <c r="AJ317" s="185"/>
      <c r="AK317" s="185"/>
      <c r="AL317" s="185"/>
      <c r="AM317" s="185"/>
      <c r="AN317" s="185"/>
      <c r="AO317" s="185"/>
      <c r="AP317" s="185"/>
      <c r="AQ317" s="185"/>
      <c r="AR317" s="185"/>
      <c r="AS317" s="185"/>
      <c r="AT317" s="185"/>
      <c r="AU317" s="185"/>
      <c r="AV317" s="185"/>
    </row>
    <row r="318" spans="13:48" s="277" customFormat="1">
      <c r="M318" s="185"/>
      <c r="N318" s="185"/>
      <c r="O318" s="185"/>
      <c r="S318" s="291">
        <v>41874</v>
      </c>
      <c r="T318" s="279">
        <v>235</v>
      </c>
      <c r="AI318" s="185"/>
      <c r="AJ318" s="185"/>
      <c r="AK318" s="185"/>
      <c r="AL318" s="185"/>
      <c r="AM318" s="185"/>
      <c r="AN318" s="185"/>
      <c r="AO318" s="185"/>
      <c r="AP318" s="185"/>
      <c r="AQ318" s="185"/>
      <c r="AR318" s="185"/>
      <c r="AS318" s="185"/>
      <c r="AT318" s="185"/>
      <c r="AU318" s="185"/>
      <c r="AV318" s="185"/>
    </row>
    <row r="319" spans="13:48" s="277" customFormat="1">
      <c r="M319" s="185"/>
      <c r="N319" s="185"/>
      <c r="O319" s="185"/>
      <c r="S319" s="291">
        <v>41875</v>
      </c>
      <c r="T319" s="279">
        <v>236</v>
      </c>
      <c r="AI319" s="185"/>
      <c r="AJ319" s="185"/>
      <c r="AK319" s="185"/>
      <c r="AL319" s="185"/>
      <c r="AM319" s="185"/>
      <c r="AN319" s="185"/>
      <c r="AO319" s="185"/>
      <c r="AP319" s="185"/>
      <c r="AQ319" s="185"/>
      <c r="AR319" s="185"/>
      <c r="AS319" s="185"/>
      <c r="AT319" s="185"/>
      <c r="AU319" s="185"/>
      <c r="AV319" s="185"/>
    </row>
    <row r="320" spans="13:48" s="277" customFormat="1">
      <c r="M320" s="185"/>
      <c r="N320" s="185"/>
      <c r="O320" s="185"/>
      <c r="S320" s="291">
        <v>41876</v>
      </c>
      <c r="T320" s="279">
        <v>237</v>
      </c>
      <c r="AI320" s="185"/>
      <c r="AJ320" s="185"/>
      <c r="AK320" s="185"/>
      <c r="AL320" s="185"/>
      <c r="AM320" s="185"/>
      <c r="AN320" s="185"/>
      <c r="AO320" s="185"/>
      <c r="AP320" s="185"/>
      <c r="AQ320" s="185"/>
      <c r="AR320" s="185"/>
      <c r="AS320" s="185"/>
      <c r="AT320" s="185"/>
      <c r="AU320" s="185"/>
      <c r="AV320" s="185"/>
    </row>
    <row r="321" spans="13:48" s="277" customFormat="1">
      <c r="M321" s="185"/>
      <c r="N321" s="185"/>
      <c r="O321" s="185"/>
      <c r="S321" s="291">
        <v>41877</v>
      </c>
      <c r="T321" s="279">
        <v>238</v>
      </c>
      <c r="AI321" s="185"/>
      <c r="AJ321" s="185"/>
      <c r="AK321" s="185"/>
      <c r="AL321" s="185"/>
      <c r="AM321" s="185"/>
      <c r="AN321" s="185"/>
      <c r="AO321" s="185"/>
      <c r="AP321" s="185"/>
      <c r="AQ321" s="185"/>
      <c r="AR321" s="185"/>
      <c r="AS321" s="185"/>
      <c r="AT321" s="185"/>
      <c r="AU321" s="185"/>
      <c r="AV321" s="185"/>
    </row>
    <row r="322" spans="13:48" s="277" customFormat="1">
      <c r="M322" s="185"/>
      <c r="N322" s="185"/>
      <c r="O322" s="185"/>
      <c r="S322" s="291">
        <v>41878</v>
      </c>
      <c r="T322" s="279">
        <v>239</v>
      </c>
      <c r="AI322" s="185"/>
      <c r="AJ322" s="185"/>
      <c r="AK322" s="185"/>
      <c r="AL322" s="185"/>
      <c r="AM322" s="185"/>
      <c r="AN322" s="185"/>
      <c r="AO322" s="185"/>
      <c r="AP322" s="185"/>
      <c r="AQ322" s="185"/>
      <c r="AR322" s="185"/>
      <c r="AS322" s="185"/>
      <c r="AT322" s="185"/>
      <c r="AU322" s="185"/>
      <c r="AV322" s="185"/>
    </row>
    <row r="323" spans="13:48" s="277" customFormat="1">
      <c r="M323" s="185"/>
      <c r="N323" s="185"/>
      <c r="O323" s="185"/>
      <c r="S323" s="291">
        <v>41879</v>
      </c>
      <c r="T323" s="279">
        <v>240</v>
      </c>
      <c r="AI323" s="185"/>
      <c r="AJ323" s="185"/>
      <c r="AK323" s="185"/>
      <c r="AL323" s="185"/>
      <c r="AM323" s="185"/>
      <c r="AN323" s="185"/>
      <c r="AO323" s="185"/>
      <c r="AP323" s="185"/>
      <c r="AQ323" s="185"/>
      <c r="AR323" s="185"/>
      <c r="AS323" s="185"/>
      <c r="AT323" s="185"/>
      <c r="AU323" s="185"/>
      <c r="AV323" s="185"/>
    </row>
    <row r="324" spans="13:48" s="277" customFormat="1">
      <c r="M324" s="185"/>
      <c r="N324" s="185"/>
      <c r="O324" s="185"/>
      <c r="S324" s="291">
        <v>41880</v>
      </c>
      <c r="T324" s="279">
        <v>241</v>
      </c>
      <c r="AI324" s="185"/>
      <c r="AJ324" s="185"/>
      <c r="AK324" s="185"/>
      <c r="AL324" s="185"/>
      <c r="AM324" s="185"/>
      <c r="AN324" s="185"/>
      <c r="AO324" s="185"/>
      <c r="AP324" s="185"/>
      <c r="AQ324" s="185"/>
      <c r="AR324" s="185"/>
      <c r="AS324" s="185"/>
      <c r="AT324" s="185"/>
      <c r="AU324" s="185"/>
      <c r="AV324" s="185"/>
    </row>
    <row r="325" spans="13:48" s="277" customFormat="1">
      <c r="M325" s="185"/>
      <c r="N325" s="185"/>
      <c r="O325" s="185"/>
      <c r="S325" s="291">
        <v>41881</v>
      </c>
      <c r="T325" s="279">
        <v>242</v>
      </c>
      <c r="AI325" s="185"/>
      <c r="AJ325" s="185"/>
      <c r="AK325" s="185"/>
      <c r="AL325" s="185"/>
      <c r="AM325" s="185"/>
      <c r="AN325" s="185"/>
      <c r="AO325" s="185"/>
      <c r="AP325" s="185"/>
      <c r="AQ325" s="185"/>
      <c r="AR325" s="185"/>
      <c r="AS325" s="185"/>
      <c r="AT325" s="185"/>
      <c r="AU325" s="185"/>
      <c r="AV325" s="185"/>
    </row>
    <row r="326" spans="13:48" s="277" customFormat="1">
      <c r="M326" s="185"/>
      <c r="N326" s="185"/>
      <c r="O326" s="185"/>
      <c r="S326" s="291">
        <v>41882</v>
      </c>
      <c r="T326" s="279">
        <v>243</v>
      </c>
      <c r="AI326" s="185"/>
      <c r="AJ326" s="185"/>
      <c r="AK326" s="185"/>
      <c r="AL326" s="185"/>
      <c r="AM326" s="185"/>
      <c r="AN326" s="185"/>
      <c r="AO326" s="185"/>
      <c r="AP326" s="185"/>
      <c r="AQ326" s="185"/>
      <c r="AR326" s="185"/>
      <c r="AS326" s="185"/>
      <c r="AT326" s="185"/>
      <c r="AU326" s="185"/>
      <c r="AV326" s="185"/>
    </row>
    <row r="327" spans="13:48" s="277" customFormat="1">
      <c r="M327" s="185"/>
      <c r="N327" s="185"/>
      <c r="O327" s="185"/>
      <c r="S327" s="291">
        <v>41883</v>
      </c>
      <c r="T327" s="279">
        <v>244</v>
      </c>
      <c r="AI327" s="185"/>
      <c r="AJ327" s="185"/>
      <c r="AK327" s="185"/>
      <c r="AL327" s="185"/>
      <c r="AM327" s="185"/>
      <c r="AN327" s="185"/>
      <c r="AO327" s="185"/>
      <c r="AP327" s="185"/>
      <c r="AQ327" s="185"/>
      <c r="AR327" s="185"/>
      <c r="AS327" s="185"/>
      <c r="AT327" s="185"/>
      <c r="AU327" s="185"/>
      <c r="AV327" s="185"/>
    </row>
    <row r="328" spans="13:48" s="277" customFormat="1">
      <c r="M328" s="185"/>
      <c r="N328" s="185"/>
      <c r="O328" s="185"/>
      <c r="S328" s="291">
        <v>41884</v>
      </c>
      <c r="T328" s="279">
        <v>245</v>
      </c>
      <c r="AI328" s="185"/>
      <c r="AJ328" s="185"/>
      <c r="AK328" s="185"/>
      <c r="AL328" s="185"/>
      <c r="AM328" s="185"/>
      <c r="AN328" s="185"/>
      <c r="AO328" s="185"/>
      <c r="AP328" s="185"/>
      <c r="AQ328" s="185"/>
      <c r="AR328" s="185"/>
      <c r="AS328" s="185"/>
      <c r="AT328" s="185"/>
      <c r="AU328" s="185"/>
      <c r="AV328" s="185"/>
    </row>
    <row r="329" spans="13:48" s="277" customFormat="1">
      <c r="M329" s="185"/>
      <c r="N329" s="185"/>
      <c r="O329" s="185"/>
      <c r="S329" s="291">
        <v>41885</v>
      </c>
      <c r="T329" s="279">
        <v>246</v>
      </c>
      <c r="AI329" s="185"/>
      <c r="AJ329" s="185"/>
      <c r="AK329" s="185"/>
      <c r="AL329" s="185"/>
      <c r="AM329" s="185"/>
      <c r="AN329" s="185"/>
      <c r="AO329" s="185"/>
      <c r="AP329" s="185"/>
      <c r="AQ329" s="185"/>
      <c r="AR329" s="185"/>
      <c r="AS329" s="185"/>
      <c r="AT329" s="185"/>
      <c r="AU329" s="185"/>
      <c r="AV329" s="185"/>
    </row>
    <row r="330" spans="13:48" s="277" customFormat="1">
      <c r="M330" s="185"/>
      <c r="N330" s="185"/>
      <c r="O330" s="185"/>
      <c r="S330" s="291">
        <v>41886</v>
      </c>
      <c r="T330" s="279">
        <v>247</v>
      </c>
      <c r="AI330" s="185"/>
      <c r="AJ330" s="185"/>
      <c r="AK330" s="185"/>
      <c r="AL330" s="185"/>
      <c r="AM330" s="185"/>
      <c r="AN330" s="185"/>
      <c r="AO330" s="185"/>
      <c r="AP330" s="185"/>
      <c r="AQ330" s="185"/>
      <c r="AR330" s="185"/>
      <c r="AS330" s="185"/>
      <c r="AT330" s="185"/>
      <c r="AU330" s="185"/>
      <c r="AV330" s="185"/>
    </row>
    <row r="331" spans="13:48" s="277" customFormat="1">
      <c r="M331" s="185"/>
      <c r="N331" s="185"/>
      <c r="O331" s="185"/>
      <c r="S331" s="291">
        <v>41887</v>
      </c>
      <c r="T331" s="279">
        <v>248</v>
      </c>
      <c r="AI331" s="185"/>
      <c r="AJ331" s="185"/>
      <c r="AK331" s="185"/>
      <c r="AL331" s="185"/>
      <c r="AM331" s="185"/>
      <c r="AN331" s="185"/>
      <c r="AO331" s="185"/>
      <c r="AP331" s="185"/>
      <c r="AQ331" s="185"/>
      <c r="AR331" s="185"/>
      <c r="AS331" s="185"/>
      <c r="AT331" s="185"/>
      <c r="AU331" s="185"/>
      <c r="AV331" s="185"/>
    </row>
    <row r="332" spans="13:48" s="277" customFormat="1">
      <c r="M332" s="185"/>
      <c r="N332" s="185"/>
      <c r="O332" s="185"/>
      <c r="S332" s="291">
        <v>41888</v>
      </c>
      <c r="T332" s="279">
        <v>249</v>
      </c>
      <c r="AI332" s="185"/>
      <c r="AJ332" s="185"/>
      <c r="AK332" s="185"/>
      <c r="AL332" s="185"/>
      <c r="AM332" s="185"/>
      <c r="AN332" s="185"/>
      <c r="AO332" s="185"/>
      <c r="AP332" s="185"/>
      <c r="AQ332" s="185"/>
      <c r="AR332" s="185"/>
      <c r="AS332" s="185"/>
      <c r="AT332" s="185"/>
      <c r="AU332" s="185"/>
      <c r="AV332" s="185"/>
    </row>
    <row r="333" spans="13:48" s="277" customFormat="1">
      <c r="M333" s="185"/>
      <c r="N333" s="185"/>
      <c r="O333" s="185"/>
      <c r="S333" s="291">
        <v>41889</v>
      </c>
      <c r="T333" s="279">
        <v>250</v>
      </c>
      <c r="AI333" s="185"/>
      <c r="AJ333" s="185"/>
      <c r="AK333" s="185"/>
      <c r="AL333" s="185"/>
      <c r="AM333" s="185"/>
      <c r="AN333" s="185"/>
      <c r="AO333" s="185"/>
      <c r="AP333" s="185"/>
      <c r="AQ333" s="185"/>
      <c r="AR333" s="185"/>
      <c r="AS333" s="185"/>
      <c r="AT333" s="185"/>
      <c r="AU333" s="185"/>
      <c r="AV333" s="185"/>
    </row>
    <row r="334" spans="13:48" s="277" customFormat="1">
      <c r="M334" s="185"/>
      <c r="N334" s="185"/>
      <c r="O334" s="185"/>
      <c r="S334" s="291">
        <v>41890</v>
      </c>
      <c r="T334" s="279">
        <v>251</v>
      </c>
      <c r="AI334" s="185"/>
      <c r="AJ334" s="185"/>
      <c r="AK334" s="185"/>
      <c r="AL334" s="185"/>
      <c r="AM334" s="185"/>
      <c r="AN334" s="185"/>
      <c r="AO334" s="185"/>
      <c r="AP334" s="185"/>
      <c r="AQ334" s="185"/>
      <c r="AR334" s="185"/>
      <c r="AS334" s="185"/>
      <c r="AT334" s="185"/>
      <c r="AU334" s="185"/>
      <c r="AV334" s="185"/>
    </row>
    <row r="335" spans="13:48" s="277" customFormat="1">
      <c r="M335" s="185"/>
      <c r="N335" s="185"/>
      <c r="O335" s="185"/>
      <c r="S335" s="291">
        <v>41891</v>
      </c>
      <c r="T335" s="279">
        <v>252</v>
      </c>
      <c r="AI335" s="185"/>
      <c r="AJ335" s="185"/>
      <c r="AK335" s="185"/>
      <c r="AL335" s="185"/>
      <c r="AM335" s="185"/>
      <c r="AN335" s="185"/>
      <c r="AO335" s="185"/>
      <c r="AP335" s="185"/>
      <c r="AQ335" s="185"/>
      <c r="AR335" s="185"/>
      <c r="AS335" s="185"/>
      <c r="AT335" s="185"/>
      <c r="AU335" s="185"/>
      <c r="AV335" s="185"/>
    </row>
    <row r="336" spans="13:48" s="277" customFormat="1">
      <c r="M336" s="185"/>
      <c r="N336" s="185"/>
      <c r="O336" s="185"/>
      <c r="S336" s="291">
        <v>41892</v>
      </c>
      <c r="T336" s="279">
        <v>253</v>
      </c>
      <c r="AI336" s="185"/>
      <c r="AJ336" s="185"/>
      <c r="AK336" s="185"/>
      <c r="AL336" s="185"/>
      <c r="AM336" s="185"/>
      <c r="AN336" s="185"/>
      <c r="AO336" s="185"/>
      <c r="AP336" s="185"/>
      <c r="AQ336" s="185"/>
      <c r="AR336" s="185"/>
      <c r="AS336" s="185"/>
      <c r="AT336" s="185"/>
      <c r="AU336" s="185"/>
      <c r="AV336" s="185"/>
    </row>
    <row r="337" spans="13:48" s="277" customFormat="1">
      <c r="M337" s="185"/>
      <c r="N337" s="185"/>
      <c r="O337" s="185"/>
      <c r="S337" s="291">
        <v>41893</v>
      </c>
      <c r="T337" s="279">
        <v>254</v>
      </c>
      <c r="AI337" s="185"/>
      <c r="AJ337" s="185"/>
      <c r="AK337" s="185"/>
      <c r="AL337" s="185"/>
      <c r="AM337" s="185"/>
      <c r="AN337" s="185"/>
      <c r="AO337" s="185"/>
      <c r="AP337" s="185"/>
      <c r="AQ337" s="185"/>
      <c r="AR337" s="185"/>
      <c r="AS337" s="185"/>
      <c r="AT337" s="185"/>
      <c r="AU337" s="185"/>
      <c r="AV337" s="185"/>
    </row>
    <row r="338" spans="13:48" s="277" customFormat="1">
      <c r="M338" s="185"/>
      <c r="N338" s="185"/>
      <c r="O338" s="185"/>
      <c r="S338" s="291">
        <v>41894</v>
      </c>
      <c r="T338" s="279">
        <v>255</v>
      </c>
      <c r="AI338" s="185"/>
      <c r="AJ338" s="185"/>
      <c r="AK338" s="185"/>
      <c r="AL338" s="185"/>
      <c r="AM338" s="185"/>
      <c r="AN338" s="185"/>
      <c r="AO338" s="185"/>
      <c r="AP338" s="185"/>
      <c r="AQ338" s="185"/>
      <c r="AR338" s="185"/>
      <c r="AS338" s="185"/>
      <c r="AT338" s="185"/>
      <c r="AU338" s="185"/>
      <c r="AV338" s="185"/>
    </row>
    <row r="339" spans="13:48" s="277" customFormat="1">
      <c r="M339" s="185"/>
      <c r="N339" s="185"/>
      <c r="O339" s="185"/>
      <c r="S339" s="291">
        <v>41895</v>
      </c>
      <c r="T339" s="279">
        <v>256</v>
      </c>
      <c r="AI339" s="185"/>
      <c r="AJ339" s="185"/>
      <c r="AK339" s="185"/>
      <c r="AL339" s="185"/>
      <c r="AM339" s="185"/>
      <c r="AN339" s="185"/>
      <c r="AO339" s="185"/>
      <c r="AP339" s="185"/>
      <c r="AQ339" s="185"/>
      <c r="AR339" s="185"/>
      <c r="AS339" s="185"/>
      <c r="AT339" s="185"/>
      <c r="AU339" s="185"/>
      <c r="AV339" s="185"/>
    </row>
    <row r="340" spans="13:48" s="277" customFormat="1">
      <c r="M340" s="185"/>
      <c r="N340" s="185"/>
      <c r="O340" s="185"/>
      <c r="S340" s="291">
        <v>41896</v>
      </c>
      <c r="T340" s="279">
        <v>257</v>
      </c>
      <c r="AI340" s="185"/>
      <c r="AJ340" s="185"/>
      <c r="AK340" s="185"/>
      <c r="AL340" s="185"/>
      <c r="AM340" s="185"/>
      <c r="AN340" s="185"/>
      <c r="AO340" s="185"/>
      <c r="AP340" s="185"/>
      <c r="AQ340" s="185"/>
      <c r="AR340" s="185"/>
      <c r="AS340" s="185"/>
      <c r="AT340" s="185"/>
      <c r="AU340" s="185"/>
      <c r="AV340" s="185"/>
    </row>
    <row r="341" spans="13:48" s="277" customFormat="1">
      <c r="M341" s="185"/>
      <c r="N341" s="185"/>
      <c r="O341" s="185"/>
      <c r="S341" s="291">
        <v>41897</v>
      </c>
      <c r="T341" s="279">
        <v>258</v>
      </c>
      <c r="AI341" s="185"/>
      <c r="AJ341" s="185"/>
      <c r="AK341" s="185"/>
      <c r="AL341" s="185"/>
      <c r="AM341" s="185"/>
      <c r="AN341" s="185"/>
      <c r="AO341" s="185"/>
      <c r="AP341" s="185"/>
      <c r="AQ341" s="185"/>
      <c r="AR341" s="185"/>
      <c r="AS341" s="185"/>
      <c r="AT341" s="185"/>
      <c r="AU341" s="185"/>
      <c r="AV341" s="185"/>
    </row>
    <row r="342" spans="13:48" s="277" customFormat="1">
      <c r="M342" s="185"/>
      <c r="N342" s="185"/>
      <c r="O342" s="185"/>
      <c r="S342" s="291">
        <v>41898</v>
      </c>
      <c r="T342" s="279">
        <v>259</v>
      </c>
      <c r="AI342" s="185"/>
      <c r="AJ342" s="185"/>
      <c r="AK342" s="185"/>
      <c r="AL342" s="185"/>
      <c r="AM342" s="185"/>
      <c r="AN342" s="185"/>
      <c r="AO342" s="185"/>
      <c r="AP342" s="185"/>
      <c r="AQ342" s="185"/>
      <c r="AR342" s="185"/>
      <c r="AS342" s="185"/>
      <c r="AT342" s="185"/>
      <c r="AU342" s="185"/>
      <c r="AV342" s="185"/>
    </row>
    <row r="343" spans="13:48" s="277" customFormat="1">
      <c r="M343" s="185"/>
      <c r="N343" s="185"/>
      <c r="O343" s="185"/>
      <c r="S343" s="291">
        <v>41899</v>
      </c>
      <c r="T343" s="279">
        <v>260</v>
      </c>
      <c r="AI343" s="185"/>
      <c r="AJ343" s="185"/>
      <c r="AK343" s="185"/>
      <c r="AL343" s="185"/>
      <c r="AM343" s="185"/>
      <c r="AN343" s="185"/>
      <c r="AO343" s="185"/>
      <c r="AP343" s="185"/>
      <c r="AQ343" s="185"/>
      <c r="AR343" s="185"/>
      <c r="AS343" s="185"/>
      <c r="AT343" s="185"/>
      <c r="AU343" s="185"/>
      <c r="AV343" s="185"/>
    </row>
    <row r="344" spans="13:48" s="277" customFormat="1">
      <c r="M344" s="185"/>
      <c r="N344" s="185"/>
      <c r="O344" s="185"/>
      <c r="S344" s="291">
        <v>41900</v>
      </c>
      <c r="T344" s="279">
        <v>261</v>
      </c>
      <c r="AI344" s="185"/>
      <c r="AJ344" s="185"/>
      <c r="AK344" s="185"/>
      <c r="AL344" s="185"/>
      <c r="AM344" s="185"/>
      <c r="AN344" s="185"/>
      <c r="AO344" s="185"/>
      <c r="AP344" s="185"/>
      <c r="AQ344" s="185"/>
      <c r="AR344" s="185"/>
      <c r="AS344" s="185"/>
      <c r="AT344" s="185"/>
      <c r="AU344" s="185"/>
      <c r="AV344" s="185"/>
    </row>
    <row r="345" spans="13:48" s="277" customFormat="1">
      <c r="M345" s="185"/>
      <c r="N345" s="185"/>
      <c r="O345" s="185"/>
      <c r="S345" s="291">
        <v>41901</v>
      </c>
      <c r="T345" s="279">
        <v>262</v>
      </c>
      <c r="AI345" s="185"/>
      <c r="AJ345" s="185"/>
      <c r="AK345" s="185"/>
      <c r="AL345" s="185"/>
      <c r="AM345" s="185"/>
      <c r="AN345" s="185"/>
      <c r="AO345" s="185"/>
      <c r="AP345" s="185"/>
      <c r="AQ345" s="185"/>
      <c r="AR345" s="185"/>
      <c r="AS345" s="185"/>
      <c r="AT345" s="185"/>
      <c r="AU345" s="185"/>
      <c r="AV345" s="185"/>
    </row>
    <row r="346" spans="13:48" s="277" customFormat="1">
      <c r="M346" s="185"/>
      <c r="N346" s="185"/>
      <c r="O346" s="185"/>
      <c r="S346" s="291">
        <v>41902</v>
      </c>
      <c r="T346" s="279">
        <v>263</v>
      </c>
      <c r="AI346" s="185"/>
      <c r="AJ346" s="185"/>
      <c r="AK346" s="185"/>
      <c r="AL346" s="185"/>
      <c r="AM346" s="185"/>
      <c r="AN346" s="185"/>
      <c r="AO346" s="185"/>
      <c r="AP346" s="185"/>
      <c r="AQ346" s="185"/>
      <c r="AR346" s="185"/>
      <c r="AS346" s="185"/>
      <c r="AT346" s="185"/>
      <c r="AU346" s="185"/>
      <c r="AV346" s="185"/>
    </row>
    <row r="347" spans="13:48" s="277" customFormat="1">
      <c r="M347" s="185"/>
      <c r="N347" s="185"/>
      <c r="O347" s="185"/>
      <c r="S347" s="291">
        <v>41903</v>
      </c>
      <c r="T347" s="279">
        <v>264</v>
      </c>
      <c r="AI347" s="185"/>
      <c r="AJ347" s="185"/>
      <c r="AK347" s="185"/>
      <c r="AL347" s="185"/>
      <c r="AM347" s="185"/>
      <c r="AN347" s="185"/>
      <c r="AO347" s="185"/>
      <c r="AP347" s="185"/>
      <c r="AQ347" s="185"/>
      <c r="AR347" s="185"/>
      <c r="AS347" s="185"/>
      <c r="AT347" s="185"/>
      <c r="AU347" s="185"/>
      <c r="AV347" s="185"/>
    </row>
    <row r="348" spans="13:48" s="277" customFormat="1">
      <c r="M348" s="185"/>
      <c r="N348" s="185"/>
      <c r="O348" s="185"/>
      <c r="S348" s="291">
        <v>41904</v>
      </c>
      <c r="T348" s="279">
        <v>265</v>
      </c>
      <c r="AI348" s="185"/>
      <c r="AJ348" s="185"/>
      <c r="AK348" s="185"/>
      <c r="AL348" s="185"/>
      <c r="AM348" s="185"/>
      <c r="AN348" s="185"/>
      <c r="AO348" s="185"/>
      <c r="AP348" s="185"/>
      <c r="AQ348" s="185"/>
      <c r="AR348" s="185"/>
      <c r="AS348" s="185"/>
      <c r="AT348" s="185"/>
      <c r="AU348" s="185"/>
      <c r="AV348" s="185"/>
    </row>
    <row r="349" spans="13:48" s="277" customFormat="1">
      <c r="M349" s="185"/>
      <c r="N349" s="185"/>
      <c r="O349" s="185"/>
      <c r="S349" s="291">
        <v>41905</v>
      </c>
      <c r="T349" s="279">
        <v>266</v>
      </c>
      <c r="AI349" s="185"/>
      <c r="AJ349" s="185"/>
      <c r="AK349" s="185"/>
      <c r="AL349" s="185"/>
      <c r="AM349" s="185"/>
      <c r="AN349" s="185"/>
      <c r="AO349" s="185"/>
      <c r="AP349" s="185"/>
      <c r="AQ349" s="185"/>
      <c r="AR349" s="185"/>
      <c r="AS349" s="185"/>
      <c r="AT349" s="185"/>
      <c r="AU349" s="185"/>
      <c r="AV349" s="185"/>
    </row>
    <row r="350" spans="13:48" s="277" customFormat="1">
      <c r="M350" s="185"/>
      <c r="N350" s="185"/>
      <c r="O350" s="185"/>
      <c r="S350" s="291">
        <v>41906</v>
      </c>
      <c r="T350" s="279">
        <v>267</v>
      </c>
      <c r="AI350" s="185"/>
      <c r="AJ350" s="185"/>
      <c r="AK350" s="185"/>
      <c r="AL350" s="185"/>
      <c r="AM350" s="185"/>
      <c r="AN350" s="185"/>
      <c r="AO350" s="185"/>
      <c r="AP350" s="185"/>
      <c r="AQ350" s="185"/>
      <c r="AR350" s="185"/>
      <c r="AS350" s="185"/>
      <c r="AT350" s="185"/>
      <c r="AU350" s="185"/>
      <c r="AV350" s="185"/>
    </row>
    <row r="351" spans="13:48" s="277" customFormat="1">
      <c r="M351" s="185"/>
      <c r="N351" s="185"/>
      <c r="O351" s="185"/>
      <c r="S351" s="291">
        <v>41907</v>
      </c>
      <c r="T351" s="279">
        <v>268</v>
      </c>
      <c r="AI351" s="185"/>
      <c r="AJ351" s="185"/>
      <c r="AK351" s="185"/>
      <c r="AL351" s="185"/>
      <c r="AM351" s="185"/>
      <c r="AN351" s="185"/>
      <c r="AO351" s="185"/>
      <c r="AP351" s="185"/>
      <c r="AQ351" s="185"/>
      <c r="AR351" s="185"/>
      <c r="AS351" s="185"/>
      <c r="AT351" s="185"/>
      <c r="AU351" s="185"/>
      <c r="AV351" s="185"/>
    </row>
    <row r="352" spans="13:48" s="277" customFormat="1">
      <c r="M352" s="185"/>
      <c r="N352" s="185"/>
      <c r="O352" s="185"/>
      <c r="S352" s="291">
        <v>41908</v>
      </c>
      <c r="T352" s="279">
        <v>269</v>
      </c>
      <c r="AI352" s="185"/>
      <c r="AJ352" s="185"/>
      <c r="AK352" s="185"/>
      <c r="AL352" s="185"/>
      <c r="AM352" s="185"/>
      <c r="AN352" s="185"/>
      <c r="AO352" s="185"/>
      <c r="AP352" s="185"/>
      <c r="AQ352" s="185"/>
      <c r="AR352" s="185"/>
      <c r="AS352" s="185"/>
      <c r="AT352" s="185"/>
      <c r="AU352" s="185"/>
      <c r="AV352" s="185"/>
    </row>
    <row r="353" spans="13:48" s="277" customFormat="1">
      <c r="M353" s="185"/>
      <c r="N353" s="185"/>
      <c r="O353" s="185"/>
      <c r="S353" s="291">
        <v>41909</v>
      </c>
      <c r="T353" s="279">
        <v>270</v>
      </c>
      <c r="AI353" s="185"/>
      <c r="AJ353" s="185"/>
      <c r="AK353" s="185"/>
      <c r="AL353" s="185"/>
      <c r="AM353" s="185"/>
      <c r="AN353" s="185"/>
      <c r="AO353" s="185"/>
      <c r="AP353" s="185"/>
      <c r="AQ353" s="185"/>
      <c r="AR353" s="185"/>
      <c r="AS353" s="185"/>
      <c r="AT353" s="185"/>
      <c r="AU353" s="185"/>
      <c r="AV353" s="185"/>
    </row>
    <row r="354" spans="13:48" s="277" customFormat="1">
      <c r="M354" s="185"/>
      <c r="N354" s="185"/>
      <c r="O354" s="185"/>
      <c r="S354" s="291">
        <v>41910</v>
      </c>
      <c r="T354" s="279">
        <v>271</v>
      </c>
      <c r="AI354" s="185"/>
      <c r="AJ354" s="185"/>
      <c r="AK354" s="185"/>
      <c r="AL354" s="185"/>
      <c r="AM354" s="185"/>
      <c r="AN354" s="185"/>
      <c r="AO354" s="185"/>
      <c r="AP354" s="185"/>
      <c r="AQ354" s="185"/>
      <c r="AR354" s="185"/>
      <c r="AS354" s="185"/>
      <c r="AT354" s="185"/>
      <c r="AU354" s="185"/>
      <c r="AV354" s="185"/>
    </row>
    <row r="355" spans="13:48" s="277" customFormat="1">
      <c r="M355" s="185"/>
      <c r="N355" s="185"/>
      <c r="O355" s="185"/>
      <c r="S355" s="291">
        <v>41911</v>
      </c>
      <c r="T355" s="279">
        <v>272</v>
      </c>
      <c r="AI355" s="185"/>
      <c r="AJ355" s="185"/>
      <c r="AK355" s="185"/>
      <c r="AL355" s="185"/>
      <c r="AM355" s="185"/>
      <c r="AN355" s="185"/>
      <c r="AO355" s="185"/>
      <c r="AP355" s="185"/>
      <c r="AQ355" s="185"/>
      <c r="AR355" s="185"/>
      <c r="AS355" s="185"/>
      <c r="AT355" s="185"/>
      <c r="AU355" s="185"/>
      <c r="AV355" s="185"/>
    </row>
    <row r="356" spans="13:48" s="277" customFormat="1">
      <c r="M356" s="185"/>
      <c r="N356" s="185"/>
      <c r="O356" s="185"/>
      <c r="S356" s="291">
        <v>41912</v>
      </c>
      <c r="T356" s="279">
        <v>273</v>
      </c>
      <c r="AI356" s="185"/>
      <c r="AJ356" s="185"/>
      <c r="AK356" s="185"/>
      <c r="AL356" s="185"/>
      <c r="AM356" s="185"/>
      <c r="AN356" s="185"/>
      <c r="AO356" s="185"/>
      <c r="AP356" s="185"/>
      <c r="AQ356" s="185"/>
      <c r="AR356" s="185"/>
      <c r="AS356" s="185"/>
      <c r="AT356" s="185"/>
      <c r="AU356" s="185"/>
      <c r="AV356" s="185"/>
    </row>
    <row r="357" spans="13:48" s="277" customFormat="1">
      <c r="M357" s="185"/>
      <c r="N357" s="185"/>
      <c r="O357" s="185"/>
      <c r="S357" s="291">
        <v>41913</v>
      </c>
      <c r="T357" s="279">
        <v>274</v>
      </c>
      <c r="AI357" s="185"/>
      <c r="AJ357" s="185"/>
      <c r="AK357" s="185"/>
      <c r="AL357" s="185"/>
      <c r="AM357" s="185"/>
      <c r="AN357" s="185"/>
      <c r="AO357" s="185"/>
      <c r="AP357" s="185"/>
      <c r="AQ357" s="185"/>
      <c r="AR357" s="185"/>
      <c r="AS357" s="185"/>
      <c r="AT357" s="185"/>
      <c r="AU357" s="185"/>
      <c r="AV357" s="185"/>
    </row>
    <row r="358" spans="13:48" s="277" customFormat="1">
      <c r="M358" s="185"/>
      <c r="N358" s="185"/>
      <c r="O358" s="185"/>
      <c r="S358" s="291">
        <v>41914</v>
      </c>
      <c r="T358" s="279">
        <v>275</v>
      </c>
      <c r="AI358" s="185"/>
      <c r="AJ358" s="185"/>
      <c r="AK358" s="185"/>
      <c r="AL358" s="185"/>
      <c r="AM358" s="185"/>
      <c r="AN358" s="185"/>
      <c r="AO358" s="185"/>
      <c r="AP358" s="185"/>
      <c r="AQ358" s="185"/>
      <c r="AR358" s="185"/>
      <c r="AS358" s="185"/>
      <c r="AT358" s="185"/>
      <c r="AU358" s="185"/>
      <c r="AV358" s="185"/>
    </row>
    <row r="359" spans="13:48" s="277" customFormat="1">
      <c r="M359" s="185"/>
      <c r="N359" s="185"/>
      <c r="O359" s="185"/>
      <c r="S359" s="291">
        <v>41915</v>
      </c>
      <c r="T359" s="279">
        <v>276</v>
      </c>
      <c r="AI359" s="185"/>
      <c r="AJ359" s="185"/>
      <c r="AK359" s="185"/>
      <c r="AL359" s="185"/>
      <c r="AM359" s="185"/>
      <c r="AN359" s="185"/>
      <c r="AO359" s="185"/>
      <c r="AP359" s="185"/>
      <c r="AQ359" s="185"/>
      <c r="AR359" s="185"/>
      <c r="AS359" s="185"/>
      <c r="AT359" s="185"/>
      <c r="AU359" s="185"/>
      <c r="AV359" s="185"/>
    </row>
    <row r="360" spans="13:48" s="277" customFormat="1">
      <c r="M360" s="185"/>
      <c r="N360" s="185"/>
      <c r="O360" s="185"/>
      <c r="S360" s="291">
        <v>41916</v>
      </c>
      <c r="T360" s="279">
        <v>277</v>
      </c>
      <c r="AI360" s="185"/>
      <c r="AJ360" s="185"/>
      <c r="AK360" s="185"/>
      <c r="AL360" s="185"/>
      <c r="AM360" s="185"/>
      <c r="AN360" s="185"/>
      <c r="AO360" s="185"/>
      <c r="AP360" s="185"/>
      <c r="AQ360" s="185"/>
      <c r="AR360" s="185"/>
      <c r="AS360" s="185"/>
      <c r="AT360" s="185"/>
      <c r="AU360" s="185"/>
      <c r="AV360" s="185"/>
    </row>
    <row r="361" spans="13:48" s="277" customFormat="1">
      <c r="M361" s="185"/>
      <c r="N361" s="185"/>
      <c r="O361" s="185"/>
      <c r="S361" s="291">
        <v>41917</v>
      </c>
      <c r="T361" s="279">
        <v>278</v>
      </c>
      <c r="AI361" s="185"/>
      <c r="AJ361" s="185"/>
      <c r="AK361" s="185"/>
      <c r="AL361" s="185"/>
      <c r="AM361" s="185"/>
      <c r="AN361" s="185"/>
      <c r="AO361" s="185"/>
      <c r="AP361" s="185"/>
      <c r="AQ361" s="185"/>
      <c r="AR361" s="185"/>
      <c r="AS361" s="185"/>
      <c r="AT361" s="185"/>
      <c r="AU361" s="185"/>
      <c r="AV361" s="185"/>
    </row>
    <row r="362" spans="13:48" s="277" customFormat="1">
      <c r="M362" s="185"/>
      <c r="N362" s="185"/>
      <c r="O362" s="185"/>
      <c r="S362" s="291">
        <v>41918</v>
      </c>
      <c r="T362" s="279">
        <v>279</v>
      </c>
      <c r="AI362" s="185"/>
      <c r="AJ362" s="185"/>
      <c r="AK362" s="185"/>
      <c r="AL362" s="185"/>
      <c r="AM362" s="185"/>
      <c r="AN362" s="185"/>
      <c r="AO362" s="185"/>
      <c r="AP362" s="185"/>
      <c r="AQ362" s="185"/>
      <c r="AR362" s="185"/>
      <c r="AS362" s="185"/>
      <c r="AT362" s="185"/>
      <c r="AU362" s="185"/>
      <c r="AV362" s="185"/>
    </row>
    <row r="363" spans="13:48" s="277" customFormat="1">
      <c r="M363" s="185"/>
      <c r="N363" s="185"/>
      <c r="O363" s="185"/>
      <c r="S363" s="291">
        <v>41919</v>
      </c>
      <c r="T363" s="279">
        <v>280</v>
      </c>
      <c r="AI363" s="185"/>
      <c r="AJ363" s="185"/>
      <c r="AK363" s="185"/>
      <c r="AL363" s="185"/>
      <c r="AM363" s="185"/>
      <c r="AN363" s="185"/>
      <c r="AO363" s="185"/>
      <c r="AP363" s="185"/>
      <c r="AQ363" s="185"/>
      <c r="AR363" s="185"/>
      <c r="AS363" s="185"/>
      <c r="AT363" s="185"/>
      <c r="AU363" s="185"/>
      <c r="AV363" s="185"/>
    </row>
    <row r="364" spans="13:48" s="277" customFormat="1">
      <c r="M364" s="185"/>
      <c r="N364" s="185"/>
      <c r="O364" s="185"/>
      <c r="S364" s="291">
        <v>41920</v>
      </c>
      <c r="T364" s="279">
        <v>281</v>
      </c>
      <c r="AI364" s="185"/>
      <c r="AJ364" s="185"/>
      <c r="AK364" s="185"/>
      <c r="AL364" s="185"/>
      <c r="AM364" s="185"/>
      <c r="AN364" s="185"/>
      <c r="AO364" s="185"/>
      <c r="AP364" s="185"/>
      <c r="AQ364" s="185"/>
      <c r="AR364" s="185"/>
      <c r="AS364" s="185"/>
      <c r="AT364" s="185"/>
      <c r="AU364" s="185"/>
      <c r="AV364" s="185"/>
    </row>
    <row r="365" spans="13:48" s="277" customFormat="1">
      <c r="M365" s="185"/>
      <c r="N365" s="185"/>
      <c r="O365" s="185"/>
      <c r="S365" s="291">
        <v>41921</v>
      </c>
      <c r="T365" s="279">
        <v>282</v>
      </c>
      <c r="AI365" s="185"/>
      <c r="AJ365" s="185"/>
      <c r="AK365" s="185"/>
      <c r="AL365" s="185"/>
      <c r="AM365" s="185"/>
      <c r="AN365" s="185"/>
      <c r="AO365" s="185"/>
      <c r="AP365" s="185"/>
      <c r="AQ365" s="185"/>
      <c r="AR365" s="185"/>
      <c r="AS365" s="185"/>
      <c r="AT365" s="185"/>
      <c r="AU365" s="185"/>
      <c r="AV365" s="185"/>
    </row>
    <row r="366" spans="13:48" s="277" customFormat="1">
      <c r="M366" s="185"/>
      <c r="N366" s="185"/>
      <c r="O366" s="185"/>
      <c r="S366" s="291">
        <v>41922</v>
      </c>
      <c r="T366" s="279">
        <v>283</v>
      </c>
      <c r="AI366" s="185"/>
      <c r="AJ366" s="185"/>
      <c r="AK366" s="185"/>
      <c r="AL366" s="185"/>
      <c r="AM366" s="185"/>
      <c r="AN366" s="185"/>
      <c r="AO366" s="185"/>
      <c r="AP366" s="185"/>
      <c r="AQ366" s="185"/>
      <c r="AR366" s="185"/>
      <c r="AS366" s="185"/>
      <c r="AT366" s="185"/>
      <c r="AU366" s="185"/>
      <c r="AV366" s="185"/>
    </row>
    <row r="367" spans="13:48" s="277" customFormat="1">
      <c r="M367" s="185"/>
      <c r="N367" s="185"/>
      <c r="O367" s="185"/>
      <c r="S367" s="291">
        <v>41923</v>
      </c>
      <c r="T367" s="279">
        <v>284</v>
      </c>
      <c r="AI367" s="185"/>
      <c r="AJ367" s="185"/>
      <c r="AK367" s="185"/>
      <c r="AL367" s="185"/>
      <c r="AM367" s="185"/>
      <c r="AN367" s="185"/>
      <c r="AO367" s="185"/>
      <c r="AP367" s="185"/>
      <c r="AQ367" s="185"/>
      <c r="AR367" s="185"/>
      <c r="AS367" s="185"/>
      <c r="AT367" s="185"/>
      <c r="AU367" s="185"/>
      <c r="AV367" s="185"/>
    </row>
    <row r="368" spans="13:48" s="277" customFormat="1">
      <c r="M368" s="185"/>
      <c r="N368" s="185"/>
      <c r="O368" s="185"/>
      <c r="S368" s="291">
        <v>41924</v>
      </c>
      <c r="T368" s="279">
        <v>285</v>
      </c>
      <c r="AI368" s="185"/>
      <c r="AJ368" s="185"/>
      <c r="AK368" s="185"/>
      <c r="AL368" s="185"/>
      <c r="AM368" s="185"/>
      <c r="AN368" s="185"/>
      <c r="AO368" s="185"/>
      <c r="AP368" s="185"/>
      <c r="AQ368" s="185"/>
      <c r="AR368" s="185"/>
      <c r="AS368" s="185"/>
      <c r="AT368" s="185"/>
      <c r="AU368" s="185"/>
      <c r="AV368" s="185"/>
    </row>
    <row r="369" spans="13:48" s="277" customFormat="1">
      <c r="M369" s="185"/>
      <c r="N369" s="185"/>
      <c r="O369" s="185"/>
      <c r="S369" s="291">
        <v>41925</v>
      </c>
      <c r="T369" s="279">
        <v>286</v>
      </c>
      <c r="AI369" s="185"/>
      <c r="AJ369" s="185"/>
      <c r="AK369" s="185"/>
      <c r="AL369" s="185"/>
      <c r="AM369" s="185"/>
      <c r="AN369" s="185"/>
      <c r="AO369" s="185"/>
      <c r="AP369" s="185"/>
      <c r="AQ369" s="185"/>
      <c r="AR369" s="185"/>
      <c r="AS369" s="185"/>
      <c r="AT369" s="185"/>
      <c r="AU369" s="185"/>
      <c r="AV369" s="185"/>
    </row>
    <row r="370" spans="13:48" s="277" customFormat="1">
      <c r="M370" s="185"/>
      <c r="N370" s="185"/>
      <c r="O370" s="185"/>
      <c r="S370" s="291">
        <v>41926</v>
      </c>
      <c r="T370" s="279">
        <v>287</v>
      </c>
      <c r="AI370" s="185"/>
      <c r="AJ370" s="185"/>
      <c r="AK370" s="185"/>
      <c r="AL370" s="185"/>
      <c r="AM370" s="185"/>
      <c r="AN370" s="185"/>
      <c r="AO370" s="185"/>
      <c r="AP370" s="185"/>
      <c r="AQ370" s="185"/>
      <c r="AR370" s="185"/>
      <c r="AS370" s="185"/>
      <c r="AT370" s="185"/>
      <c r="AU370" s="185"/>
      <c r="AV370" s="185"/>
    </row>
    <row r="371" spans="13:48" s="277" customFormat="1">
      <c r="M371" s="185"/>
      <c r="N371" s="185"/>
      <c r="O371" s="185"/>
      <c r="S371" s="291">
        <v>41927</v>
      </c>
      <c r="T371" s="279">
        <v>288</v>
      </c>
      <c r="AI371" s="185"/>
      <c r="AJ371" s="185"/>
      <c r="AK371" s="185"/>
      <c r="AL371" s="185"/>
      <c r="AM371" s="185"/>
      <c r="AN371" s="185"/>
      <c r="AO371" s="185"/>
      <c r="AP371" s="185"/>
      <c r="AQ371" s="185"/>
      <c r="AR371" s="185"/>
      <c r="AS371" s="185"/>
      <c r="AT371" s="185"/>
      <c r="AU371" s="185"/>
      <c r="AV371" s="185"/>
    </row>
    <row r="372" spans="13:48" s="277" customFormat="1">
      <c r="M372" s="185"/>
      <c r="N372" s="185"/>
      <c r="O372" s="185"/>
      <c r="S372" s="291">
        <v>41928</v>
      </c>
      <c r="T372" s="279">
        <v>289</v>
      </c>
      <c r="AI372" s="185"/>
      <c r="AJ372" s="185"/>
      <c r="AK372" s="185"/>
      <c r="AL372" s="185"/>
      <c r="AM372" s="185"/>
      <c r="AN372" s="185"/>
      <c r="AO372" s="185"/>
      <c r="AP372" s="185"/>
      <c r="AQ372" s="185"/>
      <c r="AR372" s="185"/>
      <c r="AS372" s="185"/>
      <c r="AT372" s="185"/>
      <c r="AU372" s="185"/>
      <c r="AV372" s="185"/>
    </row>
    <row r="373" spans="13:48" s="277" customFormat="1">
      <c r="M373" s="185"/>
      <c r="N373" s="185"/>
      <c r="O373" s="185"/>
      <c r="S373" s="291">
        <v>41929</v>
      </c>
      <c r="T373" s="279">
        <v>290</v>
      </c>
      <c r="AI373" s="185"/>
      <c r="AJ373" s="185"/>
      <c r="AK373" s="185"/>
      <c r="AL373" s="185"/>
      <c r="AM373" s="185"/>
      <c r="AN373" s="185"/>
      <c r="AO373" s="185"/>
      <c r="AP373" s="185"/>
      <c r="AQ373" s="185"/>
      <c r="AR373" s="185"/>
      <c r="AS373" s="185"/>
      <c r="AT373" s="185"/>
      <c r="AU373" s="185"/>
      <c r="AV373" s="185"/>
    </row>
    <row r="374" spans="13:48" s="277" customFormat="1">
      <c r="M374" s="185"/>
      <c r="N374" s="185"/>
      <c r="O374" s="185"/>
      <c r="S374" s="291">
        <v>41930</v>
      </c>
      <c r="T374" s="279">
        <v>291</v>
      </c>
      <c r="AI374" s="185"/>
      <c r="AJ374" s="185"/>
      <c r="AK374" s="185"/>
      <c r="AL374" s="185"/>
      <c r="AM374" s="185"/>
      <c r="AN374" s="185"/>
      <c r="AO374" s="185"/>
      <c r="AP374" s="185"/>
      <c r="AQ374" s="185"/>
      <c r="AR374" s="185"/>
      <c r="AS374" s="185"/>
      <c r="AT374" s="185"/>
      <c r="AU374" s="185"/>
      <c r="AV374" s="185"/>
    </row>
    <row r="375" spans="13:48" s="277" customFormat="1">
      <c r="M375" s="185"/>
      <c r="N375" s="185"/>
      <c r="O375" s="185"/>
      <c r="S375" s="291">
        <v>41931</v>
      </c>
      <c r="T375" s="279">
        <v>292</v>
      </c>
      <c r="AI375" s="185"/>
      <c r="AJ375" s="185"/>
      <c r="AK375" s="185"/>
      <c r="AL375" s="185"/>
      <c r="AM375" s="185"/>
      <c r="AN375" s="185"/>
      <c r="AO375" s="185"/>
      <c r="AP375" s="185"/>
      <c r="AQ375" s="185"/>
      <c r="AR375" s="185"/>
      <c r="AS375" s="185"/>
      <c r="AT375" s="185"/>
      <c r="AU375" s="185"/>
      <c r="AV375" s="185"/>
    </row>
    <row r="376" spans="13:48" s="277" customFormat="1">
      <c r="M376" s="185"/>
      <c r="N376" s="185"/>
      <c r="O376" s="185"/>
      <c r="S376" s="291">
        <v>41932</v>
      </c>
      <c r="T376" s="279">
        <v>293</v>
      </c>
      <c r="AI376" s="185"/>
      <c r="AJ376" s="185"/>
      <c r="AK376" s="185"/>
      <c r="AL376" s="185"/>
      <c r="AM376" s="185"/>
      <c r="AN376" s="185"/>
      <c r="AO376" s="185"/>
      <c r="AP376" s="185"/>
      <c r="AQ376" s="185"/>
      <c r="AR376" s="185"/>
      <c r="AS376" s="185"/>
      <c r="AT376" s="185"/>
      <c r="AU376" s="185"/>
      <c r="AV376" s="185"/>
    </row>
    <row r="377" spans="13:48" s="277" customFormat="1">
      <c r="M377" s="185"/>
      <c r="N377" s="185"/>
      <c r="O377" s="185"/>
      <c r="S377" s="291">
        <v>41933</v>
      </c>
      <c r="T377" s="279">
        <v>294</v>
      </c>
      <c r="AI377" s="185"/>
      <c r="AJ377" s="185"/>
      <c r="AK377" s="185"/>
      <c r="AL377" s="185"/>
      <c r="AM377" s="185"/>
      <c r="AN377" s="185"/>
      <c r="AO377" s="185"/>
      <c r="AP377" s="185"/>
      <c r="AQ377" s="185"/>
      <c r="AR377" s="185"/>
      <c r="AS377" s="185"/>
      <c r="AT377" s="185"/>
      <c r="AU377" s="185"/>
      <c r="AV377" s="185"/>
    </row>
    <row r="378" spans="13:48" s="277" customFormat="1">
      <c r="M378" s="185"/>
      <c r="N378" s="185"/>
      <c r="O378" s="185"/>
      <c r="S378" s="291">
        <v>41934</v>
      </c>
      <c r="T378" s="279">
        <v>295</v>
      </c>
      <c r="AI378" s="185"/>
      <c r="AJ378" s="185"/>
      <c r="AK378" s="185"/>
      <c r="AL378" s="185"/>
      <c r="AM378" s="185"/>
      <c r="AN378" s="185"/>
      <c r="AO378" s="185"/>
      <c r="AP378" s="185"/>
      <c r="AQ378" s="185"/>
      <c r="AR378" s="185"/>
      <c r="AS378" s="185"/>
      <c r="AT378" s="185"/>
      <c r="AU378" s="185"/>
      <c r="AV378" s="185"/>
    </row>
    <row r="379" spans="13:48" s="277" customFormat="1">
      <c r="M379" s="185"/>
      <c r="N379" s="185"/>
      <c r="O379" s="185"/>
      <c r="S379" s="291">
        <v>41935</v>
      </c>
      <c r="T379" s="279">
        <v>296</v>
      </c>
      <c r="AI379" s="185"/>
      <c r="AJ379" s="185"/>
      <c r="AK379" s="185"/>
      <c r="AL379" s="185"/>
      <c r="AM379" s="185"/>
      <c r="AN379" s="185"/>
      <c r="AO379" s="185"/>
      <c r="AP379" s="185"/>
      <c r="AQ379" s="185"/>
      <c r="AR379" s="185"/>
      <c r="AS379" s="185"/>
      <c r="AT379" s="185"/>
      <c r="AU379" s="185"/>
      <c r="AV379" s="185"/>
    </row>
    <row r="380" spans="13:48" s="277" customFormat="1">
      <c r="M380" s="185"/>
      <c r="N380" s="185"/>
      <c r="O380" s="185"/>
      <c r="S380" s="291">
        <v>41936</v>
      </c>
      <c r="T380" s="279">
        <v>297</v>
      </c>
      <c r="AI380" s="185"/>
      <c r="AJ380" s="185"/>
      <c r="AK380" s="185"/>
      <c r="AL380" s="185"/>
      <c r="AM380" s="185"/>
      <c r="AN380" s="185"/>
      <c r="AO380" s="185"/>
      <c r="AP380" s="185"/>
      <c r="AQ380" s="185"/>
      <c r="AR380" s="185"/>
      <c r="AS380" s="185"/>
      <c r="AT380" s="185"/>
      <c r="AU380" s="185"/>
      <c r="AV380" s="185"/>
    </row>
    <row r="381" spans="13:48" s="277" customFormat="1">
      <c r="M381" s="185"/>
      <c r="N381" s="185"/>
      <c r="O381" s="185"/>
      <c r="S381" s="291">
        <v>41937</v>
      </c>
      <c r="T381" s="279">
        <v>298</v>
      </c>
      <c r="AI381" s="185"/>
      <c r="AJ381" s="185"/>
      <c r="AK381" s="185"/>
      <c r="AL381" s="185"/>
      <c r="AM381" s="185"/>
      <c r="AN381" s="185"/>
      <c r="AO381" s="185"/>
      <c r="AP381" s="185"/>
      <c r="AQ381" s="185"/>
      <c r="AR381" s="185"/>
      <c r="AS381" s="185"/>
      <c r="AT381" s="185"/>
      <c r="AU381" s="185"/>
      <c r="AV381" s="185"/>
    </row>
    <row r="382" spans="13:48" s="277" customFormat="1">
      <c r="M382" s="185"/>
      <c r="N382" s="185"/>
      <c r="O382" s="185"/>
      <c r="S382" s="291">
        <v>41938</v>
      </c>
      <c r="T382" s="279">
        <v>299</v>
      </c>
      <c r="AI382" s="185"/>
      <c r="AJ382" s="185"/>
      <c r="AK382" s="185"/>
      <c r="AL382" s="185"/>
      <c r="AM382" s="185"/>
      <c r="AN382" s="185"/>
      <c r="AO382" s="185"/>
      <c r="AP382" s="185"/>
      <c r="AQ382" s="185"/>
      <c r="AR382" s="185"/>
      <c r="AS382" s="185"/>
      <c r="AT382" s="185"/>
      <c r="AU382" s="185"/>
      <c r="AV382" s="185"/>
    </row>
    <row r="383" spans="13:48" s="277" customFormat="1">
      <c r="M383" s="185"/>
      <c r="N383" s="185"/>
      <c r="O383" s="185"/>
      <c r="S383" s="291">
        <v>41939</v>
      </c>
      <c r="T383" s="279">
        <v>300</v>
      </c>
      <c r="AI383" s="185"/>
      <c r="AJ383" s="185"/>
      <c r="AK383" s="185"/>
      <c r="AL383" s="185"/>
      <c r="AM383" s="185"/>
      <c r="AN383" s="185"/>
      <c r="AO383" s="185"/>
      <c r="AP383" s="185"/>
      <c r="AQ383" s="185"/>
      <c r="AR383" s="185"/>
      <c r="AS383" s="185"/>
      <c r="AT383" s="185"/>
      <c r="AU383" s="185"/>
      <c r="AV383" s="185"/>
    </row>
    <row r="384" spans="13:48" s="277" customFormat="1">
      <c r="M384" s="185"/>
      <c r="N384" s="185"/>
      <c r="O384" s="185"/>
      <c r="S384" s="291">
        <v>41940</v>
      </c>
      <c r="T384" s="279">
        <v>301</v>
      </c>
      <c r="AI384" s="185"/>
      <c r="AJ384" s="185"/>
      <c r="AK384" s="185"/>
      <c r="AL384" s="185"/>
      <c r="AM384" s="185"/>
      <c r="AN384" s="185"/>
      <c r="AO384" s="185"/>
      <c r="AP384" s="185"/>
      <c r="AQ384" s="185"/>
      <c r="AR384" s="185"/>
      <c r="AS384" s="185"/>
      <c r="AT384" s="185"/>
      <c r="AU384" s="185"/>
      <c r="AV384" s="185"/>
    </row>
    <row r="385" spans="13:48" s="277" customFormat="1">
      <c r="M385" s="185"/>
      <c r="N385" s="185"/>
      <c r="O385" s="185"/>
      <c r="S385" s="291">
        <v>41941</v>
      </c>
      <c r="T385" s="279">
        <v>302</v>
      </c>
      <c r="AI385" s="185"/>
      <c r="AJ385" s="185"/>
      <c r="AK385" s="185"/>
      <c r="AL385" s="185"/>
      <c r="AM385" s="185"/>
      <c r="AN385" s="185"/>
      <c r="AO385" s="185"/>
      <c r="AP385" s="185"/>
      <c r="AQ385" s="185"/>
      <c r="AR385" s="185"/>
      <c r="AS385" s="185"/>
      <c r="AT385" s="185"/>
      <c r="AU385" s="185"/>
      <c r="AV385" s="185"/>
    </row>
    <row r="386" spans="13:48" s="277" customFormat="1">
      <c r="M386" s="185"/>
      <c r="N386" s="185"/>
      <c r="O386" s="185"/>
      <c r="S386" s="291">
        <v>41942</v>
      </c>
      <c r="T386" s="279">
        <v>303</v>
      </c>
      <c r="AI386" s="185"/>
      <c r="AJ386" s="185"/>
      <c r="AK386" s="185"/>
      <c r="AL386" s="185"/>
      <c r="AM386" s="185"/>
      <c r="AN386" s="185"/>
      <c r="AO386" s="185"/>
      <c r="AP386" s="185"/>
      <c r="AQ386" s="185"/>
      <c r="AR386" s="185"/>
      <c r="AS386" s="185"/>
      <c r="AT386" s="185"/>
      <c r="AU386" s="185"/>
      <c r="AV386" s="185"/>
    </row>
    <row r="387" spans="13:48" s="277" customFormat="1">
      <c r="M387" s="185"/>
      <c r="N387" s="185"/>
      <c r="O387" s="185"/>
      <c r="S387" s="291">
        <v>41943</v>
      </c>
      <c r="T387" s="279">
        <v>304</v>
      </c>
      <c r="AI387" s="185"/>
      <c r="AJ387" s="185"/>
      <c r="AK387" s="185"/>
      <c r="AL387" s="185"/>
      <c r="AM387" s="185"/>
      <c r="AN387" s="185"/>
      <c r="AO387" s="185"/>
      <c r="AP387" s="185"/>
      <c r="AQ387" s="185"/>
      <c r="AR387" s="185"/>
      <c r="AS387" s="185"/>
      <c r="AT387" s="185"/>
      <c r="AU387" s="185"/>
      <c r="AV387" s="185"/>
    </row>
    <row r="388" spans="13:48" s="277" customFormat="1">
      <c r="M388" s="185"/>
      <c r="N388" s="185"/>
      <c r="O388" s="185"/>
      <c r="S388" s="291">
        <v>41944</v>
      </c>
      <c r="T388" s="279">
        <v>305</v>
      </c>
      <c r="AI388" s="185"/>
      <c r="AJ388" s="185"/>
      <c r="AK388" s="185"/>
      <c r="AL388" s="185"/>
      <c r="AM388" s="185"/>
      <c r="AN388" s="185"/>
      <c r="AO388" s="185"/>
      <c r="AP388" s="185"/>
      <c r="AQ388" s="185"/>
      <c r="AR388" s="185"/>
      <c r="AS388" s="185"/>
      <c r="AT388" s="185"/>
      <c r="AU388" s="185"/>
      <c r="AV388" s="185"/>
    </row>
    <row r="389" spans="13:48" s="277" customFormat="1">
      <c r="M389" s="185"/>
      <c r="N389" s="185"/>
      <c r="O389" s="185"/>
      <c r="S389" s="291">
        <v>41945</v>
      </c>
      <c r="T389" s="279">
        <v>306</v>
      </c>
      <c r="AI389" s="185"/>
      <c r="AJ389" s="185"/>
      <c r="AK389" s="185"/>
      <c r="AL389" s="185"/>
      <c r="AM389" s="185"/>
      <c r="AN389" s="185"/>
      <c r="AO389" s="185"/>
      <c r="AP389" s="185"/>
      <c r="AQ389" s="185"/>
      <c r="AR389" s="185"/>
      <c r="AS389" s="185"/>
      <c r="AT389" s="185"/>
      <c r="AU389" s="185"/>
      <c r="AV389" s="185"/>
    </row>
    <row r="390" spans="13:48" s="277" customFormat="1">
      <c r="M390" s="185"/>
      <c r="N390" s="185"/>
      <c r="O390" s="185"/>
      <c r="S390" s="291">
        <v>41946</v>
      </c>
      <c r="T390" s="279">
        <v>307</v>
      </c>
      <c r="AI390" s="185"/>
      <c r="AJ390" s="185"/>
      <c r="AK390" s="185"/>
      <c r="AL390" s="185"/>
      <c r="AM390" s="185"/>
      <c r="AN390" s="185"/>
      <c r="AO390" s="185"/>
      <c r="AP390" s="185"/>
      <c r="AQ390" s="185"/>
      <c r="AR390" s="185"/>
      <c r="AS390" s="185"/>
      <c r="AT390" s="185"/>
      <c r="AU390" s="185"/>
      <c r="AV390" s="185"/>
    </row>
    <row r="391" spans="13:48" s="277" customFormat="1">
      <c r="M391" s="185"/>
      <c r="N391" s="185"/>
      <c r="O391" s="185"/>
      <c r="S391" s="291">
        <v>41947</v>
      </c>
      <c r="T391" s="279">
        <v>308</v>
      </c>
      <c r="AI391" s="185"/>
      <c r="AJ391" s="185"/>
      <c r="AK391" s="185"/>
      <c r="AL391" s="185"/>
      <c r="AM391" s="185"/>
      <c r="AN391" s="185"/>
      <c r="AO391" s="185"/>
      <c r="AP391" s="185"/>
      <c r="AQ391" s="185"/>
      <c r="AR391" s="185"/>
      <c r="AS391" s="185"/>
      <c r="AT391" s="185"/>
      <c r="AU391" s="185"/>
      <c r="AV391" s="185"/>
    </row>
    <row r="392" spans="13:48" s="277" customFormat="1">
      <c r="M392" s="185"/>
      <c r="N392" s="185"/>
      <c r="O392" s="185"/>
      <c r="S392" s="291">
        <v>41948</v>
      </c>
      <c r="T392" s="279">
        <v>309</v>
      </c>
      <c r="AI392" s="185"/>
      <c r="AJ392" s="185"/>
      <c r="AK392" s="185"/>
      <c r="AL392" s="185"/>
      <c r="AM392" s="185"/>
      <c r="AN392" s="185"/>
      <c r="AO392" s="185"/>
      <c r="AP392" s="185"/>
      <c r="AQ392" s="185"/>
      <c r="AR392" s="185"/>
      <c r="AS392" s="185"/>
      <c r="AT392" s="185"/>
      <c r="AU392" s="185"/>
      <c r="AV392" s="185"/>
    </row>
    <row r="393" spans="13:48" s="277" customFormat="1">
      <c r="M393" s="185"/>
      <c r="N393" s="185"/>
      <c r="O393" s="185"/>
      <c r="S393" s="291">
        <v>41949</v>
      </c>
      <c r="T393" s="279">
        <v>310</v>
      </c>
      <c r="AI393" s="185"/>
      <c r="AJ393" s="185"/>
      <c r="AK393" s="185"/>
      <c r="AL393" s="185"/>
      <c r="AM393" s="185"/>
      <c r="AN393" s="185"/>
      <c r="AO393" s="185"/>
      <c r="AP393" s="185"/>
      <c r="AQ393" s="185"/>
      <c r="AR393" s="185"/>
      <c r="AS393" s="185"/>
      <c r="AT393" s="185"/>
      <c r="AU393" s="185"/>
      <c r="AV393" s="185"/>
    </row>
    <row r="394" spans="13:48" s="277" customFormat="1">
      <c r="M394" s="185"/>
      <c r="N394" s="185"/>
      <c r="O394" s="185"/>
      <c r="S394" s="291">
        <v>41950</v>
      </c>
      <c r="T394" s="279">
        <v>311</v>
      </c>
      <c r="AI394" s="185"/>
      <c r="AJ394" s="185"/>
      <c r="AK394" s="185"/>
      <c r="AL394" s="185"/>
      <c r="AM394" s="185"/>
      <c r="AN394" s="185"/>
      <c r="AO394" s="185"/>
      <c r="AP394" s="185"/>
      <c r="AQ394" s="185"/>
      <c r="AR394" s="185"/>
      <c r="AS394" s="185"/>
      <c r="AT394" s="185"/>
      <c r="AU394" s="185"/>
      <c r="AV394" s="185"/>
    </row>
    <row r="395" spans="13:48" s="277" customFormat="1">
      <c r="M395" s="185"/>
      <c r="N395" s="185"/>
      <c r="O395" s="185"/>
      <c r="S395" s="291">
        <v>41951</v>
      </c>
      <c r="T395" s="279">
        <v>312</v>
      </c>
      <c r="AI395" s="185"/>
      <c r="AJ395" s="185"/>
      <c r="AK395" s="185"/>
      <c r="AL395" s="185"/>
      <c r="AM395" s="185"/>
      <c r="AN395" s="185"/>
      <c r="AO395" s="185"/>
      <c r="AP395" s="185"/>
      <c r="AQ395" s="185"/>
      <c r="AR395" s="185"/>
      <c r="AS395" s="185"/>
      <c r="AT395" s="185"/>
      <c r="AU395" s="185"/>
      <c r="AV395" s="185"/>
    </row>
    <row r="396" spans="13:48" s="277" customFormat="1">
      <c r="M396" s="185"/>
      <c r="N396" s="185"/>
      <c r="O396" s="185"/>
      <c r="S396" s="291">
        <v>41952</v>
      </c>
      <c r="T396" s="279">
        <v>313</v>
      </c>
      <c r="AI396" s="185"/>
      <c r="AJ396" s="185"/>
      <c r="AK396" s="185"/>
      <c r="AL396" s="185"/>
      <c r="AM396" s="185"/>
      <c r="AN396" s="185"/>
      <c r="AO396" s="185"/>
      <c r="AP396" s="185"/>
      <c r="AQ396" s="185"/>
      <c r="AR396" s="185"/>
      <c r="AS396" s="185"/>
      <c r="AT396" s="185"/>
      <c r="AU396" s="185"/>
      <c r="AV396" s="185"/>
    </row>
    <row r="397" spans="13:48" s="277" customFormat="1">
      <c r="M397" s="185"/>
      <c r="N397" s="185"/>
      <c r="O397" s="185"/>
      <c r="S397" s="291">
        <v>41953</v>
      </c>
      <c r="T397" s="279">
        <v>314</v>
      </c>
      <c r="AI397" s="185"/>
      <c r="AJ397" s="185"/>
      <c r="AK397" s="185"/>
      <c r="AL397" s="185"/>
      <c r="AM397" s="185"/>
      <c r="AN397" s="185"/>
      <c r="AO397" s="185"/>
      <c r="AP397" s="185"/>
      <c r="AQ397" s="185"/>
      <c r="AR397" s="185"/>
      <c r="AS397" s="185"/>
      <c r="AT397" s="185"/>
      <c r="AU397" s="185"/>
      <c r="AV397" s="185"/>
    </row>
    <row r="398" spans="13:48" s="277" customFormat="1">
      <c r="M398" s="185"/>
      <c r="N398" s="185"/>
      <c r="O398" s="185"/>
      <c r="S398" s="291">
        <v>41954</v>
      </c>
      <c r="T398" s="279">
        <v>315</v>
      </c>
      <c r="AI398" s="185"/>
      <c r="AJ398" s="185"/>
      <c r="AK398" s="185"/>
      <c r="AL398" s="185"/>
      <c r="AM398" s="185"/>
      <c r="AN398" s="185"/>
      <c r="AO398" s="185"/>
      <c r="AP398" s="185"/>
      <c r="AQ398" s="185"/>
      <c r="AR398" s="185"/>
      <c r="AS398" s="185"/>
      <c r="AT398" s="185"/>
      <c r="AU398" s="185"/>
      <c r="AV398" s="185"/>
    </row>
    <row r="399" spans="13:48" s="277" customFormat="1">
      <c r="M399" s="185"/>
      <c r="N399" s="185"/>
      <c r="O399" s="185"/>
      <c r="S399" s="291">
        <v>41955</v>
      </c>
      <c r="T399" s="279">
        <v>316</v>
      </c>
      <c r="AI399" s="185"/>
      <c r="AJ399" s="185"/>
      <c r="AK399" s="185"/>
      <c r="AL399" s="185"/>
      <c r="AM399" s="185"/>
      <c r="AN399" s="185"/>
      <c r="AO399" s="185"/>
      <c r="AP399" s="185"/>
      <c r="AQ399" s="185"/>
      <c r="AR399" s="185"/>
      <c r="AS399" s="185"/>
      <c r="AT399" s="185"/>
      <c r="AU399" s="185"/>
      <c r="AV399" s="185"/>
    </row>
    <row r="400" spans="13:48" s="277" customFormat="1">
      <c r="M400" s="185"/>
      <c r="N400" s="185"/>
      <c r="O400" s="185"/>
      <c r="S400" s="291">
        <v>41956</v>
      </c>
      <c r="T400" s="279">
        <v>317</v>
      </c>
      <c r="AI400" s="185"/>
      <c r="AJ400" s="185"/>
      <c r="AK400" s="185"/>
      <c r="AL400" s="185"/>
      <c r="AM400" s="185"/>
      <c r="AN400" s="185"/>
      <c r="AO400" s="185"/>
      <c r="AP400" s="185"/>
      <c r="AQ400" s="185"/>
      <c r="AR400" s="185"/>
      <c r="AS400" s="185"/>
      <c r="AT400" s="185"/>
      <c r="AU400" s="185"/>
      <c r="AV400" s="185"/>
    </row>
    <row r="401" spans="13:48" s="277" customFormat="1">
      <c r="M401" s="185"/>
      <c r="N401" s="185"/>
      <c r="O401" s="185"/>
      <c r="S401" s="291">
        <v>41957</v>
      </c>
      <c r="T401" s="279">
        <v>318</v>
      </c>
      <c r="AI401" s="185"/>
      <c r="AJ401" s="185"/>
      <c r="AK401" s="185"/>
      <c r="AL401" s="185"/>
      <c r="AM401" s="185"/>
      <c r="AN401" s="185"/>
      <c r="AO401" s="185"/>
      <c r="AP401" s="185"/>
      <c r="AQ401" s="185"/>
      <c r="AR401" s="185"/>
      <c r="AS401" s="185"/>
      <c r="AT401" s="185"/>
      <c r="AU401" s="185"/>
      <c r="AV401" s="185"/>
    </row>
    <row r="402" spans="13:48" s="277" customFormat="1">
      <c r="M402" s="185"/>
      <c r="N402" s="185"/>
      <c r="O402" s="185"/>
      <c r="S402" s="291">
        <v>41958</v>
      </c>
      <c r="T402" s="279">
        <v>319</v>
      </c>
      <c r="AI402" s="185"/>
      <c r="AJ402" s="185"/>
      <c r="AK402" s="185"/>
      <c r="AL402" s="185"/>
      <c r="AM402" s="185"/>
      <c r="AN402" s="185"/>
      <c r="AO402" s="185"/>
      <c r="AP402" s="185"/>
      <c r="AQ402" s="185"/>
      <c r="AR402" s="185"/>
      <c r="AS402" s="185"/>
      <c r="AT402" s="185"/>
      <c r="AU402" s="185"/>
      <c r="AV402" s="185"/>
    </row>
    <row r="403" spans="13:48" s="277" customFormat="1">
      <c r="M403" s="185"/>
      <c r="N403" s="185"/>
      <c r="O403" s="185"/>
      <c r="S403" s="291">
        <v>41959</v>
      </c>
      <c r="T403" s="279">
        <v>320</v>
      </c>
      <c r="AI403" s="185"/>
      <c r="AJ403" s="185"/>
      <c r="AK403" s="185"/>
      <c r="AL403" s="185"/>
      <c r="AM403" s="185"/>
      <c r="AN403" s="185"/>
      <c r="AO403" s="185"/>
      <c r="AP403" s="185"/>
      <c r="AQ403" s="185"/>
      <c r="AR403" s="185"/>
      <c r="AS403" s="185"/>
      <c r="AT403" s="185"/>
      <c r="AU403" s="185"/>
      <c r="AV403" s="185"/>
    </row>
    <row r="404" spans="13:48" s="277" customFormat="1">
      <c r="M404" s="185"/>
      <c r="N404" s="185"/>
      <c r="O404" s="185"/>
      <c r="S404" s="291">
        <v>41960</v>
      </c>
      <c r="T404" s="279">
        <v>321</v>
      </c>
      <c r="AI404" s="185"/>
      <c r="AJ404" s="185"/>
      <c r="AK404" s="185"/>
      <c r="AL404" s="185"/>
      <c r="AM404" s="185"/>
      <c r="AN404" s="185"/>
      <c r="AO404" s="185"/>
      <c r="AP404" s="185"/>
      <c r="AQ404" s="185"/>
      <c r="AR404" s="185"/>
      <c r="AS404" s="185"/>
      <c r="AT404" s="185"/>
      <c r="AU404" s="185"/>
      <c r="AV404" s="185"/>
    </row>
    <row r="405" spans="13:48" s="277" customFormat="1">
      <c r="M405" s="185"/>
      <c r="N405" s="185"/>
      <c r="O405" s="185"/>
      <c r="S405" s="291">
        <v>41961</v>
      </c>
      <c r="T405" s="279">
        <v>322</v>
      </c>
      <c r="AI405" s="185"/>
      <c r="AJ405" s="185"/>
      <c r="AK405" s="185"/>
      <c r="AL405" s="185"/>
      <c r="AM405" s="185"/>
      <c r="AN405" s="185"/>
      <c r="AO405" s="185"/>
      <c r="AP405" s="185"/>
      <c r="AQ405" s="185"/>
      <c r="AR405" s="185"/>
      <c r="AS405" s="185"/>
      <c r="AT405" s="185"/>
      <c r="AU405" s="185"/>
      <c r="AV405" s="185"/>
    </row>
    <row r="406" spans="13:48" s="277" customFormat="1">
      <c r="M406" s="185"/>
      <c r="N406" s="185"/>
      <c r="O406" s="185"/>
      <c r="S406" s="291">
        <v>41962</v>
      </c>
      <c r="T406" s="279">
        <v>323</v>
      </c>
      <c r="AI406" s="185"/>
      <c r="AJ406" s="185"/>
      <c r="AK406" s="185"/>
      <c r="AL406" s="185"/>
      <c r="AM406" s="185"/>
      <c r="AN406" s="185"/>
      <c r="AO406" s="185"/>
      <c r="AP406" s="185"/>
      <c r="AQ406" s="185"/>
      <c r="AR406" s="185"/>
      <c r="AS406" s="185"/>
      <c r="AT406" s="185"/>
      <c r="AU406" s="185"/>
      <c r="AV406" s="185"/>
    </row>
    <row r="407" spans="13:48" s="277" customFormat="1">
      <c r="M407" s="185"/>
      <c r="N407" s="185"/>
      <c r="O407" s="185"/>
      <c r="S407" s="291">
        <v>41963</v>
      </c>
      <c r="T407" s="279">
        <v>324</v>
      </c>
      <c r="AI407" s="185"/>
      <c r="AJ407" s="185"/>
      <c r="AK407" s="185"/>
      <c r="AL407" s="185"/>
      <c r="AM407" s="185"/>
      <c r="AN407" s="185"/>
      <c r="AO407" s="185"/>
      <c r="AP407" s="185"/>
      <c r="AQ407" s="185"/>
      <c r="AR407" s="185"/>
      <c r="AS407" s="185"/>
      <c r="AT407" s="185"/>
      <c r="AU407" s="185"/>
      <c r="AV407" s="185"/>
    </row>
    <row r="408" spans="13:48" s="277" customFormat="1">
      <c r="M408" s="185"/>
      <c r="N408" s="185"/>
      <c r="O408" s="185"/>
      <c r="S408" s="291">
        <v>41964</v>
      </c>
      <c r="T408" s="279">
        <v>325</v>
      </c>
      <c r="AI408" s="185"/>
      <c r="AJ408" s="185"/>
      <c r="AK408" s="185"/>
      <c r="AL408" s="185"/>
      <c r="AM408" s="185"/>
      <c r="AN408" s="185"/>
      <c r="AO408" s="185"/>
      <c r="AP408" s="185"/>
      <c r="AQ408" s="185"/>
      <c r="AR408" s="185"/>
      <c r="AS408" s="185"/>
      <c r="AT408" s="185"/>
      <c r="AU408" s="185"/>
      <c r="AV408" s="185"/>
    </row>
    <row r="409" spans="13:48" s="277" customFormat="1">
      <c r="M409" s="185"/>
      <c r="N409" s="185"/>
      <c r="O409" s="185"/>
      <c r="S409" s="291">
        <v>41965</v>
      </c>
      <c r="T409" s="279">
        <v>326</v>
      </c>
      <c r="AI409" s="185"/>
      <c r="AJ409" s="185"/>
      <c r="AK409" s="185"/>
      <c r="AL409" s="185"/>
      <c r="AM409" s="185"/>
      <c r="AN409" s="185"/>
      <c r="AO409" s="185"/>
      <c r="AP409" s="185"/>
      <c r="AQ409" s="185"/>
      <c r="AR409" s="185"/>
      <c r="AS409" s="185"/>
      <c r="AT409" s="185"/>
      <c r="AU409" s="185"/>
      <c r="AV409" s="185"/>
    </row>
    <row r="410" spans="13:48" s="277" customFormat="1">
      <c r="M410" s="185"/>
      <c r="N410" s="185"/>
      <c r="O410" s="185"/>
      <c r="S410" s="291">
        <v>41966</v>
      </c>
      <c r="T410" s="279">
        <v>327</v>
      </c>
      <c r="AI410" s="185"/>
      <c r="AJ410" s="185"/>
      <c r="AK410" s="185"/>
      <c r="AL410" s="185"/>
      <c r="AM410" s="185"/>
      <c r="AN410" s="185"/>
      <c r="AO410" s="185"/>
      <c r="AP410" s="185"/>
      <c r="AQ410" s="185"/>
      <c r="AR410" s="185"/>
      <c r="AS410" s="185"/>
      <c r="AT410" s="185"/>
      <c r="AU410" s="185"/>
      <c r="AV410" s="185"/>
    </row>
    <row r="411" spans="13:48" s="277" customFormat="1">
      <c r="M411" s="185"/>
      <c r="N411" s="185"/>
      <c r="O411" s="185"/>
      <c r="S411" s="291">
        <v>41967</v>
      </c>
      <c r="T411" s="279">
        <v>328</v>
      </c>
      <c r="AI411" s="185"/>
      <c r="AJ411" s="185"/>
      <c r="AK411" s="185"/>
      <c r="AL411" s="185"/>
      <c r="AM411" s="185"/>
      <c r="AN411" s="185"/>
      <c r="AO411" s="185"/>
      <c r="AP411" s="185"/>
      <c r="AQ411" s="185"/>
      <c r="AR411" s="185"/>
      <c r="AS411" s="185"/>
      <c r="AT411" s="185"/>
      <c r="AU411" s="185"/>
      <c r="AV411" s="185"/>
    </row>
    <row r="412" spans="13:48" s="277" customFormat="1">
      <c r="M412" s="185"/>
      <c r="N412" s="185"/>
      <c r="O412" s="185"/>
      <c r="S412" s="291">
        <v>41968</v>
      </c>
      <c r="T412" s="279">
        <v>329</v>
      </c>
      <c r="AI412" s="185"/>
      <c r="AJ412" s="185"/>
      <c r="AK412" s="185"/>
      <c r="AL412" s="185"/>
      <c r="AM412" s="185"/>
      <c r="AN412" s="185"/>
      <c r="AO412" s="185"/>
      <c r="AP412" s="185"/>
      <c r="AQ412" s="185"/>
      <c r="AR412" s="185"/>
      <c r="AS412" s="185"/>
      <c r="AT412" s="185"/>
      <c r="AU412" s="185"/>
      <c r="AV412" s="185"/>
    </row>
    <row r="413" spans="13:48" s="277" customFormat="1">
      <c r="M413" s="185"/>
      <c r="N413" s="185"/>
      <c r="O413" s="185"/>
      <c r="S413" s="291">
        <v>41969</v>
      </c>
      <c r="T413" s="279">
        <v>330</v>
      </c>
      <c r="AI413" s="185"/>
      <c r="AJ413" s="185"/>
      <c r="AK413" s="185"/>
      <c r="AL413" s="185"/>
      <c r="AM413" s="185"/>
      <c r="AN413" s="185"/>
      <c r="AO413" s="185"/>
      <c r="AP413" s="185"/>
      <c r="AQ413" s="185"/>
      <c r="AR413" s="185"/>
      <c r="AS413" s="185"/>
      <c r="AT413" s="185"/>
      <c r="AU413" s="185"/>
      <c r="AV413" s="185"/>
    </row>
    <row r="414" spans="13:48" s="277" customFormat="1">
      <c r="M414" s="185"/>
      <c r="N414" s="185"/>
      <c r="O414" s="185"/>
      <c r="S414" s="291">
        <v>41970</v>
      </c>
      <c r="T414" s="279">
        <v>331</v>
      </c>
      <c r="AI414" s="185"/>
      <c r="AJ414" s="185"/>
      <c r="AK414" s="185"/>
      <c r="AL414" s="185"/>
      <c r="AM414" s="185"/>
      <c r="AN414" s="185"/>
      <c r="AO414" s="185"/>
      <c r="AP414" s="185"/>
      <c r="AQ414" s="185"/>
      <c r="AR414" s="185"/>
      <c r="AS414" s="185"/>
      <c r="AT414" s="185"/>
      <c r="AU414" s="185"/>
      <c r="AV414" s="185"/>
    </row>
    <row r="415" spans="13:48" s="277" customFormat="1">
      <c r="M415" s="185"/>
      <c r="N415" s="185"/>
      <c r="O415" s="185"/>
      <c r="S415" s="291">
        <v>41971</v>
      </c>
      <c r="T415" s="279">
        <v>332</v>
      </c>
      <c r="AI415" s="185"/>
      <c r="AJ415" s="185"/>
      <c r="AK415" s="185"/>
      <c r="AL415" s="185"/>
      <c r="AM415" s="185"/>
      <c r="AN415" s="185"/>
      <c r="AO415" s="185"/>
      <c r="AP415" s="185"/>
      <c r="AQ415" s="185"/>
      <c r="AR415" s="185"/>
      <c r="AS415" s="185"/>
      <c r="AT415" s="185"/>
      <c r="AU415" s="185"/>
      <c r="AV415" s="185"/>
    </row>
    <row r="416" spans="13:48" s="277" customFormat="1">
      <c r="M416" s="185"/>
      <c r="N416" s="185"/>
      <c r="O416" s="185"/>
      <c r="S416" s="291">
        <v>41972</v>
      </c>
      <c r="T416" s="279">
        <v>333</v>
      </c>
      <c r="AI416" s="185"/>
      <c r="AJ416" s="185"/>
      <c r="AK416" s="185"/>
      <c r="AL416" s="185"/>
      <c r="AM416" s="185"/>
      <c r="AN416" s="185"/>
      <c r="AO416" s="185"/>
      <c r="AP416" s="185"/>
      <c r="AQ416" s="185"/>
      <c r="AR416" s="185"/>
      <c r="AS416" s="185"/>
      <c r="AT416" s="185"/>
      <c r="AU416" s="185"/>
      <c r="AV416" s="185"/>
    </row>
    <row r="417" spans="13:48" s="277" customFormat="1">
      <c r="M417" s="185"/>
      <c r="N417" s="185"/>
      <c r="O417" s="185"/>
      <c r="S417" s="291">
        <v>41973</v>
      </c>
      <c r="T417" s="279">
        <v>334</v>
      </c>
      <c r="AI417" s="185"/>
      <c r="AJ417" s="185"/>
      <c r="AK417" s="185"/>
      <c r="AL417" s="185"/>
      <c r="AM417" s="185"/>
      <c r="AN417" s="185"/>
      <c r="AO417" s="185"/>
      <c r="AP417" s="185"/>
      <c r="AQ417" s="185"/>
      <c r="AR417" s="185"/>
      <c r="AS417" s="185"/>
      <c r="AT417" s="185"/>
      <c r="AU417" s="185"/>
      <c r="AV417" s="185"/>
    </row>
    <row r="418" spans="13:48" s="277" customFormat="1">
      <c r="M418" s="185"/>
      <c r="N418" s="185"/>
      <c r="O418" s="185"/>
      <c r="S418" s="291">
        <v>41974</v>
      </c>
      <c r="T418" s="279">
        <v>335</v>
      </c>
      <c r="AI418" s="185"/>
      <c r="AJ418" s="185"/>
      <c r="AK418" s="185"/>
      <c r="AL418" s="185"/>
      <c r="AM418" s="185"/>
      <c r="AN418" s="185"/>
      <c r="AO418" s="185"/>
      <c r="AP418" s="185"/>
      <c r="AQ418" s="185"/>
      <c r="AR418" s="185"/>
      <c r="AS418" s="185"/>
      <c r="AT418" s="185"/>
      <c r="AU418" s="185"/>
      <c r="AV418" s="185"/>
    </row>
    <row r="419" spans="13:48" s="277" customFormat="1">
      <c r="M419" s="185"/>
      <c r="N419" s="185"/>
      <c r="O419" s="185"/>
      <c r="S419" s="291">
        <v>41975</v>
      </c>
      <c r="T419" s="279">
        <v>336</v>
      </c>
      <c r="AI419" s="185"/>
      <c r="AJ419" s="185"/>
      <c r="AK419" s="185"/>
      <c r="AL419" s="185"/>
      <c r="AM419" s="185"/>
      <c r="AN419" s="185"/>
      <c r="AO419" s="185"/>
      <c r="AP419" s="185"/>
      <c r="AQ419" s="185"/>
      <c r="AR419" s="185"/>
      <c r="AS419" s="185"/>
      <c r="AT419" s="185"/>
      <c r="AU419" s="185"/>
      <c r="AV419" s="185"/>
    </row>
    <row r="420" spans="13:48" s="277" customFormat="1">
      <c r="M420" s="185"/>
      <c r="N420" s="185"/>
      <c r="O420" s="185"/>
      <c r="S420" s="291">
        <v>41976</v>
      </c>
      <c r="T420" s="279">
        <v>337</v>
      </c>
      <c r="AI420" s="185"/>
      <c r="AJ420" s="185"/>
      <c r="AK420" s="185"/>
      <c r="AL420" s="185"/>
      <c r="AM420" s="185"/>
      <c r="AN420" s="185"/>
      <c r="AO420" s="185"/>
      <c r="AP420" s="185"/>
      <c r="AQ420" s="185"/>
      <c r="AR420" s="185"/>
      <c r="AS420" s="185"/>
      <c r="AT420" s="185"/>
      <c r="AU420" s="185"/>
      <c r="AV420" s="185"/>
    </row>
    <row r="421" spans="13:48" s="277" customFormat="1">
      <c r="M421" s="185"/>
      <c r="N421" s="185"/>
      <c r="O421" s="185"/>
      <c r="S421" s="291">
        <v>41977</v>
      </c>
      <c r="T421" s="279">
        <v>338</v>
      </c>
      <c r="AI421" s="185"/>
      <c r="AJ421" s="185"/>
      <c r="AK421" s="185"/>
      <c r="AL421" s="185"/>
      <c r="AM421" s="185"/>
      <c r="AN421" s="185"/>
      <c r="AO421" s="185"/>
      <c r="AP421" s="185"/>
      <c r="AQ421" s="185"/>
      <c r="AR421" s="185"/>
      <c r="AS421" s="185"/>
      <c r="AT421" s="185"/>
      <c r="AU421" s="185"/>
      <c r="AV421" s="185"/>
    </row>
    <row r="422" spans="13:48" s="277" customFormat="1">
      <c r="M422" s="185"/>
      <c r="N422" s="185"/>
      <c r="O422" s="185"/>
      <c r="S422" s="291">
        <v>41978</v>
      </c>
      <c r="T422" s="279">
        <v>339</v>
      </c>
      <c r="AI422" s="185"/>
      <c r="AJ422" s="185"/>
      <c r="AK422" s="185"/>
      <c r="AL422" s="185"/>
      <c r="AM422" s="185"/>
      <c r="AN422" s="185"/>
      <c r="AO422" s="185"/>
      <c r="AP422" s="185"/>
      <c r="AQ422" s="185"/>
      <c r="AR422" s="185"/>
      <c r="AS422" s="185"/>
      <c r="AT422" s="185"/>
      <c r="AU422" s="185"/>
      <c r="AV422" s="185"/>
    </row>
    <row r="423" spans="13:48" s="277" customFormat="1">
      <c r="M423" s="185"/>
      <c r="N423" s="185"/>
      <c r="O423" s="185"/>
      <c r="S423" s="291">
        <v>41979</v>
      </c>
      <c r="T423" s="279">
        <v>340</v>
      </c>
      <c r="AI423" s="185"/>
      <c r="AJ423" s="185"/>
      <c r="AK423" s="185"/>
      <c r="AL423" s="185"/>
      <c r="AM423" s="185"/>
      <c r="AN423" s="185"/>
      <c r="AO423" s="185"/>
      <c r="AP423" s="185"/>
      <c r="AQ423" s="185"/>
      <c r="AR423" s="185"/>
      <c r="AS423" s="185"/>
      <c r="AT423" s="185"/>
      <c r="AU423" s="185"/>
      <c r="AV423" s="185"/>
    </row>
    <row r="424" spans="13:48" s="277" customFormat="1">
      <c r="M424" s="185"/>
      <c r="N424" s="185"/>
      <c r="O424" s="185"/>
      <c r="S424" s="291">
        <v>41980</v>
      </c>
      <c r="T424" s="279">
        <v>341</v>
      </c>
      <c r="AI424" s="185"/>
      <c r="AJ424" s="185"/>
      <c r="AK424" s="185"/>
      <c r="AL424" s="185"/>
      <c r="AM424" s="185"/>
      <c r="AN424" s="185"/>
      <c r="AO424" s="185"/>
      <c r="AP424" s="185"/>
      <c r="AQ424" s="185"/>
      <c r="AR424" s="185"/>
      <c r="AS424" s="185"/>
      <c r="AT424" s="185"/>
      <c r="AU424" s="185"/>
      <c r="AV424" s="185"/>
    </row>
    <row r="425" spans="13:48" s="277" customFormat="1">
      <c r="M425" s="185"/>
      <c r="N425" s="185"/>
      <c r="O425" s="185"/>
      <c r="S425" s="291">
        <v>41981</v>
      </c>
      <c r="T425" s="279">
        <v>342</v>
      </c>
      <c r="AI425" s="185"/>
      <c r="AJ425" s="185"/>
      <c r="AK425" s="185"/>
      <c r="AL425" s="185"/>
      <c r="AM425" s="185"/>
      <c r="AN425" s="185"/>
      <c r="AO425" s="185"/>
      <c r="AP425" s="185"/>
      <c r="AQ425" s="185"/>
      <c r="AR425" s="185"/>
      <c r="AS425" s="185"/>
      <c r="AT425" s="185"/>
      <c r="AU425" s="185"/>
      <c r="AV425" s="185"/>
    </row>
    <row r="426" spans="13:48" s="277" customFormat="1">
      <c r="M426" s="185"/>
      <c r="N426" s="185"/>
      <c r="O426" s="185"/>
      <c r="S426" s="291">
        <v>41982</v>
      </c>
      <c r="T426" s="279">
        <v>343</v>
      </c>
      <c r="AI426" s="185"/>
      <c r="AJ426" s="185"/>
      <c r="AK426" s="185"/>
      <c r="AL426" s="185"/>
      <c r="AM426" s="185"/>
      <c r="AN426" s="185"/>
      <c r="AO426" s="185"/>
      <c r="AP426" s="185"/>
      <c r="AQ426" s="185"/>
      <c r="AR426" s="185"/>
      <c r="AS426" s="185"/>
      <c r="AT426" s="185"/>
      <c r="AU426" s="185"/>
      <c r="AV426" s="185"/>
    </row>
    <row r="427" spans="13:48" s="277" customFormat="1">
      <c r="M427" s="185"/>
      <c r="N427" s="185"/>
      <c r="O427" s="185"/>
      <c r="S427" s="291">
        <v>41983</v>
      </c>
      <c r="T427" s="279">
        <v>344</v>
      </c>
      <c r="AI427" s="185"/>
      <c r="AJ427" s="185"/>
      <c r="AK427" s="185"/>
      <c r="AL427" s="185"/>
      <c r="AM427" s="185"/>
      <c r="AN427" s="185"/>
      <c r="AO427" s="185"/>
      <c r="AP427" s="185"/>
      <c r="AQ427" s="185"/>
      <c r="AR427" s="185"/>
      <c r="AS427" s="185"/>
      <c r="AT427" s="185"/>
      <c r="AU427" s="185"/>
      <c r="AV427" s="185"/>
    </row>
    <row r="428" spans="13:48" s="277" customFormat="1">
      <c r="M428" s="185"/>
      <c r="N428" s="185"/>
      <c r="O428" s="185"/>
      <c r="S428" s="291">
        <v>41984</v>
      </c>
      <c r="T428" s="279">
        <v>345</v>
      </c>
      <c r="AI428" s="185"/>
      <c r="AJ428" s="185"/>
      <c r="AK428" s="185"/>
      <c r="AL428" s="185"/>
      <c r="AM428" s="185"/>
      <c r="AN428" s="185"/>
      <c r="AO428" s="185"/>
      <c r="AP428" s="185"/>
      <c r="AQ428" s="185"/>
      <c r="AR428" s="185"/>
      <c r="AS428" s="185"/>
      <c r="AT428" s="185"/>
      <c r="AU428" s="185"/>
      <c r="AV428" s="185"/>
    </row>
    <row r="429" spans="13:48" s="277" customFormat="1">
      <c r="M429" s="185"/>
      <c r="N429" s="185"/>
      <c r="O429" s="185"/>
      <c r="S429" s="291">
        <v>41985</v>
      </c>
      <c r="T429" s="279">
        <v>346</v>
      </c>
      <c r="AI429" s="185"/>
      <c r="AJ429" s="185"/>
      <c r="AK429" s="185"/>
      <c r="AL429" s="185"/>
      <c r="AM429" s="185"/>
      <c r="AN429" s="185"/>
      <c r="AO429" s="185"/>
      <c r="AP429" s="185"/>
      <c r="AQ429" s="185"/>
      <c r="AR429" s="185"/>
      <c r="AS429" s="185"/>
      <c r="AT429" s="185"/>
      <c r="AU429" s="185"/>
      <c r="AV429" s="185"/>
    </row>
    <row r="430" spans="13:48" s="277" customFormat="1">
      <c r="M430" s="185"/>
      <c r="N430" s="185"/>
      <c r="O430" s="185"/>
      <c r="S430" s="291">
        <v>41986</v>
      </c>
      <c r="T430" s="279">
        <v>347</v>
      </c>
      <c r="AI430" s="185"/>
      <c r="AJ430" s="185"/>
      <c r="AK430" s="185"/>
      <c r="AL430" s="185"/>
      <c r="AM430" s="185"/>
      <c r="AN430" s="185"/>
      <c r="AO430" s="185"/>
      <c r="AP430" s="185"/>
      <c r="AQ430" s="185"/>
      <c r="AR430" s="185"/>
      <c r="AS430" s="185"/>
      <c r="AT430" s="185"/>
      <c r="AU430" s="185"/>
      <c r="AV430" s="185"/>
    </row>
    <row r="431" spans="13:48" s="277" customFormat="1">
      <c r="M431" s="185"/>
      <c r="N431" s="185"/>
      <c r="O431" s="185"/>
      <c r="S431" s="291">
        <v>41987</v>
      </c>
      <c r="T431" s="279">
        <v>348</v>
      </c>
      <c r="AI431" s="185"/>
      <c r="AJ431" s="185"/>
      <c r="AK431" s="185"/>
      <c r="AL431" s="185"/>
      <c r="AM431" s="185"/>
      <c r="AN431" s="185"/>
      <c r="AO431" s="185"/>
      <c r="AP431" s="185"/>
      <c r="AQ431" s="185"/>
      <c r="AR431" s="185"/>
      <c r="AS431" s="185"/>
      <c r="AT431" s="185"/>
      <c r="AU431" s="185"/>
      <c r="AV431" s="185"/>
    </row>
    <row r="432" spans="13:48" s="277" customFormat="1">
      <c r="M432" s="185"/>
      <c r="N432" s="185"/>
      <c r="O432" s="185"/>
      <c r="S432" s="291">
        <v>41988</v>
      </c>
      <c r="T432" s="279">
        <v>349</v>
      </c>
      <c r="AI432" s="185"/>
      <c r="AJ432" s="185"/>
      <c r="AK432" s="185"/>
      <c r="AL432" s="185"/>
      <c r="AM432" s="185"/>
      <c r="AN432" s="185"/>
      <c r="AO432" s="185"/>
      <c r="AP432" s="185"/>
      <c r="AQ432" s="185"/>
      <c r="AR432" s="185"/>
      <c r="AS432" s="185"/>
      <c r="AT432" s="185"/>
      <c r="AU432" s="185"/>
      <c r="AV432" s="185"/>
    </row>
    <row r="433" spans="13:48" s="277" customFormat="1">
      <c r="M433" s="185"/>
      <c r="N433" s="185"/>
      <c r="O433" s="185"/>
      <c r="S433" s="291">
        <v>41989</v>
      </c>
      <c r="T433" s="279">
        <v>350</v>
      </c>
      <c r="AI433" s="185"/>
      <c r="AJ433" s="185"/>
      <c r="AK433" s="185"/>
      <c r="AL433" s="185"/>
      <c r="AM433" s="185"/>
      <c r="AN433" s="185"/>
      <c r="AO433" s="185"/>
      <c r="AP433" s="185"/>
      <c r="AQ433" s="185"/>
      <c r="AR433" s="185"/>
      <c r="AS433" s="185"/>
      <c r="AT433" s="185"/>
      <c r="AU433" s="185"/>
      <c r="AV433" s="185"/>
    </row>
    <row r="434" spans="13:48" s="277" customFormat="1">
      <c r="M434" s="185"/>
      <c r="N434" s="185"/>
      <c r="O434" s="185"/>
      <c r="S434" s="291">
        <v>41990</v>
      </c>
      <c r="T434" s="279">
        <v>351</v>
      </c>
      <c r="AI434" s="185"/>
      <c r="AJ434" s="185"/>
      <c r="AK434" s="185"/>
      <c r="AL434" s="185"/>
      <c r="AM434" s="185"/>
      <c r="AN434" s="185"/>
      <c r="AO434" s="185"/>
      <c r="AP434" s="185"/>
      <c r="AQ434" s="185"/>
      <c r="AR434" s="185"/>
      <c r="AS434" s="185"/>
      <c r="AT434" s="185"/>
      <c r="AU434" s="185"/>
      <c r="AV434" s="185"/>
    </row>
    <row r="435" spans="13:48" s="277" customFormat="1">
      <c r="M435" s="185"/>
      <c r="N435" s="185"/>
      <c r="O435" s="185"/>
      <c r="S435" s="291">
        <v>41991</v>
      </c>
      <c r="T435" s="279">
        <v>352</v>
      </c>
      <c r="AI435" s="185"/>
      <c r="AJ435" s="185"/>
      <c r="AK435" s="185"/>
      <c r="AL435" s="185"/>
      <c r="AM435" s="185"/>
      <c r="AN435" s="185"/>
      <c r="AO435" s="185"/>
      <c r="AP435" s="185"/>
      <c r="AQ435" s="185"/>
      <c r="AR435" s="185"/>
      <c r="AS435" s="185"/>
      <c r="AT435" s="185"/>
      <c r="AU435" s="185"/>
      <c r="AV435" s="185"/>
    </row>
    <row r="436" spans="13:48" s="277" customFormat="1">
      <c r="M436" s="185"/>
      <c r="N436" s="185"/>
      <c r="O436" s="185"/>
      <c r="S436" s="291">
        <v>41992</v>
      </c>
      <c r="T436" s="279">
        <v>353</v>
      </c>
      <c r="AI436" s="185"/>
      <c r="AJ436" s="185"/>
      <c r="AK436" s="185"/>
      <c r="AL436" s="185"/>
      <c r="AM436" s="185"/>
      <c r="AN436" s="185"/>
      <c r="AO436" s="185"/>
      <c r="AP436" s="185"/>
      <c r="AQ436" s="185"/>
      <c r="AR436" s="185"/>
      <c r="AS436" s="185"/>
      <c r="AT436" s="185"/>
      <c r="AU436" s="185"/>
      <c r="AV436" s="185"/>
    </row>
    <row r="437" spans="13:48" s="277" customFormat="1">
      <c r="M437" s="185"/>
      <c r="N437" s="185"/>
      <c r="O437" s="185"/>
      <c r="S437" s="291">
        <v>41993</v>
      </c>
      <c r="T437" s="279">
        <v>354</v>
      </c>
      <c r="AI437" s="185"/>
      <c r="AJ437" s="185"/>
      <c r="AK437" s="185"/>
      <c r="AL437" s="185"/>
      <c r="AM437" s="185"/>
      <c r="AN437" s="185"/>
      <c r="AO437" s="185"/>
      <c r="AP437" s="185"/>
      <c r="AQ437" s="185"/>
      <c r="AR437" s="185"/>
      <c r="AS437" s="185"/>
      <c r="AT437" s="185"/>
      <c r="AU437" s="185"/>
      <c r="AV437" s="185"/>
    </row>
    <row r="438" spans="13:48" s="277" customFormat="1">
      <c r="M438" s="185"/>
      <c r="N438" s="185"/>
      <c r="O438" s="185"/>
      <c r="S438" s="291">
        <v>41994</v>
      </c>
      <c r="T438" s="279">
        <v>355</v>
      </c>
      <c r="AI438" s="185"/>
      <c r="AJ438" s="185"/>
      <c r="AK438" s="185"/>
      <c r="AL438" s="185"/>
      <c r="AM438" s="185"/>
      <c r="AN438" s="185"/>
      <c r="AO438" s="185"/>
      <c r="AP438" s="185"/>
      <c r="AQ438" s="185"/>
      <c r="AR438" s="185"/>
      <c r="AS438" s="185"/>
      <c r="AT438" s="185"/>
      <c r="AU438" s="185"/>
      <c r="AV438" s="185"/>
    </row>
    <row r="439" spans="13:48" s="277" customFormat="1">
      <c r="M439" s="185"/>
      <c r="N439" s="185"/>
      <c r="O439" s="185"/>
      <c r="S439" s="291">
        <v>41995</v>
      </c>
      <c r="T439" s="279">
        <v>356</v>
      </c>
      <c r="AI439" s="185"/>
      <c r="AJ439" s="185"/>
      <c r="AK439" s="185"/>
      <c r="AL439" s="185"/>
      <c r="AM439" s="185"/>
      <c r="AN439" s="185"/>
      <c r="AO439" s="185"/>
      <c r="AP439" s="185"/>
      <c r="AQ439" s="185"/>
      <c r="AR439" s="185"/>
      <c r="AS439" s="185"/>
      <c r="AT439" s="185"/>
      <c r="AU439" s="185"/>
      <c r="AV439" s="185"/>
    </row>
    <row r="440" spans="13:48" s="277" customFormat="1">
      <c r="M440" s="185"/>
      <c r="N440" s="185"/>
      <c r="O440" s="185"/>
      <c r="S440" s="291">
        <v>41996</v>
      </c>
      <c r="T440" s="279">
        <v>357</v>
      </c>
      <c r="AI440" s="185"/>
      <c r="AJ440" s="185"/>
      <c r="AK440" s="185"/>
      <c r="AL440" s="185"/>
      <c r="AM440" s="185"/>
      <c r="AN440" s="185"/>
      <c r="AO440" s="185"/>
      <c r="AP440" s="185"/>
      <c r="AQ440" s="185"/>
      <c r="AR440" s="185"/>
      <c r="AS440" s="185"/>
      <c r="AT440" s="185"/>
      <c r="AU440" s="185"/>
      <c r="AV440" s="185"/>
    </row>
    <row r="441" spans="13:48" s="277" customFormat="1">
      <c r="M441" s="185"/>
      <c r="N441" s="185"/>
      <c r="O441" s="185"/>
      <c r="S441" s="291">
        <v>41997</v>
      </c>
      <c r="T441" s="279">
        <v>358</v>
      </c>
      <c r="AI441" s="185"/>
      <c r="AJ441" s="185"/>
      <c r="AK441" s="185"/>
      <c r="AL441" s="185"/>
      <c r="AM441" s="185"/>
      <c r="AN441" s="185"/>
      <c r="AO441" s="185"/>
      <c r="AP441" s="185"/>
      <c r="AQ441" s="185"/>
      <c r="AR441" s="185"/>
      <c r="AS441" s="185"/>
      <c r="AT441" s="185"/>
      <c r="AU441" s="185"/>
      <c r="AV441" s="185"/>
    </row>
    <row r="442" spans="13:48" s="277" customFormat="1">
      <c r="M442" s="185"/>
      <c r="N442" s="185"/>
      <c r="O442" s="185"/>
      <c r="S442" s="291">
        <v>41998</v>
      </c>
      <c r="T442" s="279">
        <v>359</v>
      </c>
      <c r="AI442" s="185"/>
      <c r="AJ442" s="185"/>
      <c r="AK442" s="185"/>
      <c r="AL442" s="185"/>
      <c r="AM442" s="185"/>
      <c r="AN442" s="185"/>
      <c r="AO442" s="185"/>
      <c r="AP442" s="185"/>
      <c r="AQ442" s="185"/>
      <c r="AR442" s="185"/>
      <c r="AS442" s="185"/>
      <c r="AT442" s="185"/>
      <c r="AU442" s="185"/>
      <c r="AV442" s="185"/>
    </row>
    <row r="443" spans="13:48" s="277" customFormat="1">
      <c r="M443" s="185"/>
      <c r="N443" s="185"/>
      <c r="O443" s="185"/>
      <c r="S443" s="291">
        <v>41999</v>
      </c>
      <c r="T443" s="279">
        <v>360</v>
      </c>
      <c r="AI443" s="185"/>
      <c r="AJ443" s="185"/>
      <c r="AK443" s="185"/>
      <c r="AL443" s="185"/>
      <c r="AM443" s="185"/>
      <c r="AN443" s="185"/>
      <c r="AO443" s="185"/>
      <c r="AP443" s="185"/>
      <c r="AQ443" s="185"/>
      <c r="AR443" s="185"/>
      <c r="AS443" s="185"/>
      <c r="AT443" s="185"/>
      <c r="AU443" s="185"/>
      <c r="AV443" s="185"/>
    </row>
    <row r="444" spans="13:48" s="277" customFormat="1">
      <c r="M444" s="185"/>
      <c r="N444" s="185"/>
      <c r="O444" s="185"/>
      <c r="S444" s="291">
        <v>42000</v>
      </c>
      <c r="T444" s="279">
        <v>361</v>
      </c>
      <c r="AI444" s="185"/>
      <c r="AJ444" s="185"/>
      <c r="AK444" s="185"/>
      <c r="AL444" s="185"/>
      <c r="AM444" s="185"/>
      <c r="AN444" s="185"/>
      <c r="AO444" s="185"/>
      <c r="AP444" s="185"/>
      <c r="AQ444" s="185"/>
      <c r="AR444" s="185"/>
      <c r="AS444" s="185"/>
      <c r="AT444" s="185"/>
      <c r="AU444" s="185"/>
      <c r="AV444" s="185"/>
    </row>
    <row r="445" spans="13:48" s="277" customFormat="1">
      <c r="M445" s="185"/>
      <c r="N445" s="185"/>
      <c r="O445" s="185"/>
      <c r="S445" s="291">
        <v>42001</v>
      </c>
      <c r="T445" s="279">
        <v>362</v>
      </c>
      <c r="AI445" s="185"/>
      <c r="AJ445" s="185"/>
      <c r="AK445" s="185"/>
      <c r="AL445" s="185"/>
      <c r="AM445" s="185"/>
      <c r="AN445" s="185"/>
      <c r="AO445" s="185"/>
      <c r="AP445" s="185"/>
      <c r="AQ445" s="185"/>
      <c r="AR445" s="185"/>
      <c r="AS445" s="185"/>
      <c r="AT445" s="185"/>
      <c r="AU445" s="185"/>
      <c r="AV445" s="185"/>
    </row>
    <row r="446" spans="13:48" s="277" customFormat="1">
      <c r="M446" s="185"/>
      <c r="N446" s="185"/>
      <c r="O446" s="185"/>
      <c r="S446" s="291">
        <v>42002</v>
      </c>
      <c r="T446" s="279">
        <v>363</v>
      </c>
      <c r="AI446" s="185"/>
      <c r="AJ446" s="185"/>
      <c r="AK446" s="185"/>
      <c r="AL446" s="185"/>
      <c r="AM446" s="185"/>
      <c r="AN446" s="185"/>
      <c r="AO446" s="185"/>
      <c r="AP446" s="185"/>
      <c r="AQ446" s="185"/>
      <c r="AR446" s="185"/>
      <c r="AS446" s="185"/>
      <c r="AT446" s="185"/>
      <c r="AU446" s="185"/>
      <c r="AV446" s="185"/>
    </row>
    <row r="447" spans="13:48" s="277" customFormat="1">
      <c r="M447" s="185"/>
      <c r="N447" s="185"/>
      <c r="O447" s="185"/>
      <c r="S447" s="291">
        <v>42003</v>
      </c>
      <c r="T447" s="279">
        <v>364</v>
      </c>
      <c r="AI447" s="185"/>
      <c r="AJ447" s="185"/>
      <c r="AK447" s="185"/>
      <c r="AL447" s="185"/>
      <c r="AM447" s="185"/>
      <c r="AN447" s="185"/>
      <c r="AO447" s="185"/>
      <c r="AP447" s="185"/>
      <c r="AQ447" s="185"/>
      <c r="AR447" s="185"/>
      <c r="AS447" s="185"/>
      <c r="AT447" s="185"/>
      <c r="AU447" s="185"/>
      <c r="AV447" s="185"/>
    </row>
    <row r="448" spans="13:48" s="277" customFormat="1">
      <c r="M448" s="185"/>
      <c r="N448" s="185"/>
      <c r="O448" s="185"/>
      <c r="S448" s="291">
        <v>42004</v>
      </c>
      <c r="T448" s="279">
        <v>365</v>
      </c>
      <c r="AI448" s="185"/>
      <c r="AJ448" s="185"/>
      <c r="AK448" s="185"/>
      <c r="AL448" s="185"/>
      <c r="AM448" s="185"/>
      <c r="AN448" s="185"/>
      <c r="AO448" s="185"/>
      <c r="AP448" s="185"/>
      <c r="AQ448" s="185"/>
      <c r="AR448" s="185"/>
      <c r="AS448" s="185"/>
      <c r="AT448" s="185"/>
      <c r="AU448" s="185"/>
      <c r="AV448" s="185"/>
    </row>
    <row r="449" spans="13:48" s="277" customFormat="1">
      <c r="M449" s="185"/>
      <c r="N449" s="185"/>
      <c r="O449" s="185"/>
      <c r="S449" s="291">
        <v>42005</v>
      </c>
      <c r="T449" s="279">
        <v>366</v>
      </c>
      <c r="AI449" s="185"/>
      <c r="AJ449" s="185"/>
      <c r="AK449" s="185"/>
      <c r="AL449" s="185"/>
      <c r="AM449" s="185"/>
      <c r="AN449" s="185"/>
      <c r="AO449" s="185"/>
      <c r="AP449" s="185"/>
      <c r="AQ449" s="185"/>
      <c r="AR449" s="185"/>
      <c r="AS449" s="185"/>
      <c r="AT449" s="185"/>
      <c r="AU449" s="185"/>
      <c r="AV449" s="185"/>
    </row>
    <row r="450" spans="13:48" s="277" customFormat="1">
      <c r="M450" s="185"/>
      <c r="N450" s="185"/>
      <c r="O450" s="185"/>
      <c r="S450" s="291">
        <v>42006</v>
      </c>
      <c r="T450" s="279">
        <v>367</v>
      </c>
      <c r="AI450" s="185"/>
      <c r="AJ450" s="185"/>
      <c r="AK450" s="185"/>
      <c r="AL450" s="185"/>
      <c r="AM450" s="185"/>
      <c r="AN450" s="185"/>
      <c r="AO450" s="185"/>
      <c r="AP450" s="185"/>
      <c r="AQ450" s="185"/>
      <c r="AR450" s="185"/>
      <c r="AS450" s="185"/>
      <c r="AT450" s="185"/>
      <c r="AU450" s="185"/>
      <c r="AV450" s="185"/>
    </row>
    <row r="451" spans="13:48" s="277" customFormat="1">
      <c r="M451" s="185"/>
      <c r="N451" s="185"/>
      <c r="O451" s="185"/>
      <c r="S451" s="291">
        <v>42007</v>
      </c>
      <c r="T451" s="279">
        <v>368</v>
      </c>
      <c r="AI451" s="185"/>
      <c r="AJ451" s="185"/>
      <c r="AK451" s="185"/>
      <c r="AL451" s="185"/>
      <c r="AM451" s="185"/>
      <c r="AN451" s="185"/>
      <c r="AO451" s="185"/>
      <c r="AP451" s="185"/>
      <c r="AQ451" s="185"/>
      <c r="AR451" s="185"/>
      <c r="AS451" s="185"/>
      <c r="AT451" s="185"/>
      <c r="AU451" s="185"/>
      <c r="AV451" s="185"/>
    </row>
    <row r="452" spans="13:48" s="277" customFormat="1">
      <c r="M452" s="185"/>
      <c r="N452" s="185"/>
      <c r="O452" s="185"/>
      <c r="S452" s="291">
        <v>42008</v>
      </c>
      <c r="T452" s="279">
        <v>369</v>
      </c>
      <c r="AI452" s="185"/>
      <c r="AJ452" s="185"/>
      <c r="AK452" s="185"/>
      <c r="AL452" s="185"/>
      <c r="AM452" s="185"/>
      <c r="AN452" s="185"/>
      <c r="AO452" s="185"/>
      <c r="AP452" s="185"/>
      <c r="AQ452" s="185"/>
      <c r="AR452" s="185"/>
      <c r="AS452" s="185"/>
      <c r="AT452" s="185"/>
      <c r="AU452" s="185"/>
      <c r="AV452" s="185"/>
    </row>
    <row r="453" spans="13:48" s="277" customFormat="1">
      <c r="M453" s="185"/>
      <c r="N453" s="185"/>
      <c r="O453" s="185"/>
      <c r="S453" s="291">
        <v>42009</v>
      </c>
      <c r="T453" s="279">
        <v>370</v>
      </c>
      <c r="AI453" s="185"/>
      <c r="AJ453" s="185"/>
      <c r="AK453" s="185"/>
      <c r="AL453" s="185"/>
      <c r="AM453" s="185"/>
      <c r="AN453" s="185"/>
      <c r="AO453" s="185"/>
      <c r="AP453" s="185"/>
      <c r="AQ453" s="185"/>
      <c r="AR453" s="185"/>
      <c r="AS453" s="185"/>
      <c r="AT453" s="185"/>
      <c r="AU453" s="185"/>
      <c r="AV453" s="185"/>
    </row>
    <row r="454" spans="13:48" s="277" customFormat="1">
      <c r="M454" s="185"/>
      <c r="N454" s="185"/>
      <c r="O454" s="185"/>
      <c r="S454" s="291">
        <v>42010</v>
      </c>
      <c r="T454" s="279">
        <v>371</v>
      </c>
      <c r="AI454" s="185"/>
      <c r="AJ454" s="185"/>
      <c r="AK454" s="185"/>
      <c r="AL454" s="185"/>
      <c r="AM454" s="185"/>
      <c r="AN454" s="185"/>
      <c r="AO454" s="185"/>
      <c r="AP454" s="185"/>
      <c r="AQ454" s="185"/>
      <c r="AR454" s="185"/>
      <c r="AS454" s="185"/>
      <c r="AT454" s="185"/>
      <c r="AU454" s="185"/>
      <c r="AV454" s="185"/>
    </row>
    <row r="455" spans="13:48" s="277" customFormat="1">
      <c r="M455" s="185"/>
      <c r="N455" s="185"/>
      <c r="O455" s="185"/>
      <c r="S455" s="291">
        <v>42011</v>
      </c>
      <c r="T455" s="279">
        <v>372</v>
      </c>
      <c r="AI455" s="185"/>
      <c r="AJ455" s="185"/>
      <c r="AK455" s="185"/>
      <c r="AL455" s="185"/>
      <c r="AM455" s="185"/>
      <c r="AN455" s="185"/>
      <c r="AO455" s="185"/>
      <c r="AP455" s="185"/>
      <c r="AQ455" s="185"/>
      <c r="AR455" s="185"/>
      <c r="AS455" s="185"/>
      <c r="AT455" s="185"/>
      <c r="AU455" s="185"/>
      <c r="AV455" s="185"/>
    </row>
    <row r="456" spans="13:48" s="277" customFormat="1">
      <c r="M456" s="185"/>
      <c r="N456" s="185"/>
      <c r="O456" s="185"/>
      <c r="S456" s="291">
        <v>42012</v>
      </c>
      <c r="T456" s="279">
        <v>373</v>
      </c>
      <c r="AI456" s="185"/>
      <c r="AJ456" s="185"/>
      <c r="AK456" s="185"/>
      <c r="AL456" s="185"/>
      <c r="AM456" s="185"/>
      <c r="AN456" s="185"/>
      <c r="AO456" s="185"/>
      <c r="AP456" s="185"/>
      <c r="AQ456" s="185"/>
      <c r="AR456" s="185"/>
      <c r="AS456" s="185"/>
      <c r="AT456" s="185"/>
      <c r="AU456" s="185"/>
      <c r="AV456" s="185"/>
    </row>
    <row r="457" spans="13:48" s="277" customFormat="1">
      <c r="M457" s="185"/>
      <c r="N457" s="185"/>
      <c r="O457" s="185"/>
      <c r="S457" s="291">
        <v>42013</v>
      </c>
      <c r="T457" s="279">
        <v>374</v>
      </c>
      <c r="AI457" s="185"/>
      <c r="AJ457" s="185"/>
      <c r="AK457" s="185"/>
      <c r="AL457" s="185"/>
      <c r="AM457" s="185"/>
      <c r="AN457" s="185"/>
      <c r="AO457" s="185"/>
      <c r="AP457" s="185"/>
      <c r="AQ457" s="185"/>
      <c r="AR457" s="185"/>
      <c r="AS457" s="185"/>
      <c r="AT457" s="185"/>
      <c r="AU457" s="185"/>
      <c r="AV457" s="185"/>
    </row>
    <row r="458" spans="13:48" s="277" customFormat="1">
      <c r="M458" s="185"/>
      <c r="N458" s="185"/>
      <c r="O458" s="185"/>
      <c r="S458" s="291">
        <v>42014</v>
      </c>
      <c r="T458" s="279">
        <v>375</v>
      </c>
      <c r="AI458" s="185"/>
      <c r="AJ458" s="185"/>
      <c r="AK458" s="185"/>
      <c r="AL458" s="185"/>
      <c r="AM458" s="185"/>
      <c r="AN458" s="185"/>
      <c r="AO458" s="185"/>
      <c r="AP458" s="185"/>
      <c r="AQ458" s="185"/>
      <c r="AR458" s="185"/>
      <c r="AS458" s="185"/>
      <c r="AT458" s="185"/>
      <c r="AU458" s="185"/>
      <c r="AV458" s="185"/>
    </row>
    <row r="459" spans="13:48" s="277" customFormat="1">
      <c r="M459" s="185"/>
      <c r="N459" s="185"/>
      <c r="O459" s="185"/>
      <c r="S459" s="291">
        <v>42015</v>
      </c>
      <c r="T459" s="279">
        <v>376</v>
      </c>
      <c r="AI459" s="185"/>
      <c r="AJ459" s="185"/>
      <c r="AK459" s="185"/>
      <c r="AL459" s="185"/>
      <c r="AM459" s="185"/>
      <c r="AN459" s="185"/>
      <c r="AO459" s="185"/>
      <c r="AP459" s="185"/>
      <c r="AQ459" s="185"/>
      <c r="AR459" s="185"/>
      <c r="AS459" s="185"/>
      <c r="AT459" s="185"/>
      <c r="AU459" s="185"/>
      <c r="AV459" s="185"/>
    </row>
    <row r="460" spans="13:48" s="277" customFormat="1">
      <c r="M460" s="185"/>
      <c r="N460" s="185"/>
      <c r="O460" s="185"/>
      <c r="S460" s="291">
        <v>42016</v>
      </c>
      <c r="T460" s="279">
        <v>377</v>
      </c>
      <c r="AI460" s="185"/>
      <c r="AJ460" s="185"/>
      <c r="AK460" s="185"/>
      <c r="AL460" s="185"/>
      <c r="AM460" s="185"/>
      <c r="AN460" s="185"/>
      <c r="AO460" s="185"/>
      <c r="AP460" s="185"/>
      <c r="AQ460" s="185"/>
      <c r="AR460" s="185"/>
      <c r="AS460" s="185"/>
      <c r="AT460" s="185"/>
      <c r="AU460" s="185"/>
      <c r="AV460" s="185"/>
    </row>
    <row r="461" spans="13:48" s="277" customFormat="1">
      <c r="M461" s="185"/>
      <c r="N461" s="185"/>
      <c r="O461" s="185"/>
      <c r="S461" s="291">
        <v>42017</v>
      </c>
      <c r="T461" s="279">
        <v>378</v>
      </c>
      <c r="AI461" s="185"/>
      <c r="AJ461" s="185"/>
      <c r="AK461" s="185"/>
      <c r="AL461" s="185"/>
      <c r="AM461" s="185"/>
      <c r="AN461" s="185"/>
      <c r="AO461" s="185"/>
      <c r="AP461" s="185"/>
      <c r="AQ461" s="185"/>
      <c r="AR461" s="185"/>
      <c r="AS461" s="185"/>
      <c r="AT461" s="185"/>
      <c r="AU461" s="185"/>
      <c r="AV461" s="185"/>
    </row>
    <row r="462" spans="13:48" s="277" customFormat="1">
      <c r="M462" s="185"/>
      <c r="N462" s="185"/>
      <c r="O462" s="185"/>
      <c r="S462" s="291">
        <v>42018</v>
      </c>
      <c r="T462" s="279">
        <v>379</v>
      </c>
      <c r="AI462" s="185"/>
      <c r="AJ462" s="185"/>
      <c r="AK462" s="185"/>
      <c r="AL462" s="185"/>
      <c r="AM462" s="185"/>
      <c r="AN462" s="185"/>
      <c r="AO462" s="185"/>
      <c r="AP462" s="185"/>
      <c r="AQ462" s="185"/>
      <c r="AR462" s="185"/>
      <c r="AS462" s="185"/>
      <c r="AT462" s="185"/>
      <c r="AU462" s="185"/>
      <c r="AV462" s="185"/>
    </row>
    <row r="463" spans="13:48" s="277" customFormat="1">
      <c r="M463" s="185"/>
      <c r="N463" s="185"/>
      <c r="O463" s="185"/>
      <c r="S463" s="291">
        <v>42019</v>
      </c>
      <c r="T463" s="279">
        <v>380</v>
      </c>
      <c r="AI463" s="185"/>
      <c r="AJ463" s="185"/>
      <c r="AK463" s="185"/>
      <c r="AL463" s="185"/>
      <c r="AM463" s="185"/>
      <c r="AN463" s="185"/>
      <c r="AO463" s="185"/>
      <c r="AP463" s="185"/>
      <c r="AQ463" s="185"/>
      <c r="AR463" s="185"/>
      <c r="AS463" s="185"/>
      <c r="AT463" s="185"/>
      <c r="AU463" s="185"/>
      <c r="AV463" s="185"/>
    </row>
    <row r="464" spans="13:48" s="277" customFormat="1">
      <c r="M464" s="185"/>
      <c r="N464" s="185"/>
      <c r="O464" s="185"/>
      <c r="S464" s="291">
        <v>42020</v>
      </c>
      <c r="T464" s="279">
        <v>381</v>
      </c>
      <c r="AI464" s="185"/>
      <c r="AJ464" s="185"/>
      <c r="AK464" s="185"/>
      <c r="AL464" s="185"/>
      <c r="AM464" s="185"/>
      <c r="AN464" s="185"/>
      <c r="AO464" s="185"/>
      <c r="AP464" s="185"/>
      <c r="AQ464" s="185"/>
      <c r="AR464" s="185"/>
      <c r="AS464" s="185"/>
      <c r="AT464" s="185"/>
      <c r="AU464" s="185"/>
      <c r="AV464" s="185"/>
    </row>
    <row r="465" spans="13:48" s="277" customFormat="1">
      <c r="M465" s="185"/>
      <c r="N465" s="185"/>
      <c r="O465" s="185"/>
      <c r="S465" s="291">
        <v>42021</v>
      </c>
      <c r="T465" s="279">
        <v>382</v>
      </c>
      <c r="AI465" s="185"/>
      <c r="AJ465" s="185"/>
      <c r="AK465" s="185"/>
      <c r="AL465" s="185"/>
      <c r="AM465" s="185"/>
      <c r="AN465" s="185"/>
      <c r="AO465" s="185"/>
      <c r="AP465" s="185"/>
      <c r="AQ465" s="185"/>
      <c r="AR465" s="185"/>
      <c r="AS465" s="185"/>
      <c r="AT465" s="185"/>
      <c r="AU465" s="185"/>
      <c r="AV465" s="185"/>
    </row>
    <row r="466" spans="13:48" s="277" customFormat="1">
      <c r="M466" s="185"/>
      <c r="N466" s="185"/>
      <c r="O466" s="185"/>
      <c r="S466" s="291">
        <v>42022</v>
      </c>
      <c r="T466" s="279">
        <v>383</v>
      </c>
      <c r="AI466" s="185"/>
      <c r="AJ466" s="185"/>
      <c r="AK466" s="185"/>
      <c r="AL466" s="185"/>
      <c r="AM466" s="185"/>
      <c r="AN466" s="185"/>
      <c r="AO466" s="185"/>
      <c r="AP466" s="185"/>
      <c r="AQ466" s="185"/>
      <c r="AR466" s="185"/>
      <c r="AS466" s="185"/>
      <c r="AT466" s="185"/>
      <c r="AU466" s="185"/>
      <c r="AV466" s="185"/>
    </row>
    <row r="467" spans="13:48" s="277" customFormat="1">
      <c r="M467" s="185"/>
      <c r="N467" s="185"/>
      <c r="O467" s="185"/>
      <c r="S467" s="291">
        <v>42023</v>
      </c>
      <c r="T467" s="279">
        <v>384</v>
      </c>
      <c r="AI467" s="185"/>
      <c r="AJ467" s="185"/>
      <c r="AK467" s="185"/>
      <c r="AL467" s="185"/>
      <c r="AM467" s="185"/>
      <c r="AN467" s="185"/>
      <c r="AO467" s="185"/>
      <c r="AP467" s="185"/>
      <c r="AQ467" s="185"/>
      <c r="AR467" s="185"/>
      <c r="AS467" s="185"/>
      <c r="AT467" s="185"/>
      <c r="AU467" s="185"/>
      <c r="AV467" s="185"/>
    </row>
    <row r="468" spans="13:48" s="277" customFormat="1">
      <c r="M468" s="185"/>
      <c r="N468" s="185"/>
      <c r="O468" s="185"/>
      <c r="S468" s="291">
        <v>42024</v>
      </c>
      <c r="T468" s="279">
        <v>385</v>
      </c>
      <c r="AI468" s="185"/>
      <c r="AJ468" s="185"/>
      <c r="AK468" s="185"/>
      <c r="AL468" s="185"/>
      <c r="AM468" s="185"/>
      <c r="AN468" s="185"/>
      <c r="AO468" s="185"/>
      <c r="AP468" s="185"/>
      <c r="AQ468" s="185"/>
      <c r="AR468" s="185"/>
      <c r="AS468" s="185"/>
      <c r="AT468" s="185"/>
      <c r="AU468" s="185"/>
      <c r="AV468" s="185"/>
    </row>
    <row r="469" spans="13:48" s="277" customFormat="1">
      <c r="M469" s="185"/>
      <c r="N469" s="185"/>
      <c r="O469" s="185"/>
      <c r="S469" s="291">
        <v>42025</v>
      </c>
      <c r="T469" s="279">
        <v>386</v>
      </c>
      <c r="AI469" s="185"/>
      <c r="AJ469" s="185"/>
      <c r="AK469" s="185"/>
      <c r="AL469" s="185"/>
      <c r="AM469" s="185"/>
      <c r="AN469" s="185"/>
      <c r="AO469" s="185"/>
      <c r="AP469" s="185"/>
      <c r="AQ469" s="185"/>
      <c r="AR469" s="185"/>
      <c r="AS469" s="185"/>
      <c r="AT469" s="185"/>
      <c r="AU469" s="185"/>
      <c r="AV469" s="185"/>
    </row>
    <row r="470" spans="13:48" s="277" customFormat="1">
      <c r="M470" s="185"/>
      <c r="N470" s="185"/>
      <c r="O470" s="185"/>
      <c r="S470" s="291">
        <v>42026</v>
      </c>
      <c r="T470" s="279">
        <v>387</v>
      </c>
      <c r="AI470" s="185"/>
      <c r="AJ470" s="185"/>
      <c r="AK470" s="185"/>
      <c r="AL470" s="185"/>
      <c r="AM470" s="185"/>
      <c r="AN470" s="185"/>
      <c r="AO470" s="185"/>
      <c r="AP470" s="185"/>
      <c r="AQ470" s="185"/>
      <c r="AR470" s="185"/>
      <c r="AS470" s="185"/>
      <c r="AT470" s="185"/>
      <c r="AU470" s="185"/>
      <c r="AV470" s="185"/>
    </row>
    <row r="471" spans="13:48" s="277" customFormat="1">
      <c r="M471" s="185"/>
      <c r="N471" s="185"/>
      <c r="O471" s="185"/>
      <c r="S471" s="291">
        <v>42027</v>
      </c>
      <c r="T471" s="279">
        <v>388</v>
      </c>
      <c r="AI471" s="185"/>
      <c r="AJ471" s="185"/>
      <c r="AK471" s="185"/>
      <c r="AL471" s="185"/>
      <c r="AM471" s="185"/>
      <c r="AN471" s="185"/>
      <c r="AO471" s="185"/>
      <c r="AP471" s="185"/>
      <c r="AQ471" s="185"/>
      <c r="AR471" s="185"/>
      <c r="AS471" s="185"/>
      <c r="AT471" s="185"/>
      <c r="AU471" s="185"/>
      <c r="AV471" s="185"/>
    </row>
    <row r="472" spans="13:48" s="277" customFormat="1">
      <c r="M472" s="185"/>
      <c r="N472" s="185"/>
      <c r="O472" s="185"/>
      <c r="S472" s="291">
        <v>42028</v>
      </c>
      <c r="T472" s="279">
        <v>389</v>
      </c>
      <c r="AI472" s="185"/>
      <c r="AJ472" s="185"/>
      <c r="AK472" s="185"/>
      <c r="AL472" s="185"/>
      <c r="AM472" s="185"/>
      <c r="AN472" s="185"/>
      <c r="AO472" s="185"/>
      <c r="AP472" s="185"/>
      <c r="AQ472" s="185"/>
      <c r="AR472" s="185"/>
      <c r="AS472" s="185"/>
      <c r="AT472" s="185"/>
      <c r="AU472" s="185"/>
      <c r="AV472" s="185"/>
    </row>
    <row r="473" spans="13:48" s="277" customFormat="1">
      <c r="M473" s="185"/>
      <c r="N473" s="185"/>
      <c r="O473" s="185"/>
      <c r="S473" s="291">
        <v>42029</v>
      </c>
      <c r="T473" s="279">
        <v>390</v>
      </c>
      <c r="AI473" s="185"/>
      <c r="AJ473" s="185"/>
      <c r="AK473" s="185"/>
      <c r="AL473" s="185"/>
      <c r="AM473" s="185"/>
      <c r="AN473" s="185"/>
      <c r="AO473" s="185"/>
      <c r="AP473" s="185"/>
      <c r="AQ473" s="185"/>
      <c r="AR473" s="185"/>
      <c r="AS473" s="185"/>
      <c r="AT473" s="185"/>
      <c r="AU473" s="185"/>
      <c r="AV473" s="185"/>
    </row>
    <row r="474" spans="13:48" s="277" customFormat="1">
      <c r="M474" s="185"/>
      <c r="N474" s="185"/>
      <c r="O474" s="185"/>
      <c r="S474" s="291">
        <v>42030</v>
      </c>
      <c r="T474" s="279">
        <v>391</v>
      </c>
      <c r="AI474" s="185"/>
      <c r="AJ474" s="185"/>
      <c r="AK474" s="185"/>
      <c r="AL474" s="185"/>
      <c r="AM474" s="185"/>
      <c r="AN474" s="185"/>
      <c r="AO474" s="185"/>
      <c r="AP474" s="185"/>
      <c r="AQ474" s="185"/>
      <c r="AR474" s="185"/>
      <c r="AS474" s="185"/>
      <c r="AT474" s="185"/>
      <c r="AU474" s="185"/>
      <c r="AV474" s="185"/>
    </row>
    <row r="475" spans="13:48" s="277" customFormat="1">
      <c r="M475" s="185"/>
      <c r="N475" s="185"/>
      <c r="O475" s="185"/>
      <c r="S475" s="291">
        <v>42031</v>
      </c>
      <c r="T475" s="279">
        <v>392</v>
      </c>
      <c r="AI475" s="185"/>
      <c r="AJ475" s="185"/>
      <c r="AK475" s="185"/>
      <c r="AL475" s="185"/>
      <c r="AM475" s="185"/>
      <c r="AN475" s="185"/>
      <c r="AO475" s="185"/>
      <c r="AP475" s="185"/>
      <c r="AQ475" s="185"/>
      <c r="AR475" s="185"/>
      <c r="AS475" s="185"/>
      <c r="AT475" s="185"/>
      <c r="AU475" s="185"/>
      <c r="AV475" s="185"/>
    </row>
    <row r="476" spans="13:48" s="277" customFormat="1">
      <c r="M476" s="185"/>
      <c r="N476" s="185"/>
      <c r="O476" s="185"/>
      <c r="S476" s="291">
        <v>42032</v>
      </c>
      <c r="T476" s="279">
        <v>393</v>
      </c>
      <c r="AI476" s="185"/>
      <c r="AJ476" s="185"/>
      <c r="AK476" s="185"/>
      <c r="AL476" s="185"/>
      <c r="AM476" s="185"/>
      <c r="AN476" s="185"/>
      <c r="AO476" s="185"/>
      <c r="AP476" s="185"/>
      <c r="AQ476" s="185"/>
      <c r="AR476" s="185"/>
      <c r="AS476" s="185"/>
      <c r="AT476" s="185"/>
      <c r="AU476" s="185"/>
      <c r="AV476" s="185"/>
    </row>
    <row r="477" spans="13:48" s="277" customFormat="1">
      <c r="M477" s="185"/>
      <c r="N477" s="185"/>
      <c r="O477" s="185"/>
      <c r="S477" s="291">
        <v>42033</v>
      </c>
      <c r="T477" s="279">
        <v>394</v>
      </c>
      <c r="AI477" s="185"/>
      <c r="AJ477" s="185"/>
      <c r="AK477" s="185"/>
      <c r="AL477" s="185"/>
      <c r="AM477" s="185"/>
      <c r="AN477" s="185"/>
      <c r="AO477" s="185"/>
      <c r="AP477" s="185"/>
      <c r="AQ477" s="185"/>
      <c r="AR477" s="185"/>
      <c r="AS477" s="185"/>
      <c r="AT477" s="185"/>
      <c r="AU477" s="185"/>
      <c r="AV477" s="185"/>
    </row>
    <row r="478" spans="13:48" s="277" customFormat="1">
      <c r="M478" s="185"/>
      <c r="N478" s="185"/>
      <c r="O478" s="185"/>
      <c r="S478" s="291">
        <v>42034</v>
      </c>
      <c r="T478" s="279">
        <v>395</v>
      </c>
      <c r="AI478" s="185"/>
      <c r="AJ478" s="185"/>
      <c r="AK478" s="185"/>
      <c r="AL478" s="185"/>
      <c r="AM478" s="185"/>
      <c r="AN478" s="185"/>
      <c r="AO478" s="185"/>
      <c r="AP478" s="185"/>
      <c r="AQ478" s="185"/>
      <c r="AR478" s="185"/>
      <c r="AS478" s="185"/>
      <c r="AT478" s="185"/>
      <c r="AU478" s="185"/>
      <c r="AV478" s="185"/>
    </row>
    <row r="479" spans="13:48" s="277" customFormat="1">
      <c r="M479" s="185"/>
      <c r="N479" s="185"/>
      <c r="O479" s="185"/>
      <c r="S479" s="291">
        <v>42035</v>
      </c>
      <c r="T479" s="279">
        <v>396</v>
      </c>
      <c r="AI479" s="185"/>
      <c r="AJ479" s="185"/>
      <c r="AK479" s="185"/>
      <c r="AL479" s="185"/>
      <c r="AM479" s="185"/>
      <c r="AN479" s="185"/>
      <c r="AO479" s="185"/>
      <c r="AP479" s="185"/>
      <c r="AQ479" s="185"/>
      <c r="AR479" s="185"/>
      <c r="AS479" s="185"/>
      <c r="AT479" s="185"/>
      <c r="AU479" s="185"/>
      <c r="AV479" s="185"/>
    </row>
    <row r="480" spans="13:48" s="277" customFormat="1">
      <c r="M480" s="185"/>
      <c r="N480" s="185"/>
      <c r="O480" s="185"/>
      <c r="S480" s="291">
        <v>42036</v>
      </c>
      <c r="T480" s="279">
        <v>397</v>
      </c>
      <c r="AI480" s="185"/>
      <c r="AJ480" s="185"/>
      <c r="AK480" s="185"/>
      <c r="AL480" s="185"/>
      <c r="AM480" s="185"/>
      <c r="AN480" s="185"/>
      <c r="AO480" s="185"/>
      <c r="AP480" s="185"/>
      <c r="AQ480" s="185"/>
      <c r="AR480" s="185"/>
      <c r="AS480" s="185"/>
      <c r="AT480" s="185"/>
      <c r="AU480" s="185"/>
      <c r="AV480" s="185"/>
    </row>
    <row r="481" spans="13:48" s="277" customFormat="1">
      <c r="M481" s="185"/>
      <c r="N481" s="185"/>
      <c r="O481" s="185"/>
      <c r="S481" s="291">
        <v>42037</v>
      </c>
      <c r="T481" s="279">
        <v>398</v>
      </c>
      <c r="AI481" s="185"/>
      <c r="AJ481" s="185"/>
      <c r="AK481" s="185"/>
      <c r="AL481" s="185"/>
      <c r="AM481" s="185"/>
      <c r="AN481" s="185"/>
      <c r="AO481" s="185"/>
      <c r="AP481" s="185"/>
      <c r="AQ481" s="185"/>
      <c r="AR481" s="185"/>
      <c r="AS481" s="185"/>
      <c r="AT481" s="185"/>
      <c r="AU481" s="185"/>
      <c r="AV481" s="185"/>
    </row>
    <row r="482" spans="13:48" s="277" customFormat="1">
      <c r="M482" s="185"/>
      <c r="N482" s="185"/>
      <c r="O482" s="185"/>
      <c r="S482" s="291">
        <v>42038</v>
      </c>
      <c r="T482" s="279">
        <v>399</v>
      </c>
      <c r="AI482" s="185"/>
      <c r="AJ482" s="185"/>
      <c r="AK482" s="185"/>
      <c r="AL482" s="185"/>
      <c r="AM482" s="185"/>
      <c r="AN482" s="185"/>
      <c r="AO482" s="185"/>
      <c r="AP482" s="185"/>
      <c r="AQ482" s="185"/>
      <c r="AR482" s="185"/>
      <c r="AS482" s="185"/>
      <c r="AT482" s="185"/>
      <c r="AU482" s="185"/>
      <c r="AV482" s="185"/>
    </row>
    <row r="483" spans="13:48" s="277" customFormat="1">
      <c r="M483" s="185"/>
      <c r="N483" s="185"/>
      <c r="O483" s="185"/>
      <c r="S483" s="291">
        <v>42039</v>
      </c>
      <c r="T483" s="279">
        <v>400</v>
      </c>
      <c r="AI483" s="185"/>
      <c r="AJ483" s="185"/>
      <c r="AK483" s="185"/>
      <c r="AL483" s="185"/>
      <c r="AM483" s="185"/>
      <c r="AN483" s="185"/>
      <c r="AO483" s="185"/>
      <c r="AP483" s="185"/>
      <c r="AQ483" s="185"/>
      <c r="AR483" s="185"/>
      <c r="AS483" s="185"/>
      <c r="AT483" s="185"/>
      <c r="AU483" s="185"/>
      <c r="AV483" s="185"/>
    </row>
    <row r="484" spans="13:48" s="277" customFormat="1">
      <c r="M484" s="185"/>
      <c r="N484" s="185"/>
      <c r="O484" s="185"/>
      <c r="S484" s="291">
        <v>42040</v>
      </c>
      <c r="T484" s="279">
        <v>401</v>
      </c>
      <c r="AI484" s="185"/>
      <c r="AJ484" s="185"/>
      <c r="AK484" s="185"/>
      <c r="AL484" s="185"/>
      <c r="AM484" s="185"/>
      <c r="AN484" s="185"/>
      <c r="AO484" s="185"/>
      <c r="AP484" s="185"/>
      <c r="AQ484" s="185"/>
      <c r="AR484" s="185"/>
      <c r="AS484" s="185"/>
      <c r="AT484" s="185"/>
      <c r="AU484" s="185"/>
      <c r="AV484" s="185"/>
    </row>
    <row r="485" spans="13:48" s="277" customFormat="1">
      <c r="M485" s="185"/>
      <c r="N485" s="185"/>
      <c r="O485" s="185"/>
      <c r="S485" s="291">
        <v>42041</v>
      </c>
      <c r="T485" s="279">
        <v>402</v>
      </c>
      <c r="AI485" s="185"/>
      <c r="AJ485" s="185"/>
      <c r="AK485" s="185"/>
      <c r="AL485" s="185"/>
      <c r="AM485" s="185"/>
      <c r="AN485" s="185"/>
      <c r="AO485" s="185"/>
      <c r="AP485" s="185"/>
      <c r="AQ485" s="185"/>
      <c r="AR485" s="185"/>
      <c r="AS485" s="185"/>
      <c r="AT485" s="185"/>
      <c r="AU485" s="185"/>
      <c r="AV485" s="185"/>
    </row>
    <row r="486" spans="13:48" s="277" customFormat="1">
      <c r="M486" s="185"/>
      <c r="N486" s="185"/>
      <c r="O486" s="185"/>
      <c r="S486" s="291">
        <v>42042</v>
      </c>
      <c r="T486" s="279">
        <v>403</v>
      </c>
      <c r="AI486" s="185"/>
      <c r="AJ486" s="185"/>
      <c r="AK486" s="185"/>
      <c r="AL486" s="185"/>
      <c r="AM486" s="185"/>
      <c r="AN486" s="185"/>
      <c r="AO486" s="185"/>
      <c r="AP486" s="185"/>
      <c r="AQ486" s="185"/>
      <c r="AR486" s="185"/>
      <c r="AS486" s="185"/>
      <c r="AT486" s="185"/>
      <c r="AU486" s="185"/>
      <c r="AV486" s="185"/>
    </row>
    <row r="487" spans="13:48" s="277" customFormat="1">
      <c r="M487" s="185"/>
      <c r="N487" s="185"/>
      <c r="O487" s="185"/>
      <c r="S487" s="291">
        <v>42043</v>
      </c>
      <c r="T487" s="279">
        <v>404</v>
      </c>
      <c r="AI487" s="185"/>
      <c r="AJ487" s="185"/>
      <c r="AK487" s="185"/>
      <c r="AL487" s="185"/>
      <c r="AM487" s="185"/>
      <c r="AN487" s="185"/>
      <c r="AO487" s="185"/>
      <c r="AP487" s="185"/>
      <c r="AQ487" s="185"/>
      <c r="AR487" s="185"/>
      <c r="AS487" s="185"/>
      <c r="AT487" s="185"/>
      <c r="AU487" s="185"/>
      <c r="AV487" s="185"/>
    </row>
    <row r="488" spans="13:48" s="277" customFormat="1">
      <c r="M488" s="185"/>
      <c r="N488" s="185"/>
      <c r="O488" s="185"/>
      <c r="S488" s="291">
        <v>42044</v>
      </c>
      <c r="T488" s="279">
        <v>405</v>
      </c>
      <c r="AI488" s="185"/>
      <c r="AJ488" s="185"/>
      <c r="AK488" s="185"/>
      <c r="AL488" s="185"/>
      <c r="AM488" s="185"/>
      <c r="AN488" s="185"/>
      <c r="AO488" s="185"/>
      <c r="AP488" s="185"/>
      <c r="AQ488" s="185"/>
      <c r="AR488" s="185"/>
      <c r="AS488" s="185"/>
      <c r="AT488" s="185"/>
      <c r="AU488" s="185"/>
      <c r="AV488" s="185"/>
    </row>
    <row r="489" spans="13:48" s="277" customFormat="1">
      <c r="M489" s="185"/>
      <c r="N489" s="185"/>
      <c r="O489" s="185"/>
      <c r="S489" s="291">
        <v>42045</v>
      </c>
      <c r="T489" s="279">
        <v>406</v>
      </c>
      <c r="AI489" s="185"/>
      <c r="AJ489" s="185"/>
      <c r="AK489" s="185"/>
      <c r="AL489" s="185"/>
      <c r="AM489" s="185"/>
      <c r="AN489" s="185"/>
      <c r="AO489" s="185"/>
      <c r="AP489" s="185"/>
      <c r="AQ489" s="185"/>
      <c r="AR489" s="185"/>
      <c r="AS489" s="185"/>
      <c r="AT489" s="185"/>
      <c r="AU489" s="185"/>
      <c r="AV489" s="185"/>
    </row>
    <row r="490" spans="13:48" s="277" customFormat="1">
      <c r="M490" s="185"/>
      <c r="N490" s="185"/>
      <c r="O490" s="185"/>
      <c r="S490" s="291">
        <v>42046</v>
      </c>
      <c r="T490" s="279">
        <v>407</v>
      </c>
      <c r="AI490" s="185"/>
      <c r="AJ490" s="185"/>
      <c r="AK490" s="185"/>
      <c r="AL490" s="185"/>
      <c r="AM490" s="185"/>
      <c r="AN490" s="185"/>
      <c r="AO490" s="185"/>
      <c r="AP490" s="185"/>
      <c r="AQ490" s="185"/>
      <c r="AR490" s="185"/>
      <c r="AS490" s="185"/>
      <c r="AT490" s="185"/>
      <c r="AU490" s="185"/>
      <c r="AV490" s="185"/>
    </row>
    <row r="491" spans="13:48" s="277" customFormat="1">
      <c r="M491" s="185"/>
      <c r="N491" s="185"/>
      <c r="O491" s="185"/>
      <c r="S491" s="291">
        <v>42047</v>
      </c>
      <c r="T491" s="279">
        <v>408</v>
      </c>
      <c r="AI491" s="185"/>
      <c r="AJ491" s="185"/>
      <c r="AK491" s="185"/>
      <c r="AL491" s="185"/>
      <c r="AM491" s="185"/>
      <c r="AN491" s="185"/>
      <c r="AO491" s="185"/>
      <c r="AP491" s="185"/>
      <c r="AQ491" s="185"/>
      <c r="AR491" s="185"/>
      <c r="AS491" s="185"/>
      <c r="AT491" s="185"/>
      <c r="AU491" s="185"/>
      <c r="AV491" s="185"/>
    </row>
    <row r="492" spans="13:48" s="277" customFormat="1">
      <c r="M492" s="185"/>
      <c r="N492" s="185"/>
      <c r="O492" s="185"/>
      <c r="S492" s="291">
        <v>42048</v>
      </c>
      <c r="T492" s="279">
        <v>409</v>
      </c>
      <c r="AI492" s="185"/>
      <c r="AJ492" s="185"/>
      <c r="AK492" s="185"/>
      <c r="AL492" s="185"/>
      <c r="AM492" s="185"/>
      <c r="AN492" s="185"/>
      <c r="AO492" s="185"/>
      <c r="AP492" s="185"/>
      <c r="AQ492" s="185"/>
      <c r="AR492" s="185"/>
      <c r="AS492" s="185"/>
      <c r="AT492" s="185"/>
      <c r="AU492" s="185"/>
      <c r="AV492" s="185"/>
    </row>
    <row r="493" spans="13:48" s="277" customFormat="1">
      <c r="M493" s="185"/>
      <c r="N493" s="185"/>
      <c r="O493" s="185"/>
      <c r="S493" s="291">
        <v>42049</v>
      </c>
      <c r="T493" s="279">
        <v>410</v>
      </c>
      <c r="AI493" s="185"/>
      <c r="AJ493" s="185"/>
      <c r="AK493" s="185"/>
      <c r="AL493" s="185"/>
      <c r="AM493" s="185"/>
      <c r="AN493" s="185"/>
      <c r="AO493" s="185"/>
      <c r="AP493" s="185"/>
      <c r="AQ493" s="185"/>
      <c r="AR493" s="185"/>
      <c r="AS493" s="185"/>
      <c r="AT493" s="185"/>
      <c r="AU493" s="185"/>
      <c r="AV493" s="185"/>
    </row>
    <row r="494" spans="13:48" s="277" customFormat="1">
      <c r="M494" s="185"/>
      <c r="N494" s="185"/>
      <c r="O494" s="185"/>
      <c r="S494" s="291">
        <v>42050</v>
      </c>
      <c r="T494" s="279">
        <v>411</v>
      </c>
      <c r="AI494" s="185"/>
      <c r="AJ494" s="185"/>
      <c r="AK494" s="185"/>
      <c r="AL494" s="185"/>
      <c r="AM494" s="185"/>
      <c r="AN494" s="185"/>
      <c r="AO494" s="185"/>
      <c r="AP494" s="185"/>
      <c r="AQ494" s="185"/>
      <c r="AR494" s="185"/>
      <c r="AS494" s="185"/>
      <c r="AT494" s="185"/>
      <c r="AU494" s="185"/>
      <c r="AV494" s="185"/>
    </row>
    <row r="495" spans="13:48" s="277" customFormat="1">
      <c r="M495" s="185"/>
      <c r="N495" s="185"/>
      <c r="O495" s="185"/>
      <c r="S495" s="291">
        <v>42051</v>
      </c>
      <c r="T495" s="279">
        <v>412</v>
      </c>
      <c r="AI495" s="185"/>
      <c r="AJ495" s="185"/>
      <c r="AK495" s="185"/>
      <c r="AL495" s="185"/>
      <c r="AM495" s="185"/>
      <c r="AN495" s="185"/>
      <c r="AO495" s="185"/>
      <c r="AP495" s="185"/>
      <c r="AQ495" s="185"/>
      <c r="AR495" s="185"/>
      <c r="AS495" s="185"/>
      <c r="AT495" s="185"/>
      <c r="AU495" s="185"/>
      <c r="AV495" s="185"/>
    </row>
    <row r="496" spans="13:48" s="277" customFormat="1">
      <c r="M496" s="185"/>
      <c r="N496" s="185"/>
      <c r="O496" s="185"/>
      <c r="S496" s="291">
        <v>42052</v>
      </c>
      <c r="T496" s="279">
        <v>413</v>
      </c>
      <c r="AI496" s="185"/>
      <c r="AJ496" s="185"/>
      <c r="AK496" s="185"/>
      <c r="AL496" s="185"/>
      <c r="AM496" s="185"/>
      <c r="AN496" s="185"/>
      <c r="AO496" s="185"/>
      <c r="AP496" s="185"/>
      <c r="AQ496" s="185"/>
      <c r="AR496" s="185"/>
      <c r="AS496" s="185"/>
      <c r="AT496" s="185"/>
      <c r="AU496" s="185"/>
      <c r="AV496" s="185"/>
    </row>
    <row r="497" spans="13:48" s="277" customFormat="1">
      <c r="M497" s="185"/>
      <c r="N497" s="185"/>
      <c r="O497" s="185"/>
      <c r="S497" s="291">
        <v>42053</v>
      </c>
      <c r="T497" s="279">
        <v>414</v>
      </c>
      <c r="AI497" s="185"/>
      <c r="AJ497" s="185"/>
      <c r="AK497" s="185"/>
      <c r="AL497" s="185"/>
      <c r="AM497" s="185"/>
      <c r="AN497" s="185"/>
      <c r="AO497" s="185"/>
      <c r="AP497" s="185"/>
      <c r="AQ497" s="185"/>
      <c r="AR497" s="185"/>
      <c r="AS497" s="185"/>
      <c r="AT497" s="185"/>
      <c r="AU497" s="185"/>
      <c r="AV497" s="185"/>
    </row>
    <row r="498" spans="13:48" s="277" customFormat="1">
      <c r="M498" s="185"/>
      <c r="N498" s="185"/>
      <c r="O498" s="185"/>
      <c r="S498" s="291">
        <v>42054</v>
      </c>
      <c r="T498" s="279">
        <v>415</v>
      </c>
      <c r="AI498" s="185"/>
      <c r="AJ498" s="185"/>
      <c r="AK498" s="185"/>
      <c r="AL498" s="185"/>
      <c r="AM498" s="185"/>
      <c r="AN498" s="185"/>
      <c r="AO498" s="185"/>
      <c r="AP498" s="185"/>
      <c r="AQ498" s="185"/>
      <c r="AR498" s="185"/>
      <c r="AS498" s="185"/>
      <c r="AT498" s="185"/>
      <c r="AU498" s="185"/>
      <c r="AV498" s="185"/>
    </row>
    <row r="499" spans="13:48" s="277" customFormat="1">
      <c r="M499" s="185"/>
      <c r="N499" s="185"/>
      <c r="O499" s="185"/>
      <c r="S499" s="291">
        <v>42055</v>
      </c>
      <c r="T499" s="279">
        <v>416</v>
      </c>
      <c r="AI499" s="185"/>
      <c r="AJ499" s="185"/>
      <c r="AK499" s="185"/>
      <c r="AL499" s="185"/>
      <c r="AM499" s="185"/>
      <c r="AN499" s="185"/>
      <c r="AO499" s="185"/>
      <c r="AP499" s="185"/>
      <c r="AQ499" s="185"/>
      <c r="AR499" s="185"/>
      <c r="AS499" s="185"/>
      <c r="AT499" s="185"/>
      <c r="AU499" s="185"/>
      <c r="AV499" s="185"/>
    </row>
    <row r="500" spans="13:48" s="277" customFormat="1">
      <c r="M500" s="185"/>
      <c r="N500" s="185"/>
      <c r="O500" s="185"/>
      <c r="S500" s="291">
        <v>42056</v>
      </c>
      <c r="T500" s="279">
        <v>417</v>
      </c>
      <c r="AI500" s="185"/>
      <c r="AJ500" s="185"/>
      <c r="AK500" s="185"/>
      <c r="AL500" s="185"/>
      <c r="AM500" s="185"/>
      <c r="AN500" s="185"/>
      <c r="AO500" s="185"/>
      <c r="AP500" s="185"/>
      <c r="AQ500" s="185"/>
      <c r="AR500" s="185"/>
      <c r="AS500" s="185"/>
      <c r="AT500" s="185"/>
      <c r="AU500" s="185"/>
      <c r="AV500" s="185"/>
    </row>
    <row r="501" spans="13:48" s="277" customFormat="1">
      <c r="M501" s="185"/>
      <c r="N501" s="185"/>
      <c r="O501" s="185"/>
      <c r="S501" s="291">
        <v>42057</v>
      </c>
      <c r="T501" s="279">
        <v>418</v>
      </c>
      <c r="AI501" s="185"/>
      <c r="AJ501" s="185"/>
      <c r="AK501" s="185"/>
      <c r="AL501" s="185"/>
      <c r="AM501" s="185"/>
      <c r="AN501" s="185"/>
      <c r="AO501" s="185"/>
      <c r="AP501" s="185"/>
      <c r="AQ501" s="185"/>
      <c r="AR501" s="185"/>
      <c r="AS501" s="185"/>
      <c r="AT501" s="185"/>
      <c r="AU501" s="185"/>
      <c r="AV501" s="185"/>
    </row>
    <row r="502" spans="13:48" s="277" customFormat="1">
      <c r="M502" s="185"/>
      <c r="N502" s="185"/>
      <c r="O502" s="185"/>
      <c r="S502" s="291">
        <v>42058</v>
      </c>
      <c r="T502" s="279">
        <v>419</v>
      </c>
      <c r="AI502" s="185"/>
      <c r="AJ502" s="185"/>
      <c r="AK502" s="185"/>
      <c r="AL502" s="185"/>
      <c r="AM502" s="185"/>
      <c r="AN502" s="185"/>
      <c r="AO502" s="185"/>
      <c r="AP502" s="185"/>
      <c r="AQ502" s="185"/>
      <c r="AR502" s="185"/>
      <c r="AS502" s="185"/>
      <c r="AT502" s="185"/>
      <c r="AU502" s="185"/>
      <c r="AV502" s="185"/>
    </row>
    <row r="503" spans="13:48" s="277" customFormat="1">
      <c r="M503" s="185"/>
      <c r="N503" s="185"/>
      <c r="O503" s="185"/>
      <c r="S503" s="291">
        <v>42059</v>
      </c>
      <c r="T503" s="279">
        <v>420</v>
      </c>
      <c r="AI503" s="185"/>
      <c r="AJ503" s="185"/>
      <c r="AK503" s="185"/>
      <c r="AL503" s="185"/>
      <c r="AM503" s="185"/>
      <c r="AN503" s="185"/>
      <c r="AO503" s="185"/>
      <c r="AP503" s="185"/>
      <c r="AQ503" s="185"/>
      <c r="AR503" s="185"/>
      <c r="AS503" s="185"/>
      <c r="AT503" s="185"/>
      <c r="AU503" s="185"/>
      <c r="AV503" s="185"/>
    </row>
    <row r="504" spans="13:48" s="277" customFormat="1">
      <c r="M504" s="185"/>
      <c r="N504" s="185"/>
      <c r="O504" s="185"/>
      <c r="S504" s="291">
        <v>42060</v>
      </c>
      <c r="T504" s="279">
        <v>421</v>
      </c>
      <c r="AI504" s="185"/>
      <c r="AJ504" s="185"/>
      <c r="AK504" s="185"/>
      <c r="AL504" s="185"/>
      <c r="AM504" s="185"/>
      <c r="AN504" s="185"/>
      <c r="AO504" s="185"/>
      <c r="AP504" s="185"/>
      <c r="AQ504" s="185"/>
      <c r="AR504" s="185"/>
      <c r="AS504" s="185"/>
      <c r="AT504" s="185"/>
      <c r="AU504" s="185"/>
      <c r="AV504" s="185"/>
    </row>
    <row r="505" spans="13:48" s="277" customFormat="1">
      <c r="M505" s="185"/>
      <c r="N505" s="185"/>
      <c r="O505" s="185"/>
      <c r="S505" s="291">
        <v>42061</v>
      </c>
      <c r="T505" s="279">
        <v>422</v>
      </c>
      <c r="AI505" s="185"/>
      <c r="AJ505" s="185"/>
      <c r="AK505" s="185"/>
      <c r="AL505" s="185"/>
      <c r="AM505" s="185"/>
      <c r="AN505" s="185"/>
      <c r="AO505" s="185"/>
      <c r="AP505" s="185"/>
      <c r="AQ505" s="185"/>
      <c r="AR505" s="185"/>
      <c r="AS505" s="185"/>
      <c r="AT505" s="185"/>
      <c r="AU505" s="185"/>
      <c r="AV505" s="185"/>
    </row>
    <row r="506" spans="13:48" s="277" customFormat="1">
      <c r="M506" s="185"/>
      <c r="N506" s="185"/>
      <c r="O506" s="185"/>
      <c r="S506" s="291">
        <v>42062</v>
      </c>
      <c r="T506" s="279">
        <v>423</v>
      </c>
      <c r="AI506" s="185"/>
      <c r="AJ506" s="185"/>
      <c r="AK506" s="185"/>
      <c r="AL506" s="185"/>
      <c r="AM506" s="185"/>
      <c r="AN506" s="185"/>
      <c r="AO506" s="185"/>
      <c r="AP506" s="185"/>
      <c r="AQ506" s="185"/>
      <c r="AR506" s="185"/>
      <c r="AS506" s="185"/>
      <c r="AT506" s="185"/>
      <c r="AU506" s="185"/>
      <c r="AV506" s="185"/>
    </row>
    <row r="507" spans="13:48" s="277" customFormat="1">
      <c r="M507" s="185"/>
      <c r="N507" s="185"/>
      <c r="O507" s="185"/>
      <c r="S507" s="291">
        <v>42063</v>
      </c>
      <c r="T507" s="279">
        <v>424</v>
      </c>
      <c r="AI507" s="185"/>
      <c r="AJ507" s="185"/>
      <c r="AK507" s="185"/>
      <c r="AL507" s="185"/>
      <c r="AM507" s="185"/>
      <c r="AN507" s="185"/>
      <c r="AO507" s="185"/>
      <c r="AP507" s="185"/>
      <c r="AQ507" s="185"/>
      <c r="AR507" s="185"/>
      <c r="AS507" s="185"/>
      <c r="AT507" s="185"/>
      <c r="AU507" s="185"/>
      <c r="AV507" s="185"/>
    </row>
    <row r="508" spans="13:48" s="277" customFormat="1">
      <c r="M508" s="185"/>
      <c r="N508" s="185"/>
      <c r="O508" s="185"/>
      <c r="S508" s="291">
        <v>42064</v>
      </c>
      <c r="T508" s="279">
        <v>425</v>
      </c>
      <c r="AI508" s="185"/>
      <c r="AJ508" s="185"/>
      <c r="AK508" s="185"/>
      <c r="AL508" s="185"/>
      <c r="AM508" s="185"/>
      <c r="AN508" s="185"/>
      <c r="AO508" s="185"/>
      <c r="AP508" s="185"/>
      <c r="AQ508" s="185"/>
      <c r="AR508" s="185"/>
      <c r="AS508" s="185"/>
      <c r="AT508" s="185"/>
      <c r="AU508" s="185"/>
      <c r="AV508" s="185"/>
    </row>
    <row r="509" spans="13:48" s="277" customFormat="1">
      <c r="M509" s="185"/>
      <c r="N509" s="185"/>
      <c r="O509" s="185"/>
      <c r="S509" s="291">
        <v>42065</v>
      </c>
      <c r="T509" s="279">
        <v>426</v>
      </c>
      <c r="AI509" s="185"/>
      <c r="AJ509" s="185"/>
      <c r="AK509" s="185"/>
      <c r="AL509" s="185"/>
      <c r="AM509" s="185"/>
      <c r="AN509" s="185"/>
      <c r="AO509" s="185"/>
      <c r="AP509" s="185"/>
      <c r="AQ509" s="185"/>
      <c r="AR509" s="185"/>
      <c r="AS509" s="185"/>
      <c r="AT509" s="185"/>
      <c r="AU509" s="185"/>
      <c r="AV509" s="185"/>
    </row>
    <row r="510" spans="13:48" s="277" customFormat="1">
      <c r="M510" s="185"/>
      <c r="N510" s="185"/>
      <c r="O510" s="185"/>
      <c r="S510" s="291">
        <v>42066</v>
      </c>
      <c r="T510" s="279">
        <v>427</v>
      </c>
      <c r="AI510" s="185"/>
      <c r="AJ510" s="185"/>
      <c r="AK510" s="185"/>
      <c r="AL510" s="185"/>
      <c r="AM510" s="185"/>
      <c r="AN510" s="185"/>
      <c r="AO510" s="185"/>
      <c r="AP510" s="185"/>
      <c r="AQ510" s="185"/>
      <c r="AR510" s="185"/>
      <c r="AS510" s="185"/>
      <c r="AT510" s="185"/>
      <c r="AU510" s="185"/>
      <c r="AV510" s="185"/>
    </row>
    <row r="511" spans="13:48" s="277" customFormat="1">
      <c r="M511" s="185"/>
      <c r="N511" s="185"/>
      <c r="O511" s="185"/>
      <c r="S511" s="291">
        <v>42067</v>
      </c>
      <c r="T511" s="279">
        <v>428</v>
      </c>
      <c r="AI511" s="185"/>
      <c r="AJ511" s="185"/>
      <c r="AK511" s="185"/>
      <c r="AL511" s="185"/>
      <c r="AM511" s="185"/>
      <c r="AN511" s="185"/>
      <c r="AO511" s="185"/>
      <c r="AP511" s="185"/>
      <c r="AQ511" s="185"/>
      <c r="AR511" s="185"/>
      <c r="AS511" s="185"/>
      <c r="AT511" s="185"/>
      <c r="AU511" s="185"/>
      <c r="AV511" s="185"/>
    </row>
    <row r="512" spans="13:48" s="277" customFormat="1">
      <c r="M512" s="185"/>
      <c r="N512" s="185"/>
      <c r="O512" s="185"/>
      <c r="S512" s="291">
        <v>42068</v>
      </c>
      <c r="T512" s="279">
        <v>429</v>
      </c>
      <c r="AI512" s="185"/>
      <c r="AJ512" s="185"/>
      <c r="AK512" s="185"/>
      <c r="AL512" s="185"/>
      <c r="AM512" s="185"/>
      <c r="AN512" s="185"/>
      <c r="AO512" s="185"/>
      <c r="AP512" s="185"/>
      <c r="AQ512" s="185"/>
      <c r="AR512" s="185"/>
      <c r="AS512" s="185"/>
      <c r="AT512" s="185"/>
      <c r="AU512" s="185"/>
      <c r="AV512" s="185"/>
    </row>
    <row r="513" spans="13:48" s="277" customFormat="1">
      <c r="M513" s="185"/>
      <c r="N513" s="185"/>
      <c r="O513" s="185"/>
      <c r="S513" s="291">
        <v>42069</v>
      </c>
      <c r="T513" s="279">
        <v>430</v>
      </c>
      <c r="AI513" s="185"/>
      <c r="AJ513" s="185"/>
      <c r="AK513" s="185"/>
      <c r="AL513" s="185"/>
      <c r="AM513" s="185"/>
      <c r="AN513" s="185"/>
      <c r="AO513" s="185"/>
      <c r="AP513" s="185"/>
      <c r="AQ513" s="185"/>
      <c r="AR513" s="185"/>
      <c r="AS513" s="185"/>
      <c r="AT513" s="185"/>
      <c r="AU513" s="185"/>
      <c r="AV513" s="185"/>
    </row>
    <row r="514" spans="13:48" s="277" customFormat="1">
      <c r="M514" s="185"/>
      <c r="N514" s="185"/>
      <c r="O514" s="185"/>
      <c r="S514" s="291">
        <v>42070</v>
      </c>
      <c r="T514" s="279">
        <v>431</v>
      </c>
      <c r="AI514" s="185"/>
      <c r="AJ514" s="185"/>
      <c r="AK514" s="185"/>
      <c r="AL514" s="185"/>
      <c r="AM514" s="185"/>
      <c r="AN514" s="185"/>
      <c r="AO514" s="185"/>
      <c r="AP514" s="185"/>
      <c r="AQ514" s="185"/>
      <c r="AR514" s="185"/>
      <c r="AS514" s="185"/>
      <c r="AT514" s="185"/>
      <c r="AU514" s="185"/>
      <c r="AV514" s="185"/>
    </row>
    <row r="515" spans="13:48" s="277" customFormat="1">
      <c r="M515" s="185"/>
      <c r="N515" s="185"/>
      <c r="O515" s="185"/>
      <c r="S515" s="291">
        <v>42071</v>
      </c>
      <c r="T515" s="279">
        <v>432</v>
      </c>
      <c r="AI515" s="185"/>
      <c r="AJ515" s="185"/>
      <c r="AK515" s="185"/>
      <c r="AL515" s="185"/>
      <c r="AM515" s="185"/>
      <c r="AN515" s="185"/>
      <c r="AO515" s="185"/>
      <c r="AP515" s="185"/>
      <c r="AQ515" s="185"/>
      <c r="AR515" s="185"/>
      <c r="AS515" s="185"/>
      <c r="AT515" s="185"/>
      <c r="AU515" s="185"/>
      <c r="AV515" s="185"/>
    </row>
    <row r="516" spans="13:48" s="277" customFormat="1">
      <c r="M516" s="185"/>
      <c r="N516" s="185"/>
      <c r="O516" s="185"/>
      <c r="S516" s="291">
        <v>42072</v>
      </c>
      <c r="T516" s="279">
        <v>433</v>
      </c>
      <c r="AI516" s="185"/>
      <c r="AJ516" s="185"/>
      <c r="AK516" s="185"/>
      <c r="AL516" s="185"/>
      <c r="AM516" s="185"/>
      <c r="AN516" s="185"/>
      <c r="AO516" s="185"/>
      <c r="AP516" s="185"/>
      <c r="AQ516" s="185"/>
      <c r="AR516" s="185"/>
      <c r="AS516" s="185"/>
      <c r="AT516" s="185"/>
      <c r="AU516" s="185"/>
      <c r="AV516" s="185"/>
    </row>
    <row r="517" spans="13:48" s="277" customFormat="1">
      <c r="M517" s="185"/>
      <c r="N517" s="185"/>
      <c r="O517" s="185"/>
      <c r="S517" s="291">
        <v>42073</v>
      </c>
      <c r="T517" s="279">
        <v>434</v>
      </c>
      <c r="AI517" s="185"/>
      <c r="AJ517" s="185"/>
      <c r="AK517" s="185"/>
      <c r="AL517" s="185"/>
      <c r="AM517" s="185"/>
      <c r="AN517" s="185"/>
      <c r="AO517" s="185"/>
      <c r="AP517" s="185"/>
      <c r="AQ517" s="185"/>
      <c r="AR517" s="185"/>
      <c r="AS517" s="185"/>
      <c r="AT517" s="185"/>
      <c r="AU517" s="185"/>
      <c r="AV517" s="185"/>
    </row>
    <row r="518" spans="13:48" s="277" customFormat="1">
      <c r="M518" s="185"/>
      <c r="N518" s="185"/>
      <c r="O518" s="185"/>
      <c r="S518" s="291">
        <v>42074</v>
      </c>
      <c r="T518" s="279">
        <v>435</v>
      </c>
      <c r="AI518" s="185"/>
      <c r="AJ518" s="185"/>
      <c r="AK518" s="185"/>
      <c r="AL518" s="185"/>
      <c r="AM518" s="185"/>
      <c r="AN518" s="185"/>
      <c r="AO518" s="185"/>
      <c r="AP518" s="185"/>
      <c r="AQ518" s="185"/>
      <c r="AR518" s="185"/>
      <c r="AS518" s="185"/>
      <c r="AT518" s="185"/>
      <c r="AU518" s="185"/>
      <c r="AV518" s="185"/>
    </row>
    <row r="519" spans="13:48" s="277" customFormat="1">
      <c r="M519" s="185"/>
      <c r="N519" s="185"/>
      <c r="O519" s="185"/>
      <c r="S519" s="291">
        <v>42075</v>
      </c>
      <c r="T519" s="279">
        <v>436</v>
      </c>
      <c r="AI519" s="185"/>
      <c r="AJ519" s="185"/>
      <c r="AK519" s="185"/>
      <c r="AL519" s="185"/>
      <c r="AM519" s="185"/>
      <c r="AN519" s="185"/>
      <c r="AO519" s="185"/>
      <c r="AP519" s="185"/>
      <c r="AQ519" s="185"/>
      <c r="AR519" s="185"/>
      <c r="AS519" s="185"/>
      <c r="AT519" s="185"/>
      <c r="AU519" s="185"/>
      <c r="AV519" s="185"/>
    </row>
    <row r="520" spans="13:48" s="277" customFormat="1">
      <c r="M520" s="185"/>
      <c r="N520" s="185"/>
      <c r="O520" s="185"/>
      <c r="S520" s="291">
        <v>42076</v>
      </c>
      <c r="T520" s="279">
        <v>437</v>
      </c>
      <c r="AI520" s="185"/>
      <c r="AJ520" s="185"/>
      <c r="AK520" s="185"/>
      <c r="AL520" s="185"/>
      <c r="AM520" s="185"/>
      <c r="AN520" s="185"/>
      <c r="AO520" s="185"/>
      <c r="AP520" s="185"/>
      <c r="AQ520" s="185"/>
      <c r="AR520" s="185"/>
      <c r="AS520" s="185"/>
      <c r="AT520" s="185"/>
      <c r="AU520" s="185"/>
      <c r="AV520" s="185"/>
    </row>
    <row r="521" spans="13:48" s="277" customFormat="1">
      <c r="M521" s="185"/>
      <c r="N521" s="185"/>
      <c r="O521" s="185"/>
      <c r="S521" s="291">
        <v>42077</v>
      </c>
      <c r="T521" s="279">
        <v>438</v>
      </c>
      <c r="AI521" s="185"/>
      <c r="AJ521" s="185"/>
      <c r="AK521" s="185"/>
      <c r="AL521" s="185"/>
      <c r="AM521" s="185"/>
      <c r="AN521" s="185"/>
      <c r="AO521" s="185"/>
      <c r="AP521" s="185"/>
      <c r="AQ521" s="185"/>
      <c r="AR521" s="185"/>
      <c r="AS521" s="185"/>
      <c r="AT521" s="185"/>
      <c r="AU521" s="185"/>
      <c r="AV521" s="185"/>
    </row>
    <row r="522" spans="13:48" s="277" customFormat="1">
      <c r="M522" s="185"/>
      <c r="N522" s="185"/>
      <c r="O522" s="185"/>
      <c r="S522" s="291">
        <v>42078</v>
      </c>
      <c r="T522" s="279">
        <v>439</v>
      </c>
      <c r="AI522" s="185"/>
      <c r="AJ522" s="185"/>
      <c r="AK522" s="185"/>
      <c r="AL522" s="185"/>
      <c r="AM522" s="185"/>
      <c r="AN522" s="185"/>
      <c r="AO522" s="185"/>
      <c r="AP522" s="185"/>
      <c r="AQ522" s="185"/>
      <c r="AR522" s="185"/>
      <c r="AS522" s="185"/>
      <c r="AT522" s="185"/>
      <c r="AU522" s="185"/>
      <c r="AV522" s="185"/>
    </row>
    <row r="523" spans="13:48" s="277" customFormat="1">
      <c r="M523" s="185"/>
      <c r="N523" s="185"/>
      <c r="O523" s="185"/>
      <c r="S523" s="291">
        <v>42079</v>
      </c>
      <c r="T523" s="279">
        <v>440</v>
      </c>
      <c r="AI523" s="185"/>
      <c r="AJ523" s="185"/>
      <c r="AK523" s="185"/>
      <c r="AL523" s="185"/>
      <c r="AM523" s="185"/>
      <c r="AN523" s="185"/>
      <c r="AO523" s="185"/>
      <c r="AP523" s="185"/>
      <c r="AQ523" s="185"/>
      <c r="AR523" s="185"/>
      <c r="AS523" s="185"/>
      <c r="AT523" s="185"/>
      <c r="AU523" s="185"/>
      <c r="AV523" s="185"/>
    </row>
    <row r="524" spans="13:48" s="277" customFormat="1">
      <c r="M524" s="185"/>
      <c r="N524" s="185"/>
      <c r="O524" s="185"/>
      <c r="S524" s="291">
        <v>42080</v>
      </c>
      <c r="T524" s="279">
        <v>441</v>
      </c>
      <c r="AI524" s="185"/>
      <c r="AJ524" s="185"/>
      <c r="AK524" s="185"/>
      <c r="AL524" s="185"/>
      <c r="AM524" s="185"/>
      <c r="AN524" s="185"/>
      <c r="AO524" s="185"/>
      <c r="AP524" s="185"/>
      <c r="AQ524" s="185"/>
      <c r="AR524" s="185"/>
      <c r="AS524" s="185"/>
      <c r="AT524" s="185"/>
      <c r="AU524" s="185"/>
      <c r="AV524" s="185"/>
    </row>
    <row r="525" spans="13:48" s="277" customFormat="1">
      <c r="M525" s="185"/>
      <c r="N525" s="185"/>
      <c r="O525" s="185"/>
      <c r="S525" s="291">
        <v>42081</v>
      </c>
      <c r="T525" s="279">
        <v>442</v>
      </c>
      <c r="AI525" s="185"/>
      <c r="AJ525" s="185"/>
      <c r="AK525" s="185"/>
      <c r="AL525" s="185"/>
      <c r="AM525" s="185"/>
      <c r="AN525" s="185"/>
      <c r="AO525" s="185"/>
      <c r="AP525" s="185"/>
      <c r="AQ525" s="185"/>
      <c r="AR525" s="185"/>
      <c r="AS525" s="185"/>
      <c r="AT525" s="185"/>
      <c r="AU525" s="185"/>
      <c r="AV525" s="185"/>
    </row>
    <row r="526" spans="13:48" s="277" customFormat="1">
      <c r="M526" s="185"/>
      <c r="N526" s="185"/>
      <c r="O526" s="185"/>
      <c r="S526" s="291">
        <v>42082</v>
      </c>
      <c r="T526" s="279">
        <v>443</v>
      </c>
      <c r="AI526" s="185"/>
      <c r="AJ526" s="185"/>
      <c r="AK526" s="185"/>
      <c r="AL526" s="185"/>
      <c r="AM526" s="185"/>
      <c r="AN526" s="185"/>
      <c r="AO526" s="185"/>
      <c r="AP526" s="185"/>
      <c r="AQ526" s="185"/>
      <c r="AR526" s="185"/>
      <c r="AS526" s="185"/>
      <c r="AT526" s="185"/>
      <c r="AU526" s="185"/>
      <c r="AV526" s="185"/>
    </row>
    <row r="527" spans="13:48" s="277" customFormat="1">
      <c r="M527" s="185"/>
      <c r="N527" s="185"/>
      <c r="O527" s="185"/>
      <c r="S527" s="291">
        <v>42083</v>
      </c>
      <c r="T527" s="279">
        <v>444</v>
      </c>
      <c r="AI527" s="185"/>
      <c r="AJ527" s="185"/>
      <c r="AK527" s="185"/>
      <c r="AL527" s="185"/>
      <c r="AM527" s="185"/>
      <c r="AN527" s="185"/>
      <c r="AO527" s="185"/>
      <c r="AP527" s="185"/>
      <c r="AQ527" s="185"/>
      <c r="AR527" s="185"/>
      <c r="AS527" s="185"/>
      <c r="AT527" s="185"/>
      <c r="AU527" s="185"/>
      <c r="AV527" s="185"/>
    </row>
    <row r="528" spans="13:48" s="277" customFormat="1">
      <c r="M528" s="185"/>
      <c r="N528" s="185"/>
      <c r="O528" s="185"/>
      <c r="S528" s="291">
        <v>42084</v>
      </c>
      <c r="T528" s="279">
        <v>445</v>
      </c>
      <c r="AI528" s="185"/>
      <c r="AJ528" s="185"/>
      <c r="AK528" s="185"/>
      <c r="AL528" s="185"/>
      <c r="AM528" s="185"/>
      <c r="AN528" s="185"/>
      <c r="AO528" s="185"/>
      <c r="AP528" s="185"/>
      <c r="AQ528" s="185"/>
      <c r="AR528" s="185"/>
      <c r="AS528" s="185"/>
      <c r="AT528" s="185"/>
      <c r="AU528" s="185"/>
      <c r="AV528" s="185"/>
    </row>
    <row r="529" spans="13:48" s="277" customFormat="1">
      <c r="M529" s="185"/>
      <c r="N529" s="185"/>
      <c r="O529" s="185"/>
      <c r="S529" s="291">
        <v>42085</v>
      </c>
      <c r="T529" s="279">
        <v>446</v>
      </c>
      <c r="AI529" s="185"/>
      <c r="AJ529" s="185"/>
      <c r="AK529" s="185"/>
      <c r="AL529" s="185"/>
      <c r="AM529" s="185"/>
      <c r="AN529" s="185"/>
      <c r="AO529" s="185"/>
      <c r="AP529" s="185"/>
      <c r="AQ529" s="185"/>
      <c r="AR529" s="185"/>
      <c r="AS529" s="185"/>
      <c r="AT529" s="185"/>
      <c r="AU529" s="185"/>
      <c r="AV529" s="185"/>
    </row>
    <row r="530" spans="13:48" s="277" customFormat="1">
      <c r="M530" s="185"/>
      <c r="N530" s="185"/>
      <c r="O530" s="185"/>
      <c r="S530" s="291">
        <v>42086</v>
      </c>
      <c r="T530" s="279">
        <v>447</v>
      </c>
      <c r="AI530" s="185"/>
      <c r="AJ530" s="185"/>
      <c r="AK530" s="185"/>
      <c r="AL530" s="185"/>
      <c r="AM530" s="185"/>
      <c r="AN530" s="185"/>
      <c r="AO530" s="185"/>
      <c r="AP530" s="185"/>
      <c r="AQ530" s="185"/>
      <c r="AR530" s="185"/>
      <c r="AS530" s="185"/>
      <c r="AT530" s="185"/>
      <c r="AU530" s="185"/>
      <c r="AV530" s="185"/>
    </row>
    <row r="531" spans="13:48" s="277" customFormat="1">
      <c r="M531" s="185"/>
      <c r="N531" s="185"/>
      <c r="O531" s="185"/>
      <c r="S531" s="291">
        <v>42087</v>
      </c>
      <c r="T531" s="279">
        <v>448</v>
      </c>
      <c r="AI531" s="185"/>
      <c r="AJ531" s="185"/>
      <c r="AK531" s="185"/>
      <c r="AL531" s="185"/>
      <c r="AM531" s="185"/>
      <c r="AN531" s="185"/>
      <c r="AO531" s="185"/>
      <c r="AP531" s="185"/>
      <c r="AQ531" s="185"/>
      <c r="AR531" s="185"/>
      <c r="AS531" s="185"/>
      <c r="AT531" s="185"/>
      <c r="AU531" s="185"/>
      <c r="AV531" s="185"/>
    </row>
    <row r="532" spans="13:48" s="277" customFormat="1">
      <c r="M532" s="185"/>
      <c r="N532" s="185"/>
      <c r="O532" s="185"/>
      <c r="S532" s="291">
        <v>42088</v>
      </c>
      <c r="T532" s="279">
        <v>449</v>
      </c>
      <c r="AI532" s="185"/>
      <c r="AJ532" s="185"/>
      <c r="AK532" s="185"/>
      <c r="AL532" s="185"/>
      <c r="AM532" s="185"/>
      <c r="AN532" s="185"/>
      <c r="AO532" s="185"/>
      <c r="AP532" s="185"/>
      <c r="AQ532" s="185"/>
      <c r="AR532" s="185"/>
      <c r="AS532" s="185"/>
      <c r="AT532" s="185"/>
      <c r="AU532" s="185"/>
      <c r="AV532" s="185"/>
    </row>
    <row r="533" spans="13:48" s="277" customFormat="1">
      <c r="M533" s="185"/>
      <c r="N533" s="185"/>
      <c r="O533" s="185"/>
      <c r="S533" s="291">
        <v>42089</v>
      </c>
      <c r="T533" s="279">
        <v>450</v>
      </c>
      <c r="AI533" s="185"/>
      <c r="AJ533" s="185"/>
      <c r="AK533" s="185"/>
      <c r="AL533" s="185"/>
      <c r="AM533" s="185"/>
      <c r="AN533" s="185"/>
      <c r="AO533" s="185"/>
      <c r="AP533" s="185"/>
      <c r="AQ533" s="185"/>
      <c r="AR533" s="185"/>
      <c r="AS533" s="185"/>
      <c r="AT533" s="185"/>
      <c r="AU533" s="185"/>
      <c r="AV533" s="185"/>
    </row>
    <row r="534" spans="13:48" s="277" customFormat="1">
      <c r="M534" s="185"/>
      <c r="N534" s="185"/>
      <c r="O534" s="185"/>
      <c r="S534" s="291">
        <v>42090</v>
      </c>
      <c r="T534" s="279">
        <v>451</v>
      </c>
      <c r="AI534" s="185"/>
      <c r="AJ534" s="185"/>
      <c r="AK534" s="185"/>
      <c r="AL534" s="185"/>
      <c r="AM534" s="185"/>
      <c r="AN534" s="185"/>
      <c r="AO534" s="185"/>
      <c r="AP534" s="185"/>
      <c r="AQ534" s="185"/>
      <c r="AR534" s="185"/>
      <c r="AS534" s="185"/>
      <c r="AT534" s="185"/>
      <c r="AU534" s="185"/>
      <c r="AV534" s="185"/>
    </row>
    <row r="535" spans="13:48" s="277" customFormat="1">
      <c r="M535" s="185"/>
      <c r="N535" s="185"/>
      <c r="O535" s="185"/>
      <c r="S535" s="291">
        <v>42091</v>
      </c>
      <c r="T535" s="279">
        <v>452</v>
      </c>
      <c r="AI535" s="185"/>
      <c r="AJ535" s="185"/>
      <c r="AK535" s="185"/>
      <c r="AL535" s="185"/>
      <c r="AM535" s="185"/>
      <c r="AN535" s="185"/>
      <c r="AO535" s="185"/>
      <c r="AP535" s="185"/>
      <c r="AQ535" s="185"/>
      <c r="AR535" s="185"/>
      <c r="AS535" s="185"/>
      <c r="AT535" s="185"/>
      <c r="AU535" s="185"/>
      <c r="AV535" s="185"/>
    </row>
    <row r="536" spans="13:48" s="277" customFormat="1">
      <c r="M536" s="185"/>
      <c r="N536" s="185"/>
      <c r="O536" s="185"/>
      <c r="S536" s="291">
        <v>42092</v>
      </c>
      <c r="T536" s="279">
        <v>453</v>
      </c>
      <c r="AI536" s="185"/>
      <c r="AJ536" s="185"/>
      <c r="AK536" s="185"/>
      <c r="AL536" s="185"/>
      <c r="AM536" s="185"/>
      <c r="AN536" s="185"/>
      <c r="AO536" s="185"/>
      <c r="AP536" s="185"/>
      <c r="AQ536" s="185"/>
      <c r="AR536" s="185"/>
      <c r="AS536" s="185"/>
      <c r="AT536" s="185"/>
      <c r="AU536" s="185"/>
      <c r="AV536" s="185"/>
    </row>
    <row r="537" spans="13:48" s="277" customFormat="1">
      <c r="M537" s="185"/>
      <c r="N537" s="185"/>
      <c r="O537" s="185"/>
      <c r="S537" s="291">
        <v>42093</v>
      </c>
      <c r="T537" s="279">
        <v>454</v>
      </c>
      <c r="AI537" s="185"/>
      <c r="AJ537" s="185"/>
      <c r="AK537" s="185"/>
      <c r="AL537" s="185"/>
      <c r="AM537" s="185"/>
      <c r="AN537" s="185"/>
      <c r="AO537" s="185"/>
      <c r="AP537" s="185"/>
      <c r="AQ537" s="185"/>
      <c r="AR537" s="185"/>
      <c r="AS537" s="185"/>
      <c r="AT537" s="185"/>
      <c r="AU537" s="185"/>
      <c r="AV537" s="185"/>
    </row>
    <row r="538" spans="13:48" s="277" customFormat="1">
      <c r="M538" s="185"/>
      <c r="N538" s="185"/>
      <c r="O538" s="185"/>
      <c r="S538" s="291">
        <v>42094</v>
      </c>
      <c r="T538" s="279">
        <v>455</v>
      </c>
      <c r="AI538" s="185"/>
      <c r="AJ538" s="185"/>
      <c r="AK538" s="185"/>
      <c r="AL538" s="185"/>
      <c r="AM538" s="185"/>
      <c r="AN538" s="185"/>
      <c r="AO538" s="185"/>
      <c r="AP538" s="185"/>
      <c r="AQ538" s="185"/>
      <c r="AR538" s="185"/>
      <c r="AS538" s="185"/>
      <c r="AT538" s="185"/>
      <c r="AU538" s="185"/>
      <c r="AV538" s="185"/>
    </row>
    <row r="539" spans="13:48" s="277" customFormat="1">
      <c r="M539" s="185"/>
      <c r="N539" s="185"/>
      <c r="O539" s="185"/>
      <c r="S539" s="291">
        <v>42095</v>
      </c>
      <c r="T539" s="279">
        <v>456</v>
      </c>
      <c r="AI539" s="185"/>
      <c r="AJ539" s="185"/>
      <c r="AK539" s="185"/>
      <c r="AL539" s="185"/>
      <c r="AM539" s="185"/>
      <c r="AN539" s="185"/>
      <c r="AO539" s="185"/>
      <c r="AP539" s="185"/>
      <c r="AQ539" s="185"/>
      <c r="AR539" s="185"/>
      <c r="AS539" s="185"/>
      <c r="AT539" s="185"/>
      <c r="AU539" s="185"/>
      <c r="AV539" s="185"/>
    </row>
    <row r="540" spans="13:48" s="277" customFormat="1">
      <c r="M540" s="185"/>
      <c r="N540" s="185"/>
      <c r="O540" s="185"/>
      <c r="S540" s="291">
        <v>42096</v>
      </c>
      <c r="T540" s="279">
        <v>457</v>
      </c>
      <c r="AI540" s="185"/>
      <c r="AJ540" s="185"/>
      <c r="AK540" s="185"/>
      <c r="AL540" s="185"/>
      <c r="AM540" s="185"/>
      <c r="AN540" s="185"/>
      <c r="AO540" s="185"/>
      <c r="AP540" s="185"/>
      <c r="AQ540" s="185"/>
      <c r="AR540" s="185"/>
      <c r="AS540" s="185"/>
      <c r="AT540" s="185"/>
      <c r="AU540" s="185"/>
      <c r="AV540" s="185"/>
    </row>
    <row r="541" spans="13:48" s="277" customFormat="1">
      <c r="M541" s="185"/>
      <c r="N541" s="185"/>
      <c r="O541" s="185"/>
      <c r="S541" s="291">
        <v>42097</v>
      </c>
      <c r="T541" s="279">
        <v>458</v>
      </c>
      <c r="AI541" s="185"/>
      <c r="AJ541" s="185"/>
      <c r="AK541" s="185"/>
      <c r="AL541" s="185"/>
      <c r="AM541" s="185"/>
      <c r="AN541" s="185"/>
      <c r="AO541" s="185"/>
      <c r="AP541" s="185"/>
      <c r="AQ541" s="185"/>
      <c r="AR541" s="185"/>
      <c r="AS541" s="185"/>
      <c r="AT541" s="185"/>
      <c r="AU541" s="185"/>
      <c r="AV541" s="185"/>
    </row>
    <row r="542" spans="13:48" s="277" customFormat="1">
      <c r="M542" s="185"/>
      <c r="N542" s="185"/>
      <c r="O542" s="185"/>
      <c r="S542" s="291">
        <v>42098</v>
      </c>
      <c r="T542" s="279">
        <v>459</v>
      </c>
      <c r="AI542" s="185"/>
      <c r="AJ542" s="185"/>
      <c r="AK542" s="185"/>
      <c r="AL542" s="185"/>
      <c r="AM542" s="185"/>
      <c r="AN542" s="185"/>
      <c r="AO542" s="185"/>
      <c r="AP542" s="185"/>
      <c r="AQ542" s="185"/>
      <c r="AR542" s="185"/>
      <c r="AS542" s="185"/>
      <c r="AT542" s="185"/>
      <c r="AU542" s="185"/>
      <c r="AV542" s="185"/>
    </row>
    <row r="543" spans="13:48" s="277" customFormat="1">
      <c r="M543" s="185"/>
      <c r="N543" s="185"/>
      <c r="O543" s="185"/>
      <c r="S543" s="291">
        <v>42099</v>
      </c>
      <c r="T543" s="279">
        <v>460</v>
      </c>
      <c r="AI543" s="185"/>
      <c r="AJ543" s="185"/>
      <c r="AK543" s="185"/>
      <c r="AL543" s="185"/>
      <c r="AM543" s="185"/>
      <c r="AN543" s="185"/>
      <c r="AO543" s="185"/>
      <c r="AP543" s="185"/>
      <c r="AQ543" s="185"/>
      <c r="AR543" s="185"/>
      <c r="AS543" s="185"/>
      <c r="AT543" s="185"/>
      <c r="AU543" s="185"/>
      <c r="AV543" s="185"/>
    </row>
    <row r="544" spans="13:48" s="277" customFormat="1">
      <c r="M544" s="185"/>
      <c r="N544" s="185"/>
      <c r="O544" s="185"/>
      <c r="S544" s="291">
        <v>42100</v>
      </c>
      <c r="T544" s="279">
        <v>461</v>
      </c>
      <c r="AI544" s="185"/>
      <c r="AJ544" s="185"/>
      <c r="AK544" s="185"/>
      <c r="AL544" s="185"/>
      <c r="AM544" s="185"/>
      <c r="AN544" s="185"/>
      <c r="AO544" s="185"/>
      <c r="AP544" s="185"/>
      <c r="AQ544" s="185"/>
      <c r="AR544" s="185"/>
      <c r="AS544" s="185"/>
      <c r="AT544" s="185"/>
      <c r="AU544" s="185"/>
      <c r="AV544" s="185"/>
    </row>
    <row r="545" spans="13:48" s="277" customFormat="1">
      <c r="M545" s="185"/>
      <c r="N545" s="185"/>
      <c r="O545" s="185"/>
      <c r="S545" s="291">
        <v>42101</v>
      </c>
      <c r="T545" s="279">
        <v>462</v>
      </c>
      <c r="AI545" s="185"/>
      <c r="AJ545" s="185"/>
      <c r="AK545" s="185"/>
      <c r="AL545" s="185"/>
      <c r="AM545" s="185"/>
      <c r="AN545" s="185"/>
      <c r="AO545" s="185"/>
      <c r="AP545" s="185"/>
      <c r="AQ545" s="185"/>
      <c r="AR545" s="185"/>
      <c r="AS545" s="185"/>
      <c r="AT545" s="185"/>
      <c r="AU545" s="185"/>
      <c r="AV545" s="185"/>
    </row>
    <row r="546" spans="13:48" s="277" customFormat="1">
      <c r="M546" s="185"/>
      <c r="N546" s="185"/>
      <c r="O546" s="185"/>
      <c r="S546" s="291">
        <v>42102</v>
      </c>
      <c r="T546" s="279">
        <v>463</v>
      </c>
      <c r="AI546" s="185"/>
      <c r="AJ546" s="185"/>
      <c r="AK546" s="185"/>
      <c r="AL546" s="185"/>
      <c r="AM546" s="185"/>
      <c r="AN546" s="185"/>
      <c r="AO546" s="185"/>
      <c r="AP546" s="185"/>
      <c r="AQ546" s="185"/>
      <c r="AR546" s="185"/>
      <c r="AS546" s="185"/>
      <c r="AT546" s="185"/>
      <c r="AU546" s="185"/>
      <c r="AV546" s="185"/>
    </row>
    <row r="547" spans="13:48" s="277" customFormat="1">
      <c r="M547" s="185"/>
      <c r="N547" s="185"/>
      <c r="O547" s="185"/>
      <c r="S547" s="291">
        <v>42103</v>
      </c>
      <c r="T547" s="279">
        <v>464</v>
      </c>
      <c r="AI547" s="185"/>
      <c r="AJ547" s="185"/>
      <c r="AK547" s="185"/>
      <c r="AL547" s="185"/>
      <c r="AM547" s="185"/>
      <c r="AN547" s="185"/>
      <c r="AO547" s="185"/>
      <c r="AP547" s="185"/>
      <c r="AQ547" s="185"/>
      <c r="AR547" s="185"/>
      <c r="AS547" s="185"/>
      <c r="AT547" s="185"/>
      <c r="AU547" s="185"/>
      <c r="AV547" s="185"/>
    </row>
    <row r="548" spans="13:48" s="277" customFormat="1">
      <c r="M548" s="185"/>
      <c r="N548" s="185"/>
      <c r="O548" s="185"/>
      <c r="S548" s="291">
        <v>42104</v>
      </c>
      <c r="T548" s="279">
        <v>465</v>
      </c>
      <c r="AI548" s="185"/>
      <c r="AJ548" s="185"/>
      <c r="AK548" s="185"/>
      <c r="AL548" s="185"/>
      <c r="AM548" s="185"/>
      <c r="AN548" s="185"/>
      <c r="AO548" s="185"/>
      <c r="AP548" s="185"/>
      <c r="AQ548" s="185"/>
      <c r="AR548" s="185"/>
      <c r="AS548" s="185"/>
      <c r="AT548" s="185"/>
      <c r="AU548" s="185"/>
      <c r="AV548" s="185"/>
    </row>
    <row r="549" spans="13:48" s="277" customFormat="1">
      <c r="M549" s="185"/>
      <c r="N549" s="185"/>
      <c r="O549" s="185"/>
      <c r="S549" s="291">
        <v>42105</v>
      </c>
      <c r="T549" s="279">
        <v>466</v>
      </c>
      <c r="AI549" s="185"/>
      <c r="AJ549" s="185"/>
      <c r="AK549" s="185"/>
      <c r="AL549" s="185"/>
      <c r="AM549" s="185"/>
      <c r="AN549" s="185"/>
      <c r="AO549" s="185"/>
      <c r="AP549" s="185"/>
      <c r="AQ549" s="185"/>
      <c r="AR549" s="185"/>
      <c r="AS549" s="185"/>
      <c r="AT549" s="185"/>
      <c r="AU549" s="185"/>
      <c r="AV549" s="185"/>
    </row>
    <row r="550" spans="13:48" s="277" customFormat="1">
      <c r="M550" s="185"/>
      <c r="N550" s="185"/>
      <c r="O550" s="185"/>
      <c r="S550" s="291">
        <v>42106</v>
      </c>
      <c r="T550" s="279">
        <v>467</v>
      </c>
      <c r="AI550" s="185"/>
      <c r="AJ550" s="185"/>
      <c r="AK550" s="185"/>
      <c r="AL550" s="185"/>
      <c r="AM550" s="185"/>
      <c r="AN550" s="185"/>
      <c r="AO550" s="185"/>
      <c r="AP550" s="185"/>
      <c r="AQ550" s="185"/>
      <c r="AR550" s="185"/>
      <c r="AS550" s="185"/>
      <c r="AT550" s="185"/>
      <c r="AU550" s="185"/>
      <c r="AV550" s="185"/>
    </row>
    <row r="551" spans="13:48" s="277" customFormat="1">
      <c r="M551" s="185"/>
      <c r="N551" s="185"/>
      <c r="O551" s="185"/>
      <c r="S551" s="291">
        <v>42107</v>
      </c>
      <c r="T551" s="279">
        <v>468</v>
      </c>
      <c r="AI551" s="185"/>
      <c r="AJ551" s="185"/>
      <c r="AK551" s="185"/>
      <c r="AL551" s="185"/>
      <c r="AM551" s="185"/>
      <c r="AN551" s="185"/>
      <c r="AO551" s="185"/>
      <c r="AP551" s="185"/>
      <c r="AQ551" s="185"/>
      <c r="AR551" s="185"/>
      <c r="AS551" s="185"/>
      <c r="AT551" s="185"/>
      <c r="AU551" s="185"/>
      <c r="AV551" s="185"/>
    </row>
    <row r="552" spans="13:48" s="277" customFormat="1">
      <c r="M552" s="185"/>
      <c r="N552" s="185"/>
      <c r="O552" s="185"/>
      <c r="S552" s="291">
        <v>42108</v>
      </c>
      <c r="T552" s="279">
        <v>469</v>
      </c>
      <c r="AI552" s="185"/>
      <c r="AJ552" s="185"/>
      <c r="AK552" s="185"/>
      <c r="AL552" s="185"/>
      <c r="AM552" s="185"/>
      <c r="AN552" s="185"/>
      <c r="AO552" s="185"/>
      <c r="AP552" s="185"/>
      <c r="AQ552" s="185"/>
      <c r="AR552" s="185"/>
      <c r="AS552" s="185"/>
      <c r="AT552" s="185"/>
      <c r="AU552" s="185"/>
      <c r="AV552" s="185"/>
    </row>
    <row r="553" spans="13:48" s="277" customFormat="1">
      <c r="M553" s="185"/>
      <c r="N553" s="185"/>
      <c r="O553" s="185"/>
      <c r="S553" s="291">
        <v>42109</v>
      </c>
      <c r="T553" s="279">
        <v>470</v>
      </c>
      <c r="AI553" s="185"/>
      <c r="AJ553" s="185"/>
      <c r="AK553" s="185"/>
      <c r="AL553" s="185"/>
      <c r="AM553" s="185"/>
      <c r="AN553" s="185"/>
      <c r="AO553" s="185"/>
      <c r="AP553" s="185"/>
      <c r="AQ553" s="185"/>
      <c r="AR553" s="185"/>
      <c r="AS553" s="185"/>
      <c r="AT553" s="185"/>
      <c r="AU553" s="185"/>
      <c r="AV553" s="185"/>
    </row>
    <row r="554" spans="13:48" s="277" customFormat="1">
      <c r="M554" s="185"/>
      <c r="N554" s="185"/>
      <c r="O554" s="185"/>
      <c r="S554" s="291">
        <v>42110</v>
      </c>
      <c r="T554" s="279">
        <v>471</v>
      </c>
      <c r="AI554" s="185"/>
      <c r="AJ554" s="185"/>
      <c r="AK554" s="185"/>
      <c r="AL554" s="185"/>
      <c r="AM554" s="185"/>
      <c r="AN554" s="185"/>
      <c r="AO554" s="185"/>
      <c r="AP554" s="185"/>
      <c r="AQ554" s="185"/>
      <c r="AR554" s="185"/>
      <c r="AS554" s="185"/>
      <c r="AT554" s="185"/>
      <c r="AU554" s="185"/>
      <c r="AV554" s="185"/>
    </row>
    <row r="555" spans="13:48" s="277" customFormat="1">
      <c r="M555" s="185"/>
      <c r="N555" s="185"/>
      <c r="O555" s="185"/>
      <c r="S555" s="291">
        <v>42111</v>
      </c>
      <c r="T555" s="279">
        <v>472</v>
      </c>
      <c r="AI555" s="185"/>
      <c r="AJ555" s="185"/>
      <c r="AK555" s="185"/>
      <c r="AL555" s="185"/>
      <c r="AM555" s="185"/>
      <c r="AN555" s="185"/>
      <c r="AO555" s="185"/>
      <c r="AP555" s="185"/>
      <c r="AQ555" s="185"/>
      <c r="AR555" s="185"/>
      <c r="AS555" s="185"/>
      <c r="AT555" s="185"/>
      <c r="AU555" s="185"/>
      <c r="AV555" s="185"/>
    </row>
    <row r="556" spans="13:48" s="277" customFormat="1">
      <c r="M556" s="185"/>
      <c r="N556" s="185"/>
      <c r="O556" s="185"/>
      <c r="S556" s="291">
        <v>42112</v>
      </c>
      <c r="T556" s="279">
        <v>473</v>
      </c>
      <c r="AI556" s="185"/>
      <c r="AJ556" s="185"/>
      <c r="AK556" s="185"/>
      <c r="AL556" s="185"/>
      <c r="AM556" s="185"/>
      <c r="AN556" s="185"/>
      <c r="AO556" s="185"/>
      <c r="AP556" s="185"/>
      <c r="AQ556" s="185"/>
      <c r="AR556" s="185"/>
      <c r="AS556" s="185"/>
      <c r="AT556" s="185"/>
      <c r="AU556" s="185"/>
      <c r="AV556" s="185"/>
    </row>
    <row r="557" spans="13:48" s="277" customFormat="1">
      <c r="M557" s="185"/>
      <c r="N557" s="185"/>
      <c r="O557" s="185"/>
      <c r="S557" s="291">
        <v>42113</v>
      </c>
      <c r="T557" s="279">
        <v>474</v>
      </c>
      <c r="AI557" s="185"/>
      <c r="AJ557" s="185"/>
      <c r="AK557" s="185"/>
      <c r="AL557" s="185"/>
      <c r="AM557" s="185"/>
      <c r="AN557" s="185"/>
      <c r="AO557" s="185"/>
      <c r="AP557" s="185"/>
      <c r="AQ557" s="185"/>
      <c r="AR557" s="185"/>
      <c r="AS557" s="185"/>
      <c r="AT557" s="185"/>
      <c r="AU557" s="185"/>
      <c r="AV557" s="185"/>
    </row>
    <row r="558" spans="13:48" s="277" customFormat="1">
      <c r="M558" s="185"/>
      <c r="N558" s="185"/>
      <c r="O558" s="185"/>
      <c r="S558" s="291">
        <v>42114</v>
      </c>
      <c r="T558" s="279">
        <v>475</v>
      </c>
      <c r="AI558" s="185"/>
      <c r="AJ558" s="185"/>
      <c r="AK558" s="185"/>
      <c r="AL558" s="185"/>
      <c r="AM558" s="185"/>
      <c r="AN558" s="185"/>
      <c r="AO558" s="185"/>
      <c r="AP558" s="185"/>
      <c r="AQ558" s="185"/>
      <c r="AR558" s="185"/>
      <c r="AS558" s="185"/>
      <c r="AT558" s="185"/>
      <c r="AU558" s="185"/>
      <c r="AV558" s="185"/>
    </row>
    <row r="559" spans="13:48" s="277" customFormat="1">
      <c r="M559" s="185"/>
      <c r="N559" s="185"/>
      <c r="O559" s="185"/>
      <c r="S559" s="291">
        <v>42115</v>
      </c>
      <c r="T559" s="279">
        <v>476</v>
      </c>
      <c r="AI559" s="185"/>
      <c r="AJ559" s="185"/>
      <c r="AK559" s="185"/>
      <c r="AL559" s="185"/>
      <c r="AM559" s="185"/>
      <c r="AN559" s="185"/>
      <c r="AO559" s="185"/>
      <c r="AP559" s="185"/>
      <c r="AQ559" s="185"/>
      <c r="AR559" s="185"/>
      <c r="AS559" s="185"/>
      <c r="AT559" s="185"/>
      <c r="AU559" s="185"/>
      <c r="AV559" s="185"/>
    </row>
    <row r="560" spans="13:48" s="277" customFormat="1">
      <c r="M560" s="185"/>
      <c r="N560" s="185"/>
      <c r="O560" s="185"/>
      <c r="S560" s="291">
        <v>42116</v>
      </c>
      <c r="T560" s="279">
        <v>477</v>
      </c>
      <c r="AI560" s="185"/>
      <c r="AJ560" s="185"/>
      <c r="AK560" s="185"/>
      <c r="AL560" s="185"/>
      <c r="AM560" s="185"/>
      <c r="AN560" s="185"/>
      <c r="AO560" s="185"/>
      <c r="AP560" s="185"/>
      <c r="AQ560" s="185"/>
      <c r="AR560" s="185"/>
      <c r="AS560" s="185"/>
      <c r="AT560" s="185"/>
      <c r="AU560" s="185"/>
      <c r="AV560" s="185"/>
    </row>
    <row r="561" spans="13:48" s="277" customFormat="1">
      <c r="M561" s="185"/>
      <c r="N561" s="185"/>
      <c r="O561" s="185"/>
      <c r="S561" s="291">
        <v>42117</v>
      </c>
      <c r="T561" s="279">
        <v>478</v>
      </c>
      <c r="AI561" s="185"/>
      <c r="AJ561" s="185"/>
      <c r="AK561" s="185"/>
      <c r="AL561" s="185"/>
      <c r="AM561" s="185"/>
      <c r="AN561" s="185"/>
      <c r="AO561" s="185"/>
      <c r="AP561" s="185"/>
      <c r="AQ561" s="185"/>
      <c r="AR561" s="185"/>
      <c r="AS561" s="185"/>
      <c r="AT561" s="185"/>
      <c r="AU561" s="185"/>
      <c r="AV561" s="185"/>
    </row>
    <row r="562" spans="13:48" s="277" customFormat="1">
      <c r="M562" s="185"/>
      <c r="N562" s="185"/>
      <c r="O562" s="185"/>
      <c r="S562" s="291">
        <v>42118</v>
      </c>
      <c r="T562" s="279">
        <v>479</v>
      </c>
      <c r="AI562" s="185"/>
      <c r="AJ562" s="185"/>
      <c r="AK562" s="185"/>
      <c r="AL562" s="185"/>
      <c r="AM562" s="185"/>
      <c r="AN562" s="185"/>
      <c r="AO562" s="185"/>
      <c r="AP562" s="185"/>
      <c r="AQ562" s="185"/>
      <c r="AR562" s="185"/>
      <c r="AS562" s="185"/>
      <c r="AT562" s="185"/>
      <c r="AU562" s="185"/>
      <c r="AV562" s="185"/>
    </row>
    <row r="563" spans="13:48" s="277" customFormat="1">
      <c r="M563" s="185"/>
      <c r="N563" s="185"/>
      <c r="O563" s="185"/>
      <c r="S563" s="291">
        <v>42119</v>
      </c>
      <c r="T563" s="279">
        <v>480</v>
      </c>
      <c r="AI563" s="185"/>
      <c r="AJ563" s="185"/>
      <c r="AK563" s="185"/>
      <c r="AL563" s="185"/>
      <c r="AM563" s="185"/>
      <c r="AN563" s="185"/>
      <c r="AO563" s="185"/>
      <c r="AP563" s="185"/>
      <c r="AQ563" s="185"/>
      <c r="AR563" s="185"/>
      <c r="AS563" s="185"/>
      <c r="AT563" s="185"/>
      <c r="AU563" s="185"/>
      <c r="AV563" s="185"/>
    </row>
    <row r="564" spans="13:48" s="277" customFormat="1">
      <c r="M564" s="185"/>
      <c r="N564" s="185"/>
      <c r="O564" s="185"/>
      <c r="S564" s="291">
        <v>42120</v>
      </c>
      <c r="T564" s="279">
        <v>481</v>
      </c>
      <c r="AI564" s="185"/>
      <c r="AJ564" s="185"/>
      <c r="AK564" s="185"/>
      <c r="AL564" s="185"/>
      <c r="AM564" s="185"/>
      <c r="AN564" s="185"/>
      <c r="AO564" s="185"/>
      <c r="AP564" s="185"/>
      <c r="AQ564" s="185"/>
      <c r="AR564" s="185"/>
      <c r="AS564" s="185"/>
      <c r="AT564" s="185"/>
      <c r="AU564" s="185"/>
      <c r="AV564" s="185"/>
    </row>
    <row r="565" spans="13:48" s="277" customFormat="1">
      <c r="M565" s="185"/>
      <c r="N565" s="185"/>
      <c r="O565" s="185"/>
      <c r="S565" s="291">
        <v>42121</v>
      </c>
      <c r="T565" s="279">
        <v>482</v>
      </c>
      <c r="AI565" s="185"/>
      <c r="AJ565" s="185"/>
      <c r="AK565" s="185"/>
      <c r="AL565" s="185"/>
      <c r="AM565" s="185"/>
      <c r="AN565" s="185"/>
      <c r="AO565" s="185"/>
      <c r="AP565" s="185"/>
      <c r="AQ565" s="185"/>
      <c r="AR565" s="185"/>
      <c r="AS565" s="185"/>
      <c r="AT565" s="185"/>
      <c r="AU565" s="185"/>
      <c r="AV565" s="185"/>
    </row>
    <row r="566" spans="13:48" s="277" customFormat="1">
      <c r="M566" s="185"/>
      <c r="N566" s="185"/>
      <c r="O566" s="185"/>
      <c r="S566" s="291">
        <v>42122</v>
      </c>
      <c r="T566" s="279">
        <v>483</v>
      </c>
      <c r="AI566" s="185"/>
      <c r="AJ566" s="185"/>
      <c r="AK566" s="185"/>
      <c r="AL566" s="185"/>
      <c r="AM566" s="185"/>
      <c r="AN566" s="185"/>
      <c r="AO566" s="185"/>
      <c r="AP566" s="185"/>
      <c r="AQ566" s="185"/>
      <c r="AR566" s="185"/>
      <c r="AS566" s="185"/>
      <c r="AT566" s="185"/>
      <c r="AU566" s="185"/>
      <c r="AV566" s="185"/>
    </row>
    <row r="567" spans="13:48" s="277" customFormat="1">
      <c r="M567" s="185"/>
      <c r="N567" s="185"/>
      <c r="O567" s="185"/>
      <c r="S567" s="291">
        <v>42123</v>
      </c>
      <c r="T567" s="279">
        <v>484</v>
      </c>
      <c r="AI567" s="185"/>
      <c r="AJ567" s="185"/>
      <c r="AK567" s="185"/>
      <c r="AL567" s="185"/>
      <c r="AM567" s="185"/>
      <c r="AN567" s="185"/>
      <c r="AO567" s="185"/>
      <c r="AP567" s="185"/>
      <c r="AQ567" s="185"/>
      <c r="AR567" s="185"/>
      <c r="AS567" s="185"/>
      <c r="AT567" s="185"/>
      <c r="AU567" s="185"/>
      <c r="AV567" s="185"/>
    </row>
    <row r="568" spans="13:48" s="277" customFormat="1">
      <c r="M568" s="185"/>
      <c r="N568" s="185"/>
      <c r="O568" s="185"/>
      <c r="S568" s="291">
        <v>42124</v>
      </c>
      <c r="T568" s="279">
        <v>485</v>
      </c>
      <c r="AI568" s="185"/>
      <c r="AJ568" s="185"/>
      <c r="AK568" s="185"/>
      <c r="AL568" s="185"/>
      <c r="AM568" s="185"/>
      <c r="AN568" s="185"/>
      <c r="AO568" s="185"/>
      <c r="AP568" s="185"/>
      <c r="AQ568" s="185"/>
      <c r="AR568" s="185"/>
      <c r="AS568" s="185"/>
      <c r="AT568" s="185"/>
      <c r="AU568" s="185"/>
      <c r="AV568" s="185"/>
    </row>
    <row r="569" spans="13:48" s="277" customFormat="1">
      <c r="M569" s="185"/>
      <c r="N569" s="185"/>
      <c r="O569" s="185"/>
      <c r="S569" s="291">
        <v>42125</v>
      </c>
      <c r="T569" s="279">
        <v>486</v>
      </c>
      <c r="AI569" s="185"/>
      <c r="AJ569" s="185"/>
      <c r="AK569" s="185"/>
      <c r="AL569" s="185"/>
      <c r="AM569" s="185"/>
      <c r="AN569" s="185"/>
      <c r="AO569" s="185"/>
      <c r="AP569" s="185"/>
      <c r="AQ569" s="185"/>
      <c r="AR569" s="185"/>
      <c r="AS569" s="185"/>
      <c r="AT569" s="185"/>
      <c r="AU569" s="185"/>
      <c r="AV569" s="185"/>
    </row>
    <row r="570" spans="13:48" s="277" customFormat="1">
      <c r="M570" s="185"/>
      <c r="N570" s="185"/>
      <c r="O570" s="185"/>
      <c r="S570" s="291">
        <v>42126</v>
      </c>
      <c r="T570" s="279">
        <v>487</v>
      </c>
      <c r="AI570" s="185"/>
      <c r="AJ570" s="185"/>
      <c r="AK570" s="185"/>
      <c r="AL570" s="185"/>
      <c r="AM570" s="185"/>
      <c r="AN570" s="185"/>
      <c r="AO570" s="185"/>
      <c r="AP570" s="185"/>
      <c r="AQ570" s="185"/>
      <c r="AR570" s="185"/>
      <c r="AS570" s="185"/>
      <c r="AT570" s="185"/>
      <c r="AU570" s="185"/>
      <c r="AV570" s="185"/>
    </row>
    <row r="571" spans="13:48" s="277" customFormat="1">
      <c r="M571" s="185"/>
      <c r="N571" s="185"/>
      <c r="O571" s="185"/>
      <c r="S571" s="291">
        <v>42127</v>
      </c>
      <c r="T571" s="279">
        <v>488</v>
      </c>
      <c r="AI571" s="185"/>
      <c r="AJ571" s="185"/>
      <c r="AK571" s="185"/>
      <c r="AL571" s="185"/>
      <c r="AM571" s="185"/>
      <c r="AN571" s="185"/>
      <c r="AO571" s="185"/>
      <c r="AP571" s="185"/>
      <c r="AQ571" s="185"/>
      <c r="AR571" s="185"/>
      <c r="AS571" s="185"/>
      <c r="AT571" s="185"/>
      <c r="AU571" s="185"/>
      <c r="AV571" s="185"/>
    </row>
    <row r="572" spans="13:48" s="277" customFormat="1">
      <c r="M572" s="185"/>
      <c r="N572" s="185"/>
      <c r="O572" s="185"/>
      <c r="S572" s="291">
        <v>42128</v>
      </c>
      <c r="T572" s="279">
        <v>489</v>
      </c>
      <c r="AI572" s="185"/>
      <c r="AJ572" s="185"/>
      <c r="AK572" s="185"/>
      <c r="AL572" s="185"/>
      <c r="AM572" s="185"/>
      <c r="AN572" s="185"/>
      <c r="AO572" s="185"/>
      <c r="AP572" s="185"/>
      <c r="AQ572" s="185"/>
      <c r="AR572" s="185"/>
      <c r="AS572" s="185"/>
      <c r="AT572" s="185"/>
      <c r="AU572" s="185"/>
      <c r="AV572" s="185"/>
    </row>
    <row r="573" spans="13:48" s="277" customFormat="1">
      <c r="M573" s="185"/>
      <c r="N573" s="185"/>
      <c r="O573" s="185"/>
      <c r="S573" s="291">
        <v>42129</v>
      </c>
      <c r="T573" s="279">
        <v>490</v>
      </c>
      <c r="AI573" s="185"/>
      <c r="AJ573" s="185"/>
      <c r="AK573" s="185"/>
      <c r="AL573" s="185"/>
      <c r="AM573" s="185"/>
      <c r="AN573" s="185"/>
      <c r="AO573" s="185"/>
      <c r="AP573" s="185"/>
      <c r="AQ573" s="185"/>
      <c r="AR573" s="185"/>
      <c r="AS573" s="185"/>
      <c r="AT573" s="185"/>
      <c r="AU573" s="185"/>
      <c r="AV573" s="185"/>
    </row>
    <row r="574" spans="13:48" s="277" customFormat="1">
      <c r="M574" s="185"/>
      <c r="N574" s="185"/>
      <c r="O574" s="185"/>
      <c r="S574" s="291">
        <v>42130</v>
      </c>
      <c r="T574" s="279">
        <v>491</v>
      </c>
      <c r="AI574" s="185"/>
      <c r="AJ574" s="185"/>
      <c r="AK574" s="185"/>
      <c r="AL574" s="185"/>
      <c r="AM574" s="185"/>
      <c r="AN574" s="185"/>
      <c r="AO574" s="185"/>
      <c r="AP574" s="185"/>
      <c r="AQ574" s="185"/>
      <c r="AR574" s="185"/>
      <c r="AS574" s="185"/>
      <c r="AT574" s="185"/>
      <c r="AU574" s="185"/>
      <c r="AV574" s="185"/>
    </row>
    <row r="575" spans="13:48" s="277" customFormat="1">
      <c r="M575" s="185"/>
      <c r="N575" s="185"/>
      <c r="O575" s="185"/>
      <c r="S575" s="291">
        <v>42131</v>
      </c>
      <c r="T575" s="279">
        <v>492</v>
      </c>
      <c r="AI575" s="185"/>
      <c r="AJ575" s="185"/>
      <c r="AK575" s="185"/>
      <c r="AL575" s="185"/>
      <c r="AM575" s="185"/>
      <c r="AN575" s="185"/>
      <c r="AO575" s="185"/>
      <c r="AP575" s="185"/>
      <c r="AQ575" s="185"/>
      <c r="AR575" s="185"/>
      <c r="AS575" s="185"/>
      <c r="AT575" s="185"/>
      <c r="AU575" s="185"/>
      <c r="AV575" s="185"/>
    </row>
    <row r="576" spans="13:48" s="277" customFormat="1">
      <c r="M576" s="185"/>
      <c r="N576" s="185"/>
      <c r="O576" s="185"/>
      <c r="S576" s="291">
        <v>42132</v>
      </c>
      <c r="T576" s="279">
        <v>493</v>
      </c>
      <c r="AI576" s="185"/>
      <c r="AJ576" s="185"/>
      <c r="AK576" s="185"/>
      <c r="AL576" s="185"/>
      <c r="AM576" s="185"/>
      <c r="AN576" s="185"/>
      <c r="AO576" s="185"/>
      <c r="AP576" s="185"/>
      <c r="AQ576" s="185"/>
      <c r="AR576" s="185"/>
      <c r="AS576" s="185"/>
      <c r="AT576" s="185"/>
      <c r="AU576" s="185"/>
      <c r="AV576" s="185"/>
    </row>
    <row r="577" spans="13:48" s="277" customFormat="1">
      <c r="M577" s="185"/>
      <c r="N577" s="185"/>
      <c r="O577" s="185"/>
      <c r="S577" s="291">
        <v>42133</v>
      </c>
      <c r="T577" s="279">
        <v>494</v>
      </c>
      <c r="AI577" s="185"/>
      <c r="AJ577" s="185"/>
      <c r="AK577" s="185"/>
      <c r="AL577" s="185"/>
      <c r="AM577" s="185"/>
      <c r="AN577" s="185"/>
      <c r="AO577" s="185"/>
      <c r="AP577" s="185"/>
      <c r="AQ577" s="185"/>
      <c r="AR577" s="185"/>
      <c r="AS577" s="185"/>
      <c r="AT577" s="185"/>
      <c r="AU577" s="185"/>
      <c r="AV577" s="185"/>
    </row>
    <row r="578" spans="13:48" s="277" customFormat="1">
      <c r="M578" s="185"/>
      <c r="N578" s="185"/>
      <c r="O578" s="185"/>
      <c r="S578" s="291">
        <v>42134</v>
      </c>
      <c r="T578" s="279">
        <v>495</v>
      </c>
      <c r="AI578" s="185"/>
      <c r="AJ578" s="185"/>
      <c r="AK578" s="185"/>
      <c r="AL578" s="185"/>
      <c r="AM578" s="185"/>
      <c r="AN578" s="185"/>
      <c r="AO578" s="185"/>
      <c r="AP578" s="185"/>
      <c r="AQ578" s="185"/>
      <c r="AR578" s="185"/>
      <c r="AS578" s="185"/>
      <c r="AT578" s="185"/>
      <c r="AU578" s="185"/>
      <c r="AV578" s="185"/>
    </row>
    <row r="579" spans="13:48" s="277" customFormat="1">
      <c r="M579" s="185"/>
      <c r="N579" s="185"/>
      <c r="O579" s="185"/>
      <c r="S579" s="291">
        <v>42135</v>
      </c>
      <c r="T579" s="279">
        <v>496</v>
      </c>
      <c r="AI579" s="185"/>
      <c r="AJ579" s="185"/>
      <c r="AK579" s="185"/>
      <c r="AL579" s="185"/>
      <c r="AM579" s="185"/>
      <c r="AN579" s="185"/>
      <c r="AO579" s="185"/>
      <c r="AP579" s="185"/>
      <c r="AQ579" s="185"/>
      <c r="AR579" s="185"/>
      <c r="AS579" s="185"/>
      <c r="AT579" s="185"/>
      <c r="AU579" s="185"/>
      <c r="AV579" s="185"/>
    </row>
    <row r="580" spans="13:48" s="277" customFormat="1">
      <c r="M580" s="185"/>
      <c r="N580" s="185"/>
      <c r="O580" s="185"/>
      <c r="S580" s="291">
        <v>42136</v>
      </c>
      <c r="T580" s="279">
        <v>497</v>
      </c>
      <c r="AI580" s="185"/>
      <c r="AJ580" s="185"/>
      <c r="AK580" s="185"/>
      <c r="AL580" s="185"/>
      <c r="AM580" s="185"/>
      <c r="AN580" s="185"/>
      <c r="AO580" s="185"/>
      <c r="AP580" s="185"/>
      <c r="AQ580" s="185"/>
      <c r="AR580" s="185"/>
      <c r="AS580" s="185"/>
      <c r="AT580" s="185"/>
      <c r="AU580" s="185"/>
      <c r="AV580" s="185"/>
    </row>
    <row r="581" spans="13:48" s="277" customFormat="1">
      <c r="M581" s="185"/>
      <c r="N581" s="185"/>
      <c r="O581" s="185"/>
      <c r="S581" s="291">
        <v>42137</v>
      </c>
      <c r="T581" s="279">
        <v>498</v>
      </c>
      <c r="AI581" s="185"/>
      <c r="AJ581" s="185"/>
      <c r="AK581" s="185"/>
      <c r="AL581" s="185"/>
      <c r="AM581" s="185"/>
      <c r="AN581" s="185"/>
      <c r="AO581" s="185"/>
      <c r="AP581" s="185"/>
      <c r="AQ581" s="185"/>
      <c r="AR581" s="185"/>
      <c r="AS581" s="185"/>
      <c r="AT581" s="185"/>
      <c r="AU581" s="185"/>
      <c r="AV581" s="185"/>
    </row>
    <row r="582" spans="13:48" s="277" customFormat="1">
      <c r="M582" s="185"/>
      <c r="N582" s="185"/>
      <c r="O582" s="185"/>
      <c r="S582" s="291">
        <v>42138</v>
      </c>
      <c r="T582" s="279">
        <v>499</v>
      </c>
      <c r="AI582" s="185"/>
      <c r="AJ582" s="185"/>
      <c r="AK582" s="185"/>
      <c r="AL582" s="185"/>
      <c r="AM582" s="185"/>
      <c r="AN582" s="185"/>
      <c r="AO582" s="185"/>
      <c r="AP582" s="185"/>
      <c r="AQ582" s="185"/>
      <c r="AR582" s="185"/>
      <c r="AS582" s="185"/>
      <c r="AT582" s="185"/>
      <c r="AU582" s="185"/>
      <c r="AV582" s="185"/>
    </row>
    <row r="583" spans="13:48" s="277" customFormat="1">
      <c r="M583" s="185"/>
      <c r="N583" s="185"/>
      <c r="O583" s="185"/>
      <c r="S583" s="291">
        <v>42139</v>
      </c>
      <c r="T583" s="279">
        <v>500</v>
      </c>
      <c r="AI583" s="185"/>
      <c r="AJ583" s="185"/>
      <c r="AK583" s="185"/>
      <c r="AL583" s="185"/>
      <c r="AM583" s="185"/>
      <c r="AN583" s="185"/>
      <c r="AO583" s="185"/>
      <c r="AP583" s="185"/>
      <c r="AQ583" s="185"/>
      <c r="AR583" s="185"/>
      <c r="AS583" s="185"/>
      <c r="AT583" s="185"/>
      <c r="AU583" s="185"/>
      <c r="AV583" s="185"/>
    </row>
    <row r="584" spans="13:48" s="277" customFormat="1">
      <c r="M584" s="185"/>
      <c r="N584" s="185"/>
      <c r="O584" s="185"/>
      <c r="S584" s="291">
        <v>42140</v>
      </c>
      <c r="T584" s="279">
        <v>501</v>
      </c>
      <c r="AI584" s="185"/>
      <c r="AJ584" s="185"/>
      <c r="AK584" s="185"/>
      <c r="AL584" s="185"/>
      <c r="AM584" s="185"/>
      <c r="AN584" s="185"/>
      <c r="AO584" s="185"/>
      <c r="AP584" s="185"/>
      <c r="AQ584" s="185"/>
      <c r="AR584" s="185"/>
      <c r="AS584" s="185"/>
      <c r="AT584" s="185"/>
      <c r="AU584" s="185"/>
      <c r="AV584" s="185"/>
    </row>
    <row r="585" spans="13:48" s="277" customFormat="1">
      <c r="M585" s="185"/>
      <c r="N585" s="185"/>
      <c r="O585" s="185"/>
      <c r="S585" s="291">
        <v>42141</v>
      </c>
      <c r="T585" s="279">
        <v>502</v>
      </c>
      <c r="AI585" s="185"/>
      <c r="AJ585" s="185"/>
      <c r="AK585" s="185"/>
      <c r="AL585" s="185"/>
      <c r="AM585" s="185"/>
      <c r="AN585" s="185"/>
      <c r="AO585" s="185"/>
      <c r="AP585" s="185"/>
      <c r="AQ585" s="185"/>
      <c r="AR585" s="185"/>
      <c r="AS585" s="185"/>
      <c r="AT585" s="185"/>
      <c r="AU585" s="185"/>
      <c r="AV585" s="185"/>
    </row>
    <row r="586" spans="13:48" s="277" customFormat="1">
      <c r="M586" s="185"/>
      <c r="N586" s="185"/>
      <c r="O586" s="185"/>
      <c r="S586" s="291">
        <v>42142</v>
      </c>
      <c r="T586" s="279">
        <v>503</v>
      </c>
      <c r="AI586" s="185"/>
      <c r="AJ586" s="185"/>
      <c r="AK586" s="185"/>
      <c r="AL586" s="185"/>
      <c r="AM586" s="185"/>
      <c r="AN586" s="185"/>
      <c r="AO586" s="185"/>
      <c r="AP586" s="185"/>
      <c r="AQ586" s="185"/>
      <c r="AR586" s="185"/>
      <c r="AS586" s="185"/>
      <c r="AT586" s="185"/>
      <c r="AU586" s="185"/>
      <c r="AV586" s="185"/>
    </row>
    <row r="587" spans="13:48" s="277" customFormat="1">
      <c r="M587" s="185"/>
      <c r="N587" s="185"/>
      <c r="O587" s="185"/>
      <c r="S587" s="291">
        <v>42143</v>
      </c>
      <c r="T587" s="279">
        <v>504</v>
      </c>
      <c r="AI587" s="185"/>
      <c r="AJ587" s="185"/>
      <c r="AK587" s="185"/>
      <c r="AL587" s="185"/>
      <c r="AM587" s="185"/>
      <c r="AN587" s="185"/>
      <c r="AO587" s="185"/>
      <c r="AP587" s="185"/>
      <c r="AQ587" s="185"/>
      <c r="AR587" s="185"/>
      <c r="AS587" s="185"/>
      <c r="AT587" s="185"/>
      <c r="AU587" s="185"/>
      <c r="AV587" s="185"/>
    </row>
    <row r="588" spans="13:48" s="277" customFormat="1">
      <c r="M588" s="185"/>
      <c r="N588" s="185"/>
      <c r="O588" s="185"/>
      <c r="S588" s="291">
        <v>42144</v>
      </c>
      <c r="T588" s="279">
        <v>505</v>
      </c>
      <c r="AI588" s="185"/>
      <c r="AJ588" s="185"/>
      <c r="AK588" s="185"/>
      <c r="AL588" s="185"/>
      <c r="AM588" s="185"/>
      <c r="AN588" s="185"/>
      <c r="AO588" s="185"/>
      <c r="AP588" s="185"/>
      <c r="AQ588" s="185"/>
      <c r="AR588" s="185"/>
      <c r="AS588" s="185"/>
      <c r="AT588" s="185"/>
      <c r="AU588" s="185"/>
      <c r="AV588" s="185"/>
    </row>
    <row r="589" spans="13:48" s="277" customFormat="1">
      <c r="M589" s="185"/>
      <c r="N589" s="185"/>
      <c r="O589" s="185"/>
      <c r="S589" s="291">
        <v>42145</v>
      </c>
      <c r="T589" s="279">
        <v>506</v>
      </c>
      <c r="AI589" s="185"/>
      <c r="AJ589" s="185"/>
      <c r="AK589" s="185"/>
      <c r="AL589" s="185"/>
      <c r="AM589" s="185"/>
      <c r="AN589" s="185"/>
      <c r="AO589" s="185"/>
      <c r="AP589" s="185"/>
      <c r="AQ589" s="185"/>
      <c r="AR589" s="185"/>
      <c r="AS589" s="185"/>
      <c r="AT589" s="185"/>
      <c r="AU589" s="185"/>
      <c r="AV589" s="185"/>
    </row>
    <row r="590" spans="13:48" s="277" customFormat="1">
      <c r="M590" s="185"/>
      <c r="N590" s="185"/>
      <c r="O590" s="185"/>
      <c r="S590" s="291">
        <v>42146</v>
      </c>
      <c r="T590" s="279">
        <v>507</v>
      </c>
      <c r="AI590" s="185"/>
      <c r="AJ590" s="185"/>
      <c r="AK590" s="185"/>
      <c r="AL590" s="185"/>
      <c r="AM590" s="185"/>
      <c r="AN590" s="185"/>
      <c r="AO590" s="185"/>
      <c r="AP590" s="185"/>
      <c r="AQ590" s="185"/>
      <c r="AR590" s="185"/>
      <c r="AS590" s="185"/>
      <c r="AT590" s="185"/>
      <c r="AU590" s="185"/>
      <c r="AV590" s="185"/>
    </row>
    <row r="591" spans="13:48" s="277" customFormat="1">
      <c r="M591" s="185"/>
      <c r="N591" s="185"/>
      <c r="O591" s="185"/>
      <c r="S591" s="291">
        <v>42147</v>
      </c>
      <c r="T591" s="279">
        <v>508</v>
      </c>
      <c r="AI591" s="185"/>
      <c r="AJ591" s="185"/>
      <c r="AK591" s="185"/>
      <c r="AL591" s="185"/>
      <c r="AM591" s="185"/>
      <c r="AN591" s="185"/>
      <c r="AO591" s="185"/>
      <c r="AP591" s="185"/>
      <c r="AQ591" s="185"/>
      <c r="AR591" s="185"/>
      <c r="AS591" s="185"/>
      <c r="AT591" s="185"/>
      <c r="AU591" s="185"/>
      <c r="AV591" s="185"/>
    </row>
    <row r="592" spans="13:48" s="277" customFormat="1">
      <c r="M592" s="185"/>
      <c r="N592" s="185"/>
      <c r="O592" s="185"/>
      <c r="S592" s="291">
        <v>42148</v>
      </c>
      <c r="T592" s="279">
        <v>509</v>
      </c>
      <c r="AI592" s="185"/>
      <c r="AJ592" s="185"/>
      <c r="AK592" s="185"/>
      <c r="AL592" s="185"/>
      <c r="AM592" s="185"/>
      <c r="AN592" s="185"/>
      <c r="AO592" s="185"/>
      <c r="AP592" s="185"/>
      <c r="AQ592" s="185"/>
      <c r="AR592" s="185"/>
      <c r="AS592" s="185"/>
      <c r="AT592" s="185"/>
      <c r="AU592" s="185"/>
      <c r="AV592" s="185"/>
    </row>
    <row r="593" spans="13:48" s="277" customFormat="1">
      <c r="M593" s="185"/>
      <c r="N593" s="185"/>
      <c r="O593" s="185"/>
      <c r="S593" s="291">
        <v>42149</v>
      </c>
      <c r="T593" s="279">
        <v>510</v>
      </c>
      <c r="AI593" s="185"/>
      <c r="AJ593" s="185"/>
      <c r="AK593" s="185"/>
      <c r="AL593" s="185"/>
      <c r="AM593" s="185"/>
      <c r="AN593" s="185"/>
      <c r="AO593" s="185"/>
      <c r="AP593" s="185"/>
      <c r="AQ593" s="185"/>
      <c r="AR593" s="185"/>
      <c r="AS593" s="185"/>
      <c r="AT593" s="185"/>
      <c r="AU593" s="185"/>
      <c r="AV593" s="185"/>
    </row>
    <row r="594" spans="13:48" s="277" customFormat="1">
      <c r="M594" s="185"/>
      <c r="N594" s="185"/>
      <c r="O594" s="185"/>
      <c r="S594" s="291">
        <v>42150</v>
      </c>
      <c r="T594" s="279">
        <v>511</v>
      </c>
      <c r="AI594" s="185"/>
      <c r="AJ594" s="185"/>
      <c r="AK594" s="185"/>
      <c r="AL594" s="185"/>
      <c r="AM594" s="185"/>
      <c r="AN594" s="185"/>
      <c r="AO594" s="185"/>
      <c r="AP594" s="185"/>
      <c r="AQ594" s="185"/>
      <c r="AR594" s="185"/>
      <c r="AS594" s="185"/>
      <c r="AT594" s="185"/>
      <c r="AU594" s="185"/>
      <c r="AV594" s="185"/>
    </row>
    <row r="595" spans="13:48" s="277" customFormat="1">
      <c r="M595" s="185"/>
      <c r="N595" s="185"/>
      <c r="O595" s="185"/>
      <c r="S595" s="291">
        <v>42151</v>
      </c>
      <c r="T595" s="279">
        <v>512</v>
      </c>
      <c r="AI595" s="185"/>
      <c r="AJ595" s="185"/>
      <c r="AK595" s="185"/>
      <c r="AL595" s="185"/>
      <c r="AM595" s="185"/>
      <c r="AN595" s="185"/>
      <c r="AO595" s="185"/>
      <c r="AP595" s="185"/>
      <c r="AQ595" s="185"/>
      <c r="AR595" s="185"/>
      <c r="AS595" s="185"/>
      <c r="AT595" s="185"/>
      <c r="AU595" s="185"/>
      <c r="AV595" s="185"/>
    </row>
    <row r="596" spans="13:48" s="277" customFormat="1">
      <c r="M596" s="185"/>
      <c r="N596" s="185"/>
      <c r="O596" s="185"/>
      <c r="S596" s="291">
        <v>42152</v>
      </c>
      <c r="T596" s="279">
        <v>513</v>
      </c>
      <c r="AI596" s="185"/>
      <c r="AJ596" s="185"/>
      <c r="AK596" s="185"/>
      <c r="AL596" s="185"/>
      <c r="AM596" s="185"/>
      <c r="AN596" s="185"/>
      <c r="AO596" s="185"/>
      <c r="AP596" s="185"/>
      <c r="AQ596" s="185"/>
      <c r="AR596" s="185"/>
      <c r="AS596" s="185"/>
      <c r="AT596" s="185"/>
      <c r="AU596" s="185"/>
      <c r="AV596" s="185"/>
    </row>
    <row r="597" spans="13:48" s="277" customFormat="1">
      <c r="M597" s="185"/>
      <c r="N597" s="185"/>
      <c r="O597" s="185"/>
      <c r="S597" s="291">
        <v>42153</v>
      </c>
      <c r="T597" s="279">
        <v>514</v>
      </c>
      <c r="AI597" s="185"/>
      <c r="AJ597" s="185"/>
      <c r="AK597" s="185"/>
      <c r="AL597" s="185"/>
      <c r="AM597" s="185"/>
      <c r="AN597" s="185"/>
      <c r="AO597" s="185"/>
      <c r="AP597" s="185"/>
      <c r="AQ597" s="185"/>
      <c r="AR597" s="185"/>
      <c r="AS597" s="185"/>
      <c r="AT597" s="185"/>
      <c r="AU597" s="185"/>
      <c r="AV597" s="185"/>
    </row>
    <row r="598" spans="13:48" s="277" customFormat="1">
      <c r="M598" s="185"/>
      <c r="N598" s="185"/>
      <c r="O598" s="185"/>
      <c r="S598" s="291">
        <v>42154</v>
      </c>
      <c r="T598" s="279">
        <v>515</v>
      </c>
      <c r="AI598" s="185"/>
      <c r="AJ598" s="185"/>
      <c r="AK598" s="185"/>
      <c r="AL598" s="185"/>
      <c r="AM598" s="185"/>
      <c r="AN598" s="185"/>
      <c r="AO598" s="185"/>
      <c r="AP598" s="185"/>
      <c r="AQ598" s="185"/>
      <c r="AR598" s="185"/>
      <c r="AS598" s="185"/>
      <c r="AT598" s="185"/>
      <c r="AU598" s="185"/>
      <c r="AV598" s="185"/>
    </row>
    <row r="599" spans="13:48" s="277" customFormat="1">
      <c r="M599" s="185"/>
      <c r="N599" s="185"/>
      <c r="O599" s="185"/>
      <c r="S599" s="291">
        <v>42155</v>
      </c>
      <c r="T599" s="279">
        <v>516</v>
      </c>
      <c r="AI599" s="185"/>
      <c r="AJ599" s="185"/>
      <c r="AK599" s="185"/>
      <c r="AL599" s="185"/>
      <c r="AM599" s="185"/>
      <c r="AN599" s="185"/>
      <c r="AO599" s="185"/>
      <c r="AP599" s="185"/>
      <c r="AQ599" s="185"/>
      <c r="AR599" s="185"/>
      <c r="AS599" s="185"/>
      <c r="AT599" s="185"/>
      <c r="AU599" s="185"/>
      <c r="AV599" s="185"/>
    </row>
    <row r="600" spans="13:48" s="277" customFormat="1">
      <c r="M600" s="185"/>
      <c r="N600" s="185"/>
      <c r="O600" s="185"/>
      <c r="S600" s="291">
        <v>42156</v>
      </c>
      <c r="T600" s="279">
        <v>517</v>
      </c>
      <c r="AI600" s="185"/>
      <c r="AJ600" s="185"/>
      <c r="AK600" s="185"/>
      <c r="AL600" s="185"/>
      <c r="AM600" s="185"/>
      <c r="AN600" s="185"/>
      <c r="AO600" s="185"/>
      <c r="AP600" s="185"/>
      <c r="AQ600" s="185"/>
      <c r="AR600" s="185"/>
      <c r="AS600" s="185"/>
      <c r="AT600" s="185"/>
      <c r="AU600" s="185"/>
      <c r="AV600" s="185"/>
    </row>
    <row r="601" spans="13:48" s="277" customFormat="1">
      <c r="M601" s="185"/>
      <c r="N601" s="185"/>
      <c r="O601" s="185"/>
      <c r="S601" s="291">
        <v>42157</v>
      </c>
      <c r="T601" s="279">
        <v>518</v>
      </c>
      <c r="AI601" s="185"/>
      <c r="AJ601" s="185"/>
      <c r="AK601" s="185"/>
      <c r="AL601" s="185"/>
      <c r="AM601" s="185"/>
      <c r="AN601" s="185"/>
      <c r="AO601" s="185"/>
      <c r="AP601" s="185"/>
      <c r="AQ601" s="185"/>
      <c r="AR601" s="185"/>
      <c r="AS601" s="185"/>
      <c r="AT601" s="185"/>
      <c r="AU601" s="185"/>
      <c r="AV601" s="185"/>
    </row>
    <row r="602" spans="13:48" s="277" customFormat="1">
      <c r="M602" s="185"/>
      <c r="N602" s="185"/>
      <c r="O602" s="185"/>
      <c r="S602" s="291">
        <v>42158</v>
      </c>
      <c r="T602" s="279">
        <v>519</v>
      </c>
      <c r="AI602" s="185"/>
      <c r="AJ602" s="185"/>
      <c r="AK602" s="185"/>
      <c r="AL602" s="185"/>
      <c r="AM602" s="185"/>
      <c r="AN602" s="185"/>
      <c r="AO602" s="185"/>
      <c r="AP602" s="185"/>
      <c r="AQ602" s="185"/>
      <c r="AR602" s="185"/>
      <c r="AS602" s="185"/>
      <c r="AT602" s="185"/>
      <c r="AU602" s="185"/>
      <c r="AV602" s="185"/>
    </row>
    <row r="603" spans="13:48" s="277" customFormat="1">
      <c r="M603" s="185"/>
      <c r="N603" s="185"/>
      <c r="O603" s="185"/>
      <c r="S603" s="291">
        <v>42159</v>
      </c>
      <c r="T603" s="279">
        <v>520</v>
      </c>
      <c r="AI603" s="185"/>
      <c r="AJ603" s="185"/>
      <c r="AK603" s="185"/>
      <c r="AL603" s="185"/>
      <c r="AM603" s="185"/>
      <c r="AN603" s="185"/>
      <c r="AO603" s="185"/>
      <c r="AP603" s="185"/>
      <c r="AQ603" s="185"/>
      <c r="AR603" s="185"/>
      <c r="AS603" s="185"/>
      <c r="AT603" s="185"/>
      <c r="AU603" s="185"/>
      <c r="AV603" s="185"/>
    </row>
    <row r="604" spans="13:48" s="277" customFormat="1">
      <c r="M604" s="185"/>
      <c r="N604" s="185"/>
      <c r="O604" s="185"/>
      <c r="S604" s="291">
        <v>42160</v>
      </c>
      <c r="T604" s="279">
        <v>521</v>
      </c>
      <c r="AI604" s="185"/>
      <c r="AJ604" s="185"/>
      <c r="AK604" s="185"/>
      <c r="AL604" s="185"/>
      <c r="AM604" s="185"/>
      <c r="AN604" s="185"/>
      <c r="AO604" s="185"/>
      <c r="AP604" s="185"/>
      <c r="AQ604" s="185"/>
      <c r="AR604" s="185"/>
      <c r="AS604" s="185"/>
      <c r="AT604" s="185"/>
      <c r="AU604" s="185"/>
      <c r="AV604" s="185"/>
    </row>
    <row r="605" spans="13:48" s="277" customFormat="1">
      <c r="M605" s="185"/>
      <c r="N605" s="185"/>
      <c r="O605" s="185"/>
      <c r="S605" s="291">
        <v>42161</v>
      </c>
      <c r="T605" s="279">
        <v>522</v>
      </c>
      <c r="AI605" s="185"/>
      <c r="AJ605" s="185"/>
      <c r="AK605" s="185"/>
      <c r="AL605" s="185"/>
      <c r="AM605" s="185"/>
      <c r="AN605" s="185"/>
      <c r="AO605" s="185"/>
      <c r="AP605" s="185"/>
      <c r="AQ605" s="185"/>
      <c r="AR605" s="185"/>
      <c r="AS605" s="185"/>
      <c r="AT605" s="185"/>
      <c r="AU605" s="185"/>
      <c r="AV605" s="185"/>
    </row>
    <row r="606" spans="13:48" s="277" customFormat="1">
      <c r="M606" s="185"/>
      <c r="N606" s="185"/>
      <c r="O606" s="185"/>
      <c r="S606" s="291">
        <v>42162</v>
      </c>
      <c r="T606" s="279">
        <v>523</v>
      </c>
      <c r="AI606" s="185"/>
      <c r="AJ606" s="185"/>
      <c r="AK606" s="185"/>
      <c r="AL606" s="185"/>
      <c r="AM606" s="185"/>
      <c r="AN606" s="185"/>
      <c r="AO606" s="185"/>
      <c r="AP606" s="185"/>
      <c r="AQ606" s="185"/>
      <c r="AR606" s="185"/>
      <c r="AS606" s="185"/>
      <c r="AT606" s="185"/>
      <c r="AU606" s="185"/>
      <c r="AV606" s="185"/>
    </row>
    <row r="607" spans="13:48" s="277" customFormat="1">
      <c r="M607" s="185"/>
      <c r="N607" s="185"/>
      <c r="O607" s="185"/>
      <c r="S607" s="291">
        <v>42163</v>
      </c>
      <c r="T607" s="279">
        <v>524</v>
      </c>
      <c r="AI607" s="185"/>
      <c r="AJ607" s="185"/>
      <c r="AK607" s="185"/>
      <c r="AL607" s="185"/>
      <c r="AM607" s="185"/>
      <c r="AN607" s="185"/>
      <c r="AO607" s="185"/>
      <c r="AP607" s="185"/>
      <c r="AQ607" s="185"/>
      <c r="AR607" s="185"/>
      <c r="AS607" s="185"/>
      <c r="AT607" s="185"/>
      <c r="AU607" s="185"/>
      <c r="AV607" s="185"/>
    </row>
    <row r="608" spans="13:48" s="277" customFormat="1">
      <c r="M608" s="185"/>
      <c r="N608" s="185"/>
      <c r="O608" s="185"/>
      <c r="S608" s="291">
        <v>42164</v>
      </c>
      <c r="T608" s="279">
        <v>525</v>
      </c>
      <c r="AI608" s="185"/>
      <c r="AJ608" s="185"/>
      <c r="AK608" s="185"/>
      <c r="AL608" s="185"/>
      <c r="AM608" s="185"/>
      <c r="AN608" s="185"/>
      <c r="AO608" s="185"/>
      <c r="AP608" s="185"/>
      <c r="AQ608" s="185"/>
      <c r="AR608" s="185"/>
      <c r="AS608" s="185"/>
      <c r="AT608" s="185"/>
      <c r="AU608" s="185"/>
      <c r="AV608" s="185"/>
    </row>
    <row r="609" spans="13:48" s="277" customFormat="1">
      <c r="M609" s="185"/>
      <c r="N609" s="185"/>
      <c r="O609" s="185"/>
      <c r="S609" s="291">
        <v>42165</v>
      </c>
      <c r="T609" s="279">
        <v>526</v>
      </c>
      <c r="AI609" s="185"/>
      <c r="AJ609" s="185"/>
      <c r="AK609" s="185"/>
      <c r="AL609" s="185"/>
      <c r="AM609" s="185"/>
      <c r="AN609" s="185"/>
      <c r="AO609" s="185"/>
      <c r="AP609" s="185"/>
      <c r="AQ609" s="185"/>
      <c r="AR609" s="185"/>
      <c r="AS609" s="185"/>
      <c r="AT609" s="185"/>
      <c r="AU609" s="185"/>
      <c r="AV609" s="185"/>
    </row>
    <row r="610" spans="13:48" s="277" customFormat="1">
      <c r="M610" s="185"/>
      <c r="N610" s="185"/>
      <c r="O610" s="185"/>
      <c r="S610" s="291">
        <v>42166</v>
      </c>
      <c r="T610" s="279">
        <v>527</v>
      </c>
      <c r="AI610" s="185"/>
      <c r="AJ610" s="185"/>
      <c r="AK610" s="185"/>
      <c r="AL610" s="185"/>
      <c r="AM610" s="185"/>
      <c r="AN610" s="185"/>
      <c r="AO610" s="185"/>
      <c r="AP610" s="185"/>
      <c r="AQ610" s="185"/>
      <c r="AR610" s="185"/>
      <c r="AS610" s="185"/>
      <c r="AT610" s="185"/>
      <c r="AU610" s="185"/>
      <c r="AV610" s="185"/>
    </row>
    <row r="611" spans="13:48" s="277" customFormat="1">
      <c r="M611" s="185"/>
      <c r="N611" s="185"/>
      <c r="O611" s="185"/>
      <c r="S611" s="291">
        <v>42167</v>
      </c>
      <c r="T611" s="279">
        <v>528</v>
      </c>
      <c r="AI611" s="185"/>
      <c r="AJ611" s="185"/>
      <c r="AK611" s="185"/>
      <c r="AL611" s="185"/>
      <c r="AM611" s="185"/>
      <c r="AN611" s="185"/>
      <c r="AO611" s="185"/>
      <c r="AP611" s="185"/>
      <c r="AQ611" s="185"/>
      <c r="AR611" s="185"/>
      <c r="AS611" s="185"/>
      <c r="AT611" s="185"/>
      <c r="AU611" s="185"/>
      <c r="AV611" s="185"/>
    </row>
    <row r="612" spans="13:48" s="277" customFormat="1">
      <c r="M612" s="185"/>
      <c r="N612" s="185"/>
      <c r="O612" s="185"/>
      <c r="S612" s="291">
        <v>42168</v>
      </c>
      <c r="T612" s="279">
        <v>529</v>
      </c>
      <c r="AI612" s="185"/>
      <c r="AJ612" s="185"/>
      <c r="AK612" s="185"/>
      <c r="AL612" s="185"/>
      <c r="AM612" s="185"/>
      <c r="AN612" s="185"/>
      <c r="AO612" s="185"/>
      <c r="AP612" s="185"/>
      <c r="AQ612" s="185"/>
      <c r="AR612" s="185"/>
      <c r="AS612" s="185"/>
      <c r="AT612" s="185"/>
      <c r="AU612" s="185"/>
      <c r="AV612" s="185"/>
    </row>
    <row r="613" spans="13:48" s="277" customFormat="1">
      <c r="M613" s="185"/>
      <c r="N613" s="185"/>
      <c r="O613" s="185"/>
      <c r="S613" s="291">
        <v>42169</v>
      </c>
      <c r="T613" s="279">
        <v>530</v>
      </c>
      <c r="AI613" s="185"/>
      <c r="AJ613" s="185"/>
      <c r="AK613" s="185"/>
      <c r="AL613" s="185"/>
      <c r="AM613" s="185"/>
      <c r="AN613" s="185"/>
      <c r="AO613" s="185"/>
      <c r="AP613" s="185"/>
      <c r="AQ613" s="185"/>
      <c r="AR613" s="185"/>
      <c r="AS613" s="185"/>
      <c r="AT613" s="185"/>
      <c r="AU613" s="185"/>
      <c r="AV613" s="185"/>
    </row>
    <row r="614" spans="13:48" s="277" customFormat="1">
      <c r="M614" s="185"/>
      <c r="N614" s="185"/>
      <c r="O614" s="185"/>
      <c r="S614" s="291">
        <v>42170</v>
      </c>
      <c r="T614" s="279">
        <v>531</v>
      </c>
      <c r="AI614" s="185"/>
      <c r="AJ614" s="185"/>
      <c r="AK614" s="185"/>
      <c r="AL614" s="185"/>
      <c r="AM614" s="185"/>
      <c r="AN614" s="185"/>
      <c r="AO614" s="185"/>
      <c r="AP614" s="185"/>
      <c r="AQ614" s="185"/>
      <c r="AR614" s="185"/>
      <c r="AS614" s="185"/>
      <c r="AT614" s="185"/>
      <c r="AU614" s="185"/>
      <c r="AV614" s="185"/>
    </row>
    <row r="615" spans="13:48" s="277" customFormat="1">
      <c r="M615" s="185"/>
      <c r="N615" s="185"/>
      <c r="O615" s="185"/>
      <c r="S615" s="291">
        <v>42171</v>
      </c>
      <c r="T615" s="279">
        <v>532</v>
      </c>
      <c r="AI615" s="185"/>
      <c r="AJ615" s="185"/>
      <c r="AK615" s="185"/>
      <c r="AL615" s="185"/>
      <c r="AM615" s="185"/>
      <c r="AN615" s="185"/>
      <c r="AO615" s="185"/>
      <c r="AP615" s="185"/>
      <c r="AQ615" s="185"/>
      <c r="AR615" s="185"/>
      <c r="AS615" s="185"/>
      <c r="AT615" s="185"/>
      <c r="AU615" s="185"/>
      <c r="AV615" s="185"/>
    </row>
    <row r="616" spans="13:48" s="277" customFormat="1">
      <c r="M616" s="185"/>
      <c r="N616" s="185"/>
      <c r="O616" s="185"/>
      <c r="S616" s="291">
        <v>42172</v>
      </c>
      <c r="T616" s="279">
        <v>533</v>
      </c>
      <c r="AI616" s="185"/>
      <c r="AJ616" s="185"/>
      <c r="AK616" s="185"/>
      <c r="AL616" s="185"/>
      <c r="AM616" s="185"/>
      <c r="AN616" s="185"/>
      <c r="AO616" s="185"/>
      <c r="AP616" s="185"/>
      <c r="AQ616" s="185"/>
      <c r="AR616" s="185"/>
      <c r="AS616" s="185"/>
      <c r="AT616" s="185"/>
      <c r="AU616" s="185"/>
      <c r="AV616" s="185"/>
    </row>
    <row r="617" spans="13:48" s="277" customFormat="1">
      <c r="M617" s="185"/>
      <c r="N617" s="185"/>
      <c r="O617" s="185"/>
      <c r="S617" s="291">
        <v>42173</v>
      </c>
      <c r="T617" s="279">
        <v>534</v>
      </c>
      <c r="AI617" s="185"/>
      <c r="AJ617" s="185"/>
      <c r="AK617" s="185"/>
      <c r="AL617" s="185"/>
      <c r="AM617" s="185"/>
      <c r="AN617" s="185"/>
      <c r="AO617" s="185"/>
      <c r="AP617" s="185"/>
      <c r="AQ617" s="185"/>
      <c r="AR617" s="185"/>
      <c r="AS617" s="185"/>
      <c r="AT617" s="185"/>
      <c r="AU617" s="185"/>
      <c r="AV617" s="185"/>
    </row>
    <row r="618" spans="13:48" s="277" customFormat="1">
      <c r="M618" s="185"/>
      <c r="N618" s="185"/>
      <c r="O618" s="185"/>
      <c r="S618" s="291">
        <v>42174</v>
      </c>
      <c r="T618" s="279">
        <v>535</v>
      </c>
      <c r="AI618" s="185"/>
      <c r="AJ618" s="185"/>
      <c r="AK618" s="185"/>
      <c r="AL618" s="185"/>
      <c r="AM618" s="185"/>
      <c r="AN618" s="185"/>
      <c r="AO618" s="185"/>
      <c r="AP618" s="185"/>
      <c r="AQ618" s="185"/>
      <c r="AR618" s="185"/>
      <c r="AS618" s="185"/>
      <c r="AT618" s="185"/>
      <c r="AU618" s="185"/>
      <c r="AV618" s="185"/>
    </row>
    <row r="619" spans="13:48" s="277" customFormat="1">
      <c r="M619" s="185"/>
      <c r="N619" s="185"/>
      <c r="O619" s="185"/>
      <c r="S619" s="291">
        <v>42175</v>
      </c>
      <c r="T619" s="279">
        <v>536</v>
      </c>
      <c r="AI619" s="185"/>
      <c r="AJ619" s="185"/>
      <c r="AK619" s="185"/>
      <c r="AL619" s="185"/>
      <c r="AM619" s="185"/>
      <c r="AN619" s="185"/>
      <c r="AO619" s="185"/>
      <c r="AP619" s="185"/>
      <c r="AQ619" s="185"/>
      <c r="AR619" s="185"/>
      <c r="AS619" s="185"/>
      <c r="AT619" s="185"/>
      <c r="AU619" s="185"/>
      <c r="AV619" s="185"/>
    </row>
    <row r="620" spans="13:48" s="277" customFormat="1">
      <c r="M620" s="185"/>
      <c r="N620" s="185"/>
      <c r="O620" s="185"/>
      <c r="S620" s="291">
        <v>42176</v>
      </c>
      <c r="T620" s="279">
        <v>537</v>
      </c>
      <c r="AI620" s="185"/>
      <c r="AJ620" s="185"/>
      <c r="AK620" s="185"/>
      <c r="AL620" s="185"/>
      <c r="AM620" s="185"/>
      <c r="AN620" s="185"/>
      <c r="AO620" s="185"/>
      <c r="AP620" s="185"/>
      <c r="AQ620" s="185"/>
      <c r="AR620" s="185"/>
      <c r="AS620" s="185"/>
      <c r="AT620" s="185"/>
      <c r="AU620" s="185"/>
      <c r="AV620" s="185"/>
    </row>
    <row r="621" spans="13:48" s="277" customFormat="1">
      <c r="M621" s="185"/>
      <c r="N621" s="185"/>
      <c r="O621" s="185"/>
      <c r="S621" s="291">
        <v>42177</v>
      </c>
      <c r="T621" s="279">
        <v>538</v>
      </c>
      <c r="AI621" s="185"/>
      <c r="AJ621" s="185"/>
      <c r="AK621" s="185"/>
      <c r="AL621" s="185"/>
      <c r="AM621" s="185"/>
      <c r="AN621" s="185"/>
      <c r="AO621" s="185"/>
      <c r="AP621" s="185"/>
      <c r="AQ621" s="185"/>
      <c r="AR621" s="185"/>
      <c r="AS621" s="185"/>
      <c r="AT621" s="185"/>
      <c r="AU621" s="185"/>
      <c r="AV621" s="185"/>
    </row>
    <row r="622" spans="13:48" s="277" customFormat="1">
      <c r="M622" s="185"/>
      <c r="N622" s="185"/>
      <c r="O622" s="185"/>
      <c r="S622" s="291">
        <v>42178</v>
      </c>
      <c r="T622" s="279">
        <v>539</v>
      </c>
      <c r="AI622" s="185"/>
      <c r="AJ622" s="185"/>
      <c r="AK622" s="185"/>
      <c r="AL622" s="185"/>
      <c r="AM622" s="185"/>
      <c r="AN622" s="185"/>
      <c r="AO622" s="185"/>
      <c r="AP622" s="185"/>
      <c r="AQ622" s="185"/>
      <c r="AR622" s="185"/>
      <c r="AS622" s="185"/>
      <c r="AT622" s="185"/>
      <c r="AU622" s="185"/>
      <c r="AV622" s="185"/>
    </row>
    <row r="623" spans="13:48" s="277" customFormat="1">
      <c r="M623" s="185"/>
      <c r="N623" s="185"/>
      <c r="O623" s="185"/>
      <c r="S623" s="291">
        <v>42179</v>
      </c>
      <c r="T623" s="279">
        <v>540</v>
      </c>
      <c r="AI623" s="185"/>
      <c r="AJ623" s="185"/>
      <c r="AK623" s="185"/>
      <c r="AL623" s="185"/>
      <c r="AM623" s="185"/>
      <c r="AN623" s="185"/>
      <c r="AO623" s="185"/>
      <c r="AP623" s="185"/>
      <c r="AQ623" s="185"/>
      <c r="AR623" s="185"/>
      <c r="AS623" s="185"/>
      <c r="AT623" s="185"/>
      <c r="AU623" s="185"/>
      <c r="AV623" s="185"/>
    </row>
    <row r="624" spans="13:48" s="277" customFormat="1">
      <c r="M624" s="185"/>
      <c r="N624" s="185"/>
      <c r="O624" s="185"/>
      <c r="S624" s="291">
        <v>42180</v>
      </c>
      <c r="T624" s="279">
        <v>541</v>
      </c>
      <c r="AI624" s="185"/>
      <c r="AJ624" s="185"/>
      <c r="AK624" s="185"/>
      <c r="AL624" s="185"/>
      <c r="AM624" s="185"/>
      <c r="AN624" s="185"/>
      <c r="AO624" s="185"/>
      <c r="AP624" s="185"/>
      <c r="AQ624" s="185"/>
      <c r="AR624" s="185"/>
      <c r="AS624" s="185"/>
      <c r="AT624" s="185"/>
      <c r="AU624" s="185"/>
      <c r="AV624" s="185"/>
    </row>
    <row r="625" spans="13:48" s="277" customFormat="1">
      <c r="M625" s="185"/>
      <c r="N625" s="185"/>
      <c r="O625" s="185"/>
      <c r="S625" s="291">
        <v>42181</v>
      </c>
      <c r="T625" s="279">
        <v>542</v>
      </c>
      <c r="AI625" s="185"/>
      <c r="AJ625" s="185"/>
      <c r="AK625" s="185"/>
      <c r="AL625" s="185"/>
      <c r="AM625" s="185"/>
      <c r="AN625" s="185"/>
      <c r="AO625" s="185"/>
      <c r="AP625" s="185"/>
      <c r="AQ625" s="185"/>
      <c r="AR625" s="185"/>
      <c r="AS625" s="185"/>
      <c r="AT625" s="185"/>
      <c r="AU625" s="185"/>
      <c r="AV625" s="185"/>
    </row>
    <row r="626" spans="13:48" s="277" customFormat="1">
      <c r="M626" s="185"/>
      <c r="N626" s="185"/>
      <c r="O626" s="185"/>
      <c r="S626" s="291">
        <v>42182</v>
      </c>
      <c r="T626" s="279">
        <v>543</v>
      </c>
      <c r="AI626" s="185"/>
      <c r="AJ626" s="185"/>
      <c r="AK626" s="185"/>
      <c r="AL626" s="185"/>
      <c r="AM626" s="185"/>
      <c r="AN626" s="185"/>
      <c r="AO626" s="185"/>
      <c r="AP626" s="185"/>
      <c r="AQ626" s="185"/>
      <c r="AR626" s="185"/>
      <c r="AS626" s="185"/>
      <c r="AT626" s="185"/>
      <c r="AU626" s="185"/>
      <c r="AV626" s="185"/>
    </row>
    <row r="627" spans="13:48" s="277" customFormat="1">
      <c r="M627" s="185"/>
      <c r="N627" s="185"/>
      <c r="O627" s="185"/>
      <c r="S627" s="291">
        <v>42183</v>
      </c>
      <c r="T627" s="279">
        <v>544</v>
      </c>
      <c r="AI627" s="185"/>
      <c r="AJ627" s="185"/>
      <c r="AK627" s="185"/>
      <c r="AL627" s="185"/>
      <c r="AM627" s="185"/>
      <c r="AN627" s="185"/>
      <c r="AO627" s="185"/>
      <c r="AP627" s="185"/>
      <c r="AQ627" s="185"/>
      <c r="AR627" s="185"/>
      <c r="AS627" s="185"/>
      <c r="AT627" s="185"/>
      <c r="AU627" s="185"/>
      <c r="AV627" s="185"/>
    </row>
    <row r="628" spans="13:48" s="277" customFormat="1">
      <c r="M628" s="185"/>
      <c r="N628" s="185"/>
      <c r="O628" s="185"/>
      <c r="S628" s="291">
        <v>42184</v>
      </c>
      <c r="T628" s="279">
        <v>545</v>
      </c>
      <c r="AI628" s="185"/>
      <c r="AJ628" s="185"/>
      <c r="AK628" s="185"/>
      <c r="AL628" s="185"/>
      <c r="AM628" s="185"/>
      <c r="AN628" s="185"/>
      <c r="AO628" s="185"/>
      <c r="AP628" s="185"/>
      <c r="AQ628" s="185"/>
      <c r="AR628" s="185"/>
      <c r="AS628" s="185"/>
      <c r="AT628" s="185"/>
      <c r="AU628" s="185"/>
      <c r="AV628" s="185"/>
    </row>
    <row r="629" spans="13:48" s="277" customFormat="1">
      <c r="M629" s="185"/>
      <c r="N629" s="185"/>
      <c r="O629" s="185"/>
      <c r="S629" s="291">
        <v>42185</v>
      </c>
      <c r="T629" s="279">
        <v>546</v>
      </c>
      <c r="AI629" s="185"/>
      <c r="AJ629" s="185"/>
      <c r="AK629" s="185"/>
      <c r="AL629" s="185"/>
      <c r="AM629" s="185"/>
      <c r="AN629" s="185"/>
      <c r="AO629" s="185"/>
      <c r="AP629" s="185"/>
      <c r="AQ629" s="185"/>
      <c r="AR629" s="185"/>
      <c r="AS629" s="185"/>
      <c r="AT629" s="185"/>
      <c r="AU629" s="185"/>
      <c r="AV629" s="185"/>
    </row>
    <row r="630" spans="13:48" s="277" customFormat="1">
      <c r="M630" s="185"/>
      <c r="N630" s="185"/>
      <c r="O630" s="185"/>
      <c r="S630" s="291">
        <v>42186</v>
      </c>
      <c r="T630" s="279">
        <v>547</v>
      </c>
      <c r="AI630" s="185"/>
      <c r="AJ630" s="185"/>
      <c r="AK630" s="185"/>
      <c r="AL630" s="185"/>
      <c r="AM630" s="185"/>
      <c r="AN630" s="185"/>
      <c r="AO630" s="185"/>
      <c r="AP630" s="185"/>
      <c r="AQ630" s="185"/>
      <c r="AR630" s="185"/>
      <c r="AS630" s="185"/>
      <c r="AT630" s="185"/>
      <c r="AU630" s="185"/>
      <c r="AV630" s="185"/>
    </row>
    <row r="631" spans="13:48" s="277" customFormat="1">
      <c r="M631" s="185"/>
      <c r="N631" s="185"/>
      <c r="O631" s="185"/>
      <c r="S631" s="291">
        <v>42187</v>
      </c>
      <c r="T631" s="279">
        <v>548</v>
      </c>
      <c r="AI631" s="185"/>
      <c r="AJ631" s="185"/>
      <c r="AK631" s="185"/>
      <c r="AL631" s="185"/>
      <c r="AM631" s="185"/>
      <c r="AN631" s="185"/>
      <c r="AO631" s="185"/>
      <c r="AP631" s="185"/>
      <c r="AQ631" s="185"/>
      <c r="AR631" s="185"/>
      <c r="AS631" s="185"/>
      <c r="AT631" s="185"/>
      <c r="AU631" s="185"/>
      <c r="AV631" s="185"/>
    </row>
    <row r="632" spans="13:48" s="277" customFormat="1">
      <c r="M632" s="185"/>
      <c r="N632" s="185"/>
      <c r="O632" s="185"/>
      <c r="S632" s="291">
        <v>42188</v>
      </c>
      <c r="T632" s="279">
        <v>549</v>
      </c>
      <c r="AI632" s="185"/>
      <c r="AJ632" s="185"/>
      <c r="AK632" s="185"/>
      <c r="AL632" s="185"/>
      <c r="AM632" s="185"/>
      <c r="AN632" s="185"/>
      <c r="AO632" s="185"/>
      <c r="AP632" s="185"/>
      <c r="AQ632" s="185"/>
      <c r="AR632" s="185"/>
      <c r="AS632" s="185"/>
      <c r="AT632" s="185"/>
      <c r="AU632" s="185"/>
      <c r="AV632" s="185"/>
    </row>
    <row r="633" spans="13:48" s="277" customFormat="1">
      <c r="M633" s="185"/>
      <c r="N633" s="185"/>
      <c r="O633" s="185"/>
      <c r="S633" s="291">
        <v>42189</v>
      </c>
      <c r="T633" s="279">
        <v>550</v>
      </c>
      <c r="AI633" s="185"/>
      <c r="AJ633" s="185"/>
      <c r="AK633" s="185"/>
      <c r="AL633" s="185"/>
      <c r="AM633" s="185"/>
      <c r="AN633" s="185"/>
      <c r="AO633" s="185"/>
      <c r="AP633" s="185"/>
      <c r="AQ633" s="185"/>
      <c r="AR633" s="185"/>
      <c r="AS633" s="185"/>
      <c r="AT633" s="185"/>
      <c r="AU633" s="185"/>
      <c r="AV633" s="185"/>
    </row>
    <row r="634" spans="13:48" s="277" customFormat="1">
      <c r="M634" s="185"/>
      <c r="N634" s="185"/>
      <c r="O634" s="185"/>
      <c r="S634" s="291">
        <v>42190</v>
      </c>
      <c r="T634" s="279">
        <v>551</v>
      </c>
      <c r="AI634" s="185"/>
      <c r="AJ634" s="185"/>
      <c r="AK634" s="185"/>
      <c r="AL634" s="185"/>
      <c r="AM634" s="185"/>
      <c r="AN634" s="185"/>
      <c r="AO634" s="185"/>
      <c r="AP634" s="185"/>
      <c r="AQ634" s="185"/>
      <c r="AR634" s="185"/>
      <c r="AS634" s="185"/>
      <c r="AT634" s="185"/>
      <c r="AU634" s="185"/>
      <c r="AV634" s="185"/>
    </row>
    <row r="635" spans="13:48" s="277" customFormat="1">
      <c r="M635" s="185"/>
      <c r="N635" s="185"/>
      <c r="O635" s="185"/>
      <c r="S635" s="291">
        <v>42191</v>
      </c>
      <c r="T635" s="279">
        <v>552</v>
      </c>
      <c r="AI635" s="185"/>
      <c r="AJ635" s="185"/>
      <c r="AK635" s="185"/>
      <c r="AL635" s="185"/>
      <c r="AM635" s="185"/>
      <c r="AN635" s="185"/>
      <c r="AO635" s="185"/>
      <c r="AP635" s="185"/>
      <c r="AQ635" s="185"/>
      <c r="AR635" s="185"/>
      <c r="AS635" s="185"/>
      <c r="AT635" s="185"/>
      <c r="AU635" s="185"/>
      <c r="AV635" s="185"/>
    </row>
    <row r="636" spans="13:48" s="277" customFormat="1">
      <c r="M636" s="185"/>
      <c r="N636" s="185"/>
      <c r="O636" s="185"/>
      <c r="S636" s="291">
        <v>42192</v>
      </c>
      <c r="T636" s="279">
        <v>553</v>
      </c>
      <c r="AI636" s="185"/>
      <c r="AJ636" s="185"/>
      <c r="AK636" s="185"/>
      <c r="AL636" s="185"/>
      <c r="AM636" s="185"/>
      <c r="AN636" s="185"/>
      <c r="AO636" s="185"/>
      <c r="AP636" s="185"/>
      <c r="AQ636" s="185"/>
      <c r="AR636" s="185"/>
      <c r="AS636" s="185"/>
      <c r="AT636" s="185"/>
      <c r="AU636" s="185"/>
      <c r="AV636" s="185"/>
    </row>
    <row r="637" spans="13:48" s="277" customFormat="1">
      <c r="M637" s="185"/>
      <c r="N637" s="185"/>
      <c r="O637" s="185"/>
      <c r="S637" s="291">
        <v>42193</v>
      </c>
      <c r="T637" s="279">
        <v>554</v>
      </c>
      <c r="AI637" s="185"/>
      <c r="AJ637" s="185"/>
      <c r="AK637" s="185"/>
      <c r="AL637" s="185"/>
      <c r="AM637" s="185"/>
      <c r="AN637" s="185"/>
      <c r="AO637" s="185"/>
      <c r="AP637" s="185"/>
      <c r="AQ637" s="185"/>
      <c r="AR637" s="185"/>
      <c r="AS637" s="185"/>
      <c r="AT637" s="185"/>
      <c r="AU637" s="185"/>
      <c r="AV637" s="185"/>
    </row>
    <row r="638" spans="13:48" s="277" customFormat="1">
      <c r="M638" s="185"/>
      <c r="N638" s="185"/>
      <c r="O638" s="185"/>
      <c r="S638" s="291">
        <v>42194</v>
      </c>
      <c r="T638" s="279">
        <v>555</v>
      </c>
      <c r="AI638" s="185"/>
      <c r="AJ638" s="185"/>
      <c r="AK638" s="185"/>
      <c r="AL638" s="185"/>
      <c r="AM638" s="185"/>
      <c r="AN638" s="185"/>
      <c r="AO638" s="185"/>
      <c r="AP638" s="185"/>
      <c r="AQ638" s="185"/>
      <c r="AR638" s="185"/>
      <c r="AS638" s="185"/>
      <c r="AT638" s="185"/>
      <c r="AU638" s="185"/>
      <c r="AV638" s="185"/>
    </row>
    <row r="639" spans="13:48" s="277" customFormat="1">
      <c r="M639" s="185"/>
      <c r="N639" s="185"/>
      <c r="O639" s="185"/>
      <c r="S639" s="291">
        <v>42195</v>
      </c>
      <c r="T639" s="279">
        <v>556</v>
      </c>
      <c r="AI639" s="185"/>
      <c r="AJ639" s="185"/>
      <c r="AK639" s="185"/>
      <c r="AL639" s="185"/>
      <c r="AM639" s="185"/>
      <c r="AN639" s="185"/>
      <c r="AO639" s="185"/>
      <c r="AP639" s="185"/>
      <c r="AQ639" s="185"/>
      <c r="AR639" s="185"/>
      <c r="AS639" s="185"/>
      <c r="AT639" s="185"/>
      <c r="AU639" s="185"/>
      <c r="AV639" s="185"/>
    </row>
    <row r="640" spans="13:48" s="277" customFormat="1">
      <c r="M640" s="185"/>
      <c r="N640" s="185"/>
      <c r="O640" s="185"/>
      <c r="S640" s="291">
        <v>42196</v>
      </c>
      <c r="T640" s="279">
        <v>557</v>
      </c>
      <c r="AI640" s="185"/>
      <c r="AJ640" s="185"/>
      <c r="AK640" s="185"/>
      <c r="AL640" s="185"/>
      <c r="AM640" s="185"/>
      <c r="AN640" s="185"/>
      <c r="AO640" s="185"/>
      <c r="AP640" s="185"/>
      <c r="AQ640" s="185"/>
      <c r="AR640" s="185"/>
      <c r="AS640" s="185"/>
      <c r="AT640" s="185"/>
      <c r="AU640" s="185"/>
      <c r="AV640" s="185"/>
    </row>
    <row r="641" spans="13:48" s="277" customFormat="1">
      <c r="M641" s="185"/>
      <c r="N641" s="185"/>
      <c r="O641" s="185"/>
      <c r="S641" s="291">
        <v>42197</v>
      </c>
      <c r="T641" s="279">
        <v>558</v>
      </c>
      <c r="AI641" s="185"/>
      <c r="AJ641" s="185"/>
      <c r="AK641" s="185"/>
      <c r="AL641" s="185"/>
      <c r="AM641" s="185"/>
      <c r="AN641" s="185"/>
      <c r="AO641" s="185"/>
      <c r="AP641" s="185"/>
      <c r="AQ641" s="185"/>
      <c r="AR641" s="185"/>
      <c r="AS641" s="185"/>
      <c r="AT641" s="185"/>
      <c r="AU641" s="185"/>
      <c r="AV641" s="185"/>
    </row>
    <row r="642" spans="13:48" s="277" customFormat="1">
      <c r="M642" s="185"/>
      <c r="N642" s="185"/>
      <c r="O642" s="185"/>
      <c r="S642" s="291">
        <v>42198</v>
      </c>
      <c r="T642" s="279">
        <v>559</v>
      </c>
      <c r="AI642" s="185"/>
      <c r="AJ642" s="185"/>
      <c r="AK642" s="185"/>
      <c r="AL642" s="185"/>
      <c r="AM642" s="185"/>
      <c r="AN642" s="185"/>
      <c r="AO642" s="185"/>
      <c r="AP642" s="185"/>
      <c r="AQ642" s="185"/>
      <c r="AR642" s="185"/>
      <c r="AS642" s="185"/>
      <c r="AT642" s="185"/>
      <c r="AU642" s="185"/>
      <c r="AV642" s="185"/>
    </row>
    <row r="643" spans="13:48" s="277" customFormat="1">
      <c r="M643" s="185"/>
      <c r="N643" s="185"/>
      <c r="O643" s="185"/>
      <c r="S643" s="291">
        <v>42199</v>
      </c>
      <c r="T643" s="279">
        <v>560</v>
      </c>
      <c r="AI643" s="185"/>
      <c r="AJ643" s="185"/>
      <c r="AK643" s="185"/>
      <c r="AL643" s="185"/>
      <c r="AM643" s="185"/>
      <c r="AN643" s="185"/>
      <c r="AO643" s="185"/>
      <c r="AP643" s="185"/>
      <c r="AQ643" s="185"/>
      <c r="AR643" s="185"/>
      <c r="AS643" s="185"/>
      <c r="AT643" s="185"/>
      <c r="AU643" s="185"/>
      <c r="AV643" s="185"/>
    </row>
    <row r="644" spans="13:48" s="277" customFormat="1">
      <c r="M644" s="185"/>
      <c r="N644" s="185"/>
      <c r="O644" s="185"/>
      <c r="S644" s="291">
        <v>42200</v>
      </c>
      <c r="T644" s="279">
        <v>561</v>
      </c>
      <c r="AI644" s="185"/>
      <c r="AJ644" s="185"/>
      <c r="AK644" s="185"/>
      <c r="AL644" s="185"/>
      <c r="AM644" s="185"/>
      <c r="AN644" s="185"/>
      <c r="AO644" s="185"/>
      <c r="AP644" s="185"/>
      <c r="AQ644" s="185"/>
      <c r="AR644" s="185"/>
      <c r="AS644" s="185"/>
      <c r="AT644" s="185"/>
      <c r="AU644" s="185"/>
      <c r="AV644" s="185"/>
    </row>
    <row r="645" spans="13:48" s="277" customFormat="1">
      <c r="M645" s="185"/>
      <c r="N645" s="185"/>
      <c r="O645" s="185"/>
      <c r="S645" s="291">
        <v>42201</v>
      </c>
      <c r="T645" s="279">
        <v>562</v>
      </c>
      <c r="AI645" s="185"/>
      <c r="AJ645" s="185"/>
      <c r="AK645" s="185"/>
      <c r="AL645" s="185"/>
      <c r="AM645" s="185"/>
      <c r="AN645" s="185"/>
      <c r="AO645" s="185"/>
      <c r="AP645" s="185"/>
      <c r="AQ645" s="185"/>
      <c r="AR645" s="185"/>
      <c r="AS645" s="185"/>
      <c r="AT645" s="185"/>
      <c r="AU645" s="185"/>
      <c r="AV645" s="185"/>
    </row>
    <row r="646" spans="13:48" s="277" customFormat="1">
      <c r="M646" s="185"/>
      <c r="N646" s="185"/>
      <c r="O646" s="185"/>
      <c r="S646" s="291">
        <v>42202</v>
      </c>
      <c r="T646" s="279">
        <v>563</v>
      </c>
      <c r="AI646" s="185"/>
      <c r="AJ646" s="185"/>
      <c r="AK646" s="185"/>
      <c r="AL646" s="185"/>
      <c r="AM646" s="185"/>
      <c r="AN646" s="185"/>
      <c r="AO646" s="185"/>
      <c r="AP646" s="185"/>
      <c r="AQ646" s="185"/>
      <c r="AR646" s="185"/>
      <c r="AS646" s="185"/>
      <c r="AT646" s="185"/>
      <c r="AU646" s="185"/>
      <c r="AV646" s="185"/>
    </row>
    <row r="647" spans="13:48" s="277" customFormat="1">
      <c r="M647" s="185"/>
      <c r="N647" s="185"/>
      <c r="O647" s="185"/>
      <c r="S647" s="291">
        <v>42203</v>
      </c>
      <c r="T647" s="279">
        <v>564</v>
      </c>
      <c r="AI647" s="185"/>
      <c r="AJ647" s="185"/>
      <c r="AK647" s="185"/>
      <c r="AL647" s="185"/>
      <c r="AM647" s="185"/>
      <c r="AN647" s="185"/>
      <c r="AO647" s="185"/>
      <c r="AP647" s="185"/>
      <c r="AQ647" s="185"/>
      <c r="AR647" s="185"/>
      <c r="AS647" s="185"/>
      <c r="AT647" s="185"/>
      <c r="AU647" s="185"/>
      <c r="AV647" s="185"/>
    </row>
    <row r="648" spans="13:48" s="277" customFormat="1">
      <c r="M648" s="185"/>
      <c r="N648" s="185"/>
      <c r="O648" s="185"/>
      <c r="S648" s="291">
        <v>42204</v>
      </c>
      <c r="T648" s="279">
        <v>565</v>
      </c>
      <c r="AI648" s="185"/>
      <c r="AJ648" s="185"/>
      <c r="AK648" s="185"/>
      <c r="AL648" s="185"/>
      <c r="AM648" s="185"/>
      <c r="AN648" s="185"/>
      <c r="AO648" s="185"/>
      <c r="AP648" s="185"/>
      <c r="AQ648" s="185"/>
      <c r="AR648" s="185"/>
      <c r="AS648" s="185"/>
      <c r="AT648" s="185"/>
      <c r="AU648" s="185"/>
      <c r="AV648" s="185"/>
    </row>
    <row r="649" spans="13:48" s="277" customFormat="1">
      <c r="M649" s="185"/>
      <c r="N649" s="185"/>
      <c r="O649" s="185"/>
      <c r="S649" s="291">
        <v>42205</v>
      </c>
      <c r="T649" s="279">
        <v>566</v>
      </c>
      <c r="AI649" s="185"/>
      <c r="AJ649" s="185"/>
      <c r="AK649" s="185"/>
      <c r="AL649" s="185"/>
      <c r="AM649" s="185"/>
      <c r="AN649" s="185"/>
      <c r="AO649" s="185"/>
      <c r="AP649" s="185"/>
      <c r="AQ649" s="185"/>
      <c r="AR649" s="185"/>
      <c r="AS649" s="185"/>
      <c r="AT649" s="185"/>
      <c r="AU649" s="185"/>
      <c r="AV649" s="185"/>
    </row>
    <row r="650" spans="13:48" s="277" customFormat="1">
      <c r="M650" s="185"/>
      <c r="N650" s="185"/>
      <c r="O650" s="185"/>
      <c r="S650" s="291">
        <v>42206</v>
      </c>
      <c r="T650" s="279">
        <v>567</v>
      </c>
      <c r="AI650" s="185"/>
      <c r="AJ650" s="185"/>
      <c r="AK650" s="185"/>
      <c r="AL650" s="185"/>
      <c r="AM650" s="185"/>
      <c r="AN650" s="185"/>
      <c r="AO650" s="185"/>
      <c r="AP650" s="185"/>
      <c r="AQ650" s="185"/>
      <c r="AR650" s="185"/>
      <c r="AS650" s="185"/>
      <c r="AT650" s="185"/>
      <c r="AU650" s="185"/>
      <c r="AV650" s="185"/>
    </row>
    <row r="651" spans="13:48" s="277" customFormat="1">
      <c r="M651" s="185"/>
      <c r="N651" s="185"/>
      <c r="O651" s="185"/>
      <c r="S651" s="291">
        <v>42207</v>
      </c>
      <c r="T651" s="279">
        <v>568</v>
      </c>
      <c r="AI651" s="185"/>
      <c r="AJ651" s="185"/>
      <c r="AK651" s="185"/>
      <c r="AL651" s="185"/>
      <c r="AM651" s="185"/>
      <c r="AN651" s="185"/>
      <c r="AO651" s="185"/>
      <c r="AP651" s="185"/>
      <c r="AQ651" s="185"/>
      <c r="AR651" s="185"/>
      <c r="AS651" s="185"/>
      <c r="AT651" s="185"/>
      <c r="AU651" s="185"/>
      <c r="AV651" s="185"/>
    </row>
    <row r="652" spans="13:48" s="277" customFormat="1">
      <c r="M652" s="185"/>
      <c r="N652" s="185"/>
      <c r="O652" s="185"/>
      <c r="S652" s="291">
        <v>42208</v>
      </c>
      <c r="T652" s="279">
        <v>569</v>
      </c>
      <c r="AI652" s="185"/>
      <c r="AJ652" s="185"/>
      <c r="AK652" s="185"/>
      <c r="AL652" s="185"/>
      <c r="AM652" s="185"/>
      <c r="AN652" s="185"/>
      <c r="AO652" s="185"/>
      <c r="AP652" s="185"/>
      <c r="AQ652" s="185"/>
      <c r="AR652" s="185"/>
      <c r="AS652" s="185"/>
      <c r="AT652" s="185"/>
      <c r="AU652" s="185"/>
      <c r="AV652" s="185"/>
    </row>
    <row r="653" spans="13:48" s="277" customFormat="1">
      <c r="M653" s="185"/>
      <c r="N653" s="185"/>
      <c r="O653" s="185"/>
      <c r="S653" s="291">
        <v>42209</v>
      </c>
      <c r="T653" s="279">
        <v>570</v>
      </c>
      <c r="AI653" s="185"/>
      <c r="AJ653" s="185"/>
      <c r="AK653" s="185"/>
      <c r="AL653" s="185"/>
      <c r="AM653" s="185"/>
      <c r="AN653" s="185"/>
      <c r="AO653" s="185"/>
      <c r="AP653" s="185"/>
      <c r="AQ653" s="185"/>
      <c r="AR653" s="185"/>
      <c r="AS653" s="185"/>
      <c r="AT653" s="185"/>
      <c r="AU653" s="185"/>
      <c r="AV653" s="185"/>
    </row>
    <row r="654" spans="13:48" s="277" customFormat="1">
      <c r="M654" s="185"/>
      <c r="N654" s="185"/>
      <c r="O654" s="185"/>
      <c r="S654" s="291">
        <v>42210</v>
      </c>
      <c r="T654" s="279">
        <v>571</v>
      </c>
      <c r="AI654" s="185"/>
      <c r="AJ654" s="185"/>
      <c r="AK654" s="185"/>
      <c r="AL654" s="185"/>
      <c r="AM654" s="185"/>
      <c r="AN654" s="185"/>
      <c r="AO654" s="185"/>
      <c r="AP654" s="185"/>
      <c r="AQ654" s="185"/>
      <c r="AR654" s="185"/>
      <c r="AS654" s="185"/>
      <c r="AT654" s="185"/>
      <c r="AU654" s="185"/>
      <c r="AV654" s="185"/>
    </row>
    <row r="655" spans="13:48" s="277" customFormat="1">
      <c r="M655" s="185"/>
      <c r="N655" s="185"/>
      <c r="O655" s="185"/>
      <c r="S655" s="291">
        <v>42211</v>
      </c>
      <c r="T655" s="279">
        <v>572</v>
      </c>
      <c r="AI655" s="185"/>
      <c r="AJ655" s="185"/>
      <c r="AK655" s="185"/>
      <c r="AL655" s="185"/>
      <c r="AM655" s="185"/>
      <c r="AN655" s="185"/>
      <c r="AO655" s="185"/>
      <c r="AP655" s="185"/>
      <c r="AQ655" s="185"/>
      <c r="AR655" s="185"/>
      <c r="AS655" s="185"/>
      <c r="AT655" s="185"/>
      <c r="AU655" s="185"/>
      <c r="AV655" s="185"/>
    </row>
    <row r="656" spans="13:48" s="277" customFormat="1">
      <c r="M656" s="185"/>
      <c r="N656" s="185"/>
      <c r="O656" s="185"/>
      <c r="S656" s="291">
        <v>42212</v>
      </c>
      <c r="T656" s="279">
        <v>573</v>
      </c>
      <c r="AI656" s="185"/>
      <c r="AJ656" s="185"/>
      <c r="AK656" s="185"/>
      <c r="AL656" s="185"/>
      <c r="AM656" s="185"/>
      <c r="AN656" s="185"/>
      <c r="AO656" s="185"/>
      <c r="AP656" s="185"/>
      <c r="AQ656" s="185"/>
      <c r="AR656" s="185"/>
      <c r="AS656" s="185"/>
      <c r="AT656" s="185"/>
      <c r="AU656" s="185"/>
      <c r="AV656" s="185"/>
    </row>
    <row r="657" spans="13:48" s="277" customFormat="1">
      <c r="M657" s="185"/>
      <c r="N657" s="185"/>
      <c r="O657" s="185"/>
      <c r="S657" s="291">
        <v>42213</v>
      </c>
      <c r="T657" s="279">
        <v>574</v>
      </c>
      <c r="AI657" s="185"/>
      <c r="AJ657" s="185"/>
      <c r="AK657" s="185"/>
      <c r="AL657" s="185"/>
      <c r="AM657" s="185"/>
      <c r="AN657" s="185"/>
      <c r="AO657" s="185"/>
      <c r="AP657" s="185"/>
      <c r="AQ657" s="185"/>
      <c r="AR657" s="185"/>
      <c r="AS657" s="185"/>
      <c r="AT657" s="185"/>
      <c r="AU657" s="185"/>
      <c r="AV657" s="185"/>
    </row>
    <row r="658" spans="13:48" s="277" customFormat="1">
      <c r="M658" s="185"/>
      <c r="N658" s="185"/>
      <c r="O658" s="185"/>
      <c r="S658" s="291">
        <v>42214</v>
      </c>
      <c r="T658" s="279">
        <v>575</v>
      </c>
      <c r="AI658" s="185"/>
      <c r="AJ658" s="185"/>
      <c r="AK658" s="185"/>
      <c r="AL658" s="185"/>
      <c r="AM658" s="185"/>
      <c r="AN658" s="185"/>
      <c r="AO658" s="185"/>
      <c r="AP658" s="185"/>
      <c r="AQ658" s="185"/>
      <c r="AR658" s="185"/>
      <c r="AS658" s="185"/>
      <c r="AT658" s="185"/>
      <c r="AU658" s="185"/>
      <c r="AV658" s="185"/>
    </row>
    <row r="659" spans="13:48" s="277" customFormat="1">
      <c r="M659" s="185"/>
      <c r="N659" s="185"/>
      <c r="O659" s="185"/>
      <c r="S659" s="291">
        <v>42215</v>
      </c>
      <c r="T659" s="279">
        <v>576</v>
      </c>
      <c r="AI659" s="185"/>
      <c r="AJ659" s="185"/>
      <c r="AK659" s="185"/>
      <c r="AL659" s="185"/>
      <c r="AM659" s="185"/>
      <c r="AN659" s="185"/>
      <c r="AO659" s="185"/>
      <c r="AP659" s="185"/>
      <c r="AQ659" s="185"/>
      <c r="AR659" s="185"/>
      <c r="AS659" s="185"/>
      <c r="AT659" s="185"/>
      <c r="AU659" s="185"/>
      <c r="AV659" s="185"/>
    </row>
    <row r="660" spans="13:48" s="277" customFormat="1">
      <c r="M660" s="185"/>
      <c r="N660" s="185"/>
      <c r="O660" s="185"/>
      <c r="S660" s="291">
        <v>42216</v>
      </c>
      <c r="T660" s="279">
        <v>577</v>
      </c>
      <c r="AI660" s="185"/>
      <c r="AJ660" s="185"/>
      <c r="AK660" s="185"/>
      <c r="AL660" s="185"/>
      <c r="AM660" s="185"/>
      <c r="AN660" s="185"/>
      <c r="AO660" s="185"/>
      <c r="AP660" s="185"/>
      <c r="AQ660" s="185"/>
      <c r="AR660" s="185"/>
      <c r="AS660" s="185"/>
      <c r="AT660" s="185"/>
      <c r="AU660" s="185"/>
      <c r="AV660" s="185"/>
    </row>
    <row r="661" spans="13:48" s="277" customFormat="1">
      <c r="M661" s="185"/>
      <c r="N661" s="185"/>
      <c r="O661" s="185"/>
      <c r="S661" s="291">
        <v>42217</v>
      </c>
      <c r="T661" s="279">
        <v>578</v>
      </c>
      <c r="AI661" s="185"/>
      <c r="AJ661" s="185"/>
      <c r="AK661" s="185"/>
      <c r="AL661" s="185"/>
      <c r="AM661" s="185"/>
      <c r="AN661" s="185"/>
      <c r="AO661" s="185"/>
      <c r="AP661" s="185"/>
      <c r="AQ661" s="185"/>
      <c r="AR661" s="185"/>
      <c r="AS661" s="185"/>
      <c r="AT661" s="185"/>
      <c r="AU661" s="185"/>
      <c r="AV661" s="185"/>
    </row>
    <row r="662" spans="13:48" s="277" customFormat="1">
      <c r="M662" s="185"/>
      <c r="N662" s="185"/>
      <c r="O662" s="185"/>
      <c r="S662" s="291">
        <v>42218</v>
      </c>
      <c r="T662" s="279">
        <v>579</v>
      </c>
      <c r="AI662" s="185"/>
      <c r="AJ662" s="185"/>
      <c r="AK662" s="185"/>
      <c r="AL662" s="185"/>
      <c r="AM662" s="185"/>
      <c r="AN662" s="185"/>
      <c r="AO662" s="185"/>
      <c r="AP662" s="185"/>
      <c r="AQ662" s="185"/>
      <c r="AR662" s="185"/>
      <c r="AS662" s="185"/>
      <c r="AT662" s="185"/>
      <c r="AU662" s="185"/>
      <c r="AV662" s="185"/>
    </row>
    <row r="663" spans="13:48" s="277" customFormat="1">
      <c r="M663" s="185"/>
      <c r="N663" s="185"/>
      <c r="O663" s="185"/>
      <c r="S663" s="291">
        <v>42219</v>
      </c>
      <c r="T663" s="279">
        <v>580</v>
      </c>
      <c r="AI663" s="185"/>
      <c r="AJ663" s="185"/>
      <c r="AK663" s="185"/>
      <c r="AL663" s="185"/>
      <c r="AM663" s="185"/>
      <c r="AN663" s="185"/>
      <c r="AO663" s="185"/>
      <c r="AP663" s="185"/>
      <c r="AQ663" s="185"/>
      <c r="AR663" s="185"/>
      <c r="AS663" s="185"/>
      <c r="AT663" s="185"/>
      <c r="AU663" s="185"/>
      <c r="AV663" s="185"/>
    </row>
    <row r="664" spans="13:48" s="277" customFormat="1">
      <c r="M664" s="185"/>
      <c r="N664" s="185"/>
      <c r="O664" s="185"/>
      <c r="S664" s="291">
        <v>42220</v>
      </c>
      <c r="T664" s="279">
        <v>581</v>
      </c>
      <c r="AI664" s="185"/>
      <c r="AJ664" s="185"/>
      <c r="AK664" s="185"/>
      <c r="AL664" s="185"/>
      <c r="AM664" s="185"/>
      <c r="AN664" s="185"/>
      <c r="AO664" s="185"/>
      <c r="AP664" s="185"/>
      <c r="AQ664" s="185"/>
      <c r="AR664" s="185"/>
      <c r="AS664" s="185"/>
      <c r="AT664" s="185"/>
      <c r="AU664" s="185"/>
      <c r="AV664" s="185"/>
    </row>
    <row r="665" spans="13:48" s="277" customFormat="1">
      <c r="M665" s="185"/>
      <c r="N665" s="185"/>
      <c r="O665" s="185"/>
      <c r="S665" s="291">
        <v>42221</v>
      </c>
      <c r="T665" s="279">
        <v>582</v>
      </c>
      <c r="AI665" s="185"/>
      <c r="AJ665" s="185"/>
      <c r="AK665" s="185"/>
      <c r="AL665" s="185"/>
      <c r="AM665" s="185"/>
      <c r="AN665" s="185"/>
      <c r="AO665" s="185"/>
      <c r="AP665" s="185"/>
      <c r="AQ665" s="185"/>
      <c r="AR665" s="185"/>
      <c r="AS665" s="185"/>
      <c r="AT665" s="185"/>
      <c r="AU665" s="185"/>
      <c r="AV665" s="185"/>
    </row>
    <row r="666" spans="13:48" s="277" customFormat="1">
      <c r="M666" s="185"/>
      <c r="N666" s="185"/>
      <c r="O666" s="185"/>
      <c r="S666" s="291">
        <v>42222</v>
      </c>
      <c r="T666" s="279">
        <v>583</v>
      </c>
      <c r="AI666" s="185"/>
      <c r="AJ666" s="185"/>
      <c r="AK666" s="185"/>
      <c r="AL666" s="185"/>
      <c r="AM666" s="185"/>
      <c r="AN666" s="185"/>
      <c r="AO666" s="185"/>
      <c r="AP666" s="185"/>
      <c r="AQ666" s="185"/>
      <c r="AR666" s="185"/>
      <c r="AS666" s="185"/>
      <c r="AT666" s="185"/>
      <c r="AU666" s="185"/>
      <c r="AV666" s="185"/>
    </row>
    <row r="667" spans="13:48" s="277" customFormat="1">
      <c r="M667" s="185"/>
      <c r="N667" s="185"/>
      <c r="O667" s="185"/>
      <c r="S667" s="291">
        <v>42223</v>
      </c>
      <c r="T667" s="279">
        <v>584</v>
      </c>
      <c r="AI667" s="185"/>
      <c r="AJ667" s="185"/>
      <c r="AK667" s="185"/>
      <c r="AL667" s="185"/>
      <c r="AM667" s="185"/>
      <c r="AN667" s="185"/>
      <c r="AO667" s="185"/>
      <c r="AP667" s="185"/>
      <c r="AQ667" s="185"/>
      <c r="AR667" s="185"/>
      <c r="AS667" s="185"/>
      <c r="AT667" s="185"/>
      <c r="AU667" s="185"/>
      <c r="AV667" s="185"/>
    </row>
    <row r="668" spans="13:48" s="277" customFormat="1">
      <c r="M668" s="185"/>
      <c r="N668" s="185"/>
      <c r="O668" s="185"/>
      <c r="S668" s="291">
        <v>42224</v>
      </c>
      <c r="T668" s="279">
        <v>585</v>
      </c>
      <c r="AI668" s="185"/>
      <c r="AJ668" s="185"/>
      <c r="AK668" s="185"/>
      <c r="AL668" s="185"/>
      <c r="AM668" s="185"/>
      <c r="AN668" s="185"/>
      <c r="AO668" s="185"/>
      <c r="AP668" s="185"/>
      <c r="AQ668" s="185"/>
      <c r="AR668" s="185"/>
      <c r="AS668" s="185"/>
      <c r="AT668" s="185"/>
      <c r="AU668" s="185"/>
      <c r="AV668" s="185"/>
    </row>
    <row r="669" spans="13:48" s="277" customFormat="1">
      <c r="M669" s="185"/>
      <c r="N669" s="185"/>
      <c r="O669" s="185"/>
      <c r="S669" s="291">
        <v>42225</v>
      </c>
      <c r="T669" s="279">
        <v>586</v>
      </c>
      <c r="AI669" s="185"/>
      <c r="AJ669" s="185"/>
      <c r="AK669" s="185"/>
      <c r="AL669" s="185"/>
      <c r="AM669" s="185"/>
      <c r="AN669" s="185"/>
      <c r="AO669" s="185"/>
      <c r="AP669" s="185"/>
      <c r="AQ669" s="185"/>
      <c r="AR669" s="185"/>
      <c r="AS669" s="185"/>
      <c r="AT669" s="185"/>
      <c r="AU669" s="185"/>
      <c r="AV669" s="185"/>
    </row>
    <row r="670" spans="13:48" s="277" customFormat="1">
      <c r="M670" s="185"/>
      <c r="N670" s="185"/>
      <c r="O670" s="185"/>
      <c r="S670" s="291">
        <v>42226</v>
      </c>
      <c r="T670" s="279">
        <v>587</v>
      </c>
      <c r="AI670" s="185"/>
      <c r="AJ670" s="185"/>
      <c r="AK670" s="185"/>
      <c r="AL670" s="185"/>
      <c r="AM670" s="185"/>
      <c r="AN670" s="185"/>
      <c r="AO670" s="185"/>
      <c r="AP670" s="185"/>
      <c r="AQ670" s="185"/>
      <c r="AR670" s="185"/>
      <c r="AS670" s="185"/>
      <c r="AT670" s="185"/>
      <c r="AU670" s="185"/>
      <c r="AV670" s="185"/>
    </row>
    <row r="671" spans="13:48" s="277" customFormat="1">
      <c r="M671" s="185"/>
      <c r="N671" s="185"/>
      <c r="O671" s="185"/>
      <c r="S671" s="291">
        <v>42227</v>
      </c>
      <c r="T671" s="279">
        <v>588</v>
      </c>
      <c r="AI671" s="185"/>
      <c r="AJ671" s="185"/>
      <c r="AK671" s="185"/>
      <c r="AL671" s="185"/>
      <c r="AM671" s="185"/>
      <c r="AN671" s="185"/>
      <c r="AO671" s="185"/>
      <c r="AP671" s="185"/>
      <c r="AQ671" s="185"/>
      <c r="AR671" s="185"/>
      <c r="AS671" s="185"/>
      <c r="AT671" s="185"/>
      <c r="AU671" s="185"/>
      <c r="AV671" s="185"/>
    </row>
    <row r="672" spans="13:48" s="277" customFormat="1">
      <c r="M672" s="185"/>
      <c r="N672" s="185"/>
      <c r="O672" s="185"/>
      <c r="S672" s="291">
        <v>42228</v>
      </c>
      <c r="T672" s="279">
        <v>589</v>
      </c>
      <c r="AI672" s="185"/>
      <c r="AJ672" s="185"/>
      <c r="AK672" s="185"/>
      <c r="AL672" s="185"/>
      <c r="AM672" s="185"/>
      <c r="AN672" s="185"/>
      <c r="AO672" s="185"/>
      <c r="AP672" s="185"/>
      <c r="AQ672" s="185"/>
      <c r="AR672" s="185"/>
      <c r="AS672" s="185"/>
      <c r="AT672" s="185"/>
      <c r="AU672" s="185"/>
      <c r="AV672" s="185"/>
    </row>
    <row r="673" spans="13:48" s="277" customFormat="1">
      <c r="M673" s="185"/>
      <c r="N673" s="185"/>
      <c r="O673" s="185"/>
      <c r="S673" s="291">
        <v>42229</v>
      </c>
      <c r="T673" s="279">
        <v>590</v>
      </c>
      <c r="AI673" s="185"/>
      <c r="AJ673" s="185"/>
      <c r="AK673" s="185"/>
      <c r="AL673" s="185"/>
      <c r="AM673" s="185"/>
      <c r="AN673" s="185"/>
      <c r="AO673" s="185"/>
      <c r="AP673" s="185"/>
      <c r="AQ673" s="185"/>
      <c r="AR673" s="185"/>
      <c r="AS673" s="185"/>
      <c r="AT673" s="185"/>
      <c r="AU673" s="185"/>
      <c r="AV673" s="185"/>
    </row>
    <row r="674" spans="13:48" s="277" customFormat="1">
      <c r="M674" s="185"/>
      <c r="N674" s="185"/>
      <c r="O674" s="185"/>
      <c r="S674" s="291">
        <v>42230</v>
      </c>
      <c r="T674" s="279">
        <v>591</v>
      </c>
      <c r="AI674" s="185"/>
      <c r="AJ674" s="185"/>
      <c r="AK674" s="185"/>
      <c r="AL674" s="185"/>
      <c r="AM674" s="185"/>
      <c r="AN674" s="185"/>
      <c r="AO674" s="185"/>
      <c r="AP674" s="185"/>
      <c r="AQ674" s="185"/>
      <c r="AR674" s="185"/>
      <c r="AS674" s="185"/>
      <c r="AT674" s="185"/>
      <c r="AU674" s="185"/>
      <c r="AV674" s="185"/>
    </row>
    <row r="675" spans="13:48" s="277" customFormat="1">
      <c r="M675" s="185"/>
      <c r="N675" s="185"/>
      <c r="O675" s="185"/>
      <c r="S675" s="291">
        <v>42231</v>
      </c>
      <c r="T675" s="279">
        <v>592</v>
      </c>
      <c r="AI675" s="185"/>
      <c r="AJ675" s="185"/>
      <c r="AK675" s="185"/>
      <c r="AL675" s="185"/>
      <c r="AM675" s="185"/>
      <c r="AN675" s="185"/>
      <c r="AO675" s="185"/>
      <c r="AP675" s="185"/>
      <c r="AQ675" s="185"/>
      <c r="AR675" s="185"/>
      <c r="AS675" s="185"/>
      <c r="AT675" s="185"/>
      <c r="AU675" s="185"/>
      <c r="AV675" s="185"/>
    </row>
    <row r="676" spans="13:48" s="277" customFormat="1">
      <c r="M676" s="185"/>
      <c r="N676" s="185"/>
      <c r="O676" s="185"/>
      <c r="S676" s="291">
        <v>42232</v>
      </c>
      <c r="T676" s="279">
        <v>593</v>
      </c>
      <c r="AI676" s="185"/>
      <c r="AJ676" s="185"/>
      <c r="AK676" s="185"/>
      <c r="AL676" s="185"/>
      <c r="AM676" s="185"/>
      <c r="AN676" s="185"/>
      <c r="AO676" s="185"/>
      <c r="AP676" s="185"/>
      <c r="AQ676" s="185"/>
      <c r="AR676" s="185"/>
      <c r="AS676" s="185"/>
      <c r="AT676" s="185"/>
      <c r="AU676" s="185"/>
      <c r="AV676" s="185"/>
    </row>
    <row r="677" spans="13:48" s="277" customFormat="1">
      <c r="M677" s="185"/>
      <c r="N677" s="185"/>
      <c r="O677" s="185"/>
      <c r="S677" s="291">
        <v>42233</v>
      </c>
      <c r="T677" s="279">
        <v>594</v>
      </c>
      <c r="AI677" s="185"/>
      <c r="AJ677" s="185"/>
      <c r="AK677" s="185"/>
      <c r="AL677" s="185"/>
      <c r="AM677" s="185"/>
      <c r="AN677" s="185"/>
      <c r="AO677" s="185"/>
      <c r="AP677" s="185"/>
      <c r="AQ677" s="185"/>
      <c r="AR677" s="185"/>
      <c r="AS677" s="185"/>
      <c r="AT677" s="185"/>
      <c r="AU677" s="185"/>
      <c r="AV677" s="185"/>
    </row>
    <row r="678" spans="13:48" s="277" customFormat="1">
      <c r="M678" s="185"/>
      <c r="N678" s="185"/>
      <c r="O678" s="185"/>
      <c r="S678" s="291">
        <v>42234</v>
      </c>
      <c r="T678" s="279">
        <v>595</v>
      </c>
      <c r="AI678" s="185"/>
      <c r="AJ678" s="185"/>
      <c r="AK678" s="185"/>
      <c r="AL678" s="185"/>
      <c r="AM678" s="185"/>
      <c r="AN678" s="185"/>
      <c r="AO678" s="185"/>
      <c r="AP678" s="185"/>
      <c r="AQ678" s="185"/>
      <c r="AR678" s="185"/>
      <c r="AS678" s="185"/>
      <c r="AT678" s="185"/>
      <c r="AU678" s="185"/>
      <c r="AV678" s="185"/>
    </row>
    <row r="679" spans="13:48" s="277" customFormat="1">
      <c r="M679" s="185"/>
      <c r="N679" s="185"/>
      <c r="O679" s="185"/>
      <c r="S679" s="291">
        <v>42235</v>
      </c>
      <c r="T679" s="279">
        <v>596</v>
      </c>
      <c r="AI679" s="185"/>
      <c r="AJ679" s="185"/>
      <c r="AK679" s="185"/>
      <c r="AL679" s="185"/>
      <c r="AM679" s="185"/>
      <c r="AN679" s="185"/>
      <c r="AO679" s="185"/>
      <c r="AP679" s="185"/>
      <c r="AQ679" s="185"/>
      <c r="AR679" s="185"/>
      <c r="AS679" s="185"/>
      <c r="AT679" s="185"/>
      <c r="AU679" s="185"/>
      <c r="AV679" s="185"/>
    </row>
    <row r="680" spans="13:48" s="277" customFormat="1">
      <c r="M680" s="185"/>
      <c r="N680" s="185"/>
      <c r="O680" s="185"/>
      <c r="S680" s="291">
        <v>42236</v>
      </c>
      <c r="T680" s="279">
        <v>597</v>
      </c>
      <c r="AI680" s="185"/>
      <c r="AJ680" s="185"/>
      <c r="AK680" s="185"/>
      <c r="AL680" s="185"/>
      <c r="AM680" s="185"/>
      <c r="AN680" s="185"/>
      <c r="AO680" s="185"/>
      <c r="AP680" s="185"/>
      <c r="AQ680" s="185"/>
      <c r="AR680" s="185"/>
      <c r="AS680" s="185"/>
      <c r="AT680" s="185"/>
      <c r="AU680" s="185"/>
      <c r="AV680" s="185"/>
    </row>
    <row r="681" spans="13:48" s="277" customFormat="1">
      <c r="M681" s="185"/>
      <c r="N681" s="185"/>
      <c r="O681" s="185"/>
      <c r="S681" s="291">
        <v>42237</v>
      </c>
      <c r="T681" s="279">
        <v>598</v>
      </c>
      <c r="AI681" s="185"/>
      <c r="AJ681" s="185"/>
      <c r="AK681" s="185"/>
      <c r="AL681" s="185"/>
      <c r="AM681" s="185"/>
      <c r="AN681" s="185"/>
      <c r="AO681" s="185"/>
      <c r="AP681" s="185"/>
      <c r="AQ681" s="185"/>
      <c r="AR681" s="185"/>
      <c r="AS681" s="185"/>
      <c r="AT681" s="185"/>
      <c r="AU681" s="185"/>
      <c r="AV681" s="185"/>
    </row>
    <row r="682" spans="13:48" s="277" customFormat="1">
      <c r="M682" s="185"/>
      <c r="N682" s="185"/>
      <c r="O682" s="185"/>
      <c r="S682" s="291">
        <v>42238</v>
      </c>
      <c r="T682" s="279">
        <v>599</v>
      </c>
      <c r="AI682" s="185"/>
      <c r="AJ682" s="185"/>
      <c r="AK682" s="185"/>
      <c r="AL682" s="185"/>
      <c r="AM682" s="185"/>
      <c r="AN682" s="185"/>
      <c r="AO682" s="185"/>
      <c r="AP682" s="185"/>
      <c r="AQ682" s="185"/>
      <c r="AR682" s="185"/>
      <c r="AS682" s="185"/>
      <c r="AT682" s="185"/>
      <c r="AU682" s="185"/>
      <c r="AV682" s="185"/>
    </row>
    <row r="683" spans="13:48" s="277" customFormat="1">
      <c r="M683" s="185"/>
      <c r="N683" s="185"/>
      <c r="O683" s="185"/>
      <c r="S683" s="291">
        <v>42239</v>
      </c>
      <c r="T683" s="279">
        <v>600</v>
      </c>
      <c r="AI683" s="185"/>
      <c r="AJ683" s="185"/>
      <c r="AK683" s="185"/>
      <c r="AL683" s="185"/>
      <c r="AM683" s="185"/>
      <c r="AN683" s="185"/>
      <c r="AO683" s="185"/>
      <c r="AP683" s="185"/>
      <c r="AQ683" s="185"/>
      <c r="AR683" s="185"/>
      <c r="AS683" s="185"/>
      <c r="AT683" s="185"/>
      <c r="AU683" s="185"/>
      <c r="AV683" s="185"/>
    </row>
    <row r="684" spans="13:48" s="277" customFormat="1">
      <c r="M684" s="185"/>
      <c r="N684" s="185"/>
      <c r="O684" s="185"/>
      <c r="S684" s="291">
        <v>42240</v>
      </c>
      <c r="T684" s="279">
        <v>601</v>
      </c>
      <c r="AI684" s="185"/>
      <c r="AJ684" s="185"/>
      <c r="AK684" s="185"/>
      <c r="AL684" s="185"/>
      <c r="AM684" s="185"/>
      <c r="AN684" s="185"/>
      <c r="AO684" s="185"/>
      <c r="AP684" s="185"/>
      <c r="AQ684" s="185"/>
      <c r="AR684" s="185"/>
      <c r="AS684" s="185"/>
      <c r="AT684" s="185"/>
      <c r="AU684" s="185"/>
      <c r="AV684" s="185"/>
    </row>
    <row r="685" spans="13:48" s="277" customFormat="1">
      <c r="M685" s="185"/>
      <c r="N685" s="185"/>
      <c r="O685" s="185"/>
      <c r="S685" s="291">
        <v>42241</v>
      </c>
      <c r="T685" s="279">
        <v>602</v>
      </c>
      <c r="AI685" s="185"/>
      <c r="AJ685" s="185"/>
      <c r="AK685" s="185"/>
      <c r="AL685" s="185"/>
      <c r="AM685" s="185"/>
      <c r="AN685" s="185"/>
      <c r="AO685" s="185"/>
      <c r="AP685" s="185"/>
      <c r="AQ685" s="185"/>
      <c r="AR685" s="185"/>
      <c r="AS685" s="185"/>
      <c r="AT685" s="185"/>
      <c r="AU685" s="185"/>
      <c r="AV685" s="185"/>
    </row>
    <row r="686" spans="13:48" s="277" customFormat="1">
      <c r="M686" s="185"/>
      <c r="N686" s="185"/>
      <c r="O686" s="185"/>
      <c r="S686" s="291">
        <v>42242</v>
      </c>
      <c r="T686" s="279">
        <v>603</v>
      </c>
      <c r="AI686" s="185"/>
      <c r="AJ686" s="185"/>
      <c r="AK686" s="185"/>
      <c r="AL686" s="185"/>
      <c r="AM686" s="185"/>
      <c r="AN686" s="185"/>
      <c r="AO686" s="185"/>
      <c r="AP686" s="185"/>
      <c r="AQ686" s="185"/>
      <c r="AR686" s="185"/>
      <c r="AS686" s="185"/>
      <c r="AT686" s="185"/>
      <c r="AU686" s="185"/>
      <c r="AV686" s="185"/>
    </row>
    <row r="687" spans="13:48" s="277" customFormat="1">
      <c r="M687" s="185"/>
      <c r="N687" s="185"/>
      <c r="O687" s="185"/>
      <c r="S687" s="291">
        <v>42243</v>
      </c>
      <c r="T687" s="279">
        <v>604</v>
      </c>
      <c r="AI687" s="185"/>
      <c r="AJ687" s="185"/>
      <c r="AK687" s="185"/>
      <c r="AL687" s="185"/>
      <c r="AM687" s="185"/>
      <c r="AN687" s="185"/>
      <c r="AO687" s="185"/>
      <c r="AP687" s="185"/>
      <c r="AQ687" s="185"/>
      <c r="AR687" s="185"/>
      <c r="AS687" s="185"/>
      <c r="AT687" s="185"/>
      <c r="AU687" s="185"/>
      <c r="AV687" s="185"/>
    </row>
    <row r="688" spans="13:48" s="277" customFormat="1">
      <c r="M688" s="185"/>
      <c r="N688" s="185"/>
      <c r="O688" s="185"/>
      <c r="S688" s="291">
        <v>42244</v>
      </c>
      <c r="T688" s="279">
        <v>605</v>
      </c>
      <c r="AI688" s="185"/>
      <c r="AJ688" s="185"/>
      <c r="AK688" s="185"/>
      <c r="AL688" s="185"/>
      <c r="AM688" s="185"/>
      <c r="AN688" s="185"/>
      <c r="AO688" s="185"/>
      <c r="AP688" s="185"/>
      <c r="AQ688" s="185"/>
      <c r="AR688" s="185"/>
      <c r="AS688" s="185"/>
      <c r="AT688" s="185"/>
      <c r="AU688" s="185"/>
      <c r="AV688" s="185"/>
    </row>
    <row r="689" spans="13:48" s="277" customFormat="1">
      <c r="M689" s="185"/>
      <c r="N689" s="185"/>
      <c r="O689" s="185"/>
      <c r="S689" s="291">
        <v>42245</v>
      </c>
      <c r="T689" s="279">
        <v>606</v>
      </c>
      <c r="AI689" s="185"/>
      <c r="AJ689" s="185"/>
      <c r="AK689" s="185"/>
      <c r="AL689" s="185"/>
      <c r="AM689" s="185"/>
      <c r="AN689" s="185"/>
      <c r="AO689" s="185"/>
      <c r="AP689" s="185"/>
      <c r="AQ689" s="185"/>
      <c r="AR689" s="185"/>
      <c r="AS689" s="185"/>
      <c r="AT689" s="185"/>
      <c r="AU689" s="185"/>
      <c r="AV689" s="185"/>
    </row>
    <row r="690" spans="13:48" s="277" customFormat="1">
      <c r="M690" s="185"/>
      <c r="N690" s="185"/>
      <c r="O690" s="185"/>
      <c r="S690" s="291">
        <v>42246</v>
      </c>
      <c r="T690" s="279">
        <v>607</v>
      </c>
      <c r="AI690" s="185"/>
      <c r="AJ690" s="185"/>
      <c r="AK690" s="185"/>
      <c r="AL690" s="185"/>
      <c r="AM690" s="185"/>
      <c r="AN690" s="185"/>
      <c r="AO690" s="185"/>
      <c r="AP690" s="185"/>
      <c r="AQ690" s="185"/>
      <c r="AR690" s="185"/>
      <c r="AS690" s="185"/>
      <c r="AT690" s="185"/>
      <c r="AU690" s="185"/>
      <c r="AV690" s="185"/>
    </row>
    <row r="691" spans="13:48" s="277" customFormat="1">
      <c r="M691" s="185"/>
      <c r="N691" s="185"/>
      <c r="O691" s="185"/>
      <c r="S691" s="291">
        <v>42247</v>
      </c>
      <c r="T691" s="279">
        <v>608</v>
      </c>
      <c r="AI691" s="185"/>
      <c r="AJ691" s="185"/>
      <c r="AK691" s="185"/>
      <c r="AL691" s="185"/>
      <c r="AM691" s="185"/>
      <c r="AN691" s="185"/>
      <c r="AO691" s="185"/>
      <c r="AP691" s="185"/>
      <c r="AQ691" s="185"/>
      <c r="AR691" s="185"/>
      <c r="AS691" s="185"/>
      <c r="AT691" s="185"/>
      <c r="AU691" s="185"/>
      <c r="AV691" s="185"/>
    </row>
    <row r="692" spans="13:48" s="277" customFormat="1">
      <c r="M692" s="185"/>
      <c r="N692" s="185"/>
      <c r="O692" s="185"/>
      <c r="S692" s="291">
        <v>42248</v>
      </c>
      <c r="T692" s="279">
        <v>609</v>
      </c>
      <c r="AI692" s="185"/>
      <c r="AJ692" s="185"/>
      <c r="AK692" s="185"/>
      <c r="AL692" s="185"/>
      <c r="AM692" s="185"/>
      <c r="AN692" s="185"/>
      <c r="AO692" s="185"/>
      <c r="AP692" s="185"/>
      <c r="AQ692" s="185"/>
      <c r="AR692" s="185"/>
      <c r="AS692" s="185"/>
      <c r="AT692" s="185"/>
      <c r="AU692" s="185"/>
      <c r="AV692" s="185"/>
    </row>
    <row r="693" spans="13:48" s="277" customFormat="1">
      <c r="M693" s="185"/>
      <c r="N693" s="185"/>
      <c r="O693" s="185"/>
      <c r="S693" s="291">
        <v>42249</v>
      </c>
      <c r="T693" s="279">
        <v>610</v>
      </c>
      <c r="AI693" s="185"/>
      <c r="AJ693" s="185"/>
      <c r="AK693" s="185"/>
      <c r="AL693" s="185"/>
      <c r="AM693" s="185"/>
      <c r="AN693" s="185"/>
      <c r="AO693" s="185"/>
      <c r="AP693" s="185"/>
      <c r="AQ693" s="185"/>
      <c r="AR693" s="185"/>
      <c r="AS693" s="185"/>
      <c r="AT693" s="185"/>
      <c r="AU693" s="185"/>
      <c r="AV693" s="185"/>
    </row>
    <row r="694" spans="13:48" s="277" customFormat="1">
      <c r="M694" s="185"/>
      <c r="N694" s="185"/>
      <c r="O694" s="185"/>
      <c r="S694" s="291">
        <v>42250</v>
      </c>
      <c r="T694" s="279">
        <v>611</v>
      </c>
      <c r="AI694" s="185"/>
      <c r="AJ694" s="185"/>
      <c r="AK694" s="185"/>
      <c r="AL694" s="185"/>
      <c r="AM694" s="185"/>
      <c r="AN694" s="185"/>
      <c r="AO694" s="185"/>
      <c r="AP694" s="185"/>
      <c r="AQ694" s="185"/>
      <c r="AR694" s="185"/>
      <c r="AS694" s="185"/>
      <c r="AT694" s="185"/>
      <c r="AU694" s="185"/>
      <c r="AV694" s="185"/>
    </row>
    <row r="695" spans="13:48" s="277" customFormat="1">
      <c r="M695" s="185"/>
      <c r="N695" s="185"/>
      <c r="O695" s="185"/>
      <c r="S695" s="291">
        <v>42251</v>
      </c>
      <c r="T695" s="279">
        <v>612</v>
      </c>
      <c r="AI695" s="185"/>
      <c r="AJ695" s="185"/>
      <c r="AK695" s="185"/>
      <c r="AL695" s="185"/>
      <c r="AM695" s="185"/>
      <c r="AN695" s="185"/>
      <c r="AO695" s="185"/>
      <c r="AP695" s="185"/>
      <c r="AQ695" s="185"/>
      <c r="AR695" s="185"/>
      <c r="AS695" s="185"/>
      <c r="AT695" s="185"/>
      <c r="AU695" s="185"/>
      <c r="AV695" s="185"/>
    </row>
    <row r="696" spans="13:48" s="277" customFormat="1">
      <c r="M696" s="185"/>
      <c r="N696" s="185"/>
      <c r="O696" s="185"/>
      <c r="S696" s="291">
        <v>42252</v>
      </c>
      <c r="T696" s="279">
        <v>613</v>
      </c>
      <c r="AI696" s="185"/>
      <c r="AJ696" s="185"/>
      <c r="AK696" s="185"/>
      <c r="AL696" s="185"/>
      <c r="AM696" s="185"/>
      <c r="AN696" s="185"/>
      <c r="AO696" s="185"/>
      <c r="AP696" s="185"/>
      <c r="AQ696" s="185"/>
      <c r="AR696" s="185"/>
      <c r="AS696" s="185"/>
      <c r="AT696" s="185"/>
      <c r="AU696" s="185"/>
      <c r="AV696" s="185"/>
    </row>
    <row r="697" spans="13:48" s="277" customFormat="1">
      <c r="M697" s="185"/>
      <c r="N697" s="185"/>
      <c r="O697" s="185"/>
      <c r="S697" s="291">
        <v>42253</v>
      </c>
      <c r="T697" s="279">
        <v>614</v>
      </c>
      <c r="AI697" s="185"/>
      <c r="AJ697" s="185"/>
      <c r="AK697" s="185"/>
      <c r="AL697" s="185"/>
      <c r="AM697" s="185"/>
      <c r="AN697" s="185"/>
      <c r="AO697" s="185"/>
      <c r="AP697" s="185"/>
      <c r="AQ697" s="185"/>
      <c r="AR697" s="185"/>
      <c r="AS697" s="185"/>
      <c r="AT697" s="185"/>
      <c r="AU697" s="185"/>
      <c r="AV697" s="185"/>
    </row>
    <row r="698" spans="13:48" s="277" customFormat="1">
      <c r="M698" s="185"/>
      <c r="N698" s="185"/>
      <c r="O698" s="185"/>
      <c r="S698" s="291">
        <v>42254</v>
      </c>
      <c r="T698" s="279">
        <v>615</v>
      </c>
      <c r="AI698" s="185"/>
      <c r="AJ698" s="185"/>
      <c r="AK698" s="185"/>
      <c r="AL698" s="185"/>
      <c r="AM698" s="185"/>
      <c r="AN698" s="185"/>
      <c r="AO698" s="185"/>
      <c r="AP698" s="185"/>
      <c r="AQ698" s="185"/>
      <c r="AR698" s="185"/>
      <c r="AS698" s="185"/>
      <c r="AT698" s="185"/>
      <c r="AU698" s="185"/>
      <c r="AV698" s="185"/>
    </row>
    <row r="699" spans="13:48" s="277" customFormat="1">
      <c r="M699" s="185"/>
      <c r="N699" s="185"/>
      <c r="O699" s="185"/>
      <c r="S699" s="291">
        <v>42255</v>
      </c>
      <c r="T699" s="279">
        <v>616</v>
      </c>
      <c r="AI699" s="185"/>
      <c r="AJ699" s="185"/>
      <c r="AK699" s="185"/>
      <c r="AL699" s="185"/>
      <c r="AM699" s="185"/>
      <c r="AN699" s="185"/>
      <c r="AO699" s="185"/>
      <c r="AP699" s="185"/>
      <c r="AQ699" s="185"/>
      <c r="AR699" s="185"/>
      <c r="AS699" s="185"/>
      <c r="AT699" s="185"/>
      <c r="AU699" s="185"/>
      <c r="AV699" s="185"/>
    </row>
    <row r="700" spans="13:48" s="277" customFormat="1">
      <c r="M700" s="185"/>
      <c r="N700" s="185"/>
      <c r="O700" s="185"/>
      <c r="S700" s="291">
        <v>42256</v>
      </c>
      <c r="T700" s="279">
        <v>617</v>
      </c>
      <c r="AI700" s="185"/>
      <c r="AJ700" s="185"/>
      <c r="AK700" s="185"/>
      <c r="AL700" s="185"/>
      <c r="AM700" s="185"/>
      <c r="AN700" s="185"/>
      <c r="AO700" s="185"/>
      <c r="AP700" s="185"/>
      <c r="AQ700" s="185"/>
      <c r="AR700" s="185"/>
      <c r="AS700" s="185"/>
      <c r="AT700" s="185"/>
      <c r="AU700" s="185"/>
      <c r="AV700" s="185"/>
    </row>
    <row r="701" spans="13:48" s="277" customFormat="1">
      <c r="M701" s="185"/>
      <c r="N701" s="185"/>
      <c r="O701" s="185"/>
      <c r="S701" s="291">
        <v>42257</v>
      </c>
      <c r="T701" s="279">
        <v>618</v>
      </c>
      <c r="AI701" s="185"/>
      <c r="AJ701" s="185"/>
      <c r="AK701" s="185"/>
      <c r="AL701" s="185"/>
      <c r="AM701" s="185"/>
      <c r="AN701" s="185"/>
      <c r="AO701" s="185"/>
      <c r="AP701" s="185"/>
      <c r="AQ701" s="185"/>
      <c r="AR701" s="185"/>
      <c r="AS701" s="185"/>
      <c r="AT701" s="185"/>
      <c r="AU701" s="185"/>
      <c r="AV701" s="185"/>
    </row>
    <row r="702" spans="13:48" s="277" customFormat="1">
      <c r="M702" s="185"/>
      <c r="N702" s="185"/>
      <c r="O702" s="185"/>
      <c r="S702" s="291">
        <v>42258</v>
      </c>
      <c r="T702" s="279">
        <v>619</v>
      </c>
      <c r="AI702" s="185"/>
      <c r="AJ702" s="185"/>
      <c r="AK702" s="185"/>
      <c r="AL702" s="185"/>
      <c r="AM702" s="185"/>
      <c r="AN702" s="185"/>
      <c r="AO702" s="185"/>
      <c r="AP702" s="185"/>
      <c r="AQ702" s="185"/>
      <c r="AR702" s="185"/>
      <c r="AS702" s="185"/>
      <c r="AT702" s="185"/>
      <c r="AU702" s="185"/>
      <c r="AV702" s="185"/>
    </row>
    <row r="703" spans="13:48" s="277" customFormat="1">
      <c r="M703" s="185"/>
      <c r="N703" s="185"/>
      <c r="O703" s="185"/>
      <c r="S703" s="291">
        <v>42259</v>
      </c>
      <c r="T703" s="279">
        <v>620</v>
      </c>
      <c r="AI703" s="185"/>
      <c r="AJ703" s="185"/>
      <c r="AK703" s="185"/>
      <c r="AL703" s="185"/>
      <c r="AM703" s="185"/>
      <c r="AN703" s="185"/>
      <c r="AO703" s="185"/>
      <c r="AP703" s="185"/>
      <c r="AQ703" s="185"/>
      <c r="AR703" s="185"/>
      <c r="AS703" s="185"/>
      <c r="AT703" s="185"/>
      <c r="AU703" s="185"/>
      <c r="AV703" s="185"/>
    </row>
    <row r="704" spans="13:48" s="277" customFormat="1">
      <c r="M704" s="185"/>
      <c r="N704" s="185"/>
      <c r="O704" s="185"/>
      <c r="S704" s="291">
        <v>42260</v>
      </c>
      <c r="T704" s="279">
        <v>621</v>
      </c>
      <c r="AI704" s="185"/>
      <c r="AJ704" s="185"/>
      <c r="AK704" s="185"/>
      <c r="AL704" s="185"/>
      <c r="AM704" s="185"/>
      <c r="AN704" s="185"/>
      <c r="AO704" s="185"/>
      <c r="AP704" s="185"/>
      <c r="AQ704" s="185"/>
      <c r="AR704" s="185"/>
      <c r="AS704" s="185"/>
      <c r="AT704" s="185"/>
      <c r="AU704" s="185"/>
      <c r="AV704" s="185"/>
    </row>
    <row r="705" spans="13:48" s="277" customFormat="1">
      <c r="M705" s="185"/>
      <c r="N705" s="185"/>
      <c r="O705" s="185"/>
      <c r="S705" s="291">
        <v>42261</v>
      </c>
      <c r="T705" s="279">
        <v>622</v>
      </c>
      <c r="AI705" s="185"/>
      <c r="AJ705" s="185"/>
      <c r="AK705" s="185"/>
      <c r="AL705" s="185"/>
      <c r="AM705" s="185"/>
      <c r="AN705" s="185"/>
      <c r="AO705" s="185"/>
      <c r="AP705" s="185"/>
      <c r="AQ705" s="185"/>
      <c r="AR705" s="185"/>
      <c r="AS705" s="185"/>
      <c r="AT705" s="185"/>
      <c r="AU705" s="185"/>
      <c r="AV705" s="185"/>
    </row>
    <row r="706" spans="13:48" s="277" customFormat="1">
      <c r="M706" s="185"/>
      <c r="N706" s="185"/>
      <c r="O706" s="185"/>
      <c r="S706" s="291">
        <v>42262</v>
      </c>
      <c r="T706" s="279">
        <v>623</v>
      </c>
      <c r="AI706" s="185"/>
      <c r="AJ706" s="185"/>
      <c r="AK706" s="185"/>
      <c r="AL706" s="185"/>
      <c r="AM706" s="185"/>
      <c r="AN706" s="185"/>
      <c r="AO706" s="185"/>
      <c r="AP706" s="185"/>
      <c r="AQ706" s="185"/>
      <c r="AR706" s="185"/>
      <c r="AS706" s="185"/>
      <c r="AT706" s="185"/>
      <c r="AU706" s="185"/>
      <c r="AV706" s="185"/>
    </row>
    <row r="707" spans="13:48" s="277" customFormat="1">
      <c r="M707" s="185"/>
      <c r="N707" s="185"/>
      <c r="O707" s="185"/>
      <c r="S707" s="291">
        <v>42263</v>
      </c>
      <c r="T707" s="279">
        <v>624</v>
      </c>
      <c r="AI707" s="185"/>
      <c r="AJ707" s="185"/>
      <c r="AK707" s="185"/>
      <c r="AL707" s="185"/>
      <c r="AM707" s="185"/>
      <c r="AN707" s="185"/>
      <c r="AO707" s="185"/>
      <c r="AP707" s="185"/>
      <c r="AQ707" s="185"/>
      <c r="AR707" s="185"/>
      <c r="AS707" s="185"/>
      <c r="AT707" s="185"/>
      <c r="AU707" s="185"/>
      <c r="AV707" s="185"/>
    </row>
    <row r="708" spans="13:48" s="277" customFormat="1">
      <c r="M708" s="185"/>
      <c r="N708" s="185"/>
      <c r="O708" s="185"/>
      <c r="S708" s="291">
        <v>42264</v>
      </c>
      <c r="T708" s="279">
        <v>625</v>
      </c>
      <c r="AI708" s="185"/>
      <c r="AJ708" s="185"/>
      <c r="AK708" s="185"/>
      <c r="AL708" s="185"/>
      <c r="AM708" s="185"/>
      <c r="AN708" s="185"/>
      <c r="AO708" s="185"/>
      <c r="AP708" s="185"/>
      <c r="AQ708" s="185"/>
      <c r="AR708" s="185"/>
      <c r="AS708" s="185"/>
      <c r="AT708" s="185"/>
      <c r="AU708" s="185"/>
      <c r="AV708" s="185"/>
    </row>
    <row r="709" spans="13:48" s="277" customFormat="1">
      <c r="M709" s="185"/>
      <c r="N709" s="185"/>
      <c r="O709" s="185"/>
      <c r="S709" s="291">
        <v>42265</v>
      </c>
      <c r="T709" s="279">
        <v>626</v>
      </c>
      <c r="AI709" s="185"/>
      <c r="AJ709" s="185"/>
      <c r="AK709" s="185"/>
      <c r="AL709" s="185"/>
      <c r="AM709" s="185"/>
      <c r="AN709" s="185"/>
      <c r="AO709" s="185"/>
      <c r="AP709" s="185"/>
      <c r="AQ709" s="185"/>
      <c r="AR709" s="185"/>
      <c r="AS709" s="185"/>
      <c r="AT709" s="185"/>
      <c r="AU709" s="185"/>
      <c r="AV709" s="185"/>
    </row>
    <row r="710" spans="13:48" s="277" customFormat="1">
      <c r="M710" s="185"/>
      <c r="N710" s="185"/>
      <c r="O710" s="185"/>
      <c r="S710" s="291">
        <v>42266</v>
      </c>
      <c r="T710" s="279">
        <v>627</v>
      </c>
      <c r="AI710" s="185"/>
      <c r="AJ710" s="185"/>
      <c r="AK710" s="185"/>
      <c r="AL710" s="185"/>
      <c r="AM710" s="185"/>
      <c r="AN710" s="185"/>
      <c r="AO710" s="185"/>
      <c r="AP710" s="185"/>
      <c r="AQ710" s="185"/>
      <c r="AR710" s="185"/>
      <c r="AS710" s="185"/>
      <c r="AT710" s="185"/>
      <c r="AU710" s="185"/>
      <c r="AV710" s="185"/>
    </row>
    <row r="711" spans="13:48" s="277" customFormat="1">
      <c r="M711" s="185"/>
      <c r="N711" s="185"/>
      <c r="O711" s="185"/>
      <c r="S711" s="291">
        <v>42267</v>
      </c>
      <c r="T711" s="279">
        <v>628</v>
      </c>
      <c r="AI711" s="185"/>
      <c r="AJ711" s="185"/>
      <c r="AK711" s="185"/>
      <c r="AL711" s="185"/>
      <c r="AM711" s="185"/>
      <c r="AN711" s="185"/>
      <c r="AO711" s="185"/>
      <c r="AP711" s="185"/>
      <c r="AQ711" s="185"/>
      <c r="AR711" s="185"/>
      <c r="AS711" s="185"/>
      <c r="AT711" s="185"/>
      <c r="AU711" s="185"/>
      <c r="AV711" s="185"/>
    </row>
    <row r="712" spans="13:48" s="277" customFormat="1">
      <c r="M712" s="185"/>
      <c r="N712" s="185"/>
      <c r="O712" s="185"/>
      <c r="S712" s="291">
        <v>42268</v>
      </c>
      <c r="T712" s="279">
        <v>629</v>
      </c>
      <c r="AI712" s="185"/>
      <c r="AJ712" s="185"/>
      <c r="AK712" s="185"/>
      <c r="AL712" s="185"/>
      <c r="AM712" s="185"/>
      <c r="AN712" s="185"/>
      <c r="AO712" s="185"/>
      <c r="AP712" s="185"/>
      <c r="AQ712" s="185"/>
      <c r="AR712" s="185"/>
      <c r="AS712" s="185"/>
      <c r="AT712" s="185"/>
      <c r="AU712" s="185"/>
      <c r="AV712" s="185"/>
    </row>
    <row r="713" spans="13:48" s="277" customFormat="1">
      <c r="M713" s="185"/>
      <c r="N713" s="185"/>
      <c r="O713" s="185"/>
      <c r="S713" s="291">
        <v>42269</v>
      </c>
      <c r="T713" s="279">
        <v>630</v>
      </c>
      <c r="AI713" s="185"/>
      <c r="AJ713" s="185"/>
      <c r="AK713" s="185"/>
      <c r="AL713" s="185"/>
      <c r="AM713" s="185"/>
      <c r="AN713" s="185"/>
      <c r="AO713" s="185"/>
      <c r="AP713" s="185"/>
      <c r="AQ713" s="185"/>
      <c r="AR713" s="185"/>
      <c r="AS713" s="185"/>
      <c r="AT713" s="185"/>
      <c r="AU713" s="185"/>
      <c r="AV713" s="185"/>
    </row>
    <row r="714" spans="13:48" s="277" customFormat="1">
      <c r="M714" s="185"/>
      <c r="N714" s="185"/>
      <c r="O714" s="185"/>
      <c r="S714" s="291">
        <v>42270</v>
      </c>
      <c r="T714" s="279">
        <v>631</v>
      </c>
      <c r="AI714" s="185"/>
      <c r="AJ714" s="185"/>
      <c r="AK714" s="185"/>
      <c r="AL714" s="185"/>
      <c r="AM714" s="185"/>
      <c r="AN714" s="185"/>
      <c r="AO714" s="185"/>
      <c r="AP714" s="185"/>
      <c r="AQ714" s="185"/>
      <c r="AR714" s="185"/>
      <c r="AS714" s="185"/>
      <c r="AT714" s="185"/>
      <c r="AU714" s="185"/>
      <c r="AV714" s="185"/>
    </row>
    <row r="715" spans="13:48" s="277" customFormat="1">
      <c r="M715" s="185"/>
      <c r="N715" s="185"/>
      <c r="O715" s="185"/>
      <c r="S715" s="291">
        <v>42271</v>
      </c>
      <c r="T715" s="279">
        <v>632</v>
      </c>
      <c r="AI715" s="185"/>
      <c r="AJ715" s="185"/>
      <c r="AK715" s="185"/>
      <c r="AL715" s="185"/>
      <c r="AM715" s="185"/>
      <c r="AN715" s="185"/>
      <c r="AO715" s="185"/>
      <c r="AP715" s="185"/>
      <c r="AQ715" s="185"/>
      <c r="AR715" s="185"/>
      <c r="AS715" s="185"/>
      <c r="AT715" s="185"/>
      <c r="AU715" s="185"/>
      <c r="AV715" s="185"/>
    </row>
    <row r="716" spans="13:48" s="277" customFormat="1">
      <c r="M716" s="185"/>
      <c r="N716" s="185"/>
      <c r="O716" s="185"/>
      <c r="S716" s="291">
        <v>42272</v>
      </c>
      <c r="T716" s="279">
        <v>633</v>
      </c>
      <c r="AI716" s="185"/>
      <c r="AJ716" s="185"/>
      <c r="AK716" s="185"/>
      <c r="AL716" s="185"/>
      <c r="AM716" s="185"/>
      <c r="AN716" s="185"/>
      <c r="AO716" s="185"/>
      <c r="AP716" s="185"/>
      <c r="AQ716" s="185"/>
      <c r="AR716" s="185"/>
      <c r="AS716" s="185"/>
      <c r="AT716" s="185"/>
      <c r="AU716" s="185"/>
      <c r="AV716" s="185"/>
    </row>
    <row r="717" spans="13:48" s="277" customFormat="1">
      <c r="M717" s="185"/>
      <c r="N717" s="185"/>
      <c r="O717" s="185"/>
      <c r="S717" s="291">
        <v>42273</v>
      </c>
      <c r="T717" s="279">
        <v>634</v>
      </c>
      <c r="AI717" s="185"/>
      <c r="AJ717" s="185"/>
      <c r="AK717" s="185"/>
      <c r="AL717" s="185"/>
      <c r="AM717" s="185"/>
      <c r="AN717" s="185"/>
      <c r="AO717" s="185"/>
      <c r="AP717" s="185"/>
      <c r="AQ717" s="185"/>
      <c r="AR717" s="185"/>
      <c r="AS717" s="185"/>
      <c r="AT717" s="185"/>
      <c r="AU717" s="185"/>
      <c r="AV717" s="185"/>
    </row>
    <row r="718" spans="13:48" s="277" customFormat="1">
      <c r="M718" s="185"/>
      <c r="N718" s="185"/>
      <c r="O718" s="185"/>
      <c r="S718" s="291">
        <v>42274</v>
      </c>
      <c r="T718" s="279">
        <v>635</v>
      </c>
      <c r="AI718" s="185"/>
      <c r="AJ718" s="185"/>
      <c r="AK718" s="185"/>
      <c r="AL718" s="185"/>
      <c r="AM718" s="185"/>
      <c r="AN718" s="185"/>
      <c r="AO718" s="185"/>
      <c r="AP718" s="185"/>
      <c r="AQ718" s="185"/>
      <c r="AR718" s="185"/>
      <c r="AS718" s="185"/>
      <c r="AT718" s="185"/>
      <c r="AU718" s="185"/>
      <c r="AV718" s="185"/>
    </row>
    <row r="719" spans="13:48" s="277" customFormat="1">
      <c r="M719" s="185"/>
      <c r="N719" s="185"/>
      <c r="O719" s="185"/>
      <c r="S719" s="291">
        <v>42275</v>
      </c>
      <c r="T719" s="279">
        <v>636</v>
      </c>
      <c r="AI719" s="185"/>
      <c r="AJ719" s="185"/>
      <c r="AK719" s="185"/>
      <c r="AL719" s="185"/>
      <c r="AM719" s="185"/>
      <c r="AN719" s="185"/>
      <c r="AO719" s="185"/>
      <c r="AP719" s="185"/>
      <c r="AQ719" s="185"/>
      <c r="AR719" s="185"/>
      <c r="AS719" s="185"/>
      <c r="AT719" s="185"/>
      <c r="AU719" s="185"/>
      <c r="AV719" s="185"/>
    </row>
    <row r="720" spans="13:48" s="277" customFormat="1">
      <c r="M720" s="185"/>
      <c r="N720" s="185"/>
      <c r="O720" s="185"/>
      <c r="S720" s="291">
        <v>42276</v>
      </c>
      <c r="T720" s="279">
        <v>637</v>
      </c>
      <c r="AI720" s="185"/>
      <c r="AJ720" s="185"/>
      <c r="AK720" s="185"/>
      <c r="AL720" s="185"/>
      <c r="AM720" s="185"/>
      <c r="AN720" s="185"/>
      <c r="AO720" s="185"/>
      <c r="AP720" s="185"/>
      <c r="AQ720" s="185"/>
      <c r="AR720" s="185"/>
      <c r="AS720" s="185"/>
      <c r="AT720" s="185"/>
      <c r="AU720" s="185"/>
      <c r="AV720" s="185"/>
    </row>
    <row r="721" spans="13:48" s="277" customFormat="1">
      <c r="M721" s="185"/>
      <c r="N721" s="185"/>
      <c r="O721" s="185"/>
      <c r="S721" s="291">
        <v>42277</v>
      </c>
      <c r="T721" s="279">
        <v>638</v>
      </c>
      <c r="AI721" s="185"/>
      <c r="AJ721" s="185"/>
      <c r="AK721" s="185"/>
      <c r="AL721" s="185"/>
      <c r="AM721" s="185"/>
      <c r="AN721" s="185"/>
      <c r="AO721" s="185"/>
      <c r="AP721" s="185"/>
      <c r="AQ721" s="185"/>
      <c r="AR721" s="185"/>
      <c r="AS721" s="185"/>
      <c r="AT721" s="185"/>
      <c r="AU721" s="185"/>
      <c r="AV721" s="185"/>
    </row>
    <row r="722" spans="13:48" s="277" customFormat="1">
      <c r="M722" s="185"/>
      <c r="N722" s="185"/>
      <c r="O722" s="185"/>
      <c r="S722" s="291">
        <v>42278</v>
      </c>
      <c r="T722" s="279">
        <v>639</v>
      </c>
      <c r="AI722" s="185"/>
      <c r="AJ722" s="185"/>
      <c r="AK722" s="185"/>
      <c r="AL722" s="185"/>
      <c r="AM722" s="185"/>
      <c r="AN722" s="185"/>
      <c r="AO722" s="185"/>
      <c r="AP722" s="185"/>
      <c r="AQ722" s="185"/>
      <c r="AR722" s="185"/>
      <c r="AS722" s="185"/>
      <c r="AT722" s="185"/>
      <c r="AU722" s="185"/>
      <c r="AV722" s="185"/>
    </row>
    <row r="723" spans="13:48" s="277" customFormat="1">
      <c r="M723" s="185"/>
      <c r="N723" s="185"/>
      <c r="O723" s="185"/>
      <c r="S723" s="291">
        <v>42279</v>
      </c>
      <c r="T723" s="279">
        <v>640</v>
      </c>
      <c r="AI723" s="185"/>
      <c r="AJ723" s="185"/>
      <c r="AK723" s="185"/>
      <c r="AL723" s="185"/>
      <c r="AM723" s="185"/>
      <c r="AN723" s="185"/>
      <c r="AO723" s="185"/>
      <c r="AP723" s="185"/>
      <c r="AQ723" s="185"/>
      <c r="AR723" s="185"/>
      <c r="AS723" s="185"/>
      <c r="AT723" s="185"/>
      <c r="AU723" s="185"/>
      <c r="AV723" s="185"/>
    </row>
    <row r="724" spans="13:48" s="277" customFormat="1">
      <c r="M724" s="185"/>
      <c r="N724" s="185"/>
      <c r="O724" s="185"/>
      <c r="S724" s="291">
        <v>42280</v>
      </c>
      <c r="T724" s="279">
        <v>641</v>
      </c>
      <c r="AI724" s="185"/>
      <c r="AJ724" s="185"/>
      <c r="AK724" s="185"/>
      <c r="AL724" s="185"/>
      <c r="AM724" s="185"/>
      <c r="AN724" s="185"/>
      <c r="AO724" s="185"/>
      <c r="AP724" s="185"/>
      <c r="AQ724" s="185"/>
      <c r="AR724" s="185"/>
      <c r="AS724" s="185"/>
      <c r="AT724" s="185"/>
      <c r="AU724" s="185"/>
      <c r="AV724" s="185"/>
    </row>
    <row r="725" spans="13:48" s="277" customFormat="1">
      <c r="M725" s="185"/>
      <c r="N725" s="185"/>
      <c r="O725" s="185"/>
      <c r="S725" s="291">
        <v>42281</v>
      </c>
      <c r="T725" s="279">
        <v>642</v>
      </c>
      <c r="AI725" s="185"/>
      <c r="AJ725" s="185"/>
      <c r="AK725" s="185"/>
      <c r="AL725" s="185"/>
      <c r="AM725" s="185"/>
      <c r="AN725" s="185"/>
      <c r="AO725" s="185"/>
      <c r="AP725" s="185"/>
      <c r="AQ725" s="185"/>
      <c r="AR725" s="185"/>
      <c r="AS725" s="185"/>
      <c r="AT725" s="185"/>
      <c r="AU725" s="185"/>
      <c r="AV725" s="185"/>
    </row>
    <row r="726" spans="13:48" s="277" customFormat="1">
      <c r="M726" s="185"/>
      <c r="N726" s="185"/>
      <c r="O726" s="185"/>
      <c r="S726" s="291">
        <v>42282</v>
      </c>
      <c r="T726" s="279">
        <v>643</v>
      </c>
      <c r="AI726" s="185"/>
      <c r="AJ726" s="185"/>
      <c r="AK726" s="185"/>
      <c r="AL726" s="185"/>
      <c r="AM726" s="185"/>
      <c r="AN726" s="185"/>
      <c r="AO726" s="185"/>
      <c r="AP726" s="185"/>
      <c r="AQ726" s="185"/>
      <c r="AR726" s="185"/>
      <c r="AS726" s="185"/>
      <c r="AT726" s="185"/>
      <c r="AU726" s="185"/>
      <c r="AV726" s="185"/>
    </row>
    <row r="727" spans="13:48" s="277" customFormat="1">
      <c r="M727" s="185"/>
      <c r="N727" s="185"/>
      <c r="O727" s="185"/>
      <c r="S727" s="291">
        <v>42283</v>
      </c>
      <c r="T727" s="279">
        <v>644</v>
      </c>
      <c r="AI727" s="185"/>
      <c r="AJ727" s="185"/>
      <c r="AK727" s="185"/>
      <c r="AL727" s="185"/>
      <c r="AM727" s="185"/>
      <c r="AN727" s="185"/>
      <c r="AO727" s="185"/>
      <c r="AP727" s="185"/>
      <c r="AQ727" s="185"/>
      <c r="AR727" s="185"/>
      <c r="AS727" s="185"/>
      <c r="AT727" s="185"/>
      <c r="AU727" s="185"/>
      <c r="AV727" s="185"/>
    </row>
    <row r="728" spans="13:48" s="277" customFormat="1">
      <c r="M728" s="185"/>
      <c r="N728" s="185"/>
      <c r="O728" s="185"/>
      <c r="S728" s="291">
        <v>42284</v>
      </c>
      <c r="T728" s="279">
        <v>645</v>
      </c>
      <c r="AI728" s="185"/>
      <c r="AJ728" s="185"/>
      <c r="AK728" s="185"/>
      <c r="AL728" s="185"/>
      <c r="AM728" s="185"/>
      <c r="AN728" s="185"/>
      <c r="AO728" s="185"/>
      <c r="AP728" s="185"/>
      <c r="AQ728" s="185"/>
      <c r="AR728" s="185"/>
      <c r="AS728" s="185"/>
      <c r="AT728" s="185"/>
      <c r="AU728" s="185"/>
      <c r="AV728" s="185"/>
    </row>
    <row r="729" spans="13:48" s="277" customFormat="1">
      <c r="M729" s="185"/>
      <c r="N729" s="185"/>
      <c r="O729" s="185"/>
      <c r="S729" s="291">
        <v>42285</v>
      </c>
      <c r="T729" s="279">
        <v>646</v>
      </c>
      <c r="AI729" s="185"/>
      <c r="AJ729" s="185"/>
      <c r="AK729" s="185"/>
      <c r="AL729" s="185"/>
      <c r="AM729" s="185"/>
      <c r="AN729" s="185"/>
      <c r="AO729" s="185"/>
      <c r="AP729" s="185"/>
      <c r="AQ729" s="185"/>
      <c r="AR729" s="185"/>
      <c r="AS729" s="185"/>
      <c r="AT729" s="185"/>
      <c r="AU729" s="185"/>
      <c r="AV729" s="185"/>
    </row>
    <row r="730" spans="13:48" s="277" customFormat="1">
      <c r="M730" s="185"/>
      <c r="N730" s="185"/>
      <c r="O730" s="185"/>
      <c r="S730" s="291">
        <v>42286</v>
      </c>
      <c r="T730" s="279">
        <v>647</v>
      </c>
      <c r="AI730" s="185"/>
      <c r="AJ730" s="185"/>
      <c r="AK730" s="185"/>
      <c r="AL730" s="185"/>
      <c r="AM730" s="185"/>
      <c r="AN730" s="185"/>
      <c r="AO730" s="185"/>
      <c r="AP730" s="185"/>
      <c r="AQ730" s="185"/>
      <c r="AR730" s="185"/>
      <c r="AS730" s="185"/>
      <c r="AT730" s="185"/>
      <c r="AU730" s="185"/>
      <c r="AV730" s="185"/>
    </row>
    <row r="731" spans="13:48" s="277" customFormat="1">
      <c r="M731" s="185"/>
      <c r="N731" s="185"/>
      <c r="O731" s="185"/>
      <c r="S731" s="291">
        <v>42287</v>
      </c>
      <c r="T731" s="279">
        <v>648</v>
      </c>
      <c r="AI731" s="185"/>
      <c r="AJ731" s="185"/>
      <c r="AK731" s="185"/>
      <c r="AL731" s="185"/>
      <c r="AM731" s="185"/>
      <c r="AN731" s="185"/>
      <c r="AO731" s="185"/>
      <c r="AP731" s="185"/>
      <c r="AQ731" s="185"/>
      <c r="AR731" s="185"/>
      <c r="AS731" s="185"/>
      <c r="AT731" s="185"/>
      <c r="AU731" s="185"/>
      <c r="AV731" s="185"/>
    </row>
    <row r="732" spans="13:48" s="277" customFormat="1">
      <c r="M732" s="185"/>
      <c r="N732" s="185"/>
      <c r="O732" s="185"/>
      <c r="S732" s="291">
        <v>42288</v>
      </c>
      <c r="T732" s="279">
        <v>649</v>
      </c>
      <c r="AI732" s="185"/>
      <c r="AJ732" s="185"/>
      <c r="AK732" s="185"/>
      <c r="AL732" s="185"/>
      <c r="AM732" s="185"/>
      <c r="AN732" s="185"/>
      <c r="AO732" s="185"/>
      <c r="AP732" s="185"/>
      <c r="AQ732" s="185"/>
      <c r="AR732" s="185"/>
      <c r="AS732" s="185"/>
      <c r="AT732" s="185"/>
      <c r="AU732" s="185"/>
      <c r="AV732" s="185"/>
    </row>
    <row r="733" spans="13:48" s="277" customFormat="1">
      <c r="M733" s="185"/>
      <c r="N733" s="185"/>
      <c r="O733" s="185"/>
      <c r="S733" s="291">
        <v>42289</v>
      </c>
      <c r="T733" s="279">
        <v>650</v>
      </c>
      <c r="AI733" s="185"/>
      <c r="AJ733" s="185"/>
      <c r="AK733" s="185"/>
      <c r="AL733" s="185"/>
      <c r="AM733" s="185"/>
      <c r="AN733" s="185"/>
      <c r="AO733" s="185"/>
      <c r="AP733" s="185"/>
      <c r="AQ733" s="185"/>
      <c r="AR733" s="185"/>
      <c r="AS733" s="185"/>
      <c r="AT733" s="185"/>
      <c r="AU733" s="185"/>
      <c r="AV733" s="185"/>
    </row>
    <row r="734" spans="13:48" s="277" customFormat="1">
      <c r="M734" s="185"/>
      <c r="N734" s="185"/>
      <c r="O734" s="185"/>
      <c r="S734" s="291">
        <v>42290</v>
      </c>
      <c r="T734" s="279">
        <v>651</v>
      </c>
      <c r="AI734" s="185"/>
      <c r="AJ734" s="185"/>
      <c r="AK734" s="185"/>
      <c r="AL734" s="185"/>
      <c r="AM734" s="185"/>
      <c r="AN734" s="185"/>
      <c r="AO734" s="185"/>
      <c r="AP734" s="185"/>
      <c r="AQ734" s="185"/>
      <c r="AR734" s="185"/>
      <c r="AS734" s="185"/>
      <c r="AT734" s="185"/>
      <c r="AU734" s="185"/>
      <c r="AV734" s="185"/>
    </row>
    <row r="735" spans="13:48" s="277" customFormat="1">
      <c r="M735" s="185"/>
      <c r="N735" s="185"/>
      <c r="O735" s="185"/>
      <c r="S735" s="291">
        <v>42291</v>
      </c>
      <c r="T735" s="279">
        <v>652</v>
      </c>
      <c r="AI735" s="185"/>
      <c r="AJ735" s="185"/>
      <c r="AK735" s="185"/>
      <c r="AL735" s="185"/>
      <c r="AM735" s="185"/>
      <c r="AN735" s="185"/>
      <c r="AO735" s="185"/>
      <c r="AP735" s="185"/>
      <c r="AQ735" s="185"/>
      <c r="AR735" s="185"/>
      <c r="AS735" s="185"/>
      <c r="AT735" s="185"/>
      <c r="AU735" s="185"/>
      <c r="AV735" s="185"/>
    </row>
    <row r="736" spans="13:48" s="277" customFormat="1">
      <c r="M736" s="185"/>
      <c r="N736" s="185"/>
      <c r="O736" s="185"/>
      <c r="S736" s="291">
        <v>42292</v>
      </c>
      <c r="T736" s="279">
        <v>653</v>
      </c>
      <c r="AI736" s="185"/>
      <c r="AJ736" s="185"/>
      <c r="AK736" s="185"/>
      <c r="AL736" s="185"/>
      <c r="AM736" s="185"/>
      <c r="AN736" s="185"/>
      <c r="AO736" s="185"/>
      <c r="AP736" s="185"/>
      <c r="AQ736" s="185"/>
      <c r="AR736" s="185"/>
      <c r="AS736" s="185"/>
      <c r="AT736" s="185"/>
      <c r="AU736" s="185"/>
      <c r="AV736" s="185"/>
    </row>
    <row r="737" spans="13:48" s="277" customFormat="1">
      <c r="M737" s="185"/>
      <c r="N737" s="185"/>
      <c r="O737" s="185"/>
      <c r="S737" s="291">
        <v>42293</v>
      </c>
      <c r="T737" s="279">
        <v>654</v>
      </c>
      <c r="AI737" s="185"/>
      <c r="AJ737" s="185"/>
      <c r="AK737" s="185"/>
      <c r="AL737" s="185"/>
      <c r="AM737" s="185"/>
      <c r="AN737" s="185"/>
      <c r="AO737" s="185"/>
      <c r="AP737" s="185"/>
      <c r="AQ737" s="185"/>
      <c r="AR737" s="185"/>
      <c r="AS737" s="185"/>
      <c r="AT737" s="185"/>
      <c r="AU737" s="185"/>
      <c r="AV737" s="185"/>
    </row>
    <row r="738" spans="13:48" s="277" customFormat="1">
      <c r="M738" s="185"/>
      <c r="N738" s="185"/>
      <c r="O738" s="185"/>
      <c r="S738" s="291">
        <v>42294</v>
      </c>
      <c r="T738" s="279">
        <v>655</v>
      </c>
      <c r="AI738" s="185"/>
      <c r="AJ738" s="185"/>
      <c r="AK738" s="185"/>
      <c r="AL738" s="185"/>
      <c r="AM738" s="185"/>
      <c r="AN738" s="185"/>
      <c r="AO738" s="185"/>
      <c r="AP738" s="185"/>
      <c r="AQ738" s="185"/>
      <c r="AR738" s="185"/>
      <c r="AS738" s="185"/>
      <c r="AT738" s="185"/>
      <c r="AU738" s="185"/>
      <c r="AV738" s="185"/>
    </row>
    <row r="739" spans="13:48" s="277" customFormat="1">
      <c r="M739" s="185"/>
      <c r="N739" s="185"/>
      <c r="O739" s="185"/>
      <c r="S739" s="291">
        <v>42295</v>
      </c>
      <c r="T739" s="279">
        <v>656</v>
      </c>
      <c r="AI739" s="185"/>
      <c r="AJ739" s="185"/>
      <c r="AK739" s="185"/>
      <c r="AL739" s="185"/>
      <c r="AM739" s="185"/>
      <c r="AN739" s="185"/>
      <c r="AO739" s="185"/>
      <c r="AP739" s="185"/>
      <c r="AQ739" s="185"/>
      <c r="AR739" s="185"/>
      <c r="AS739" s="185"/>
      <c r="AT739" s="185"/>
      <c r="AU739" s="185"/>
      <c r="AV739" s="185"/>
    </row>
    <row r="740" spans="13:48" s="277" customFormat="1">
      <c r="M740" s="185"/>
      <c r="N740" s="185"/>
      <c r="O740" s="185"/>
      <c r="S740" s="291">
        <v>42296</v>
      </c>
      <c r="T740" s="279">
        <v>657</v>
      </c>
      <c r="AI740" s="185"/>
      <c r="AJ740" s="185"/>
      <c r="AK740" s="185"/>
      <c r="AL740" s="185"/>
      <c r="AM740" s="185"/>
      <c r="AN740" s="185"/>
      <c r="AO740" s="185"/>
      <c r="AP740" s="185"/>
      <c r="AQ740" s="185"/>
      <c r="AR740" s="185"/>
      <c r="AS740" s="185"/>
      <c r="AT740" s="185"/>
      <c r="AU740" s="185"/>
      <c r="AV740" s="185"/>
    </row>
    <row r="741" spans="13:48" s="277" customFormat="1">
      <c r="M741" s="185"/>
      <c r="N741" s="185"/>
      <c r="O741" s="185"/>
      <c r="S741" s="291">
        <v>42297</v>
      </c>
      <c r="T741" s="279">
        <v>658</v>
      </c>
      <c r="AI741" s="185"/>
      <c r="AJ741" s="185"/>
      <c r="AK741" s="185"/>
      <c r="AL741" s="185"/>
      <c r="AM741" s="185"/>
      <c r="AN741" s="185"/>
      <c r="AO741" s="185"/>
      <c r="AP741" s="185"/>
      <c r="AQ741" s="185"/>
      <c r="AR741" s="185"/>
      <c r="AS741" s="185"/>
      <c r="AT741" s="185"/>
      <c r="AU741" s="185"/>
      <c r="AV741" s="185"/>
    </row>
    <row r="742" spans="13:48" s="277" customFormat="1">
      <c r="M742" s="185"/>
      <c r="N742" s="185"/>
      <c r="O742" s="185"/>
      <c r="S742" s="291">
        <v>42298</v>
      </c>
      <c r="T742" s="279">
        <v>659</v>
      </c>
      <c r="AI742" s="185"/>
      <c r="AJ742" s="185"/>
      <c r="AK742" s="185"/>
      <c r="AL742" s="185"/>
      <c r="AM742" s="185"/>
      <c r="AN742" s="185"/>
      <c r="AO742" s="185"/>
      <c r="AP742" s="185"/>
      <c r="AQ742" s="185"/>
      <c r="AR742" s="185"/>
      <c r="AS742" s="185"/>
      <c r="AT742" s="185"/>
      <c r="AU742" s="185"/>
      <c r="AV742" s="185"/>
    </row>
    <row r="743" spans="13:48" s="277" customFormat="1">
      <c r="M743" s="185"/>
      <c r="N743" s="185"/>
      <c r="O743" s="185"/>
      <c r="S743" s="291">
        <v>42299</v>
      </c>
      <c r="T743" s="279">
        <v>660</v>
      </c>
      <c r="AI743" s="185"/>
      <c r="AJ743" s="185"/>
      <c r="AK743" s="185"/>
      <c r="AL743" s="185"/>
      <c r="AM743" s="185"/>
      <c r="AN743" s="185"/>
      <c r="AO743" s="185"/>
      <c r="AP743" s="185"/>
      <c r="AQ743" s="185"/>
      <c r="AR743" s="185"/>
      <c r="AS743" s="185"/>
      <c r="AT743" s="185"/>
      <c r="AU743" s="185"/>
      <c r="AV743" s="185"/>
    </row>
    <row r="744" spans="13:48" s="277" customFormat="1">
      <c r="M744" s="185"/>
      <c r="N744" s="185"/>
      <c r="O744" s="185"/>
      <c r="S744" s="291">
        <v>42300</v>
      </c>
      <c r="T744" s="279">
        <v>661</v>
      </c>
      <c r="AI744" s="185"/>
      <c r="AJ744" s="185"/>
      <c r="AK744" s="185"/>
      <c r="AL744" s="185"/>
      <c r="AM744" s="185"/>
      <c r="AN744" s="185"/>
      <c r="AO744" s="185"/>
      <c r="AP744" s="185"/>
      <c r="AQ744" s="185"/>
      <c r="AR744" s="185"/>
      <c r="AS744" s="185"/>
      <c r="AT744" s="185"/>
      <c r="AU744" s="185"/>
      <c r="AV744" s="185"/>
    </row>
    <row r="745" spans="13:48" s="277" customFormat="1">
      <c r="M745" s="185"/>
      <c r="N745" s="185"/>
      <c r="O745" s="185"/>
      <c r="S745" s="291">
        <v>42301</v>
      </c>
      <c r="T745" s="279">
        <v>662</v>
      </c>
      <c r="AI745" s="185"/>
      <c r="AJ745" s="185"/>
      <c r="AK745" s="185"/>
      <c r="AL745" s="185"/>
      <c r="AM745" s="185"/>
      <c r="AN745" s="185"/>
      <c r="AO745" s="185"/>
      <c r="AP745" s="185"/>
      <c r="AQ745" s="185"/>
      <c r="AR745" s="185"/>
      <c r="AS745" s="185"/>
      <c r="AT745" s="185"/>
      <c r="AU745" s="185"/>
      <c r="AV745" s="185"/>
    </row>
    <row r="746" spans="13:48" s="277" customFormat="1">
      <c r="M746" s="185"/>
      <c r="N746" s="185"/>
      <c r="O746" s="185"/>
      <c r="S746" s="291">
        <v>42302</v>
      </c>
      <c r="T746" s="279">
        <v>663</v>
      </c>
      <c r="AI746" s="185"/>
      <c r="AJ746" s="185"/>
      <c r="AK746" s="185"/>
      <c r="AL746" s="185"/>
      <c r="AM746" s="185"/>
      <c r="AN746" s="185"/>
      <c r="AO746" s="185"/>
      <c r="AP746" s="185"/>
      <c r="AQ746" s="185"/>
      <c r="AR746" s="185"/>
      <c r="AS746" s="185"/>
      <c r="AT746" s="185"/>
      <c r="AU746" s="185"/>
      <c r="AV746" s="185"/>
    </row>
    <row r="747" spans="13:48" s="277" customFormat="1">
      <c r="M747" s="185"/>
      <c r="N747" s="185"/>
      <c r="O747" s="185"/>
      <c r="S747" s="291">
        <v>42303</v>
      </c>
      <c r="T747" s="279">
        <v>664</v>
      </c>
      <c r="AI747" s="185"/>
      <c r="AJ747" s="185"/>
      <c r="AK747" s="185"/>
      <c r="AL747" s="185"/>
      <c r="AM747" s="185"/>
      <c r="AN747" s="185"/>
      <c r="AO747" s="185"/>
      <c r="AP747" s="185"/>
      <c r="AQ747" s="185"/>
      <c r="AR747" s="185"/>
      <c r="AS747" s="185"/>
      <c r="AT747" s="185"/>
      <c r="AU747" s="185"/>
      <c r="AV747" s="185"/>
    </row>
    <row r="748" spans="13:48" s="277" customFormat="1">
      <c r="M748" s="185"/>
      <c r="N748" s="185"/>
      <c r="O748" s="185"/>
      <c r="S748" s="291">
        <v>42304</v>
      </c>
      <c r="T748" s="279">
        <v>665</v>
      </c>
      <c r="AI748" s="185"/>
      <c r="AJ748" s="185"/>
      <c r="AK748" s="185"/>
      <c r="AL748" s="185"/>
      <c r="AM748" s="185"/>
      <c r="AN748" s="185"/>
      <c r="AO748" s="185"/>
      <c r="AP748" s="185"/>
      <c r="AQ748" s="185"/>
      <c r="AR748" s="185"/>
      <c r="AS748" s="185"/>
      <c r="AT748" s="185"/>
      <c r="AU748" s="185"/>
      <c r="AV748" s="185"/>
    </row>
    <row r="749" spans="13:48" s="277" customFormat="1">
      <c r="M749" s="185"/>
      <c r="N749" s="185"/>
      <c r="O749" s="185"/>
      <c r="S749" s="291">
        <v>42305</v>
      </c>
      <c r="T749" s="279">
        <v>666</v>
      </c>
      <c r="AI749" s="185"/>
      <c r="AJ749" s="185"/>
      <c r="AK749" s="185"/>
      <c r="AL749" s="185"/>
      <c r="AM749" s="185"/>
      <c r="AN749" s="185"/>
      <c r="AO749" s="185"/>
      <c r="AP749" s="185"/>
      <c r="AQ749" s="185"/>
      <c r="AR749" s="185"/>
      <c r="AS749" s="185"/>
      <c r="AT749" s="185"/>
      <c r="AU749" s="185"/>
      <c r="AV749" s="185"/>
    </row>
    <row r="750" spans="13:48" s="277" customFormat="1">
      <c r="M750" s="185"/>
      <c r="N750" s="185"/>
      <c r="O750" s="185"/>
      <c r="S750" s="291">
        <v>42306</v>
      </c>
      <c r="T750" s="279">
        <v>667</v>
      </c>
      <c r="AI750" s="185"/>
      <c r="AJ750" s="185"/>
      <c r="AK750" s="185"/>
      <c r="AL750" s="185"/>
      <c r="AM750" s="185"/>
      <c r="AN750" s="185"/>
      <c r="AO750" s="185"/>
      <c r="AP750" s="185"/>
      <c r="AQ750" s="185"/>
      <c r="AR750" s="185"/>
      <c r="AS750" s="185"/>
      <c r="AT750" s="185"/>
      <c r="AU750" s="185"/>
      <c r="AV750" s="185"/>
    </row>
    <row r="751" spans="13:48" s="277" customFormat="1">
      <c r="M751" s="185"/>
      <c r="N751" s="185"/>
      <c r="O751" s="185"/>
      <c r="S751" s="291">
        <v>42307</v>
      </c>
      <c r="T751" s="279">
        <v>668</v>
      </c>
      <c r="AI751" s="185"/>
      <c r="AJ751" s="185"/>
      <c r="AK751" s="185"/>
      <c r="AL751" s="185"/>
      <c r="AM751" s="185"/>
      <c r="AN751" s="185"/>
      <c r="AO751" s="185"/>
      <c r="AP751" s="185"/>
      <c r="AQ751" s="185"/>
      <c r="AR751" s="185"/>
      <c r="AS751" s="185"/>
      <c r="AT751" s="185"/>
      <c r="AU751" s="185"/>
      <c r="AV751" s="185"/>
    </row>
    <row r="752" spans="13:48" s="277" customFormat="1">
      <c r="M752" s="185"/>
      <c r="N752" s="185"/>
      <c r="O752" s="185"/>
      <c r="S752" s="291">
        <v>42308</v>
      </c>
      <c r="T752" s="279">
        <v>669</v>
      </c>
      <c r="AI752" s="185"/>
      <c r="AJ752" s="185"/>
      <c r="AK752" s="185"/>
      <c r="AL752" s="185"/>
      <c r="AM752" s="185"/>
      <c r="AN752" s="185"/>
      <c r="AO752" s="185"/>
      <c r="AP752" s="185"/>
      <c r="AQ752" s="185"/>
      <c r="AR752" s="185"/>
      <c r="AS752" s="185"/>
      <c r="AT752" s="185"/>
      <c r="AU752" s="185"/>
      <c r="AV752" s="185"/>
    </row>
    <row r="753" spans="13:48" s="277" customFormat="1">
      <c r="M753" s="185"/>
      <c r="N753" s="185"/>
      <c r="O753" s="185"/>
      <c r="S753" s="291">
        <v>42309</v>
      </c>
      <c r="T753" s="279">
        <v>670</v>
      </c>
      <c r="AI753" s="185"/>
      <c r="AJ753" s="185"/>
      <c r="AK753" s="185"/>
      <c r="AL753" s="185"/>
      <c r="AM753" s="185"/>
      <c r="AN753" s="185"/>
      <c r="AO753" s="185"/>
      <c r="AP753" s="185"/>
      <c r="AQ753" s="185"/>
      <c r="AR753" s="185"/>
      <c r="AS753" s="185"/>
      <c r="AT753" s="185"/>
      <c r="AU753" s="185"/>
      <c r="AV753" s="185"/>
    </row>
    <row r="754" spans="13:48" s="277" customFormat="1">
      <c r="M754" s="185"/>
      <c r="N754" s="185"/>
      <c r="O754" s="185"/>
      <c r="S754" s="291">
        <v>42310</v>
      </c>
      <c r="T754" s="279">
        <v>671</v>
      </c>
      <c r="AI754" s="185"/>
      <c r="AJ754" s="185"/>
      <c r="AK754" s="185"/>
      <c r="AL754" s="185"/>
      <c r="AM754" s="185"/>
      <c r="AN754" s="185"/>
      <c r="AO754" s="185"/>
      <c r="AP754" s="185"/>
      <c r="AQ754" s="185"/>
      <c r="AR754" s="185"/>
      <c r="AS754" s="185"/>
      <c r="AT754" s="185"/>
      <c r="AU754" s="185"/>
      <c r="AV754" s="185"/>
    </row>
    <row r="755" spans="13:48" s="277" customFormat="1">
      <c r="M755" s="185"/>
      <c r="N755" s="185"/>
      <c r="O755" s="185"/>
      <c r="S755" s="291">
        <v>42311</v>
      </c>
      <c r="T755" s="279">
        <v>672</v>
      </c>
      <c r="AI755" s="185"/>
      <c r="AJ755" s="185"/>
      <c r="AK755" s="185"/>
      <c r="AL755" s="185"/>
      <c r="AM755" s="185"/>
      <c r="AN755" s="185"/>
      <c r="AO755" s="185"/>
      <c r="AP755" s="185"/>
      <c r="AQ755" s="185"/>
      <c r="AR755" s="185"/>
      <c r="AS755" s="185"/>
      <c r="AT755" s="185"/>
      <c r="AU755" s="185"/>
      <c r="AV755" s="185"/>
    </row>
    <row r="756" spans="13:48" s="277" customFormat="1">
      <c r="M756" s="185"/>
      <c r="N756" s="185"/>
      <c r="O756" s="185"/>
      <c r="S756" s="291">
        <v>42312</v>
      </c>
      <c r="T756" s="279">
        <v>673</v>
      </c>
      <c r="AI756" s="185"/>
      <c r="AJ756" s="185"/>
      <c r="AK756" s="185"/>
      <c r="AL756" s="185"/>
      <c r="AM756" s="185"/>
      <c r="AN756" s="185"/>
      <c r="AO756" s="185"/>
      <c r="AP756" s="185"/>
      <c r="AQ756" s="185"/>
      <c r="AR756" s="185"/>
      <c r="AS756" s="185"/>
      <c r="AT756" s="185"/>
      <c r="AU756" s="185"/>
      <c r="AV756" s="185"/>
    </row>
    <row r="757" spans="13:48" s="277" customFormat="1">
      <c r="M757" s="185"/>
      <c r="N757" s="185"/>
      <c r="O757" s="185"/>
      <c r="S757" s="291">
        <v>42313</v>
      </c>
      <c r="T757" s="279">
        <v>674</v>
      </c>
      <c r="AI757" s="185"/>
      <c r="AJ757" s="185"/>
      <c r="AK757" s="185"/>
      <c r="AL757" s="185"/>
      <c r="AM757" s="185"/>
      <c r="AN757" s="185"/>
      <c r="AO757" s="185"/>
      <c r="AP757" s="185"/>
      <c r="AQ757" s="185"/>
      <c r="AR757" s="185"/>
      <c r="AS757" s="185"/>
      <c r="AT757" s="185"/>
      <c r="AU757" s="185"/>
      <c r="AV757" s="185"/>
    </row>
    <row r="758" spans="13:48" s="277" customFormat="1">
      <c r="M758" s="185"/>
      <c r="N758" s="185"/>
      <c r="O758" s="185"/>
      <c r="S758" s="291">
        <v>42314</v>
      </c>
      <c r="T758" s="279">
        <v>675</v>
      </c>
      <c r="AI758" s="185"/>
      <c r="AJ758" s="185"/>
      <c r="AK758" s="185"/>
      <c r="AL758" s="185"/>
      <c r="AM758" s="185"/>
      <c r="AN758" s="185"/>
      <c r="AO758" s="185"/>
      <c r="AP758" s="185"/>
      <c r="AQ758" s="185"/>
      <c r="AR758" s="185"/>
      <c r="AS758" s="185"/>
      <c r="AT758" s="185"/>
      <c r="AU758" s="185"/>
      <c r="AV758" s="185"/>
    </row>
    <row r="759" spans="13:48" s="277" customFormat="1">
      <c r="M759" s="185"/>
      <c r="N759" s="185"/>
      <c r="O759" s="185"/>
      <c r="S759" s="291">
        <v>42315</v>
      </c>
      <c r="T759" s="279">
        <v>676</v>
      </c>
      <c r="AI759" s="185"/>
      <c r="AJ759" s="185"/>
      <c r="AK759" s="185"/>
      <c r="AL759" s="185"/>
      <c r="AM759" s="185"/>
      <c r="AN759" s="185"/>
      <c r="AO759" s="185"/>
      <c r="AP759" s="185"/>
      <c r="AQ759" s="185"/>
      <c r="AR759" s="185"/>
      <c r="AS759" s="185"/>
      <c r="AT759" s="185"/>
      <c r="AU759" s="185"/>
      <c r="AV759" s="185"/>
    </row>
    <row r="760" spans="13:48" s="277" customFormat="1">
      <c r="M760" s="185"/>
      <c r="N760" s="185"/>
      <c r="O760" s="185"/>
      <c r="S760" s="291">
        <v>42316</v>
      </c>
      <c r="T760" s="279">
        <v>677</v>
      </c>
      <c r="AI760" s="185"/>
      <c r="AJ760" s="185"/>
      <c r="AK760" s="185"/>
      <c r="AL760" s="185"/>
      <c r="AM760" s="185"/>
      <c r="AN760" s="185"/>
      <c r="AO760" s="185"/>
      <c r="AP760" s="185"/>
      <c r="AQ760" s="185"/>
      <c r="AR760" s="185"/>
      <c r="AS760" s="185"/>
      <c r="AT760" s="185"/>
      <c r="AU760" s="185"/>
      <c r="AV760" s="185"/>
    </row>
    <row r="761" spans="13:48" s="277" customFormat="1">
      <c r="M761" s="185"/>
      <c r="N761" s="185"/>
      <c r="O761" s="185"/>
      <c r="S761" s="291">
        <v>42317</v>
      </c>
      <c r="T761" s="279">
        <v>678</v>
      </c>
      <c r="AI761" s="185"/>
      <c r="AJ761" s="185"/>
      <c r="AK761" s="185"/>
      <c r="AL761" s="185"/>
      <c r="AM761" s="185"/>
      <c r="AN761" s="185"/>
      <c r="AO761" s="185"/>
      <c r="AP761" s="185"/>
      <c r="AQ761" s="185"/>
      <c r="AR761" s="185"/>
      <c r="AS761" s="185"/>
      <c r="AT761" s="185"/>
      <c r="AU761" s="185"/>
      <c r="AV761" s="185"/>
    </row>
    <row r="762" spans="13:48" s="277" customFormat="1">
      <c r="M762" s="185"/>
      <c r="N762" s="185"/>
      <c r="O762" s="185"/>
      <c r="S762" s="291">
        <v>42318</v>
      </c>
      <c r="T762" s="279">
        <v>679</v>
      </c>
      <c r="AI762" s="185"/>
      <c r="AJ762" s="185"/>
      <c r="AK762" s="185"/>
      <c r="AL762" s="185"/>
      <c r="AM762" s="185"/>
      <c r="AN762" s="185"/>
      <c r="AO762" s="185"/>
      <c r="AP762" s="185"/>
      <c r="AQ762" s="185"/>
      <c r="AR762" s="185"/>
      <c r="AS762" s="185"/>
      <c r="AT762" s="185"/>
      <c r="AU762" s="185"/>
      <c r="AV762" s="185"/>
    </row>
    <row r="763" spans="13:48" s="277" customFormat="1">
      <c r="M763" s="185"/>
      <c r="N763" s="185"/>
      <c r="O763" s="185"/>
      <c r="S763" s="291">
        <v>42319</v>
      </c>
      <c r="T763" s="279">
        <v>680</v>
      </c>
      <c r="AI763" s="185"/>
      <c r="AJ763" s="185"/>
      <c r="AK763" s="185"/>
      <c r="AL763" s="185"/>
      <c r="AM763" s="185"/>
      <c r="AN763" s="185"/>
      <c r="AO763" s="185"/>
      <c r="AP763" s="185"/>
      <c r="AQ763" s="185"/>
      <c r="AR763" s="185"/>
      <c r="AS763" s="185"/>
      <c r="AT763" s="185"/>
      <c r="AU763" s="185"/>
      <c r="AV763" s="185"/>
    </row>
    <row r="764" spans="13:48" s="277" customFormat="1">
      <c r="M764" s="185"/>
      <c r="N764" s="185"/>
      <c r="O764" s="185"/>
      <c r="S764" s="291">
        <v>42320</v>
      </c>
      <c r="T764" s="279">
        <v>681</v>
      </c>
      <c r="AI764" s="185"/>
      <c r="AJ764" s="185"/>
      <c r="AK764" s="185"/>
      <c r="AL764" s="185"/>
      <c r="AM764" s="185"/>
      <c r="AN764" s="185"/>
      <c r="AO764" s="185"/>
      <c r="AP764" s="185"/>
      <c r="AQ764" s="185"/>
      <c r="AR764" s="185"/>
      <c r="AS764" s="185"/>
      <c r="AT764" s="185"/>
      <c r="AU764" s="185"/>
      <c r="AV764" s="185"/>
    </row>
    <row r="765" spans="13:48" s="277" customFormat="1">
      <c r="M765" s="185"/>
      <c r="N765" s="185"/>
      <c r="O765" s="185"/>
      <c r="S765" s="291">
        <v>42321</v>
      </c>
      <c r="T765" s="279">
        <v>682</v>
      </c>
      <c r="AI765" s="185"/>
      <c r="AJ765" s="185"/>
      <c r="AK765" s="185"/>
      <c r="AL765" s="185"/>
      <c r="AM765" s="185"/>
      <c r="AN765" s="185"/>
      <c r="AO765" s="185"/>
      <c r="AP765" s="185"/>
      <c r="AQ765" s="185"/>
      <c r="AR765" s="185"/>
      <c r="AS765" s="185"/>
      <c r="AT765" s="185"/>
      <c r="AU765" s="185"/>
      <c r="AV765" s="185"/>
    </row>
    <row r="766" spans="13:48" s="277" customFormat="1">
      <c r="M766" s="185"/>
      <c r="N766" s="185"/>
      <c r="O766" s="185"/>
      <c r="S766" s="291">
        <v>42322</v>
      </c>
      <c r="T766" s="279">
        <v>683</v>
      </c>
      <c r="AI766" s="185"/>
      <c r="AJ766" s="185"/>
      <c r="AK766" s="185"/>
      <c r="AL766" s="185"/>
      <c r="AM766" s="185"/>
      <c r="AN766" s="185"/>
      <c r="AO766" s="185"/>
      <c r="AP766" s="185"/>
      <c r="AQ766" s="185"/>
      <c r="AR766" s="185"/>
      <c r="AS766" s="185"/>
      <c r="AT766" s="185"/>
      <c r="AU766" s="185"/>
      <c r="AV766" s="185"/>
    </row>
    <row r="767" spans="13:48" s="277" customFormat="1">
      <c r="M767" s="185"/>
      <c r="N767" s="185"/>
      <c r="O767" s="185"/>
      <c r="S767" s="291">
        <v>42323</v>
      </c>
      <c r="T767" s="279">
        <v>684</v>
      </c>
      <c r="AI767" s="185"/>
      <c r="AJ767" s="185"/>
      <c r="AK767" s="185"/>
      <c r="AL767" s="185"/>
      <c r="AM767" s="185"/>
      <c r="AN767" s="185"/>
      <c r="AO767" s="185"/>
      <c r="AP767" s="185"/>
      <c r="AQ767" s="185"/>
      <c r="AR767" s="185"/>
      <c r="AS767" s="185"/>
      <c r="AT767" s="185"/>
      <c r="AU767" s="185"/>
      <c r="AV767" s="185"/>
    </row>
    <row r="768" spans="13:48" s="277" customFormat="1">
      <c r="M768" s="185"/>
      <c r="N768" s="185"/>
      <c r="O768" s="185"/>
      <c r="S768" s="291">
        <v>42324</v>
      </c>
      <c r="T768" s="279">
        <v>685</v>
      </c>
      <c r="AI768" s="185"/>
      <c r="AJ768" s="185"/>
      <c r="AK768" s="185"/>
      <c r="AL768" s="185"/>
      <c r="AM768" s="185"/>
      <c r="AN768" s="185"/>
      <c r="AO768" s="185"/>
      <c r="AP768" s="185"/>
      <c r="AQ768" s="185"/>
      <c r="AR768" s="185"/>
      <c r="AS768" s="185"/>
      <c r="AT768" s="185"/>
      <c r="AU768" s="185"/>
      <c r="AV768" s="185"/>
    </row>
    <row r="769" spans="13:48" s="277" customFormat="1">
      <c r="M769" s="185"/>
      <c r="N769" s="185"/>
      <c r="O769" s="185"/>
      <c r="S769" s="291">
        <v>42325</v>
      </c>
      <c r="T769" s="279">
        <v>686</v>
      </c>
      <c r="AI769" s="185"/>
      <c r="AJ769" s="185"/>
      <c r="AK769" s="185"/>
      <c r="AL769" s="185"/>
      <c r="AM769" s="185"/>
      <c r="AN769" s="185"/>
      <c r="AO769" s="185"/>
      <c r="AP769" s="185"/>
      <c r="AQ769" s="185"/>
      <c r="AR769" s="185"/>
      <c r="AS769" s="185"/>
      <c r="AT769" s="185"/>
      <c r="AU769" s="185"/>
      <c r="AV769" s="185"/>
    </row>
    <row r="770" spans="13:48" s="277" customFormat="1">
      <c r="M770" s="185"/>
      <c r="N770" s="185"/>
      <c r="O770" s="185"/>
      <c r="S770" s="291">
        <v>42326</v>
      </c>
      <c r="T770" s="279">
        <v>687</v>
      </c>
      <c r="AI770" s="185"/>
      <c r="AJ770" s="185"/>
      <c r="AK770" s="185"/>
      <c r="AL770" s="185"/>
      <c r="AM770" s="185"/>
      <c r="AN770" s="185"/>
      <c r="AO770" s="185"/>
      <c r="AP770" s="185"/>
      <c r="AQ770" s="185"/>
      <c r="AR770" s="185"/>
      <c r="AS770" s="185"/>
      <c r="AT770" s="185"/>
      <c r="AU770" s="185"/>
      <c r="AV770" s="185"/>
    </row>
    <row r="771" spans="13:48" s="277" customFormat="1">
      <c r="M771" s="185"/>
      <c r="N771" s="185"/>
      <c r="O771" s="185"/>
      <c r="S771" s="291">
        <v>42327</v>
      </c>
      <c r="T771" s="279">
        <v>688</v>
      </c>
      <c r="AI771" s="185"/>
      <c r="AJ771" s="185"/>
      <c r="AK771" s="185"/>
      <c r="AL771" s="185"/>
      <c r="AM771" s="185"/>
      <c r="AN771" s="185"/>
      <c r="AO771" s="185"/>
      <c r="AP771" s="185"/>
      <c r="AQ771" s="185"/>
      <c r="AR771" s="185"/>
      <c r="AS771" s="185"/>
      <c r="AT771" s="185"/>
      <c r="AU771" s="185"/>
      <c r="AV771" s="185"/>
    </row>
    <row r="772" spans="13:48" s="277" customFormat="1">
      <c r="M772" s="185"/>
      <c r="N772" s="185"/>
      <c r="O772" s="185"/>
      <c r="S772" s="291">
        <v>42328</v>
      </c>
      <c r="T772" s="279">
        <v>689</v>
      </c>
      <c r="AI772" s="185"/>
      <c r="AJ772" s="185"/>
      <c r="AK772" s="185"/>
      <c r="AL772" s="185"/>
      <c r="AM772" s="185"/>
      <c r="AN772" s="185"/>
      <c r="AO772" s="185"/>
      <c r="AP772" s="185"/>
      <c r="AQ772" s="185"/>
      <c r="AR772" s="185"/>
      <c r="AS772" s="185"/>
      <c r="AT772" s="185"/>
      <c r="AU772" s="185"/>
      <c r="AV772" s="185"/>
    </row>
    <row r="773" spans="13:48" s="277" customFormat="1">
      <c r="M773" s="185"/>
      <c r="N773" s="185"/>
      <c r="O773" s="185"/>
      <c r="S773" s="291">
        <v>42329</v>
      </c>
      <c r="T773" s="279">
        <v>690</v>
      </c>
      <c r="AI773" s="185"/>
      <c r="AJ773" s="185"/>
      <c r="AK773" s="185"/>
      <c r="AL773" s="185"/>
      <c r="AM773" s="185"/>
      <c r="AN773" s="185"/>
      <c r="AO773" s="185"/>
      <c r="AP773" s="185"/>
      <c r="AQ773" s="185"/>
      <c r="AR773" s="185"/>
      <c r="AS773" s="185"/>
      <c r="AT773" s="185"/>
      <c r="AU773" s="185"/>
      <c r="AV773" s="185"/>
    </row>
    <row r="774" spans="13:48" s="277" customFormat="1">
      <c r="M774" s="185"/>
      <c r="N774" s="185"/>
      <c r="O774" s="185"/>
      <c r="S774" s="291">
        <v>42330</v>
      </c>
      <c r="T774" s="279">
        <v>691</v>
      </c>
      <c r="AI774" s="185"/>
      <c r="AJ774" s="185"/>
      <c r="AK774" s="185"/>
      <c r="AL774" s="185"/>
      <c r="AM774" s="185"/>
      <c r="AN774" s="185"/>
      <c r="AO774" s="185"/>
      <c r="AP774" s="185"/>
      <c r="AQ774" s="185"/>
      <c r="AR774" s="185"/>
      <c r="AS774" s="185"/>
      <c r="AT774" s="185"/>
      <c r="AU774" s="185"/>
      <c r="AV774" s="185"/>
    </row>
    <row r="775" spans="13:48" s="277" customFormat="1">
      <c r="M775" s="185"/>
      <c r="N775" s="185"/>
      <c r="O775" s="185"/>
      <c r="S775" s="291">
        <v>42331</v>
      </c>
      <c r="T775" s="279">
        <v>692</v>
      </c>
      <c r="AI775" s="185"/>
      <c r="AJ775" s="185"/>
      <c r="AK775" s="185"/>
      <c r="AL775" s="185"/>
      <c r="AM775" s="185"/>
      <c r="AN775" s="185"/>
      <c r="AO775" s="185"/>
      <c r="AP775" s="185"/>
      <c r="AQ775" s="185"/>
      <c r="AR775" s="185"/>
      <c r="AS775" s="185"/>
      <c r="AT775" s="185"/>
      <c r="AU775" s="185"/>
      <c r="AV775" s="185"/>
    </row>
    <row r="776" spans="13:48" s="277" customFormat="1">
      <c r="M776" s="185"/>
      <c r="N776" s="185"/>
      <c r="O776" s="185"/>
      <c r="S776" s="291">
        <v>42332</v>
      </c>
      <c r="T776" s="279">
        <v>693</v>
      </c>
      <c r="AI776" s="185"/>
      <c r="AJ776" s="185"/>
      <c r="AK776" s="185"/>
      <c r="AL776" s="185"/>
      <c r="AM776" s="185"/>
      <c r="AN776" s="185"/>
      <c r="AO776" s="185"/>
      <c r="AP776" s="185"/>
      <c r="AQ776" s="185"/>
      <c r="AR776" s="185"/>
      <c r="AS776" s="185"/>
      <c r="AT776" s="185"/>
      <c r="AU776" s="185"/>
      <c r="AV776" s="185"/>
    </row>
    <row r="777" spans="13:48" s="277" customFormat="1">
      <c r="M777" s="185"/>
      <c r="N777" s="185"/>
      <c r="O777" s="185"/>
      <c r="S777" s="291">
        <v>42333</v>
      </c>
      <c r="T777" s="279">
        <v>694</v>
      </c>
      <c r="AI777" s="185"/>
      <c r="AJ777" s="185"/>
      <c r="AK777" s="185"/>
      <c r="AL777" s="185"/>
      <c r="AM777" s="185"/>
      <c r="AN777" s="185"/>
      <c r="AO777" s="185"/>
      <c r="AP777" s="185"/>
      <c r="AQ777" s="185"/>
      <c r="AR777" s="185"/>
      <c r="AS777" s="185"/>
      <c r="AT777" s="185"/>
      <c r="AU777" s="185"/>
      <c r="AV777" s="185"/>
    </row>
    <row r="778" spans="13:48" s="277" customFormat="1">
      <c r="M778" s="185"/>
      <c r="N778" s="185"/>
      <c r="O778" s="185"/>
      <c r="S778" s="291">
        <v>42334</v>
      </c>
      <c r="T778" s="279">
        <v>695</v>
      </c>
      <c r="AI778" s="185"/>
      <c r="AJ778" s="185"/>
      <c r="AK778" s="185"/>
      <c r="AL778" s="185"/>
      <c r="AM778" s="185"/>
      <c r="AN778" s="185"/>
      <c r="AO778" s="185"/>
      <c r="AP778" s="185"/>
      <c r="AQ778" s="185"/>
      <c r="AR778" s="185"/>
      <c r="AS778" s="185"/>
      <c r="AT778" s="185"/>
      <c r="AU778" s="185"/>
      <c r="AV778" s="185"/>
    </row>
    <row r="779" spans="13:48" s="277" customFormat="1">
      <c r="M779" s="185"/>
      <c r="N779" s="185"/>
      <c r="O779" s="185"/>
      <c r="S779" s="291">
        <v>42335</v>
      </c>
      <c r="T779" s="279">
        <v>696</v>
      </c>
      <c r="AI779" s="185"/>
      <c r="AJ779" s="185"/>
      <c r="AK779" s="185"/>
      <c r="AL779" s="185"/>
      <c r="AM779" s="185"/>
      <c r="AN779" s="185"/>
      <c r="AO779" s="185"/>
      <c r="AP779" s="185"/>
      <c r="AQ779" s="185"/>
      <c r="AR779" s="185"/>
      <c r="AS779" s="185"/>
      <c r="AT779" s="185"/>
      <c r="AU779" s="185"/>
      <c r="AV779" s="185"/>
    </row>
    <row r="780" spans="13:48" s="277" customFormat="1">
      <c r="M780" s="185"/>
      <c r="N780" s="185"/>
      <c r="O780" s="185"/>
      <c r="S780" s="291">
        <v>42336</v>
      </c>
      <c r="T780" s="279">
        <v>697</v>
      </c>
      <c r="AI780" s="185"/>
      <c r="AJ780" s="185"/>
      <c r="AK780" s="185"/>
      <c r="AL780" s="185"/>
      <c r="AM780" s="185"/>
      <c r="AN780" s="185"/>
      <c r="AO780" s="185"/>
      <c r="AP780" s="185"/>
      <c r="AQ780" s="185"/>
      <c r="AR780" s="185"/>
      <c r="AS780" s="185"/>
      <c r="AT780" s="185"/>
      <c r="AU780" s="185"/>
      <c r="AV780" s="185"/>
    </row>
    <row r="781" spans="13:48" s="277" customFormat="1">
      <c r="M781" s="185"/>
      <c r="N781" s="185"/>
      <c r="O781" s="185"/>
      <c r="S781" s="291">
        <v>42337</v>
      </c>
      <c r="T781" s="279">
        <v>698</v>
      </c>
      <c r="AI781" s="185"/>
      <c r="AJ781" s="185"/>
      <c r="AK781" s="185"/>
      <c r="AL781" s="185"/>
      <c r="AM781" s="185"/>
      <c r="AN781" s="185"/>
      <c r="AO781" s="185"/>
      <c r="AP781" s="185"/>
      <c r="AQ781" s="185"/>
      <c r="AR781" s="185"/>
      <c r="AS781" s="185"/>
      <c r="AT781" s="185"/>
      <c r="AU781" s="185"/>
      <c r="AV781" s="185"/>
    </row>
    <row r="782" spans="13:48" s="277" customFormat="1">
      <c r="M782" s="185"/>
      <c r="N782" s="185"/>
      <c r="O782" s="185"/>
      <c r="S782" s="291">
        <v>42338</v>
      </c>
      <c r="T782" s="279">
        <v>699</v>
      </c>
      <c r="AI782" s="185"/>
      <c r="AJ782" s="185"/>
      <c r="AK782" s="185"/>
      <c r="AL782" s="185"/>
      <c r="AM782" s="185"/>
      <c r="AN782" s="185"/>
      <c r="AO782" s="185"/>
      <c r="AP782" s="185"/>
      <c r="AQ782" s="185"/>
      <c r="AR782" s="185"/>
      <c r="AS782" s="185"/>
      <c r="AT782" s="185"/>
      <c r="AU782" s="185"/>
      <c r="AV782" s="185"/>
    </row>
    <row r="783" spans="13:48" s="277" customFormat="1">
      <c r="M783" s="185"/>
      <c r="N783" s="185"/>
      <c r="O783" s="185"/>
      <c r="S783" s="291">
        <v>42339</v>
      </c>
      <c r="T783" s="279">
        <v>700</v>
      </c>
      <c r="AI783" s="185"/>
      <c r="AJ783" s="185"/>
      <c r="AK783" s="185"/>
      <c r="AL783" s="185"/>
      <c r="AM783" s="185"/>
      <c r="AN783" s="185"/>
      <c r="AO783" s="185"/>
      <c r="AP783" s="185"/>
      <c r="AQ783" s="185"/>
      <c r="AR783" s="185"/>
      <c r="AS783" s="185"/>
      <c r="AT783" s="185"/>
      <c r="AU783" s="185"/>
      <c r="AV783" s="185"/>
    </row>
    <row r="784" spans="13:48" s="277" customFormat="1">
      <c r="M784" s="185"/>
      <c r="N784" s="185"/>
      <c r="O784" s="185"/>
      <c r="S784" s="291">
        <v>42340</v>
      </c>
      <c r="T784" s="279">
        <v>701</v>
      </c>
      <c r="AI784" s="185"/>
      <c r="AJ784" s="185"/>
      <c r="AK784" s="185"/>
      <c r="AL784" s="185"/>
      <c r="AM784" s="185"/>
      <c r="AN784" s="185"/>
      <c r="AO784" s="185"/>
      <c r="AP784" s="185"/>
      <c r="AQ784" s="185"/>
      <c r="AR784" s="185"/>
      <c r="AS784" s="185"/>
      <c r="AT784" s="185"/>
      <c r="AU784" s="185"/>
      <c r="AV784" s="185"/>
    </row>
    <row r="785" spans="13:48" s="277" customFormat="1">
      <c r="M785" s="185"/>
      <c r="N785" s="185"/>
      <c r="O785" s="185"/>
      <c r="S785" s="291">
        <v>42341</v>
      </c>
      <c r="T785" s="279">
        <v>702</v>
      </c>
      <c r="AI785" s="185"/>
      <c r="AJ785" s="185"/>
      <c r="AK785" s="185"/>
      <c r="AL785" s="185"/>
      <c r="AM785" s="185"/>
      <c r="AN785" s="185"/>
      <c r="AO785" s="185"/>
      <c r="AP785" s="185"/>
      <c r="AQ785" s="185"/>
      <c r="AR785" s="185"/>
      <c r="AS785" s="185"/>
      <c r="AT785" s="185"/>
      <c r="AU785" s="185"/>
      <c r="AV785" s="185"/>
    </row>
    <row r="786" spans="13:48" s="277" customFormat="1">
      <c r="M786" s="185"/>
      <c r="N786" s="185"/>
      <c r="O786" s="185"/>
      <c r="S786" s="291">
        <v>42342</v>
      </c>
      <c r="T786" s="279">
        <v>703</v>
      </c>
      <c r="AI786" s="185"/>
      <c r="AJ786" s="185"/>
      <c r="AK786" s="185"/>
      <c r="AL786" s="185"/>
      <c r="AM786" s="185"/>
      <c r="AN786" s="185"/>
      <c r="AO786" s="185"/>
      <c r="AP786" s="185"/>
      <c r="AQ786" s="185"/>
      <c r="AR786" s="185"/>
      <c r="AS786" s="185"/>
      <c r="AT786" s="185"/>
      <c r="AU786" s="185"/>
      <c r="AV786" s="185"/>
    </row>
    <row r="787" spans="13:48" s="277" customFormat="1">
      <c r="M787" s="185"/>
      <c r="N787" s="185"/>
      <c r="O787" s="185"/>
      <c r="S787" s="291">
        <v>42343</v>
      </c>
      <c r="T787" s="279">
        <v>704</v>
      </c>
      <c r="AI787" s="185"/>
      <c r="AJ787" s="185"/>
      <c r="AK787" s="185"/>
      <c r="AL787" s="185"/>
      <c r="AM787" s="185"/>
      <c r="AN787" s="185"/>
      <c r="AO787" s="185"/>
      <c r="AP787" s="185"/>
      <c r="AQ787" s="185"/>
      <c r="AR787" s="185"/>
      <c r="AS787" s="185"/>
      <c r="AT787" s="185"/>
      <c r="AU787" s="185"/>
      <c r="AV787" s="185"/>
    </row>
    <row r="788" spans="13:48" s="277" customFormat="1">
      <c r="M788" s="185"/>
      <c r="N788" s="185"/>
      <c r="O788" s="185"/>
      <c r="S788" s="291">
        <v>42344</v>
      </c>
      <c r="T788" s="279">
        <v>705</v>
      </c>
      <c r="AI788" s="185"/>
      <c r="AJ788" s="185"/>
      <c r="AK788" s="185"/>
      <c r="AL788" s="185"/>
      <c r="AM788" s="185"/>
      <c r="AN788" s="185"/>
      <c r="AO788" s="185"/>
      <c r="AP788" s="185"/>
      <c r="AQ788" s="185"/>
      <c r="AR788" s="185"/>
      <c r="AS788" s="185"/>
      <c r="AT788" s="185"/>
      <c r="AU788" s="185"/>
      <c r="AV788" s="185"/>
    </row>
    <row r="789" spans="13:48" s="277" customFormat="1">
      <c r="M789" s="185"/>
      <c r="N789" s="185"/>
      <c r="O789" s="185"/>
      <c r="S789" s="291">
        <v>42345</v>
      </c>
      <c r="T789" s="279">
        <v>706</v>
      </c>
      <c r="AI789" s="185"/>
      <c r="AJ789" s="185"/>
      <c r="AK789" s="185"/>
      <c r="AL789" s="185"/>
      <c r="AM789" s="185"/>
      <c r="AN789" s="185"/>
      <c r="AO789" s="185"/>
      <c r="AP789" s="185"/>
      <c r="AQ789" s="185"/>
      <c r="AR789" s="185"/>
      <c r="AS789" s="185"/>
      <c r="AT789" s="185"/>
      <c r="AU789" s="185"/>
      <c r="AV789" s="185"/>
    </row>
    <row r="790" spans="13:48" s="277" customFormat="1">
      <c r="M790" s="185"/>
      <c r="N790" s="185"/>
      <c r="O790" s="185"/>
      <c r="S790" s="291">
        <v>42346</v>
      </c>
      <c r="T790" s="279">
        <v>707</v>
      </c>
      <c r="AI790" s="185"/>
      <c r="AJ790" s="185"/>
      <c r="AK790" s="185"/>
      <c r="AL790" s="185"/>
      <c r="AM790" s="185"/>
      <c r="AN790" s="185"/>
      <c r="AO790" s="185"/>
      <c r="AP790" s="185"/>
      <c r="AQ790" s="185"/>
      <c r="AR790" s="185"/>
      <c r="AS790" s="185"/>
      <c r="AT790" s="185"/>
      <c r="AU790" s="185"/>
      <c r="AV790" s="185"/>
    </row>
    <row r="791" spans="13:48" s="277" customFormat="1">
      <c r="M791" s="185"/>
      <c r="N791" s="185"/>
      <c r="O791" s="185"/>
      <c r="S791" s="291">
        <v>42347</v>
      </c>
      <c r="T791" s="279">
        <v>708</v>
      </c>
      <c r="AI791" s="185"/>
      <c r="AJ791" s="185"/>
      <c r="AK791" s="185"/>
      <c r="AL791" s="185"/>
      <c r="AM791" s="185"/>
      <c r="AN791" s="185"/>
      <c r="AO791" s="185"/>
      <c r="AP791" s="185"/>
      <c r="AQ791" s="185"/>
      <c r="AR791" s="185"/>
      <c r="AS791" s="185"/>
      <c r="AT791" s="185"/>
      <c r="AU791" s="185"/>
      <c r="AV791" s="185"/>
    </row>
    <row r="792" spans="13:48" s="277" customFormat="1">
      <c r="M792" s="185"/>
      <c r="N792" s="185"/>
      <c r="O792" s="185"/>
      <c r="S792" s="291">
        <v>42348</v>
      </c>
      <c r="T792" s="279">
        <v>709</v>
      </c>
      <c r="AI792" s="185"/>
      <c r="AJ792" s="185"/>
      <c r="AK792" s="185"/>
      <c r="AL792" s="185"/>
      <c r="AM792" s="185"/>
      <c r="AN792" s="185"/>
      <c r="AO792" s="185"/>
      <c r="AP792" s="185"/>
      <c r="AQ792" s="185"/>
      <c r="AR792" s="185"/>
      <c r="AS792" s="185"/>
      <c r="AT792" s="185"/>
      <c r="AU792" s="185"/>
      <c r="AV792" s="185"/>
    </row>
    <row r="793" spans="13:48" s="277" customFormat="1">
      <c r="M793" s="185"/>
      <c r="N793" s="185"/>
      <c r="O793" s="185"/>
      <c r="S793" s="291">
        <v>42349</v>
      </c>
      <c r="T793" s="279">
        <v>710</v>
      </c>
      <c r="AI793" s="185"/>
      <c r="AJ793" s="185"/>
      <c r="AK793" s="185"/>
      <c r="AL793" s="185"/>
      <c r="AM793" s="185"/>
      <c r="AN793" s="185"/>
      <c r="AO793" s="185"/>
      <c r="AP793" s="185"/>
      <c r="AQ793" s="185"/>
      <c r="AR793" s="185"/>
      <c r="AS793" s="185"/>
      <c r="AT793" s="185"/>
      <c r="AU793" s="185"/>
      <c r="AV793" s="185"/>
    </row>
    <row r="794" spans="13:48" s="277" customFormat="1">
      <c r="M794" s="185"/>
      <c r="N794" s="185"/>
      <c r="O794" s="185"/>
      <c r="S794" s="291">
        <v>42350</v>
      </c>
      <c r="T794" s="279">
        <v>711</v>
      </c>
      <c r="AI794" s="185"/>
      <c r="AJ794" s="185"/>
      <c r="AK794" s="185"/>
      <c r="AL794" s="185"/>
      <c r="AM794" s="185"/>
      <c r="AN794" s="185"/>
      <c r="AO794" s="185"/>
      <c r="AP794" s="185"/>
      <c r="AQ794" s="185"/>
      <c r="AR794" s="185"/>
      <c r="AS794" s="185"/>
      <c r="AT794" s="185"/>
      <c r="AU794" s="185"/>
      <c r="AV794" s="185"/>
    </row>
    <row r="795" spans="13:48" s="277" customFormat="1">
      <c r="M795" s="185"/>
      <c r="N795" s="185"/>
      <c r="O795" s="185"/>
      <c r="S795" s="291">
        <v>42351</v>
      </c>
      <c r="T795" s="279">
        <v>712</v>
      </c>
      <c r="AI795" s="185"/>
      <c r="AJ795" s="185"/>
      <c r="AK795" s="185"/>
      <c r="AL795" s="185"/>
      <c r="AM795" s="185"/>
      <c r="AN795" s="185"/>
      <c r="AO795" s="185"/>
      <c r="AP795" s="185"/>
      <c r="AQ795" s="185"/>
      <c r="AR795" s="185"/>
      <c r="AS795" s="185"/>
      <c r="AT795" s="185"/>
      <c r="AU795" s="185"/>
      <c r="AV795" s="185"/>
    </row>
    <row r="796" spans="13:48" s="277" customFormat="1">
      <c r="M796" s="185"/>
      <c r="N796" s="185"/>
      <c r="O796" s="185"/>
      <c r="S796" s="291">
        <v>42352</v>
      </c>
      <c r="T796" s="279">
        <v>713</v>
      </c>
      <c r="AI796" s="185"/>
      <c r="AJ796" s="185"/>
      <c r="AK796" s="185"/>
      <c r="AL796" s="185"/>
      <c r="AM796" s="185"/>
      <c r="AN796" s="185"/>
      <c r="AO796" s="185"/>
      <c r="AP796" s="185"/>
      <c r="AQ796" s="185"/>
      <c r="AR796" s="185"/>
      <c r="AS796" s="185"/>
      <c r="AT796" s="185"/>
      <c r="AU796" s="185"/>
      <c r="AV796" s="185"/>
    </row>
    <row r="797" spans="13:48" s="277" customFormat="1">
      <c r="M797" s="185"/>
      <c r="N797" s="185"/>
      <c r="O797" s="185"/>
      <c r="S797" s="291">
        <v>42353</v>
      </c>
      <c r="T797" s="279">
        <v>714</v>
      </c>
      <c r="AI797" s="185"/>
      <c r="AJ797" s="185"/>
      <c r="AK797" s="185"/>
      <c r="AL797" s="185"/>
      <c r="AM797" s="185"/>
      <c r="AN797" s="185"/>
      <c r="AO797" s="185"/>
      <c r="AP797" s="185"/>
      <c r="AQ797" s="185"/>
      <c r="AR797" s="185"/>
      <c r="AS797" s="185"/>
      <c r="AT797" s="185"/>
      <c r="AU797" s="185"/>
      <c r="AV797" s="185"/>
    </row>
    <row r="798" spans="13:48" s="277" customFormat="1">
      <c r="M798" s="185"/>
      <c r="N798" s="185"/>
      <c r="O798" s="185"/>
      <c r="S798" s="291">
        <v>42354</v>
      </c>
      <c r="T798" s="279">
        <v>715</v>
      </c>
      <c r="AI798" s="185"/>
      <c r="AJ798" s="185"/>
      <c r="AK798" s="185"/>
      <c r="AL798" s="185"/>
      <c r="AM798" s="185"/>
      <c r="AN798" s="185"/>
      <c r="AO798" s="185"/>
      <c r="AP798" s="185"/>
      <c r="AQ798" s="185"/>
      <c r="AR798" s="185"/>
      <c r="AS798" s="185"/>
      <c r="AT798" s="185"/>
      <c r="AU798" s="185"/>
      <c r="AV798" s="185"/>
    </row>
    <row r="799" spans="13:48" s="277" customFormat="1">
      <c r="M799" s="185"/>
      <c r="N799" s="185"/>
      <c r="O799" s="185"/>
      <c r="S799" s="291">
        <v>42355</v>
      </c>
      <c r="T799" s="279">
        <v>716</v>
      </c>
      <c r="AI799" s="185"/>
      <c r="AJ799" s="185"/>
      <c r="AK799" s="185"/>
      <c r="AL799" s="185"/>
      <c r="AM799" s="185"/>
      <c r="AN799" s="185"/>
      <c r="AO799" s="185"/>
      <c r="AP799" s="185"/>
      <c r="AQ799" s="185"/>
      <c r="AR799" s="185"/>
      <c r="AS799" s="185"/>
      <c r="AT799" s="185"/>
      <c r="AU799" s="185"/>
      <c r="AV799" s="185"/>
    </row>
    <row r="800" spans="13:48" s="277" customFormat="1">
      <c r="M800" s="185"/>
      <c r="N800" s="185"/>
      <c r="O800" s="185"/>
      <c r="S800" s="291">
        <v>42356</v>
      </c>
      <c r="T800" s="279">
        <v>717</v>
      </c>
      <c r="AI800" s="185"/>
      <c r="AJ800" s="185"/>
      <c r="AK800" s="185"/>
      <c r="AL800" s="185"/>
      <c r="AM800" s="185"/>
      <c r="AN800" s="185"/>
      <c r="AO800" s="185"/>
      <c r="AP800" s="185"/>
      <c r="AQ800" s="185"/>
      <c r="AR800" s="185"/>
      <c r="AS800" s="185"/>
      <c r="AT800" s="185"/>
      <c r="AU800" s="185"/>
      <c r="AV800" s="185"/>
    </row>
    <row r="801" spans="13:48" s="277" customFormat="1">
      <c r="M801" s="185"/>
      <c r="N801" s="185"/>
      <c r="O801" s="185"/>
      <c r="S801" s="291">
        <v>42357</v>
      </c>
      <c r="T801" s="279">
        <v>718</v>
      </c>
      <c r="AI801" s="185"/>
      <c r="AJ801" s="185"/>
      <c r="AK801" s="185"/>
      <c r="AL801" s="185"/>
      <c r="AM801" s="185"/>
      <c r="AN801" s="185"/>
      <c r="AO801" s="185"/>
      <c r="AP801" s="185"/>
      <c r="AQ801" s="185"/>
      <c r="AR801" s="185"/>
      <c r="AS801" s="185"/>
      <c r="AT801" s="185"/>
      <c r="AU801" s="185"/>
      <c r="AV801" s="185"/>
    </row>
    <row r="802" spans="13:48" s="277" customFormat="1">
      <c r="M802" s="185"/>
      <c r="N802" s="185"/>
      <c r="O802" s="185"/>
      <c r="S802" s="291">
        <v>42358</v>
      </c>
      <c r="T802" s="279">
        <v>719</v>
      </c>
      <c r="AI802" s="185"/>
      <c r="AJ802" s="185"/>
      <c r="AK802" s="185"/>
      <c r="AL802" s="185"/>
      <c r="AM802" s="185"/>
      <c r="AN802" s="185"/>
      <c r="AO802" s="185"/>
      <c r="AP802" s="185"/>
      <c r="AQ802" s="185"/>
      <c r="AR802" s="185"/>
      <c r="AS802" s="185"/>
      <c r="AT802" s="185"/>
      <c r="AU802" s="185"/>
      <c r="AV802" s="185"/>
    </row>
    <row r="803" spans="13:48" s="277" customFormat="1">
      <c r="M803" s="185"/>
      <c r="N803" s="185"/>
      <c r="O803" s="185"/>
      <c r="S803" s="291">
        <v>42359</v>
      </c>
      <c r="T803" s="279">
        <v>720</v>
      </c>
      <c r="AI803" s="185"/>
      <c r="AJ803" s="185"/>
      <c r="AK803" s="185"/>
      <c r="AL803" s="185"/>
      <c r="AM803" s="185"/>
      <c r="AN803" s="185"/>
      <c r="AO803" s="185"/>
      <c r="AP803" s="185"/>
      <c r="AQ803" s="185"/>
      <c r="AR803" s="185"/>
      <c r="AS803" s="185"/>
      <c r="AT803" s="185"/>
      <c r="AU803" s="185"/>
      <c r="AV803" s="185"/>
    </row>
    <row r="804" spans="13:48" s="277" customFormat="1">
      <c r="M804" s="185"/>
      <c r="N804" s="185"/>
      <c r="O804" s="185"/>
      <c r="S804" s="291">
        <v>42360</v>
      </c>
      <c r="T804" s="279">
        <v>721</v>
      </c>
      <c r="AI804" s="185"/>
      <c r="AJ804" s="185"/>
      <c r="AK804" s="185"/>
      <c r="AL804" s="185"/>
      <c r="AM804" s="185"/>
      <c r="AN804" s="185"/>
      <c r="AO804" s="185"/>
      <c r="AP804" s="185"/>
      <c r="AQ804" s="185"/>
      <c r="AR804" s="185"/>
      <c r="AS804" s="185"/>
      <c r="AT804" s="185"/>
      <c r="AU804" s="185"/>
      <c r="AV804" s="185"/>
    </row>
    <row r="805" spans="13:48" s="277" customFormat="1">
      <c r="M805" s="185"/>
      <c r="N805" s="185"/>
      <c r="O805" s="185"/>
      <c r="S805" s="291">
        <v>42361</v>
      </c>
      <c r="T805" s="279">
        <v>722</v>
      </c>
      <c r="AI805" s="185"/>
      <c r="AJ805" s="185"/>
      <c r="AK805" s="185"/>
      <c r="AL805" s="185"/>
      <c r="AM805" s="185"/>
      <c r="AN805" s="185"/>
      <c r="AO805" s="185"/>
      <c r="AP805" s="185"/>
      <c r="AQ805" s="185"/>
      <c r="AR805" s="185"/>
      <c r="AS805" s="185"/>
      <c r="AT805" s="185"/>
      <c r="AU805" s="185"/>
      <c r="AV805" s="185"/>
    </row>
    <row r="806" spans="13:48" s="277" customFormat="1">
      <c r="M806" s="185"/>
      <c r="N806" s="185"/>
      <c r="O806" s="185"/>
      <c r="S806" s="291">
        <v>42362</v>
      </c>
      <c r="T806" s="279">
        <v>723</v>
      </c>
      <c r="AI806" s="185"/>
      <c r="AJ806" s="185"/>
      <c r="AK806" s="185"/>
      <c r="AL806" s="185"/>
      <c r="AM806" s="185"/>
      <c r="AN806" s="185"/>
      <c r="AO806" s="185"/>
      <c r="AP806" s="185"/>
      <c r="AQ806" s="185"/>
      <c r="AR806" s="185"/>
      <c r="AS806" s="185"/>
      <c r="AT806" s="185"/>
      <c r="AU806" s="185"/>
      <c r="AV806" s="185"/>
    </row>
    <row r="807" spans="13:48" s="277" customFormat="1">
      <c r="M807" s="185"/>
      <c r="N807" s="185"/>
      <c r="O807" s="185"/>
      <c r="S807" s="291">
        <v>42363</v>
      </c>
      <c r="T807" s="279">
        <v>724</v>
      </c>
      <c r="AI807" s="185"/>
      <c r="AJ807" s="185"/>
      <c r="AK807" s="185"/>
      <c r="AL807" s="185"/>
      <c r="AM807" s="185"/>
      <c r="AN807" s="185"/>
      <c r="AO807" s="185"/>
      <c r="AP807" s="185"/>
      <c r="AQ807" s="185"/>
      <c r="AR807" s="185"/>
      <c r="AS807" s="185"/>
      <c r="AT807" s="185"/>
      <c r="AU807" s="185"/>
      <c r="AV807" s="185"/>
    </row>
    <row r="808" spans="13:48" s="277" customFormat="1">
      <c r="M808" s="185"/>
      <c r="N808" s="185"/>
      <c r="O808" s="185"/>
      <c r="S808" s="291">
        <v>42364</v>
      </c>
      <c r="T808" s="279">
        <v>725</v>
      </c>
      <c r="AI808" s="185"/>
      <c r="AJ808" s="185"/>
      <c r="AK808" s="185"/>
      <c r="AL808" s="185"/>
      <c r="AM808" s="185"/>
      <c r="AN808" s="185"/>
      <c r="AO808" s="185"/>
      <c r="AP808" s="185"/>
      <c r="AQ808" s="185"/>
      <c r="AR808" s="185"/>
      <c r="AS808" s="185"/>
      <c r="AT808" s="185"/>
      <c r="AU808" s="185"/>
      <c r="AV808" s="185"/>
    </row>
    <row r="809" spans="13:48" s="277" customFormat="1">
      <c r="M809" s="185"/>
      <c r="N809" s="185"/>
      <c r="O809" s="185"/>
      <c r="S809" s="291">
        <v>42365</v>
      </c>
      <c r="T809" s="279">
        <v>726</v>
      </c>
      <c r="AI809" s="185"/>
      <c r="AJ809" s="185"/>
      <c r="AK809" s="185"/>
      <c r="AL809" s="185"/>
      <c r="AM809" s="185"/>
      <c r="AN809" s="185"/>
      <c r="AO809" s="185"/>
      <c r="AP809" s="185"/>
      <c r="AQ809" s="185"/>
      <c r="AR809" s="185"/>
      <c r="AS809" s="185"/>
      <c r="AT809" s="185"/>
      <c r="AU809" s="185"/>
      <c r="AV809" s="185"/>
    </row>
    <row r="810" spans="13:48" s="277" customFormat="1">
      <c r="M810" s="185"/>
      <c r="N810" s="185"/>
      <c r="O810" s="185"/>
      <c r="S810" s="291">
        <v>42366</v>
      </c>
      <c r="T810" s="279">
        <v>727</v>
      </c>
      <c r="AI810" s="185"/>
      <c r="AJ810" s="185"/>
      <c r="AK810" s="185"/>
      <c r="AL810" s="185"/>
      <c r="AM810" s="185"/>
      <c r="AN810" s="185"/>
      <c r="AO810" s="185"/>
      <c r="AP810" s="185"/>
      <c r="AQ810" s="185"/>
      <c r="AR810" s="185"/>
      <c r="AS810" s="185"/>
      <c r="AT810" s="185"/>
      <c r="AU810" s="185"/>
      <c r="AV810" s="185"/>
    </row>
    <row r="811" spans="13:48" s="277" customFormat="1">
      <c r="M811" s="185"/>
      <c r="N811" s="185"/>
      <c r="O811" s="185"/>
      <c r="S811" s="291">
        <v>42367</v>
      </c>
      <c r="T811" s="279">
        <v>728</v>
      </c>
      <c r="AI811" s="185"/>
      <c r="AJ811" s="185"/>
      <c r="AK811" s="185"/>
      <c r="AL811" s="185"/>
      <c r="AM811" s="185"/>
      <c r="AN811" s="185"/>
      <c r="AO811" s="185"/>
      <c r="AP811" s="185"/>
      <c r="AQ811" s="185"/>
      <c r="AR811" s="185"/>
      <c r="AS811" s="185"/>
      <c r="AT811" s="185"/>
      <c r="AU811" s="185"/>
      <c r="AV811" s="185"/>
    </row>
    <row r="812" spans="13:48" s="277" customFormat="1">
      <c r="M812" s="185"/>
      <c r="N812" s="185"/>
      <c r="O812" s="185"/>
      <c r="S812" s="291">
        <v>42368</v>
      </c>
      <c r="T812" s="279">
        <v>729</v>
      </c>
      <c r="AI812" s="185"/>
      <c r="AJ812" s="185"/>
      <c r="AK812" s="185"/>
      <c r="AL812" s="185"/>
      <c r="AM812" s="185"/>
      <c r="AN812" s="185"/>
      <c r="AO812" s="185"/>
      <c r="AP812" s="185"/>
      <c r="AQ812" s="185"/>
      <c r="AR812" s="185"/>
      <c r="AS812" s="185"/>
      <c r="AT812" s="185"/>
      <c r="AU812" s="185"/>
      <c r="AV812" s="185"/>
    </row>
    <row r="813" spans="13:48" s="277" customFormat="1">
      <c r="M813" s="185"/>
      <c r="N813" s="185"/>
      <c r="O813" s="185"/>
      <c r="S813" s="291">
        <v>42369</v>
      </c>
      <c r="T813" s="279">
        <v>730</v>
      </c>
      <c r="AI813" s="185"/>
      <c r="AJ813" s="185"/>
      <c r="AK813" s="185"/>
      <c r="AL813" s="185"/>
      <c r="AM813" s="185"/>
      <c r="AN813" s="185"/>
      <c r="AO813" s="185"/>
      <c r="AP813" s="185"/>
      <c r="AQ813" s="185"/>
      <c r="AR813" s="185"/>
      <c r="AS813" s="185"/>
      <c r="AT813" s="185"/>
      <c r="AU813" s="185"/>
      <c r="AV813" s="185"/>
    </row>
    <row r="814" spans="13:48" s="277" customFormat="1">
      <c r="M814" s="185"/>
      <c r="N814" s="185"/>
      <c r="O814" s="185"/>
      <c r="S814" s="291">
        <v>42370</v>
      </c>
      <c r="T814" s="279">
        <v>731</v>
      </c>
      <c r="AI814" s="185"/>
      <c r="AJ814" s="185"/>
      <c r="AK814" s="185"/>
      <c r="AL814" s="185"/>
      <c r="AM814" s="185"/>
      <c r="AN814" s="185"/>
      <c r="AO814" s="185"/>
      <c r="AP814" s="185"/>
      <c r="AQ814" s="185"/>
      <c r="AR814" s="185"/>
      <c r="AS814" s="185"/>
      <c r="AT814" s="185"/>
      <c r="AU814" s="185"/>
      <c r="AV814" s="185"/>
    </row>
    <row r="815" spans="13:48" s="277" customFormat="1">
      <c r="M815" s="185"/>
      <c r="N815" s="185"/>
      <c r="O815" s="185"/>
      <c r="S815" s="291">
        <v>42371</v>
      </c>
      <c r="T815" s="279">
        <v>732</v>
      </c>
      <c r="AI815" s="185"/>
      <c r="AJ815" s="185"/>
      <c r="AK815" s="185"/>
      <c r="AL815" s="185"/>
      <c r="AM815" s="185"/>
      <c r="AN815" s="185"/>
      <c r="AO815" s="185"/>
      <c r="AP815" s="185"/>
      <c r="AQ815" s="185"/>
      <c r="AR815" s="185"/>
      <c r="AS815" s="185"/>
      <c r="AT815" s="185"/>
      <c r="AU815" s="185"/>
      <c r="AV815" s="185"/>
    </row>
    <row r="816" spans="13:48" s="277" customFormat="1">
      <c r="M816" s="185"/>
      <c r="N816" s="185"/>
      <c r="O816" s="185"/>
      <c r="S816" s="291">
        <v>42372</v>
      </c>
      <c r="T816" s="279">
        <v>733</v>
      </c>
      <c r="AI816" s="185"/>
      <c r="AJ816" s="185"/>
      <c r="AK816" s="185"/>
      <c r="AL816" s="185"/>
      <c r="AM816" s="185"/>
      <c r="AN816" s="185"/>
      <c r="AO816" s="185"/>
      <c r="AP816" s="185"/>
      <c r="AQ816" s="185"/>
      <c r="AR816" s="185"/>
      <c r="AS816" s="185"/>
      <c r="AT816" s="185"/>
      <c r="AU816" s="185"/>
      <c r="AV816" s="185"/>
    </row>
    <row r="817" spans="13:48" s="277" customFormat="1">
      <c r="M817" s="185"/>
      <c r="N817" s="185"/>
      <c r="O817" s="185"/>
      <c r="S817" s="291">
        <v>42373</v>
      </c>
      <c r="T817" s="279">
        <v>734</v>
      </c>
      <c r="AI817" s="185"/>
      <c r="AJ817" s="185"/>
      <c r="AK817" s="185"/>
      <c r="AL817" s="185"/>
      <c r="AM817" s="185"/>
      <c r="AN817" s="185"/>
      <c r="AO817" s="185"/>
      <c r="AP817" s="185"/>
      <c r="AQ817" s="185"/>
      <c r="AR817" s="185"/>
      <c r="AS817" s="185"/>
      <c r="AT817" s="185"/>
      <c r="AU817" s="185"/>
      <c r="AV817" s="185"/>
    </row>
    <row r="818" spans="13:48" s="277" customFormat="1">
      <c r="M818" s="185"/>
      <c r="N818" s="185"/>
      <c r="O818" s="185"/>
      <c r="S818" s="291">
        <v>42374</v>
      </c>
      <c r="T818" s="279">
        <v>735</v>
      </c>
      <c r="AI818" s="185"/>
      <c r="AJ818" s="185"/>
      <c r="AK818" s="185"/>
      <c r="AL818" s="185"/>
      <c r="AM818" s="185"/>
      <c r="AN818" s="185"/>
      <c r="AO818" s="185"/>
      <c r="AP818" s="185"/>
      <c r="AQ818" s="185"/>
      <c r="AR818" s="185"/>
      <c r="AS818" s="185"/>
      <c r="AT818" s="185"/>
      <c r="AU818" s="185"/>
      <c r="AV818" s="185"/>
    </row>
    <row r="819" spans="13:48" s="277" customFormat="1">
      <c r="M819" s="185"/>
      <c r="N819" s="185"/>
      <c r="O819" s="185"/>
      <c r="S819" s="291">
        <v>42375</v>
      </c>
      <c r="T819" s="279">
        <v>736</v>
      </c>
      <c r="AI819" s="185"/>
      <c r="AJ819" s="185"/>
      <c r="AK819" s="185"/>
      <c r="AL819" s="185"/>
      <c r="AM819" s="185"/>
      <c r="AN819" s="185"/>
      <c r="AO819" s="185"/>
      <c r="AP819" s="185"/>
      <c r="AQ819" s="185"/>
      <c r="AR819" s="185"/>
      <c r="AS819" s="185"/>
      <c r="AT819" s="185"/>
      <c r="AU819" s="185"/>
      <c r="AV819" s="185"/>
    </row>
    <row r="820" spans="13:48" s="277" customFormat="1">
      <c r="M820" s="185"/>
      <c r="N820" s="185"/>
      <c r="O820" s="185"/>
      <c r="S820" s="291">
        <v>42376</v>
      </c>
      <c r="T820" s="279">
        <v>737</v>
      </c>
      <c r="AI820" s="185"/>
      <c r="AJ820" s="185"/>
      <c r="AK820" s="185"/>
      <c r="AL820" s="185"/>
      <c r="AM820" s="185"/>
      <c r="AN820" s="185"/>
      <c r="AO820" s="185"/>
      <c r="AP820" s="185"/>
      <c r="AQ820" s="185"/>
      <c r="AR820" s="185"/>
      <c r="AS820" s="185"/>
      <c r="AT820" s="185"/>
      <c r="AU820" s="185"/>
      <c r="AV820" s="185"/>
    </row>
    <row r="821" spans="13:48" s="277" customFormat="1">
      <c r="M821" s="185"/>
      <c r="N821" s="185"/>
      <c r="O821" s="185"/>
      <c r="S821" s="291">
        <v>42377</v>
      </c>
      <c r="T821" s="279">
        <v>738</v>
      </c>
      <c r="AI821" s="185"/>
      <c r="AJ821" s="185"/>
      <c r="AK821" s="185"/>
      <c r="AL821" s="185"/>
      <c r="AM821" s="185"/>
      <c r="AN821" s="185"/>
      <c r="AO821" s="185"/>
      <c r="AP821" s="185"/>
      <c r="AQ821" s="185"/>
      <c r="AR821" s="185"/>
      <c r="AS821" s="185"/>
      <c r="AT821" s="185"/>
      <c r="AU821" s="185"/>
      <c r="AV821" s="185"/>
    </row>
    <row r="822" spans="13:48" s="277" customFormat="1">
      <c r="M822" s="185"/>
      <c r="N822" s="185"/>
      <c r="O822" s="185"/>
      <c r="S822" s="291">
        <v>42378</v>
      </c>
      <c r="T822" s="279">
        <v>739</v>
      </c>
      <c r="AI822" s="185"/>
      <c r="AJ822" s="185"/>
      <c r="AK822" s="185"/>
      <c r="AL822" s="185"/>
      <c r="AM822" s="185"/>
      <c r="AN822" s="185"/>
      <c r="AO822" s="185"/>
      <c r="AP822" s="185"/>
      <c r="AQ822" s="185"/>
      <c r="AR822" s="185"/>
      <c r="AS822" s="185"/>
      <c r="AT822" s="185"/>
      <c r="AU822" s="185"/>
      <c r="AV822" s="185"/>
    </row>
    <row r="823" spans="13:48" s="277" customFormat="1">
      <c r="M823" s="185"/>
      <c r="N823" s="185"/>
      <c r="O823" s="185"/>
      <c r="S823" s="291">
        <v>42379</v>
      </c>
      <c r="T823" s="279">
        <v>740</v>
      </c>
      <c r="AI823" s="185"/>
      <c r="AJ823" s="185"/>
      <c r="AK823" s="185"/>
      <c r="AL823" s="185"/>
      <c r="AM823" s="185"/>
      <c r="AN823" s="185"/>
      <c r="AO823" s="185"/>
      <c r="AP823" s="185"/>
      <c r="AQ823" s="185"/>
      <c r="AR823" s="185"/>
      <c r="AS823" s="185"/>
      <c r="AT823" s="185"/>
      <c r="AU823" s="185"/>
      <c r="AV823" s="185"/>
    </row>
    <row r="824" spans="13:48" s="277" customFormat="1">
      <c r="M824" s="185"/>
      <c r="N824" s="185"/>
      <c r="O824" s="185"/>
      <c r="S824" s="291">
        <v>42380</v>
      </c>
      <c r="T824" s="279">
        <v>741</v>
      </c>
      <c r="AI824" s="185"/>
      <c r="AJ824" s="185"/>
      <c r="AK824" s="185"/>
      <c r="AL824" s="185"/>
      <c r="AM824" s="185"/>
      <c r="AN824" s="185"/>
      <c r="AO824" s="185"/>
      <c r="AP824" s="185"/>
      <c r="AQ824" s="185"/>
      <c r="AR824" s="185"/>
      <c r="AS824" s="185"/>
      <c r="AT824" s="185"/>
      <c r="AU824" s="185"/>
      <c r="AV824" s="185"/>
    </row>
    <row r="825" spans="13:48" s="277" customFormat="1">
      <c r="M825" s="185"/>
      <c r="N825" s="185"/>
      <c r="O825" s="185"/>
      <c r="S825" s="291">
        <v>42381</v>
      </c>
      <c r="T825" s="279">
        <v>742</v>
      </c>
      <c r="AI825" s="185"/>
      <c r="AJ825" s="185"/>
      <c r="AK825" s="185"/>
      <c r="AL825" s="185"/>
      <c r="AM825" s="185"/>
      <c r="AN825" s="185"/>
      <c r="AO825" s="185"/>
      <c r="AP825" s="185"/>
      <c r="AQ825" s="185"/>
      <c r="AR825" s="185"/>
      <c r="AS825" s="185"/>
      <c r="AT825" s="185"/>
      <c r="AU825" s="185"/>
      <c r="AV825" s="185"/>
    </row>
    <row r="826" spans="13:48" s="277" customFormat="1">
      <c r="M826" s="185"/>
      <c r="N826" s="185"/>
      <c r="O826" s="185"/>
      <c r="S826" s="291">
        <v>42382</v>
      </c>
      <c r="T826" s="279">
        <v>743</v>
      </c>
      <c r="AI826" s="185"/>
      <c r="AJ826" s="185"/>
      <c r="AK826" s="185"/>
      <c r="AL826" s="185"/>
      <c r="AM826" s="185"/>
      <c r="AN826" s="185"/>
      <c r="AO826" s="185"/>
      <c r="AP826" s="185"/>
      <c r="AQ826" s="185"/>
      <c r="AR826" s="185"/>
      <c r="AS826" s="185"/>
      <c r="AT826" s="185"/>
      <c r="AU826" s="185"/>
      <c r="AV826" s="185"/>
    </row>
    <row r="827" spans="13:48" s="277" customFormat="1">
      <c r="M827" s="185"/>
      <c r="N827" s="185"/>
      <c r="O827" s="185"/>
      <c r="S827" s="291">
        <v>42383</v>
      </c>
      <c r="T827" s="279">
        <v>744</v>
      </c>
      <c r="AI827" s="185"/>
      <c r="AJ827" s="185"/>
      <c r="AK827" s="185"/>
      <c r="AL827" s="185"/>
      <c r="AM827" s="185"/>
      <c r="AN827" s="185"/>
      <c r="AO827" s="185"/>
      <c r="AP827" s="185"/>
      <c r="AQ827" s="185"/>
      <c r="AR827" s="185"/>
      <c r="AS827" s="185"/>
      <c r="AT827" s="185"/>
      <c r="AU827" s="185"/>
      <c r="AV827" s="185"/>
    </row>
    <row r="828" spans="13:48" s="277" customFormat="1">
      <c r="M828" s="185"/>
      <c r="N828" s="185"/>
      <c r="O828" s="185"/>
      <c r="S828" s="291">
        <v>42384</v>
      </c>
      <c r="T828" s="279">
        <v>745</v>
      </c>
      <c r="AI828" s="185"/>
      <c r="AJ828" s="185"/>
      <c r="AK828" s="185"/>
      <c r="AL828" s="185"/>
      <c r="AM828" s="185"/>
      <c r="AN828" s="185"/>
      <c r="AO828" s="185"/>
      <c r="AP828" s="185"/>
      <c r="AQ828" s="185"/>
      <c r="AR828" s="185"/>
      <c r="AS828" s="185"/>
      <c r="AT828" s="185"/>
      <c r="AU828" s="185"/>
      <c r="AV828" s="185"/>
    </row>
    <row r="829" spans="13:48" s="277" customFormat="1">
      <c r="M829" s="185"/>
      <c r="N829" s="185"/>
      <c r="O829" s="185"/>
      <c r="S829" s="291">
        <v>42385</v>
      </c>
      <c r="T829" s="279">
        <v>746</v>
      </c>
      <c r="AI829" s="185"/>
      <c r="AJ829" s="185"/>
      <c r="AK829" s="185"/>
      <c r="AL829" s="185"/>
      <c r="AM829" s="185"/>
      <c r="AN829" s="185"/>
      <c r="AO829" s="185"/>
      <c r="AP829" s="185"/>
      <c r="AQ829" s="185"/>
      <c r="AR829" s="185"/>
      <c r="AS829" s="185"/>
      <c r="AT829" s="185"/>
      <c r="AU829" s="185"/>
      <c r="AV829" s="185"/>
    </row>
    <row r="830" spans="13:48" s="277" customFormat="1">
      <c r="M830" s="185"/>
      <c r="N830" s="185"/>
      <c r="O830" s="185"/>
      <c r="S830" s="291">
        <v>42386</v>
      </c>
      <c r="T830" s="279">
        <v>747</v>
      </c>
      <c r="AI830" s="185"/>
      <c r="AJ830" s="185"/>
      <c r="AK830" s="185"/>
      <c r="AL830" s="185"/>
      <c r="AM830" s="185"/>
      <c r="AN830" s="185"/>
      <c r="AO830" s="185"/>
      <c r="AP830" s="185"/>
      <c r="AQ830" s="185"/>
      <c r="AR830" s="185"/>
      <c r="AS830" s="185"/>
      <c r="AT830" s="185"/>
      <c r="AU830" s="185"/>
      <c r="AV830" s="185"/>
    </row>
    <row r="831" spans="13:48" s="277" customFormat="1">
      <c r="M831" s="185"/>
      <c r="N831" s="185"/>
      <c r="O831" s="185"/>
      <c r="S831" s="291">
        <v>42387</v>
      </c>
      <c r="T831" s="279">
        <v>748</v>
      </c>
      <c r="AI831" s="185"/>
      <c r="AJ831" s="185"/>
      <c r="AK831" s="185"/>
      <c r="AL831" s="185"/>
      <c r="AM831" s="185"/>
      <c r="AN831" s="185"/>
      <c r="AO831" s="185"/>
      <c r="AP831" s="185"/>
      <c r="AQ831" s="185"/>
      <c r="AR831" s="185"/>
      <c r="AS831" s="185"/>
      <c r="AT831" s="185"/>
      <c r="AU831" s="185"/>
      <c r="AV831" s="185"/>
    </row>
    <row r="832" spans="13:48" s="277" customFormat="1">
      <c r="M832" s="185"/>
      <c r="N832" s="185"/>
      <c r="O832" s="185"/>
      <c r="S832" s="291">
        <v>42388</v>
      </c>
      <c r="T832" s="279">
        <v>749</v>
      </c>
      <c r="AI832" s="185"/>
      <c r="AJ832" s="185"/>
      <c r="AK832" s="185"/>
      <c r="AL832" s="185"/>
      <c r="AM832" s="185"/>
      <c r="AN832" s="185"/>
      <c r="AO832" s="185"/>
      <c r="AP832" s="185"/>
      <c r="AQ832" s="185"/>
      <c r="AR832" s="185"/>
      <c r="AS832" s="185"/>
      <c r="AT832" s="185"/>
      <c r="AU832" s="185"/>
      <c r="AV832" s="185"/>
    </row>
    <row r="833" spans="13:48" s="277" customFormat="1">
      <c r="M833" s="185"/>
      <c r="N833" s="185"/>
      <c r="O833" s="185"/>
      <c r="S833" s="291">
        <v>42389</v>
      </c>
      <c r="T833" s="279">
        <v>750</v>
      </c>
      <c r="AI833" s="185"/>
      <c r="AJ833" s="185"/>
      <c r="AK833" s="185"/>
      <c r="AL833" s="185"/>
      <c r="AM833" s="185"/>
      <c r="AN833" s="185"/>
      <c r="AO833" s="185"/>
      <c r="AP833" s="185"/>
      <c r="AQ833" s="185"/>
      <c r="AR833" s="185"/>
      <c r="AS833" s="185"/>
      <c r="AT833" s="185"/>
      <c r="AU833" s="185"/>
      <c r="AV833" s="185"/>
    </row>
    <row r="834" spans="13:48" s="277" customFormat="1">
      <c r="M834" s="185"/>
      <c r="N834" s="185"/>
      <c r="O834" s="185"/>
      <c r="S834" s="291">
        <v>42390</v>
      </c>
      <c r="T834" s="279">
        <v>751</v>
      </c>
      <c r="AI834" s="185"/>
      <c r="AJ834" s="185"/>
      <c r="AK834" s="185"/>
      <c r="AL834" s="185"/>
      <c r="AM834" s="185"/>
      <c r="AN834" s="185"/>
      <c r="AO834" s="185"/>
      <c r="AP834" s="185"/>
      <c r="AQ834" s="185"/>
      <c r="AR834" s="185"/>
      <c r="AS834" s="185"/>
      <c r="AT834" s="185"/>
      <c r="AU834" s="185"/>
      <c r="AV834" s="185"/>
    </row>
    <row r="835" spans="13:48" s="277" customFormat="1">
      <c r="M835" s="185"/>
      <c r="N835" s="185"/>
      <c r="O835" s="185"/>
      <c r="S835" s="291">
        <v>42391</v>
      </c>
      <c r="T835" s="279">
        <v>752</v>
      </c>
      <c r="AI835" s="185"/>
      <c r="AJ835" s="185"/>
      <c r="AK835" s="185"/>
      <c r="AL835" s="185"/>
      <c r="AM835" s="185"/>
      <c r="AN835" s="185"/>
      <c r="AO835" s="185"/>
      <c r="AP835" s="185"/>
      <c r="AQ835" s="185"/>
      <c r="AR835" s="185"/>
      <c r="AS835" s="185"/>
      <c r="AT835" s="185"/>
      <c r="AU835" s="185"/>
      <c r="AV835" s="185"/>
    </row>
    <row r="836" spans="13:48" s="277" customFormat="1">
      <c r="M836" s="185"/>
      <c r="N836" s="185"/>
      <c r="O836" s="185"/>
      <c r="S836" s="291">
        <v>42392</v>
      </c>
      <c r="T836" s="279">
        <v>753</v>
      </c>
      <c r="AI836" s="185"/>
      <c r="AJ836" s="185"/>
      <c r="AK836" s="185"/>
      <c r="AL836" s="185"/>
      <c r="AM836" s="185"/>
      <c r="AN836" s="185"/>
      <c r="AO836" s="185"/>
      <c r="AP836" s="185"/>
      <c r="AQ836" s="185"/>
      <c r="AR836" s="185"/>
      <c r="AS836" s="185"/>
      <c r="AT836" s="185"/>
      <c r="AU836" s="185"/>
      <c r="AV836" s="185"/>
    </row>
    <row r="837" spans="13:48" s="277" customFormat="1">
      <c r="M837" s="185"/>
      <c r="N837" s="185"/>
      <c r="O837" s="185"/>
      <c r="S837" s="291">
        <v>42393</v>
      </c>
      <c r="T837" s="279">
        <v>754</v>
      </c>
      <c r="AI837" s="185"/>
      <c r="AJ837" s="185"/>
      <c r="AK837" s="185"/>
      <c r="AL837" s="185"/>
      <c r="AM837" s="185"/>
      <c r="AN837" s="185"/>
      <c r="AO837" s="185"/>
      <c r="AP837" s="185"/>
      <c r="AQ837" s="185"/>
      <c r="AR837" s="185"/>
      <c r="AS837" s="185"/>
      <c r="AT837" s="185"/>
      <c r="AU837" s="185"/>
      <c r="AV837" s="185"/>
    </row>
    <row r="838" spans="13:48" s="277" customFormat="1">
      <c r="M838" s="185"/>
      <c r="N838" s="185"/>
      <c r="O838" s="185"/>
      <c r="S838" s="291">
        <v>42394</v>
      </c>
      <c r="T838" s="279">
        <v>755</v>
      </c>
      <c r="AI838" s="185"/>
      <c r="AJ838" s="185"/>
      <c r="AK838" s="185"/>
      <c r="AL838" s="185"/>
      <c r="AM838" s="185"/>
      <c r="AN838" s="185"/>
      <c r="AO838" s="185"/>
      <c r="AP838" s="185"/>
      <c r="AQ838" s="185"/>
      <c r="AR838" s="185"/>
      <c r="AS838" s="185"/>
      <c r="AT838" s="185"/>
      <c r="AU838" s="185"/>
      <c r="AV838" s="185"/>
    </row>
    <row r="839" spans="13:48" s="277" customFormat="1">
      <c r="M839" s="185"/>
      <c r="N839" s="185"/>
      <c r="O839" s="185"/>
      <c r="S839" s="291">
        <v>42395</v>
      </c>
      <c r="T839" s="279">
        <v>756</v>
      </c>
      <c r="AI839" s="185"/>
      <c r="AJ839" s="185"/>
      <c r="AK839" s="185"/>
      <c r="AL839" s="185"/>
      <c r="AM839" s="185"/>
      <c r="AN839" s="185"/>
      <c r="AO839" s="185"/>
      <c r="AP839" s="185"/>
      <c r="AQ839" s="185"/>
      <c r="AR839" s="185"/>
      <c r="AS839" s="185"/>
      <c r="AT839" s="185"/>
      <c r="AU839" s="185"/>
      <c r="AV839" s="185"/>
    </row>
    <row r="840" spans="13:48" s="277" customFormat="1">
      <c r="M840" s="185"/>
      <c r="N840" s="185"/>
      <c r="O840" s="185"/>
      <c r="S840" s="291">
        <v>42396</v>
      </c>
      <c r="T840" s="279">
        <v>757</v>
      </c>
      <c r="AI840" s="185"/>
      <c r="AJ840" s="185"/>
      <c r="AK840" s="185"/>
      <c r="AL840" s="185"/>
      <c r="AM840" s="185"/>
      <c r="AN840" s="185"/>
      <c r="AO840" s="185"/>
      <c r="AP840" s="185"/>
      <c r="AQ840" s="185"/>
      <c r="AR840" s="185"/>
      <c r="AS840" s="185"/>
      <c r="AT840" s="185"/>
      <c r="AU840" s="185"/>
      <c r="AV840" s="185"/>
    </row>
    <row r="841" spans="13:48" s="277" customFormat="1">
      <c r="M841" s="185"/>
      <c r="N841" s="185"/>
      <c r="O841" s="185"/>
      <c r="S841" s="291">
        <v>42397</v>
      </c>
      <c r="T841" s="279">
        <v>758</v>
      </c>
      <c r="AI841" s="185"/>
      <c r="AJ841" s="185"/>
      <c r="AK841" s="185"/>
      <c r="AL841" s="185"/>
      <c r="AM841" s="185"/>
      <c r="AN841" s="185"/>
      <c r="AO841" s="185"/>
      <c r="AP841" s="185"/>
      <c r="AQ841" s="185"/>
      <c r="AR841" s="185"/>
      <c r="AS841" s="185"/>
      <c r="AT841" s="185"/>
      <c r="AU841" s="185"/>
      <c r="AV841" s="185"/>
    </row>
    <row r="842" spans="13:48" s="277" customFormat="1">
      <c r="M842" s="185"/>
      <c r="N842" s="185"/>
      <c r="O842" s="185"/>
      <c r="S842" s="291">
        <v>42398</v>
      </c>
      <c r="T842" s="279">
        <v>759</v>
      </c>
      <c r="AI842" s="185"/>
      <c r="AJ842" s="185"/>
      <c r="AK842" s="185"/>
      <c r="AL842" s="185"/>
      <c r="AM842" s="185"/>
      <c r="AN842" s="185"/>
      <c r="AO842" s="185"/>
      <c r="AP842" s="185"/>
      <c r="AQ842" s="185"/>
      <c r="AR842" s="185"/>
      <c r="AS842" s="185"/>
      <c r="AT842" s="185"/>
      <c r="AU842" s="185"/>
      <c r="AV842" s="185"/>
    </row>
    <row r="843" spans="13:48" s="277" customFormat="1">
      <c r="M843" s="185"/>
      <c r="N843" s="185"/>
      <c r="O843" s="185"/>
      <c r="S843" s="291">
        <v>42399</v>
      </c>
      <c r="T843" s="279">
        <v>760</v>
      </c>
      <c r="AI843" s="185"/>
      <c r="AJ843" s="185"/>
      <c r="AK843" s="185"/>
      <c r="AL843" s="185"/>
      <c r="AM843" s="185"/>
      <c r="AN843" s="185"/>
      <c r="AO843" s="185"/>
      <c r="AP843" s="185"/>
      <c r="AQ843" s="185"/>
      <c r="AR843" s="185"/>
      <c r="AS843" s="185"/>
      <c r="AT843" s="185"/>
      <c r="AU843" s="185"/>
      <c r="AV843" s="185"/>
    </row>
    <row r="844" spans="13:48" s="277" customFormat="1">
      <c r="M844" s="185"/>
      <c r="N844" s="185"/>
      <c r="O844" s="185"/>
      <c r="S844" s="291">
        <v>42400</v>
      </c>
      <c r="T844" s="279">
        <v>761</v>
      </c>
      <c r="AI844" s="185"/>
      <c r="AJ844" s="185"/>
      <c r="AK844" s="185"/>
      <c r="AL844" s="185"/>
      <c r="AM844" s="185"/>
      <c r="AN844" s="185"/>
      <c r="AO844" s="185"/>
      <c r="AP844" s="185"/>
      <c r="AQ844" s="185"/>
      <c r="AR844" s="185"/>
      <c r="AS844" s="185"/>
      <c r="AT844" s="185"/>
      <c r="AU844" s="185"/>
      <c r="AV844" s="185"/>
    </row>
    <row r="845" spans="13:48" s="277" customFormat="1">
      <c r="M845" s="185"/>
      <c r="N845" s="185"/>
      <c r="O845" s="185"/>
      <c r="S845" s="291">
        <v>42401</v>
      </c>
      <c r="T845" s="279">
        <v>762</v>
      </c>
      <c r="AI845" s="185"/>
      <c r="AJ845" s="185"/>
      <c r="AK845" s="185"/>
      <c r="AL845" s="185"/>
      <c r="AM845" s="185"/>
      <c r="AN845" s="185"/>
      <c r="AO845" s="185"/>
      <c r="AP845" s="185"/>
      <c r="AQ845" s="185"/>
      <c r="AR845" s="185"/>
      <c r="AS845" s="185"/>
      <c r="AT845" s="185"/>
      <c r="AU845" s="185"/>
      <c r="AV845" s="185"/>
    </row>
    <row r="846" spans="13:48" s="277" customFormat="1">
      <c r="M846" s="185"/>
      <c r="N846" s="185"/>
      <c r="O846" s="185"/>
      <c r="S846" s="291">
        <v>42402</v>
      </c>
      <c r="T846" s="279">
        <v>763</v>
      </c>
      <c r="AI846" s="185"/>
      <c r="AJ846" s="185"/>
      <c r="AK846" s="185"/>
      <c r="AL846" s="185"/>
      <c r="AM846" s="185"/>
      <c r="AN846" s="185"/>
      <c r="AO846" s="185"/>
      <c r="AP846" s="185"/>
      <c r="AQ846" s="185"/>
      <c r="AR846" s="185"/>
      <c r="AS846" s="185"/>
      <c r="AT846" s="185"/>
      <c r="AU846" s="185"/>
      <c r="AV846" s="185"/>
    </row>
    <row r="847" spans="13:48" s="277" customFormat="1">
      <c r="M847" s="185"/>
      <c r="N847" s="185"/>
      <c r="O847" s="185"/>
      <c r="S847" s="291">
        <v>42403</v>
      </c>
      <c r="T847" s="279">
        <v>764</v>
      </c>
      <c r="AI847" s="185"/>
      <c r="AJ847" s="185"/>
      <c r="AK847" s="185"/>
      <c r="AL847" s="185"/>
      <c r="AM847" s="185"/>
      <c r="AN847" s="185"/>
      <c r="AO847" s="185"/>
      <c r="AP847" s="185"/>
      <c r="AQ847" s="185"/>
      <c r="AR847" s="185"/>
      <c r="AS847" s="185"/>
      <c r="AT847" s="185"/>
      <c r="AU847" s="185"/>
      <c r="AV847" s="185"/>
    </row>
    <row r="848" spans="13:48" s="277" customFormat="1">
      <c r="M848" s="185"/>
      <c r="N848" s="185"/>
      <c r="O848" s="185"/>
      <c r="S848" s="291">
        <v>42404</v>
      </c>
      <c r="T848" s="279">
        <v>765</v>
      </c>
      <c r="AI848" s="185"/>
      <c r="AJ848" s="185"/>
      <c r="AK848" s="185"/>
      <c r="AL848" s="185"/>
      <c r="AM848" s="185"/>
      <c r="AN848" s="185"/>
      <c r="AO848" s="185"/>
      <c r="AP848" s="185"/>
      <c r="AQ848" s="185"/>
      <c r="AR848" s="185"/>
      <c r="AS848" s="185"/>
      <c r="AT848" s="185"/>
      <c r="AU848" s="185"/>
      <c r="AV848" s="185"/>
    </row>
    <row r="849" spans="13:48" s="277" customFormat="1">
      <c r="M849" s="185"/>
      <c r="N849" s="185"/>
      <c r="O849" s="185"/>
      <c r="S849" s="291">
        <v>42405</v>
      </c>
      <c r="T849" s="279">
        <v>766</v>
      </c>
      <c r="AI849" s="185"/>
      <c r="AJ849" s="185"/>
      <c r="AK849" s="185"/>
      <c r="AL849" s="185"/>
      <c r="AM849" s="185"/>
      <c r="AN849" s="185"/>
      <c r="AO849" s="185"/>
      <c r="AP849" s="185"/>
      <c r="AQ849" s="185"/>
      <c r="AR849" s="185"/>
      <c r="AS849" s="185"/>
      <c r="AT849" s="185"/>
      <c r="AU849" s="185"/>
      <c r="AV849" s="185"/>
    </row>
    <row r="850" spans="13:48" s="277" customFormat="1">
      <c r="M850" s="185"/>
      <c r="N850" s="185"/>
      <c r="O850" s="185"/>
      <c r="S850" s="291">
        <v>42406</v>
      </c>
      <c r="T850" s="279">
        <v>767</v>
      </c>
      <c r="AI850" s="185"/>
      <c r="AJ850" s="185"/>
      <c r="AK850" s="185"/>
      <c r="AL850" s="185"/>
      <c r="AM850" s="185"/>
      <c r="AN850" s="185"/>
      <c r="AO850" s="185"/>
      <c r="AP850" s="185"/>
      <c r="AQ850" s="185"/>
      <c r="AR850" s="185"/>
      <c r="AS850" s="185"/>
      <c r="AT850" s="185"/>
      <c r="AU850" s="185"/>
      <c r="AV850" s="185"/>
    </row>
    <row r="851" spans="13:48" s="277" customFormat="1">
      <c r="M851" s="185"/>
      <c r="N851" s="185"/>
      <c r="O851" s="185"/>
      <c r="S851" s="291">
        <v>42407</v>
      </c>
      <c r="T851" s="279">
        <v>768</v>
      </c>
      <c r="AI851" s="185"/>
      <c r="AJ851" s="185"/>
      <c r="AK851" s="185"/>
      <c r="AL851" s="185"/>
      <c r="AM851" s="185"/>
      <c r="AN851" s="185"/>
      <c r="AO851" s="185"/>
      <c r="AP851" s="185"/>
      <c r="AQ851" s="185"/>
      <c r="AR851" s="185"/>
      <c r="AS851" s="185"/>
      <c r="AT851" s="185"/>
      <c r="AU851" s="185"/>
      <c r="AV851" s="185"/>
    </row>
    <row r="852" spans="13:48" s="277" customFormat="1">
      <c r="M852" s="185"/>
      <c r="N852" s="185"/>
      <c r="O852" s="185"/>
      <c r="S852" s="291">
        <v>42408</v>
      </c>
      <c r="T852" s="279">
        <v>769</v>
      </c>
      <c r="AI852" s="185"/>
      <c r="AJ852" s="185"/>
      <c r="AK852" s="185"/>
      <c r="AL852" s="185"/>
      <c r="AM852" s="185"/>
      <c r="AN852" s="185"/>
      <c r="AO852" s="185"/>
      <c r="AP852" s="185"/>
      <c r="AQ852" s="185"/>
      <c r="AR852" s="185"/>
      <c r="AS852" s="185"/>
      <c r="AT852" s="185"/>
      <c r="AU852" s="185"/>
      <c r="AV852" s="185"/>
    </row>
    <row r="853" spans="13:48" s="277" customFormat="1">
      <c r="M853" s="185"/>
      <c r="N853" s="185"/>
      <c r="O853" s="185"/>
      <c r="S853" s="291">
        <v>42409</v>
      </c>
      <c r="T853" s="279">
        <v>770</v>
      </c>
      <c r="AI853" s="185"/>
      <c r="AJ853" s="185"/>
      <c r="AK853" s="185"/>
      <c r="AL853" s="185"/>
      <c r="AM853" s="185"/>
      <c r="AN853" s="185"/>
      <c r="AO853" s="185"/>
      <c r="AP853" s="185"/>
      <c r="AQ853" s="185"/>
      <c r="AR853" s="185"/>
      <c r="AS853" s="185"/>
      <c r="AT853" s="185"/>
      <c r="AU853" s="185"/>
      <c r="AV853" s="185"/>
    </row>
    <row r="854" spans="13:48" s="277" customFormat="1">
      <c r="M854" s="185"/>
      <c r="N854" s="185"/>
      <c r="O854" s="185"/>
      <c r="S854" s="291">
        <v>42410</v>
      </c>
      <c r="T854" s="279">
        <v>771</v>
      </c>
      <c r="AI854" s="185"/>
      <c r="AJ854" s="185"/>
      <c r="AK854" s="185"/>
      <c r="AL854" s="185"/>
      <c r="AM854" s="185"/>
      <c r="AN854" s="185"/>
      <c r="AO854" s="185"/>
      <c r="AP854" s="185"/>
      <c r="AQ854" s="185"/>
      <c r="AR854" s="185"/>
      <c r="AS854" s="185"/>
      <c r="AT854" s="185"/>
      <c r="AU854" s="185"/>
      <c r="AV854" s="185"/>
    </row>
    <row r="855" spans="13:48" s="277" customFormat="1">
      <c r="M855" s="185"/>
      <c r="N855" s="185"/>
      <c r="O855" s="185"/>
      <c r="S855" s="291">
        <v>42411</v>
      </c>
      <c r="T855" s="279">
        <v>772</v>
      </c>
      <c r="AI855" s="185"/>
      <c r="AJ855" s="185"/>
      <c r="AK855" s="185"/>
      <c r="AL855" s="185"/>
      <c r="AM855" s="185"/>
      <c r="AN855" s="185"/>
      <c r="AO855" s="185"/>
      <c r="AP855" s="185"/>
      <c r="AQ855" s="185"/>
      <c r="AR855" s="185"/>
      <c r="AS855" s="185"/>
      <c r="AT855" s="185"/>
      <c r="AU855" s="185"/>
      <c r="AV855" s="185"/>
    </row>
    <row r="856" spans="13:48" s="277" customFormat="1">
      <c r="M856" s="185"/>
      <c r="N856" s="185"/>
      <c r="O856" s="185"/>
      <c r="S856" s="291">
        <v>42412</v>
      </c>
      <c r="T856" s="279">
        <v>773</v>
      </c>
      <c r="AI856" s="185"/>
      <c r="AJ856" s="185"/>
      <c r="AK856" s="185"/>
      <c r="AL856" s="185"/>
      <c r="AM856" s="185"/>
      <c r="AN856" s="185"/>
      <c r="AO856" s="185"/>
      <c r="AP856" s="185"/>
      <c r="AQ856" s="185"/>
      <c r="AR856" s="185"/>
      <c r="AS856" s="185"/>
      <c r="AT856" s="185"/>
      <c r="AU856" s="185"/>
      <c r="AV856" s="185"/>
    </row>
    <row r="857" spans="13:48" s="277" customFormat="1">
      <c r="M857" s="185"/>
      <c r="N857" s="185"/>
      <c r="O857" s="185"/>
      <c r="S857" s="291">
        <v>42413</v>
      </c>
      <c r="T857" s="279">
        <v>774</v>
      </c>
      <c r="AI857" s="185"/>
      <c r="AJ857" s="185"/>
      <c r="AK857" s="185"/>
      <c r="AL857" s="185"/>
      <c r="AM857" s="185"/>
      <c r="AN857" s="185"/>
      <c r="AO857" s="185"/>
      <c r="AP857" s="185"/>
      <c r="AQ857" s="185"/>
      <c r="AR857" s="185"/>
      <c r="AS857" s="185"/>
      <c r="AT857" s="185"/>
      <c r="AU857" s="185"/>
      <c r="AV857" s="185"/>
    </row>
    <row r="858" spans="13:48" s="277" customFormat="1">
      <c r="M858" s="185"/>
      <c r="N858" s="185"/>
      <c r="O858" s="185"/>
      <c r="S858" s="291">
        <v>42414</v>
      </c>
      <c r="T858" s="279">
        <v>775</v>
      </c>
      <c r="AI858" s="185"/>
      <c r="AJ858" s="185"/>
      <c r="AK858" s="185"/>
      <c r="AL858" s="185"/>
      <c r="AM858" s="185"/>
      <c r="AN858" s="185"/>
      <c r="AO858" s="185"/>
      <c r="AP858" s="185"/>
      <c r="AQ858" s="185"/>
      <c r="AR858" s="185"/>
      <c r="AS858" s="185"/>
      <c r="AT858" s="185"/>
      <c r="AU858" s="185"/>
      <c r="AV858" s="185"/>
    </row>
    <row r="859" spans="13:48" s="277" customFormat="1">
      <c r="M859" s="185"/>
      <c r="N859" s="185"/>
      <c r="O859" s="185"/>
      <c r="S859" s="291">
        <v>42415</v>
      </c>
      <c r="T859" s="279">
        <v>776</v>
      </c>
      <c r="AI859" s="185"/>
      <c r="AJ859" s="185"/>
      <c r="AK859" s="185"/>
      <c r="AL859" s="185"/>
      <c r="AM859" s="185"/>
      <c r="AN859" s="185"/>
      <c r="AO859" s="185"/>
      <c r="AP859" s="185"/>
      <c r="AQ859" s="185"/>
      <c r="AR859" s="185"/>
      <c r="AS859" s="185"/>
      <c r="AT859" s="185"/>
      <c r="AU859" s="185"/>
      <c r="AV859" s="185"/>
    </row>
    <row r="860" spans="13:48" s="277" customFormat="1">
      <c r="M860" s="185"/>
      <c r="N860" s="185"/>
      <c r="O860" s="185"/>
      <c r="S860" s="291">
        <v>42416</v>
      </c>
      <c r="T860" s="279">
        <v>777</v>
      </c>
      <c r="AI860" s="185"/>
      <c r="AJ860" s="185"/>
      <c r="AK860" s="185"/>
      <c r="AL860" s="185"/>
      <c r="AM860" s="185"/>
      <c r="AN860" s="185"/>
      <c r="AO860" s="185"/>
      <c r="AP860" s="185"/>
      <c r="AQ860" s="185"/>
      <c r="AR860" s="185"/>
      <c r="AS860" s="185"/>
      <c r="AT860" s="185"/>
      <c r="AU860" s="185"/>
      <c r="AV860" s="185"/>
    </row>
    <row r="861" spans="13:48" s="277" customFormat="1">
      <c r="M861" s="185"/>
      <c r="N861" s="185"/>
      <c r="O861" s="185"/>
      <c r="S861" s="291">
        <v>42417</v>
      </c>
      <c r="T861" s="279">
        <v>778</v>
      </c>
      <c r="AI861" s="185"/>
      <c r="AJ861" s="185"/>
      <c r="AK861" s="185"/>
      <c r="AL861" s="185"/>
      <c r="AM861" s="185"/>
      <c r="AN861" s="185"/>
      <c r="AO861" s="185"/>
      <c r="AP861" s="185"/>
      <c r="AQ861" s="185"/>
      <c r="AR861" s="185"/>
      <c r="AS861" s="185"/>
      <c r="AT861" s="185"/>
      <c r="AU861" s="185"/>
      <c r="AV861" s="185"/>
    </row>
    <row r="862" spans="13:48" s="277" customFormat="1">
      <c r="M862" s="185"/>
      <c r="N862" s="185"/>
      <c r="O862" s="185"/>
      <c r="S862" s="291">
        <v>42418</v>
      </c>
      <c r="T862" s="279">
        <v>779</v>
      </c>
      <c r="AI862" s="185"/>
      <c r="AJ862" s="185"/>
      <c r="AK862" s="185"/>
      <c r="AL862" s="185"/>
      <c r="AM862" s="185"/>
      <c r="AN862" s="185"/>
      <c r="AO862" s="185"/>
      <c r="AP862" s="185"/>
      <c r="AQ862" s="185"/>
      <c r="AR862" s="185"/>
      <c r="AS862" s="185"/>
      <c r="AT862" s="185"/>
      <c r="AU862" s="185"/>
      <c r="AV862" s="185"/>
    </row>
    <row r="863" spans="13:48" s="277" customFormat="1">
      <c r="M863" s="185"/>
      <c r="N863" s="185"/>
      <c r="O863" s="185"/>
      <c r="S863" s="291">
        <v>42419</v>
      </c>
      <c r="T863" s="279">
        <v>780</v>
      </c>
      <c r="AI863" s="185"/>
      <c r="AJ863" s="185"/>
      <c r="AK863" s="185"/>
      <c r="AL863" s="185"/>
      <c r="AM863" s="185"/>
      <c r="AN863" s="185"/>
      <c r="AO863" s="185"/>
      <c r="AP863" s="185"/>
      <c r="AQ863" s="185"/>
      <c r="AR863" s="185"/>
      <c r="AS863" s="185"/>
      <c r="AT863" s="185"/>
      <c r="AU863" s="185"/>
      <c r="AV863" s="185"/>
    </row>
    <row r="864" spans="13:48" s="277" customFormat="1">
      <c r="M864" s="185"/>
      <c r="N864" s="185"/>
      <c r="O864" s="185"/>
      <c r="S864" s="291">
        <v>42420</v>
      </c>
      <c r="T864" s="279">
        <v>781</v>
      </c>
      <c r="AI864" s="185"/>
      <c r="AJ864" s="185"/>
      <c r="AK864" s="185"/>
      <c r="AL864" s="185"/>
      <c r="AM864" s="185"/>
      <c r="AN864" s="185"/>
      <c r="AO864" s="185"/>
      <c r="AP864" s="185"/>
      <c r="AQ864" s="185"/>
      <c r="AR864" s="185"/>
      <c r="AS864" s="185"/>
      <c r="AT864" s="185"/>
      <c r="AU864" s="185"/>
      <c r="AV864" s="185"/>
    </row>
    <row r="865" spans="13:48" s="277" customFormat="1">
      <c r="M865" s="185"/>
      <c r="N865" s="185"/>
      <c r="O865" s="185"/>
      <c r="S865" s="291">
        <v>42421</v>
      </c>
      <c r="T865" s="279">
        <v>782</v>
      </c>
      <c r="AI865" s="185"/>
      <c r="AJ865" s="185"/>
      <c r="AK865" s="185"/>
      <c r="AL865" s="185"/>
      <c r="AM865" s="185"/>
      <c r="AN865" s="185"/>
      <c r="AO865" s="185"/>
      <c r="AP865" s="185"/>
      <c r="AQ865" s="185"/>
      <c r="AR865" s="185"/>
      <c r="AS865" s="185"/>
      <c r="AT865" s="185"/>
      <c r="AU865" s="185"/>
      <c r="AV865" s="185"/>
    </row>
    <row r="866" spans="13:48" s="277" customFormat="1">
      <c r="M866" s="185"/>
      <c r="N866" s="185"/>
      <c r="O866" s="185"/>
      <c r="S866" s="291">
        <v>42422</v>
      </c>
      <c r="T866" s="279">
        <v>783</v>
      </c>
      <c r="AI866" s="185"/>
      <c r="AJ866" s="185"/>
      <c r="AK866" s="185"/>
      <c r="AL866" s="185"/>
      <c r="AM866" s="185"/>
      <c r="AN866" s="185"/>
      <c r="AO866" s="185"/>
      <c r="AP866" s="185"/>
      <c r="AQ866" s="185"/>
      <c r="AR866" s="185"/>
      <c r="AS866" s="185"/>
      <c r="AT866" s="185"/>
      <c r="AU866" s="185"/>
      <c r="AV866" s="185"/>
    </row>
    <row r="867" spans="13:48" s="277" customFormat="1">
      <c r="M867" s="185"/>
      <c r="N867" s="185"/>
      <c r="O867" s="185"/>
      <c r="S867" s="291">
        <v>42423</v>
      </c>
      <c r="T867" s="279">
        <v>784</v>
      </c>
      <c r="AI867" s="185"/>
      <c r="AJ867" s="185"/>
      <c r="AK867" s="185"/>
      <c r="AL867" s="185"/>
      <c r="AM867" s="185"/>
      <c r="AN867" s="185"/>
      <c r="AO867" s="185"/>
      <c r="AP867" s="185"/>
      <c r="AQ867" s="185"/>
      <c r="AR867" s="185"/>
      <c r="AS867" s="185"/>
      <c r="AT867" s="185"/>
      <c r="AU867" s="185"/>
      <c r="AV867" s="185"/>
    </row>
    <row r="868" spans="13:48" s="277" customFormat="1">
      <c r="M868" s="185"/>
      <c r="N868" s="185"/>
      <c r="O868" s="185"/>
      <c r="S868" s="291">
        <v>42424</v>
      </c>
      <c r="T868" s="279">
        <v>785</v>
      </c>
      <c r="AI868" s="185"/>
      <c r="AJ868" s="185"/>
      <c r="AK868" s="185"/>
      <c r="AL868" s="185"/>
      <c r="AM868" s="185"/>
      <c r="AN868" s="185"/>
      <c r="AO868" s="185"/>
      <c r="AP868" s="185"/>
      <c r="AQ868" s="185"/>
      <c r="AR868" s="185"/>
      <c r="AS868" s="185"/>
      <c r="AT868" s="185"/>
      <c r="AU868" s="185"/>
      <c r="AV868" s="185"/>
    </row>
    <row r="869" spans="13:48" s="277" customFormat="1">
      <c r="M869" s="185"/>
      <c r="N869" s="185"/>
      <c r="O869" s="185"/>
      <c r="S869" s="291">
        <v>42425</v>
      </c>
      <c r="T869" s="279">
        <v>786</v>
      </c>
      <c r="AI869" s="185"/>
      <c r="AJ869" s="185"/>
      <c r="AK869" s="185"/>
      <c r="AL869" s="185"/>
      <c r="AM869" s="185"/>
      <c r="AN869" s="185"/>
      <c r="AO869" s="185"/>
      <c r="AP869" s="185"/>
      <c r="AQ869" s="185"/>
      <c r="AR869" s="185"/>
      <c r="AS869" s="185"/>
      <c r="AT869" s="185"/>
      <c r="AU869" s="185"/>
      <c r="AV869" s="185"/>
    </row>
    <row r="870" spans="13:48" s="277" customFormat="1">
      <c r="M870" s="185"/>
      <c r="N870" s="185"/>
      <c r="O870" s="185"/>
      <c r="S870" s="291">
        <v>42426</v>
      </c>
      <c r="T870" s="279">
        <v>787</v>
      </c>
      <c r="AI870" s="185"/>
      <c r="AJ870" s="185"/>
      <c r="AK870" s="185"/>
      <c r="AL870" s="185"/>
      <c r="AM870" s="185"/>
      <c r="AN870" s="185"/>
      <c r="AO870" s="185"/>
      <c r="AP870" s="185"/>
      <c r="AQ870" s="185"/>
      <c r="AR870" s="185"/>
      <c r="AS870" s="185"/>
      <c r="AT870" s="185"/>
      <c r="AU870" s="185"/>
      <c r="AV870" s="185"/>
    </row>
    <row r="871" spans="13:48" s="277" customFormat="1">
      <c r="M871" s="185"/>
      <c r="N871" s="185"/>
      <c r="O871" s="185"/>
      <c r="S871" s="291">
        <v>42427</v>
      </c>
      <c r="T871" s="279">
        <v>788</v>
      </c>
      <c r="AI871" s="185"/>
      <c r="AJ871" s="185"/>
      <c r="AK871" s="185"/>
      <c r="AL871" s="185"/>
      <c r="AM871" s="185"/>
      <c r="AN871" s="185"/>
      <c r="AO871" s="185"/>
      <c r="AP871" s="185"/>
      <c r="AQ871" s="185"/>
      <c r="AR871" s="185"/>
      <c r="AS871" s="185"/>
      <c r="AT871" s="185"/>
      <c r="AU871" s="185"/>
      <c r="AV871" s="185"/>
    </row>
    <row r="872" spans="13:48" s="277" customFormat="1">
      <c r="M872" s="185"/>
      <c r="N872" s="185"/>
      <c r="O872" s="185"/>
      <c r="S872" s="291">
        <v>42428</v>
      </c>
      <c r="T872" s="279">
        <v>789</v>
      </c>
      <c r="AI872" s="185"/>
      <c r="AJ872" s="185"/>
      <c r="AK872" s="185"/>
      <c r="AL872" s="185"/>
      <c r="AM872" s="185"/>
      <c r="AN872" s="185"/>
      <c r="AO872" s="185"/>
      <c r="AP872" s="185"/>
      <c r="AQ872" s="185"/>
      <c r="AR872" s="185"/>
      <c r="AS872" s="185"/>
      <c r="AT872" s="185"/>
      <c r="AU872" s="185"/>
      <c r="AV872" s="185"/>
    </row>
    <row r="873" spans="13:48" s="277" customFormat="1">
      <c r="M873" s="185"/>
      <c r="N873" s="185"/>
      <c r="O873" s="185"/>
      <c r="S873" s="291">
        <v>42429</v>
      </c>
      <c r="T873" s="279">
        <v>790</v>
      </c>
      <c r="AI873" s="185"/>
      <c r="AJ873" s="185"/>
      <c r="AK873" s="185"/>
      <c r="AL873" s="185"/>
      <c r="AM873" s="185"/>
      <c r="AN873" s="185"/>
      <c r="AO873" s="185"/>
      <c r="AP873" s="185"/>
      <c r="AQ873" s="185"/>
      <c r="AR873" s="185"/>
      <c r="AS873" s="185"/>
      <c r="AT873" s="185"/>
      <c r="AU873" s="185"/>
      <c r="AV873" s="185"/>
    </row>
    <row r="874" spans="13:48" s="277" customFormat="1">
      <c r="M874" s="185"/>
      <c r="N874" s="185"/>
      <c r="O874" s="185"/>
      <c r="S874" s="291">
        <v>42430</v>
      </c>
      <c r="T874" s="279">
        <v>791</v>
      </c>
      <c r="AI874" s="185"/>
      <c r="AJ874" s="185"/>
      <c r="AK874" s="185"/>
      <c r="AL874" s="185"/>
      <c r="AM874" s="185"/>
      <c r="AN874" s="185"/>
      <c r="AO874" s="185"/>
      <c r="AP874" s="185"/>
      <c r="AQ874" s="185"/>
      <c r="AR874" s="185"/>
      <c r="AS874" s="185"/>
      <c r="AT874" s="185"/>
      <c r="AU874" s="185"/>
      <c r="AV874" s="185"/>
    </row>
    <row r="875" spans="13:48" s="277" customFormat="1">
      <c r="M875" s="185"/>
      <c r="N875" s="185"/>
      <c r="O875" s="185"/>
      <c r="S875" s="291">
        <v>42431</v>
      </c>
      <c r="T875" s="279">
        <v>792</v>
      </c>
      <c r="AI875" s="185"/>
      <c r="AJ875" s="185"/>
      <c r="AK875" s="185"/>
      <c r="AL875" s="185"/>
      <c r="AM875" s="185"/>
      <c r="AN875" s="185"/>
      <c r="AO875" s="185"/>
      <c r="AP875" s="185"/>
      <c r="AQ875" s="185"/>
      <c r="AR875" s="185"/>
      <c r="AS875" s="185"/>
      <c r="AT875" s="185"/>
      <c r="AU875" s="185"/>
      <c r="AV875" s="185"/>
    </row>
    <row r="876" spans="13:48" s="277" customFormat="1">
      <c r="M876" s="185"/>
      <c r="N876" s="185"/>
      <c r="O876" s="185"/>
      <c r="S876" s="291">
        <v>42432</v>
      </c>
      <c r="T876" s="279">
        <v>793</v>
      </c>
      <c r="AI876" s="185"/>
      <c r="AJ876" s="185"/>
      <c r="AK876" s="185"/>
      <c r="AL876" s="185"/>
      <c r="AM876" s="185"/>
      <c r="AN876" s="185"/>
      <c r="AO876" s="185"/>
      <c r="AP876" s="185"/>
      <c r="AQ876" s="185"/>
      <c r="AR876" s="185"/>
      <c r="AS876" s="185"/>
      <c r="AT876" s="185"/>
      <c r="AU876" s="185"/>
      <c r="AV876" s="185"/>
    </row>
    <row r="877" spans="13:48" s="277" customFormat="1">
      <c r="M877" s="185"/>
      <c r="N877" s="185"/>
      <c r="O877" s="185"/>
      <c r="S877" s="291">
        <v>42433</v>
      </c>
      <c r="T877" s="279">
        <v>794</v>
      </c>
      <c r="AI877" s="185"/>
      <c r="AJ877" s="185"/>
      <c r="AK877" s="185"/>
      <c r="AL877" s="185"/>
      <c r="AM877" s="185"/>
      <c r="AN877" s="185"/>
      <c r="AO877" s="185"/>
      <c r="AP877" s="185"/>
      <c r="AQ877" s="185"/>
      <c r="AR877" s="185"/>
      <c r="AS877" s="185"/>
      <c r="AT877" s="185"/>
      <c r="AU877" s="185"/>
      <c r="AV877" s="185"/>
    </row>
    <row r="878" spans="13:48" s="277" customFormat="1">
      <c r="M878" s="185"/>
      <c r="N878" s="185"/>
      <c r="O878" s="185"/>
      <c r="S878" s="291">
        <v>42434</v>
      </c>
      <c r="T878" s="279">
        <v>795</v>
      </c>
      <c r="AI878" s="185"/>
      <c r="AJ878" s="185"/>
      <c r="AK878" s="185"/>
      <c r="AL878" s="185"/>
      <c r="AM878" s="185"/>
      <c r="AN878" s="185"/>
      <c r="AO878" s="185"/>
      <c r="AP878" s="185"/>
      <c r="AQ878" s="185"/>
      <c r="AR878" s="185"/>
      <c r="AS878" s="185"/>
      <c r="AT878" s="185"/>
      <c r="AU878" s="185"/>
      <c r="AV878" s="185"/>
    </row>
    <row r="879" spans="13:48" s="277" customFormat="1">
      <c r="M879" s="185"/>
      <c r="N879" s="185"/>
      <c r="O879" s="185"/>
      <c r="S879" s="291">
        <v>42435</v>
      </c>
      <c r="T879" s="279">
        <v>796</v>
      </c>
      <c r="AI879" s="185"/>
      <c r="AJ879" s="185"/>
      <c r="AK879" s="185"/>
      <c r="AL879" s="185"/>
      <c r="AM879" s="185"/>
      <c r="AN879" s="185"/>
      <c r="AO879" s="185"/>
      <c r="AP879" s="185"/>
      <c r="AQ879" s="185"/>
      <c r="AR879" s="185"/>
      <c r="AS879" s="185"/>
      <c r="AT879" s="185"/>
      <c r="AU879" s="185"/>
      <c r="AV879" s="185"/>
    </row>
    <row r="880" spans="13:48" s="277" customFormat="1">
      <c r="M880" s="185"/>
      <c r="N880" s="185"/>
      <c r="O880" s="185"/>
      <c r="S880" s="291">
        <v>42436</v>
      </c>
      <c r="T880" s="279">
        <v>797</v>
      </c>
      <c r="AI880" s="185"/>
      <c r="AJ880" s="185"/>
      <c r="AK880" s="185"/>
      <c r="AL880" s="185"/>
      <c r="AM880" s="185"/>
      <c r="AN880" s="185"/>
      <c r="AO880" s="185"/>
      <c r="AP880" s="185"/>
      <c r="AQ880" s="185"/>
      <c r="AR880" s="185"/>
      <c r="AS880" s="185"/>
      <c r="AT880" s="185"/>
      <c r="AU880" s="185"/>
      <c r="AV880" s="185"/>
    </row>
    <row r="881" spans="13:48" s="277" customFormat="1">
      <c r="M881" s="185"/>
      <c r="N881" s="185"/>
      <c r="O881" s="185"/>
      <c r="S881" s="291">
        <v>42437</v>
      </c>
      <c r="T881" s="279">
        <v>798</v>
      </c>
      <c r="AI881" s="185"/>
      <c r="AJ881" s="185"/>
      <c r="AK881" s="185"/>
      <c r="AL881" s="185"/>
      <c r="AM881" s="185"/>
      <c r="AN881" s="185"/>
      <c r="AO881" s="185"/>
      <c r="AP881" s="185"/>
      <c r="AQ881" s="185"/>
      <c r="AR881" s="185"/>
      <c r="AS881" s="185"/>
      <c r="AT881" s="185"/>
      <c r="AU881" s="185"/>
      <c r="AV881" s="185"/>
    </row>
    <row r="882" spans="13:48" s="277" customFormat="1">
      <c r="M882" s="185"/>
      <c r="N882" s="185"/>
      <c r="O882" s="185"/>
      <c r="S882" s="291">
        <v>42438</v>
      </c>
      <c r="T882" s="279">
        <v>799</v>
      </c>
      <c r="AI882" s="185"/>
      <c r="AJ882" s="185"/>
      <c r="AK882" s="185"/>
      <c r="AL882" s="185"/>
      <c r="AM882" s="185"/>
      <c r="AN882" s="185"/>
      <c r="AO882" s="185"/>
      <c r="AP882" s="185"/>
      <c r="AQ882" s="185"/>
      <c r="AR882" s="185"/>
      <c r="AS882" s="185"/>
      <c r="AT882" s="185"/>
      <c r="AU882" s="185"/>
      <c r="AV882" s="185"/>
    </row>
    <row r="883" spans="13:48" s="277" customFormat="1">
      <c r="M883" s="185"/>
      <c r="N883" s="185"/>
      <c r="O883" s="185"/>
      <c r="S883" s="291">
        <v>42439</v>
      </c>
      <c r="T883" s="279">
        <v>800</v>
      </c>
      <c r="AI883" s="185"/>
      <c r="AJ883" s="185"/>
      <c r="AK883" s="185"/>
      <c r="AL883" s="185"/>
      <c r="AM883" s="185"/>
      <c r="AN883" s="185"/>
      <c r="AO883" s="185"/>
      <c r="AP883" s="185"/>
      <c r="AQ883" s="185"/>
      <c r="AR883" s="185"/>
      <c r="AS883" s="185"/>
      <c r="AT883" s="185"/>
      <c r="AU883" s="185"/>
      <c r="AV883" s="185"/>
    </row>
    <row r="884" spans="13:48" s="277" customFormat="1">
      <c r="M884" s="185"/>
      <c r="N884" s="185"/>
      <c r="O884" s="185"/>
      <c r="S884" s="291">
        <v>42440</v>
      </c>
      <c r="T884" s="279">
        <v>801</v>
      </c>
      <c r="AI884" s="185"/>
      <c r="AJ884" s="185"/>
      <c r="AK884" s="185"/>
      <c r="AL884" s="185"/>
      <c r="AM884" s="185"/>
      <c r="AN884" s="185"/>
      <c r="AO884" s="185"/>
      <c r="AP884" s="185"/>
      <c r="AQ884" s="185"/>
      <c r="AR884" s="185"/>
      <c r="AS884" s="185"/>
      <c r="AT884" s="185"/>
      <c r="AU884" s="185"/>
      <c r="AV884" s="185"/>
    </row>
    <row r="885" spans="13:48" s="277" customFormat="1">
      <c r="M885" s="185"/>
      <c r="N885" s="185"/>
      <c r="O885" s="185"/>
      <c r="S885" s="291">
        <v>42441</v>
      </c>
      <c r="T885" s="279">
        <v>802</v>
      </c>
      <c r="AI885" s="185"/>
      <c r="AJ885" s="185"/>
      <c r="AK885" s="185"/>
      <c r="AL885" s="185"/>
      <c r="AM885" s="185"/>
      <c r="AN885" s="185"/>
      <c r="AO885" s="185"/>
      <c r="AP885" s="185"/>
      <c r="AQ885" s="185"/>
      <c r="AR885" s="185"/>
      <c r="AS885" s="185"/>
      <c r="AT885" s="185"/>
      <c r="AU885" s="185"/>
      <c r="AV885" s="185"/>
    </row>
    <row r="886" spans="13:48" s="277" customFormat="1">
      <c r="M886" s="185"/>
      <c r="N886" s="185"/>
      <c r="O886" s="185"/>
      <c r="S886" s="291">
        <v>42442</v>
      </c>
      <c r="T886" s="279">
        <v>803</v>
      </c>
      <c r="AI886" s="185"/>
      <c r="AJ886" s="185"/>
      <c r="AK886" s="185"/>
      <c r="AL886" s="185"/>
      <c r="AM886" s="185"/>
      <c r="AN886" s="185"/>
      <c r="AO886" s="185"/>
      <c r="AP886" s="185"/>
      <c r="AQ886" s="185"/>
      <c r="AR886" s="185"/>
      <c r="AS886" s="185"/>
      <c r="AT886" s="185"/>
      <c r="AU886" s="185"/>
      <c r="AV886" s="185"/>
    </row>
    <row r="887" spans="13:48" s="277" customFormat="1">
      <c r="M887" s="185"/>
      <c r="N887" s="185"/>
      <c r="O887" s="185"/>
      <c r="S887" s="291">
        <v>42443</v>
      </c>
      <c r="T887" s="279">
        <v>804</v>
      </c>
      <c r="AI887" s="185"/>
      <c r="AJ887" s="185"/>
      <c r="AK887" s="185"/>
      <c r="AL887" s="185"/>
      <c r="AM887" s="185"/>
      <c r="AN887" s="185"/>
      <c r="AO887" s="185"/>
      <c r="AP887" s="185"/>
      <c r="AQ887" s="185"/>
      <c r="AR887" s="185"/>
      <c r="AS887" s="185"/>
      <c r="AT887" s="185"/>
      <c r="AU887" s="185"/>
      <c r="AV887" s="185"/>
    </row>
    <row r="888" spans="13:48" s="277" customFormat="1">
      <c r="M888" s="185"/>
      <c r="N888" s="185"/>
      <c r="O888" s="185"/>
      <c r="S888" s="291">
        <v>42444</v>
      </c>
      <c r="T888" s="279">
        <v>805</v>
      </c>
      <c r="AI888" s="185"/>
      <c r="AJ888" s="185"/>
      <c r="AK888" s="185"/>
      <c r="AL888" s="185"/>
      <c r="AM888" s="185"/>
      <c r="AN888" s="185"/>
      <c r="AO888" s="185"/>
      <c r="AP888" s="185"/>
      <c r="AQ888" s="185"/>
      <c r="AR888" s="185"/>
      <c r="AS888" s="185"/>
      <c r="AT888" s="185"/>
      <c r="AU888" s="185"/>
      <c r="AV888" s="185"/>
    </row>
    <row r="889" spans="13:48" s="277" customFormat="1">
      <c r="M889" s="185"/>
      <c r="N889" s="185"/>
      <c r="O889" s="185"/>
      <c r="S889" s="291">
        <v>42445</v>
      </c>
      <c r="T889" s="279">
        <v>806</v>
      </c>
      <c r="AI889" s="185"/>
      <c r="AJ889" s="185"/>
      <c r="AK889" s="185"/>
      <c r="AL889" s="185"/>
      <c r="AM889" s="185"/>
      <c r="AN889" s="185"/>
      <c r="AO889" s="185"/>
      <c r="AP889" s="185"/>
      <c r="AQ889" s="185"/>
      <c r="AR889" s="185"/>
      <c r="AS889" s="185"/>
      <c r="AT889" s="185"/>
      <c r="AU889" s="185"/>
      <c r="AV889" s="185"/>
    </row>
    <row r="890" spans="13:48" s="277" customFormat="1">
      <c r="M890" s="185"/>
      <c r="N890" s="185"/>
      <c r="O890" s="185"/>
      <c r="S890" s="291">
        <v>42446</v>
      </c>
      <c r="T890" s="279">
        <v>807</v>
      </c>
      <c r="AI890" s="185"/>
      <c r="AJ890" s="185"/>
      <c r="AK890" s="185"/>
      <c r="AL890" s="185"/>
      <c r="AM890" s="185"/>
      <c r="AN890" s="185"/>
      <c r="AO890" s="185"/>
      <c r="AP890" s="185"/>
      <c r="AQ890" s="185"/>
      <c r="AR890" s="185"/>
      <c r="AS890" s="185"/>
      <c r="AT890" s="185"/>
      <c r="AU890" s="185"/>
      <c r="AV890" s="185"/>
    </row>
    <row r="891" spans="13:48" s="277" customFormat="1">
      <c r="M891" s="185"/>
      <c r="N891" s="185"/>
      <c r="O891" s="185"/>
      <c r="S891" s="291">
        <v>42447</v>
      </c>
      <c r="T891" s="279">
        <v>808</v>
      </c>
      <c r="AI891" s="185"/>
      <c r="AJ891" s="185"/>
      <c r="AK891" s="185"/>
      <c r="AL891" s="185"/>
      <c r="AM891" s="185"/>
      <c r="AN891" s="185"/>
      <c r="AO891" s="185"/>
      <c r="AP891" s="185"/>
      <c r="AQ891" s="185"/>
      <c r="AR891" s="185"/>
      <c r="AS891" s="185"/>
      <c r="AT891" s="185"/>
      <c r="AU891" s="185"/>
      <c r="AV891" s="185"/>
    </row>
    <row r="892" spans="13:48" s="277" customFormat="1">
      <c r="M892" s="185"/>
      <c r="N892" s="185"/>
      <c r="O892" s="185"/>
      <c r="S892" s="291">
        <v>42448</v>
      </c>
      <c r="T892" s="279">
        <v>809</v>
      </c>
      <c r="AI892" s="185"/>
      <c r="AJ892" s="185"/>
      <c r="AK892" s="185"/>
      <c r="AL892" s="185"/>
      <c r="AM892" s="185"/>
      <c r="AN892" s="185"/>
      <c r="AO892" s="185"/>
      <c r="AP892" s="185"/>
      <c r="AQ892" s="185"/>
      <c r="AR892" s="185"/>
      <c r="AS892" s="185"/>
      <c r="AT892" s="185"/>
      <c r="AU892" s="185"/>
      <c r="AV892" s="185"/>
    </row>
    <row r="893" spans="13:48" s="277" customFormat="1">
      <c r="M893" s="185"/>
      <c r="N893" s="185"/>
      <c r="O893" s="185"/>
      <c r="S893" s="291">
        <v>42449</v>
      </c>
      <c r="T893" s="279">
        <v>810</v>
      </c>
      <c r="AI893" s="185"/>
      <c r="AJ893" s="185"/>
      <c r="AK893" s="185"/>
      <c r="AL893" s="185"/>
      <c r="AM893" s="185"/>
      <c r="AN893" s="185"/>
      <c r="AO893" s="185"/>
      <c r="AP893" s="185"/>
      <c r="AQ893" s="185"/>
      <c r="AR893" s="185"/>
      <c r="AS893" s="185"/>
      <c r="AT893" s="185"/>
      <c r="AU893" s="185"/>
      <c r="AV893" s="185"/>
    </row>
    <row r="894" spans="13:48" s="277" customFormat="1">
      <c r="M894" s="185"/>
      <c r="N894" s="185"/>
      <c r="O894" s="185"/>
      <c r="S894" s="291">
        <v>42450</v>
      </c>
      <c r="T894" s="279">
        <v>811</v>
      </c>
      <c r="AI894" s="185"/>
      <c r="AJ894" s="185"/>
      <c r="AK894" s="185"/>
      <c r="AL894" s="185"/>
      <c r="AM894" s="185"/>
      <c r="AN894" s="185"/>
      <c r="AO894" s="185"/>
      <c r="AP894" s="185"/>
      <c r="AQ894" s="185"/>
      <c r="AR894" s="185"/>
      <c r="AS894" s="185"/>
      <c r="AT894" s="185"/>
      <c r="AU894" s="185"/>
      <c r="AV894" s="185"/>
    </row>
    <row r="895" spans="13:48" s="277" customFormat="1">
      <c r="M895" s="185"/>
      <c r="N895" s="185"/>
      <c r="O895" s="185"/>
      <c r="S895" s="291">
        <v>42451</v>
      </c>
      <c r="T895" s="279">
        <v>812</v>
      </c>
      <c r="AI895" s="185"/>
      <c r="AJ895" s="185"/>
      <c r="AK895" s="185"/>
      <c r="AL895" s="185"/>
      <c r="AM895" s="185"/>
      <c r="AN895" s="185"/>
      <c r="AO895" s="185"/>
      <c r="AP895" s="185"/>
      <c r="AQ895" s="185"/>
      <c r="AR895" s="185"/>
      <c r="AS895" s="185"/>
      <c r="AT895" s="185"/>
      <c r="AU895" s="185"/>
      <c r="AV895" s="185"/>
    </row>
    <row r="896" spans="13:48" s="277" customFormat="1">
      <c r="M896" s="185"/>
      <c r="N896" s="185"/>
      <c r="O896" s="185"/>
      <c r="S896" s="291">
        <v>42452</v>
      </c>
      <c r="T896" s="279">
        <v>813</v>
      </c>
      <c r="AI896" s="185"/>
      <c r="AJ896" s="185"/>
      <c r="AK896" s="185"/>
      <c r="AL896" s="185"/>
      <c r="AM896" s="185"/>
      <c r="AN896" s="185"/>
      <c r="AO896" s="185"/>
      <c r="AP896" s="185"/>
      <c r="AQ896" s="185"/>
      <c r="AR896" s="185"/>
      <c r="AS896" s="185"/>
      <c r="AT896" s="185"/>
      <c r="AU896" s="185"/>
      <c r="AV896" s="185"/>
    </row>
    <row r="897" spans="13:48" s="277" customFormat="1">
      <c r="M897" s="185"/>
      <c r="N897" s="185"/>
      <c r="O897" s="185"/>
      <c r="S897" s="291">
        <v>42453</v>
      </c>
      <c r="T897" s="279">
        <v>814</v>
      </c>
      <c r="AI897" s="185"/>
      <c r="AJ897" s="185"/>
      <c r="AK897" s="185"/>
      <c r="AL897" s="185"/>
      <c r="AM897" s="185"/>
      <c r="AN897" s="185"/>
      <c r="AO897" s="185"/>
      <c r="AP897" s="185"/>
      <c r="AQ897" s="185"/>
      <c r="AR897" s="185"/>
      <c r="AS897" s="185"/>
      <c r="AT897" s="185"/>
      <c r="AU897" s="185"/>
      <c r="AV897" s="185"/>
    </row>
    <row r="898" spans="13:48" s="277" customFormat="1">
      <c r="M898" s="185"/>
      <c r="N898" s="185"/>
      <c r="O898" s="185"/>
      <c r="S898" s="291">
        <v>42454</v>
      </c>
      <c r="T898" s="279">
        <v>815</v>
      </c>
      <c r="AI898" s="185"/>
      <c r="AJ898" s="185"/>
      <c r="AK898" s="185"/>
      <c r="AL898" s="185"/>
      <c r="AM898" s="185"/>
      <c r="AN898" s="185"/>
      <c r="AO898" s="185"/>
      <c r="AP898" s="185"/>
      <c r="AQ898" s="185"/>
      <c r="AR898" s="185"/>
      <c r="AS898" s="185"/>
      <c r="AT898" s="185"/>
      <c r="AU898" s="185"/>
      <c r="AV898" s="185"/>
    </row>
    <row r="899" spans="13:48" s="277" customFormat="1">
      <c r="M899" s="185"/>
      <c r="N899" s="185"/>
      <c r="O899" s="185"/>
      <c r="S899" s="291">
        <v>42455</v>
      </c>
      <c r="T899" s="279">
        <v>816</v>
      </c>
      <c r="AI899" s="185"/>
      <c r="AJ899" s="185"/>
      <c r="AK899" s="185"/>
      <c r="AL899" s="185"/>
      <c r="AM899" s="185"/>
      <c r="AN899" s="185"/>
      <c r="AO899" s="185"/>
      <c r="AP899" s="185"/>
      <c r="AQ899" s="185"/>
      <c r="AR899" s="185"/>
      <c r="AS899" s="185"/>
      <c r="AT899" s="185"/>
      <c r="AU899" s="185"/>
      <c r="AV899" s="185"/>
    </row>
    <row r="900" spans="13:48" s="277" customFormat="1">
      <c r="M900" s="185"/>
      <c r="N900" s="185"/>
      <c r="O900" s="185"/>
      <c r="S900" s="291">
        <v>42456</v>
      </c>
      <c r="T900" s="279">
        <v>817</v>
      </c>
      <c r="AI900" s="185"/>
      <c r="AJ900" s="185"/>
      <c r="AK900" s="185"/>
      <c r="AL900" s="185"/>
      <c r="AM900" s="185"/>
      <c r="AN900" s="185"/>
      <c r="AO900" s="185"/>
      <c r="AP900" s="185"/>
      <c r="AQ900" s="185"/>
      <c r="AR900" s="185"/>
      <c r="AS900" s="185"/>
      <c r="AT900" s="185"/>
      <c r="AU900" s="185"/>
      <c r="AV900" s="185"/>
    </row>
    <row r="901" spans="13:48" s="277" customFormat="1">
      <c r="M901" s="185"/>
      <c r="N901" s="185"/>
      <c r="O901" s="185"/>
      <c r="S901" s="291">
        <v>42457</v>
      </c>
      <c r="T901" s="279">
        <v>818</v>
      </c>
      <c r="AI901" s="185"/>
      <c r="AJ901" s="185"/>
      <c r="AK901" s="185"/>
      <c r="AL901" s="185"/>
      <c r="AM901" s="185"/>
      <c r="AN901" s="185"/>
      <c r="AO901" s="185"/>
      <c r="AP901" s="185"/>
      <c r="AQ901" s="185"/>
      <c r="AR901" s="185"/>
      <c r="AS901" s="185"/>
      <c r="AT901" s="185"/>
      <c r="AU901" s="185"/>
      <c r="AV901" s="185"/>
    </row>
    <row r="902" spans="13:48" s="277" customFormat="1">
      <c r="M902" s="185"/>
      <c r="N902" s="185"/>
      <c r="O902" s="185"/>
      <c r="S902" s="291">
        <v>42458</v>
      </c>
      <c r="T902" s="279">
        <v>819</v>
      </c>
      <c r="AI902" s="185"/>
      <c r="AJ902" s="185"/>
      <c r="AK902" s="185"/>
      <c r="AL902" s="185"/>
      <c r="AM902" s="185"/>
      <c r="AN902" s="185"/>
      <c r="AO902" s="185"/>
      <c r="AP902" s="185"/>
      <c r="AQ902" s="185"/>
      <c r="AR902" s="185"/>
      <c r="AS902" s="185"/>
      <c r="AT902" s="185"/>
      <c r="AU902" s="185"/>
      <c r="AV902" s="185"/>
    </row>
    <row r="903" spans="13:48" s="277" customFormat="1">
      <c r="M903" s="185"/>
      <c r="N903" s="185"/>
      <c r="O903" s="185"/>
      <c r="S903" s="291">
        <v>42459</v>
      </c>
      <c r="T903" s="279">
        <v>820</v>
      </c>
      <c r="AI903" s="185"/>
      <c r="AJ903" s="185"/>
      <c r="AK903" s="185"/>
      <c r="AL903" s="185"/>
      <c r="AM903" s="185"/>
      <c r="AN903" s="185"/>
      <c r="AO903" s="185"/>
      <c r="AP903" s="185"/>
      <c r="AQ903" s="185"/>
      <c r="AR903" s="185"/>
      <c r="AS903" s="185"/>
      <c r="AT903" s="185"/>
      <c r="AU903" s="185"/>
      <c r="AV903" s="185"/>
    </row>
    <row r="904" spans="13:48" s="277" customFormat="1">
      <c r="M904" s="185"/>
      <c r="N904" s="185"/>
      <c r="O904" s="185"/>
      <c r="S904" s="291">
        <v>42460</v>
      </c>
      <c r="T904" s="279">
        <v>821</v>
      </c>
      <c r="AI904" s="185"/>
      <c r="AJ904" s="185"/>
      <c r="AK904" s="185"/>
      <c r="AL904" s="185"/>
      <c r="AM904" s="185"/>
      <c r="AN904" s="185"/>
      <c r="AO904" s="185"/>
      <c r="AP904" s="185"/>
      <c r="AQ904" s="185"/>
      <c r="AR904" s="185"/>
      <c r="AS904" s="185"/>
      <c r="AT904" s="185"/>
      <c r="AU904" s="185"/>
      <c r="AV904" s="185"/>
    </row>
    <row r="905" spans="13:48" s="277" customFormat="1">
      <c r="M905" s="185"/>
      <c r="N905" s="185"/>
      <c r="O905" s="185"/>
      <c r="S905" s="291">
        <v>42461</v>
      </c>
      <c r="T905" s="279">
        <v>822</v>
      </c>
      <c r="AI905" s="185"/>
      <c r="AJ905" s="185"/>
      <c r="AK905" s="185"/>
      <c r="AL905" s="185"/>
      <c r="AM905" s="185"/>
      <c r="AN905" s="185"/>
      <c r="AO905" s="185"/>
      <c r="AP905" s="185"/>
      <c r="AQ905" s="185"/>
      <c r="AR905" s="185"/>
      <c r="AS905" s="185"/>
      <c r="AT905" s="185"/>
      <c r="AU905" s="185"/>
      <c r="AV905" s="185"/>
    </row>
    <row r="906" spans="13:48" s="277" customFormat="1">
      <c r="M906" s="185"/>
      <c r="N906" s="185"/>
      <c r="O906" s="185"/>
      <c r="S906" s="291">
        <v>42462</v>
      </c>
      <c r="T906" s="279">
        <v>823</v>
      </c>
      <c r="AI906" s="185"/>
      <c r="AJ906" s="185"/>
      <c r="AK906" s="185"/>
      <c r="AL906" s="185"/>
      <c r="AM906" s="185"/>
      <c r="AN906" s="185"/>
      <c r="AO906" s="185"/>
      <c r="AP906" s="185"/>
      <c r="AQ906" s="185"/>
      <c r="AR906" s="185"/>
      <c r="AS906" s="185"/>
      <c r="AT906" s="185"/>
      <c r="AU906" s="185"/>
      <c r="AV906" s="185"/>
    </row>
    <row r="907" spans="13:48" s="277" customFormat="1">
      <c r="M907" s="185"/>
      <c r="N907" s="185"/>
      <c r="O907" s="185"/>
      <c r="S907" s="291">
        <v>42463</v>
      </c>
      <c r="T907" s="279">
        <v>824</v>
      </c>
      <c r="AI907" s="185"/>
      <c r="AJ907" s="185"/>
      <c r="AK907" s="185"/>
      <c r="AL907" s="185"/>
      <c r="AM907" s="185"/>
      <c r="AN907" s="185"/>
      <c r="AO907" s="185"/>
      <c r="AP907" s="185"/>
      <c r="AQ907" s="185"/>
      <c r="AR907" s="185"/>
      <c r="AS907" s="185"/>
      <c r="AT907" s="185"/>
      <c r="AU907" s="185"/>
      <c r="AV907" s="185"/>
    </row>
    <row r="908" spans="13:48" s="277" customFormat="1">
      <c r="M908" s="185"/>
      <c r="N908" s="185"/>
      <c r="O908" s="185"/>
      <c r="S908" s="291">
        <v>42464</v>
      </c>
      <c r="T908" s="279">
        <v>825</v>
      </c>
      <c r="AI908" s="185"/>
      <c r="AJ908" s="185"/>
      <c r="AK908" s="185"/>
      <c r="AL908" s="185"/>
      <c r="AM908" s="185"/>
      <c r="AN908" s="185"/>
      <c r="AO908" s="185"/>
      <c r="AP908" s="185"/>
      <c r="AQ908" s="185"/>
      <c r="AR908" s="185"/>
      <c r="AS908" s="185"/>
      <c r="AT908" s="185"/>
      <c r="AU908" s="185"/>
      <c r="AV908" s="185"/>
    </row>
    <row r="909" spans="13:48" s="277" customFormat="1">
      <c r="M909" s="185"/>
      <c r="N909" s="185"/>
      <c r="O909" s="185"/>
      <c r="S909" s="291">
        <v>42465</v>
      </c>
      <c r="T909" s="279">
        <v>826</v>
      </c>
      <c r="AI909" s="185"/>
      <c r="AJ909" s="185"/>
      <c r="AK909" s="185"/>
      <c r="AL909" s="185"/>
      <c r="AM909" s="185"/>
      <c r="AN909" s="185"/>
      <c r="AO909" s="185"/>
      <c r="AP909" s="185"/>
      <c r="AQ909" s="185"/>
      <c r="AR909" s="185"/>
      <c r="AS909" s="185"/>
      <c r="AT909" s="185"/>
      <c r="AU909" s="185"/>
      <c r="AV909" s="185"/>
    </row>
    <row r="910" spans="13:48" s="277" customFormat="1">
      <c r="M910" s="185"/>
      <c r="N910" s="185"/>
      <c r="O910" s="185"/>
      <c r="S910" s="291">
        <v>42466</v>
      </c>
      <c r="T910" s="279">
        <v>827</v>
      </c>
      <c r="AI910" s="185"/>
      <c r="AJ910" s="185"/>
      <c r="AK910" s="185"/>
      <c r="AL910" s="185"/>
      <c r="AM910" s="185"/>
      <c r="AN910" s="185"/>
      <c r="AO910" s="185"/>
      <c r="AP910" s="185"/>
      <c r="AQ910" s="185"/>
      <c r="AR910" s="185"/>
      <c r="AS910" s="185"/>
      <c r="AT910" s="185"/>
      <c r="AU910" s="185"/>
      <c r="AV910" s="185"/>
    </row>
    <row r="911" spans="13:48" s="277" customFormat="1">
      <c r="M911" s="185"/>
      <c r="N911" s="185"/>
      <c r="O911" s="185"/>
      <c r="S911" s="291">
        <v>42467</v>
      </c>
      <c r="T911" s="279">
        <v>828</v>
      </c>
      <c r="AI911" s="185"/>
      <c r="AJ911" s="185"/>
      <c r="AK911" s="185"/>
      <c r="AL911" s="185"/>
      <c r="AM911" s="185"/>
      <c r="AN911" s="185"/>
      <c r="AO911" s="185"/>
      <c r="AP911" s="185"/>
      <c r="AQ911" s="185"/>
      <c r="AR911" s="185"/>
      <c r="AS911" s="185"/>
      <c r="AT911" s="185"/>
      <c r="AU911" s="185"/>
      <c r="AV911" s="185"/>
    </row>
    <row r="912" spans="13:48" s="277" customFormat="1">
      <c r="M912" s="185"/>
      <c r="N912" s="185"/>
      <c r="O912" s="185"/>
      <c r="S912" s="291">
        <v>42468</v>
      </c>
      <c r="T912" s="279">
        <v>829</v>
      </c>
      <c r="AI912" s="185"/>
      <c r="AJ912" s="185"/>
      <c r="AK912" s="185"/>
      <c r="AL912" s="185"/>
      <c r="AM912" s="185"/>
      <c r="AN912" s="185"/>
      <c r="AO912" s="185"/>
      <c r="AP912" s="185"/>
      <c r="AQ912" s="185"/>
      <c r="AR912" s="185"/>
      <c r="AS912" s="185"/>
      <c r="AT912" s="185"/>
      <c r="AU912" s="185"/>
      <c r="AV912" s="185"/>
    </row>
    <row r="913" spans="13:48" s="277" customFormat="1">
      <c r="M913" s="185"/>
      <c r="N913" s="185"/>
      <c r="O913" s="185"/>
      <c r="S913" s="291">
        <v>42469</v>
      </c>
      <c r="T913" s="279">
        <v>830</v>
      </c>
      <c r="AI913" s="185"/>
      <c r="AJ913" s="185"/>
      <c r="AK913" s="185"/>
      <c r="AL913" s="185"/>
      <c r="AM913" s="185"/>
      <c r="AN913" s="185"/>
      <c r="AO913" s="185"/>
      <c r="AP913" s="185"/>
      <c r="AQ913" s="185"/>
      <c r="AR913" s="185"/>
      <c r="AS913" s="185"/>
      <c r="AT913" s="185"/>
      <c r="AU913" s="185"/>
      <c r="AV913" s="185"/>
    </row>
    <row r="914" spans="13:48" s="277" customFormat="1">
      <c r="M914" s="185"/>
      <c r="N914" s="185"/>
      <c r="O914" s="185"/>
      <c r="S914" s="291">
        <v>42470</v>
      </c>
      <c r="T914" s="279">
        <v>831</v>
      </c>
      <c r="AI914" s="185"/>
      <c r="AJ914" s="185"/>
      <c r="AK914" s="185"/>
      <c r="AL914" s="185"/>
      <c r="AM914" s="185"/>
      <c r="AN914" s="185"/>
      <c r="AO914" s="185"/>
      <c r="AP914" s="185"/>
      <c r="AQ914" s="185"/>
      <c r="AR914" s="185"/>
      <c r="AS914" s="185"/>
      <c r="AT914" s="185"/>
      <c r="AU914" s="185"/>
      <c r="AV914" s="185"/>
    </row>
    <row r="915" spans="13:48" s="277" customFormat="1">
      <c r="M915" s="185"/>
      <c r="N915" s="185"/>
      <c r="O915" s="185"/>
      <c r="S915" s="291">
        <v>42471</v>
      </c>
      <c r="T915" s="279">
        <v>832</v>
      </c>
      <c r="AI915" s="185"/>
      <c r="AJ915" s="185"/>
      <c r="AK915" s="185"/>
      <c r="AL915" s="185"/>
      <c r="AM915" s="185"/>
      <c r="AN915" s="185"/>
      <c r="AO915" s="185"/>
      <c r="AP915" s="185"/>
      <c r="AQ915" s="185"/>
      <c r="AR915" s="185"/>
      <c r="AS915" s="185"/>
      <c r="AT915" s="185"/>
      <c r="AU915" s="185"/>
      <c r="AV915" s="185"/>
    </row>
    <row r="916" spans="13:48" s="277" customFormat="1">
      <c r="M916" s="185"/>
      <c r="N916" s="185"/>
      <c r="O916" s="185"/>
      <c r="S916" s="291">
        <v>42472</v>
      </c>
      <c r="T916" s="279">
        <v>833</v>
      </c>
      <c r="AI916" s="185"/>
      <c r="AJ916" s="185"/>
      <c r="AK916" s="185"/>
      <c r="AL916" s="185"/>
      <c r="AM916" s="185"/>
      <c r="AN916" s="185"/>
      <c r="AO916" s="185"/>
      <c r="AP916" s="185"/>
      <c r="AQ916" s="185"/>
      <c r="AR916" s="185"/>
      <c r="AS916" s="185"/>
      <c r="AT916" s="185"/>
      <c r="AU916" s="185"/>
      <c r="AV916" s="185"/>
    </row>
    <row r="917" spans="13:48" s="277" customFormat="1">
      <c r="M917" s="185"/>
      <c r="N917" s="185"/>
      <c r="O917" s="185"/>
      <c r="S917" s="291">
        <v>42473</v>
      </c>
      <c r="T917" s="279">
        <v>834</v>
      </c>
      <c r="AI917" s="185"/>
      <c r="AJ917" s="185"/>
      <c r="AK917" s="185"/>
      <c r="AL917" s="185"/>
      <c r="AM917" s="185"/>
      <c r="AN917" s="185"/>
      <c r="AO917" s="185"/>
      <c r="AP917" s="185"/>
      <c r="AQ917" s="185"/>
      <c r="AR917" s="185"/>
      <c r="AS917" s="185"/>
      <c r="AT917" s="185"/>
      <c r="AU917" s="185"/>
      <c r="AV917" s="185"/>
    </row>
    <row r="918" spans="13:48" s="277" customFormat="1">
      <c r="M918" s="185"/>
      <c r="N918" s="185"/>
      <c r="O918" s="185"/>
      <c r="S918" s="291">
        <v>42474</v>
      </c>
      <c r="T918" s="279">
        <v>835</v>
      </c>
      <c r="AI918" s="185"/>
      <c r="AJ918" s="185"/>
      <c r="AK918" s="185"/>
      <c r="AL918" s="185"/>
      <c r="AM918" s="185"/>
      <c r="AN918" s="185"/>
      <c r="AO918" s="185"/>
      <c r="AP918" s="185"/>
      <c r="AQ918" s="185"/>
      <c r="AR918" s="185"/>
      <c r="AS918" s="185"/>
      <c r="AT918" s="185"/>
      <c r="AU918" s="185"/>
      <c r="AV918" s="185"/>
    </row>
    <row r="919" spans="13:48" s="277" customFormat="1">
      <c r="M919" s="185"/>
      <c r="N919" s="185"/>
      <c r="O919" s="185"/>
      <c r="S919" s="291">
        <v>42475</v>
      </c>
      <c r="T919" s="279">
        <v>836</v>
      </c>
      <c r="AI919" s="185"/>
      <c r="AJ919" s="185"/>
      <c r="AK919" s="185"/>
      <c r="AL919" s="185"/>
      <c r="AM919" s="185"/>
      <c r="AN919" s="185"/>
      <c r="AO919" s="185"/>
      <c r="AP919" s="185"/>
      <c r="AQ919" s="185"/>
      <c r="AR919" s="185"/>
      <c r="AS919" s="185"/>
      <c r="AT919" s="185"/>
      <c r="AU919" s="185"/>
      <c r="AV919" s="185"/>
    </row>
    <row r="920" spans="13:48" s="277" customFormat="1">
      <c r="M920" s="185"/>
      <c r="N920" s="185"/>
      <c r="O920" s="185"/>
      <c r="S920" s="291">
        <v>42476</v>
      </c>
      <c r="T920" s="279">
        <v>837</v>
      </c>
      <c r="AI920" s="185"/>
      <c r="AJ920" s="185"/>
      <c r="AK920" s="185"/>
      <c r="AL920" s="185"/>
      <c r="AM920" s="185"/>
      <c r="AN920" s="185"/>
      <c r="AO920" s="185"/>
      <c r="AP920" s="185"/>
      <c r="AQ920" s="185"/>
      <c r="AR920" s="185"/>
      <c r="AS920" s="185"/>
      <c r="AT920" s="185"/>
      <c r="AU920" s="185"/>
      <c r="AV920" s="185"/>
    </row>
    <row r="921" spans="13:48" s="277" customFormat="1">
      <c r="M921" s="185"/>
      <c r="N921" s="185"/>
      <c r="O921" s="185"/>
      <c r="S921" s="291">
        <v>42477</v>
      </c>
      <c r="T921" s="279">
        <v>838</v>
      </c>
      <c r="AI921" s="185"/>
      <c r="AJ921" s="185"/>
      <c r="AK921" s="185"/>
      <c r="AL921" s="185"/>
      <c r="AM921" s="185"/>
      <c r="AN921" s="185"/>
      <c r="AO921" s="185"/>
      <c r="AP921" s="185"/>
      <c r="AQ921" s="185"/>
      <c r="AR921" s="185"/>
      <c r="AS921" s="185"/>
      <c r="AT921" s="185"/>
      <c r="AU921" s="185"/>
      <c r="AV921" s="185"/>
    </row>
    <row r="922" spans="13:48" s="277" customFormat="1">
      <c r="M922" s="185"/>
      <c r="N922" s="185"/>
      <c r="O922" s="185"/>
      <c r="S922" s="291">
        <v>42478</v>
      </c>
      <c r="T922" s="279">
        <v>839</v>
      </c>
      <c r="AI922" s="185"/>
      <c r="AJ922" s="185"/>
      <c r="AK922" s="185"/>
      <c r="AL922" s="185"/>
      <c r="AM922" s="185"/>
      <c r="AN922" s="185"/>
      <c r="AO922" s="185"/>
      <c r="AP922" s="185"/>
      <c r="AQ922" s="185"/>
      <c r="AR922" s="185"/>
      <c r="AS922" s="185"/>
      <c r="AT922" s="185"/>
      <c r="AU922" s="185"/>
      <c r="AV922" s="185"/>
    </row>
    <row r="923" spans="13:48" s="277" customFormat="1">
      <c r="M923" s="185"/>
      <c r="N923" s="185"/>
      <c r="O923" s="185"/>
      <c r="S923" s="291">
        <v>42479</v>
      </c>
      <c r="T923" s="279">
        <v>840</v>
      </c>
      <c r="AI923" s="185"/>
      <c r="AJ923" s="185"/>
      <c r="AK923" s="185"/>
      <c r="AL923" s="185"/>
      <c r="AM923" s="185"/>
      <c r="AN923" s="185"/>
      <c r="AO923" s="185"/>
      <c r="AP923" s="185"/>
      <c r="AQ923" s="185"/>
      <c r="AR923" s="185"/>
      <c r="AS923" s="185"/>
      <c r="AT923" s="185"/>
      <c r="AU923" s="185"/>
      <c r="AV923" s="185"/>
    </row>
    <row r="924" spans="13:48" s="277" customFormat="1">
      <c r="M924" s="185"/>
      <c r="N924" s="185"/>
      <c r="O924" s="185"/>
      <c r="S924" s="291">
        <v>42480</v>
      </c>
      <c r="T924" s="279">
        <v>841</v>
      </c>
      <c r="AI924" s="185"/>
      <c r="AJ924" s="185"/>
      <c r="AK924" s="185"/>
      <c r="AL924" s="185"/>
      <c r="AM924" s="185"/>
      <c r="AN924" s="185"/>
      <c r="AO924" s="185"/>
      <c r="AP924" s="185"/>
      <c r="AQ924" s="185"/>
      <c r="AR924" s="185"/>
      <c r="AS924" s="185"/>
      <c r="AT924" s="185"/>
      <c r="AU924" s="185"/>
      <c r="AV924" s="185"/>
    </row>
    <row r="925" spans="13:48" s="277" customFormat="1">
      <c r="M925" s="185"/>
      <c r="N925" s="185"/>
      <c r="O925" s="185"/>
      <c r="S925" s="291">
        <v>42481</v>
      </c>
      <c r="T925" s="279">
        <v>842</v>
      </c>
      <c r="AI925" s="185"/>
      <c r="AJ925" s="185"/>
      <c r="AK925" s="185"/>
      <c r="AL925" s="185"/>
      <c r="AM925" s="185"/>
      <c r="AN925" s="185"/>
      <c r="AO925" s="185"/>
      <c r="AP925" s="185"/>
      <c r="AQ925" s="185"/>
      <c r="AR925" s="185"/>
      <c r="AS925" s="185"/>
      <c r="AT925" s="185"/>
      <c r="AU925" s="185"/>
      <c r="AV925" s="185"/>
    </row>
    <row r="926" spans="13:48" s="277" customFormat="1">
      <c r="M926" s="185"/>
      <c r="N926" s="185"/>
      <c r="O926" s="185"/>
      <c r="S926" s="291">
        <v>42482</v>
      </c>
      <c r="T926" s="279">
        <v>843</v>
      </c>
      <c r="AI926" s="185"/>
      <c r="AJ926" s="185"/>
      <c r="AK926" s="185"/>
      <c r="AL926" s="185"/>
      <c r="AM926" s="185"/>
      <c r="AN926" s="185"/>
      <c r="AO926" s="185"/>
      <c r="AP926" s="185"/>
      <c r="AQ926" s="185"/>
      <c r="AR926" s="185"/>
      <c r="AS926" s="185"/>
      <c r="AT926" s="185"/>
      <c r="AU926" s="185"/>
      <c r="AV926" s="185"/>
    </row>
    <row r="927" spans="13:48" s="277" customFormat="1">
      <c r="M927" s="185"/>
      <c r="N927" s="185"/>
      <c r="O927" s="185"/>
      <c r="S927" s="291">
        <v>42483</v>
      </c>
      <c r="T927" s="279">
        <v>844</v>
      </c>
      <c r="AI927" s="185"/>
      <c r="AJ927" s="185"/>
      <c r="AK927" s="185"/>
      <c r="AL927" s="185"/>
      <c r="AM927" s="185"/>
      <c r="AN927" s="185"/>
      <c r="AO927" s="185"/>
      <c r="AP927" s="185"/>
      <c r="AQ927" s="185"/>
      <c r="AR927" s="185"/>
      <c r="AS927" s="185"/>
      <c r="AT927" s="185"/>
      <c r="AU927" s="185"/>
      <c r="AV927" s="185"/>
    </row>
    <row r="928" spans="13:48" s="277" customFormat="1">
      <c r="M928" s="185"/>
      <c r="N928" s="185"/>
      <c r="O928" s="185"/>
      <c r="S928" s="291">
        <v>42484</v>
      </c>
      <c r="T928" s="279">
        <v>845</v>
      </c>
      <c r="AI928" s="185"/>
      <c r="AJ928" s="185"/>
      <c r="AK928" s="185"/>
      <c r="AL928" s="185"/>
      <c r="AM928" s="185"/>
      <c r="AN928" s="185"/>
      <c r="AO928" s="185"/>
      <c r="AP928" s="185"/>
      <c r="AQ928" s="185"/>
      <c r="AR928" s="185"/>
      <c r="AS928" s="185"/>
      <c r="AT928" s="185"/>
      <c r="AU928" s="185"/>
      <c r="AV928" s="185"/>
    </row>
    <row r="929" spans="13:48" s="277" customFormat="1">
      <c r="M929" s="185"/>
      <c r="N929" s="185"/>
      <c r="O929" s="185"/>
      <c r="S929" s="291">
        <v>42485</v>
      </c>
      <c r="T929" s="279">
        <v>846</v>
      </c>
      <c r="AI929" s="185"/>
      <c r="AJ929" s="185"/>
      <c r="AK929" s="185"/>
      <c r="AL929" s="185"/>
      <c r="AM929" s="185"/>
      <c r="AN929" s="185"/>
      <c r="AO929" s="185"/>
      <c r="AP929" s="185"/>
      <c r="AQ929" s="185"/>
      <c r="AR929" s="185"/>
      <c r="AS929" s="185"/>
      <c r="AT929" s="185"/>
      <c r="AU929" s="185"/>
      <c r="AV929" s="185"/>
    </row>
    <row r="930" spans="13:48" s="277" customFormat="1">
      <c r="M930" s="185"/>
      <c r="N930" s="185"/>
      <c r="O930" s="185"/>
      <c r="S930" s="291">
        <v>42486</v>
      </c>
      <c r="T930" s="279">
        <v>847</v>
      </c>
      <c r="AI930" s="185"/>
      <c r="AJ930" s="185"/>
      <c r="AK930" s="185"/>
      <c r="AL930" s="185"/>
      <c r="AM930" s="185"/>
      <c r="AN930" s="185"/>
      <c r="AO930" s="185"/>
      <c r="AP930" s="185"/>
      <c r="AQ930" s="185"/>
      <c r="AR930" s="185"/>
      <c r="AS930" s="185"/>
      <c r="AT930" s="185"/>
      <c r="AU930" s="185"/>
      <c r="AV930" s="185"/>
    </row>
    <row r="931" spans="13:48" s="277" customFormat="1">
      <c r="M931" s="185"/>
      <c r="N931" s="185"/>
      <c r="O931" s="185"/>
      <c r="S931" s="291">
        <v>42487</v>
      </c>
      <c r="T931" s="279">
        <v>848</v>
      </c>
      <c r="AI931" s="185"/>
      <c r="AJ931" s="185"/>
      <c r="AK931" s="185"/>
      <c r="AL931" s="185"/>
      <c r="AM931" s="185"/>
      <c r="AN931" s="185"/>
      <c r="AO931" s="185"/>
      <c r="AP931" s="185"/>
      <c r="AQ931" s="185"/>
      <c r="AR931" s="185"/>
      <c r="AS931" s="185"/>
      <c r="AT931" s="185"/>
      <c r="AU931" s="185"/>
      <c r="AV931" s="185"/>
    </row>
    <row r="932" spans="13:48" s="277" customFormat="1">
      <c r="M932" s="185"/>
      <c r="N932" s="185"/>
      <c r="O932" s="185"/>
      <c r="S932" s="291">
        <v>42488</v>
      </c>
      <c r="T932" s="279">
        <v>849</v>
      </c>
      <c r="AI932" s="185"/>
      <c r="AJ932" s="185"/>
      <c r="AK932" s="185"/>
      <c r="AL932" s="185"/>
      <c r="AM932" s="185"/>
      <c r="AN932" s="185"/>
      <c r="AO932" s="185"/>
      <c r="AP932" s="185"/>
      <c r="AQ932" s="185"/>
      <c r="AR932" s="185"/>
      <c r="AS932" s="185"/>
      <c r="AT932" s="185"/>
      <c r="AU932" s="185"/>
      <c r="AV932" s="185"/>
    </row>
    <row r="933" spans="13:48" s="277" customFormat="1">
      <c r="M933" s="185"/>
      <c r="N933" s="185"/>
      <c r="O933" s="185"/>
      <c r="S933" s="291">
        <v>42489</v>
      </c>
      <c r="T933" s="279">
        <v>850</v>
      </c>
      <c r="AI933" s="185"/>
      <c r="AJ933" s="185"/>
      <c r="AK933" s="185"/>
      <c r="AL933" s="185"/>
      <c r="AM933" s="185"/>
      <c r="AN933" s="185"/>
      <c r="AO933" s="185"/>
      <c r="AP933" s="185"/>
      <c r="AQ933" s="185"/>
      <c r="AR933" s="185"/>
      <c r="AS933" s="185"/>
      <c r="AT933" s="185"/>
      <c r="AU933" s="185"/>
      <c r="AV933" s="185"/>
    </row>
    <row r="934" spans="13:48" s="277" customFormat="1">
      <c r="M934" s="185"/>
      <c r="N934" s="185"/>
      <c r="O934" s="185"/>
      <c r="S934" s="291">
        <v>42490</v>
      </c>
      <c r="T934" s="279">
        <v>851</v>
      </c>
      <c r="AI934" s="185"/>
      <c r="AJ934" s="185"/>
      <c r="AK934" s="185"/>
      <c r="AL934" s="185"/>
      <c r="AM934" s="185"/>
      <c r="AN934" s="185"/>
      <c r="AO934" s="185"/>
      <c r="AP934" s="185"/>
      <c r="AQ934" s="185"/>
      <c r="AR934" s="185"/>
      <c r="AS934" s="185"/>
      <c r="AT934" s="185"/>
      <c r="AU934" s="185"/>
      <c r="AV934" s="185"/>
    </row>
    <row r="935" spans="13:48" s="277" customFormat="1">
      <c r="M935" s="185"/>
      <c r="N935" s="185"/>
      <c r="O935" s="185"/>
      <c r="S935" s="291">
        <v>42491</v>
      </c>
      <c r="T935" s="279">
        <v>852</v>
      </c>
      <c r="AI935" s="185"/>
      <c r="AJ935" s="185"/>
      <c r="AK935" s="185"/>
      <c r="AL935" s="185"/>
      <c r="AM935" s="185"/>
      <c r="AN935" s="185"/>
      <c r="AO935" s="185"/>
      <c r="AP935" s="185"/>
      <c r="AQ935" s="185"/>
      <c r="AR935" s="185"/>
      <c r="AS935" s="185"/>
      <c r="AT935" s="185"/>
      <c r="AU935" s="185"/>
      <c r="AV935" s="185"/>
    </row>
    <row r="936" spans="13:48" s="277" customFormat="1">
      <c r="M936" s="185"/>
      <c r="N936" s="185"/>
      <c r="O936" s="185"/>
      <c r="S936" s="291">
        <v>42492</v>
      </c>
      <c r="T936" s="279">
        <v>853</v>
      </c>
      <c r="AI936" s="185"/>
      <c r="AJ936" s="185"/>
      <c r="AK936" s="185"/>
      <c r="AL936" s="185"/>
      <c r="AM936" s="185"/>
      <c r="AN936" s="185"/>
      <c r="AO936" s="185"/>
      <c r="AP936" s="185"/>
      <c r="AQ936" s="185"/>
      <c r="AR936" s="185"/>
      <c r="AS936" s="185"/>
      <c r="AT936" s="185"/>
      <c r="AU936" s="185"/>
      <c r="AV936" s="185"/>
    </row>
    <row r="937" spans="13:48" s="277" customFormat="1">
      <c r="M937" s="185"/>
      <c r="N937" s="185"/>
      <c r="O937" s="185"/>
      <c r="S937" s="291">
        <v>42493</v>
      </c>
      <c r="T937" s="279">
        <v>854</v>
      </c>
      <c r="AI937" s="185"/>
      <c r="AJ937" s="185"/>
      <c r="AK937" s="185"/>
      <c r="AL937" s="185"/>
      <c r="AM937" s="185"/>
      <c r="AN937" s="185"/>
      <c r="AO937" s="185"/>
      <c r="AP937" s="185"/>
      <c r="AQ937" s="185"/>
      <c r="AR937" s="185"/>
      <c r="AS937" s="185"/>
      <c r="AT937" s="185"/>
      <c r="AU937" s="185"/>
      <c r="AV937" s="185"/>
    </row>
    <row r="938" spans="13:48" s="277" customFormat="1">
      <c r="M938" s="185"/>
      <c r="N938" s="185"/>
      <c r="O938" s="185"/>
      <c r="S938" s="291">
        <v>42494</v>
      </c>
      <c r="T938" s="279">
        <v>855</v>
      </c>
      <c r="AI938" s="185"/>
      <c r="AJ938" s="185"/>
      <c r="AK938" s="185"/>
      <c r="AL938" s="185"/>
      <c r="AM938" s="185"/>
      <c r="AN938" s="185"/>
      <c r="AO938" s="185"/>
      <c r="AP938" s="185"/>
      <c r="AQ938" s="185"/>
      <c r="AR938" s="185"/>
      <c r="AS938" s="185"/>
      <c r="AT938" s="185"/>
      <c r="AU938" s="185"/>
      <c r="AV938" s="185"/>
    </row>
    <row r="939" spans="13:48" s="277" customFormat="1">
      <c r="M939" s="185"/>
      <c r="N939" s="185"/>
      <c r="O939" s="185"/>
      <c r="S939" s="291">
        <v>42495</v>
      </c>
      <c r="T939" s="279">
        <v>856</v>
      </c>
      <c r="AI939" s="185"/>
      <c r="AJ939" s="185"/>
      <c r="AK939" s="185"/>
      <c r="AL939" s="185"/>
      <c r="AM939" s="185"/>
      <c r="AN939" s="185"/>
      <c r="AO939" s="185"/>
      <c r="AP939" s="185"/>
      <c r="AQ939" s="185"/>
      <c r="AR939" s="185"/>
      <c r="AS939" s="185"/>
      <c r="AT939" s="185"/>
      <c r="AU939" s="185"/>
      <c r="AV939" s="185"/>
    </row>
    <row r="940" spans="13:48" s="277" customFormat="1">
      <c r="M940" s="185"/>
      <c r="N940" s="185"/>
      <c r="O940" s="185"/>
      <c r="S940" s="291">
        <v>42496</v>
      </c>
      <c r="T940" s="279">
        <v>857</v>
      </c>
      <c r="AI940" s="185"/>
      <c r="AJ940" s="185"/>
      <c r="AK940" s="185"/>
      <c r="AL940" s="185"/>
      <c r="AM940" s="185"/>
      <c r="AN940" s="185"/>
      <c r="AO940" s="185"/>
      <c r="AP940" s="185"/>
      <c r="AQ940" s="185"/>
      <c r="AR940" s="185"/>
      <c r="AS940" s="185"/>
      <c r="AT940" s="185"/>
      <c r="AU940" s="185"/>
      <c r="AV940" s="185"/>
    </row>
    <row r="941" spans="13:48" s="277" customFormat="1">
      <c r="M941" s="185"/>
      <c r="N941" s="185"/>
      <c r="O941" s="185"/>
      <c r="S941" s="291">
        <v>42497</v>
      </c>
      <c r="T941" s="279">
        <v>858</v>
      </c>
      <c r="AI941" s="185"/>
      <c r="AJ941" s="185"/>
      <c r="AK941" s="185"/>
      <c r="AL941" s="185"/>
      <c r="AM941" s="185"/>
      <c r="AN941" s="185"/>
      <c r="AO941" s="185"/>
      <c r="AP941" s="185"/>
      <c r="AQ941" s="185"/>
      <c r="AR941" s="185"/>
      <c r="AS941" s="185"/>
      <c r="AT941" s="185"/>
      <c r="AU941" s="185"/>
      <c r="AV941" s="185"/>
    </row>
    <row r="942" spans="13:48" s="277" customFormat="1">
      <c r="M942" s="185"/>
      <c r="N942" s="185"/>
      <c r="O942" s="185"/>
      <c r="S942" s="291">
        <v>42498</v>
      </c>
      <c r="T942" s="279">
        <v>859</v>
      </c>
      <c r="AI942" s="185"/>
      <c r="AJ942" s="185"/>
      <c r="AK942" s="185"/>
      <c r="AL942" s="185"/>
      <c r="AM942" s="185"/>
      <c r="AN942" s="185"/>
      <c r="AO942" s="185"/>
      <c r="AP942" s="185"/>
      <c r="AQ942" s="185"/>
      <c r="AR942" s="185"/>
      <c r="AS942" s="185"/>
      <c r="AT942" s="185"/>
      <c r="AU942" s="185"/>
      <c r="AV942" s="185"/>
    </row>
    <row r="943" spans="13:48" s="277" customFormat="1">
      <c r="M943" s="185"/>
      <c r="N943" s="185"/>
      <c r="O943" s="185"/>
      <c r="S943" s="291">
        <v>42499</v>
      </c>
      <c r="T943" s="279">
        <v>860</v>
      </c>
      <c r="AI943" s="185"/>
      <c r="AJ943" s="185"/>
      <c r="AK943" s="185"/>
      <c r="AL943" s="185"/>
      <c r="AM943" s="185"/>
      <c r="AN943" s="185"/>
      <c r="AO943" s="185"/>
      <c r="AP943" s="185"/>
      <c r="AQ943" s="185"/>
      <c r="AR943" s="185"/>
      <c r="AS943" s="185"/>
      <c r="AT943" s="185"/>
      <c r="AU943" s="185"/>
      <c r="AV943" s="185"/>
    </row>
    <row r="944" spans="13:48" s="277" customFormat="1">
      <c r="M944" s="185"/>
      <c r="N944" s="185"/>
      <c r="O944" s="185"/>
      <c r="S944" s="291">
        <v>42500</v>
      </c>
      <c r="T944" s="279">
        <v>861</v>
      </c>
      <c r="AI944" s="185"/>
      <c r="AJ944" s="185"/>
      <c r="AK944" s="185"/>
      <c r="AL944" s="185"/>
      <c r="AM944" s="185"/>
      <c r="AN944" s="185"/>
      <c r="AO944" s="185"/>
      <c r="AP944" s="185"/>
      <c r="AQ944" s="185"/>
      <c r="AR944" s="185"/>
      <c r="AS944" s="185"/>
      <c r="AT944" s="185"/>
      <c r="AU944" s="185"/>
      <c r="AV944" s="185"/>
    </row>
    <row r="945" spans="13:48" s="277" customFormat="1">
      <c r="M945" s="185"/>
      <c r="N945" s="185"/>
      <c r="O945" s="185"/>
      <c r="S945" s="291">
        <v>42501</v>
      </c>
      <c r="T945" s="279">
        <v>862</v>
      </c>
      <c r="AI945" s="185"/>
      <c r="AJ945" s="185"/>
      <c r="AK945" s="185"/>
      <c r="AL945" s="185"/>
      <c r="AM945" s="185"/>
      <c r="AN945" s="185"/>
      <c r="AO945" s="185"/>
      <c r="AP945" s="185"/>
      <c r="AQ945" s="185"/>
      <c r="AR945" s="185"/>
      <c r="AS945" s="185"/>
      <c r="AT945" s="185"/>
      <c r="AU945" s="185"/>
      <c r="AV945" s="185"/>
    </row>
    <row r="946" spans="13:48" s="277" customFormat="1">
      <c r="M946" s="185"/>
      <c r="N946" s="185"/>
      <c r="O946" s="185"/>
      <c r="S946" s="291">
        <v>42502</v>
      </c>
      <c r="T946" s="279">
        <v>863</v>
      </c>
      <c r="AI946" s="185"/>
      <c r="AJ946" s="185"/>
      <c r="AK946" s="185"/>
      <c r="AL946" s="185"/>
      <c r="AM946" s="185"/>
      <c r="AN946" s="185"/>
      <c r="AO946" s="185"/>
      <c r="AP946" s="185"/>
      <c r="AQ946" s="185"/>
      <c r="AR946" s="185"/>
      <c r="AS946" s="185"/>
      <c r="AT946" s="185"/>
      <c r="AU946" s="185"/>
      <c r="AV946" s="185"/>
    </row>
    <row r="947" spans="13:48" s="277" customFormat="1">
      <c r="M947" s="185"/>
      <c r="N947" s="185"/>
      <c r="O947" s="185"/>
      <c r="S947" s="291">
        <v>42503</v>
      </c>
      <c r="T947" s="279">
        <v>864</v>
      </c>
      <c r="AI947" s="185"/>
      <c r="AJ947" s="185"/>
      <c r="AK947" s="185"/>
      <c r="AL947" s="185"/>
      <c r="AM947" s="185"/>
      <c r="AN947" s="185"/>
      <c r="AO947" s="185"/>
      <c r="AP947" s="185"/>
      <c r="AQ947" s="185"/>
      <c r="AR947" s="185"/>
      <c r="AS947" s="185"/>
      <c r="AT947" s="185"/>
      <c r="AU947" s="185"/>
      <c r="AV947" s="185"/>
    </row>
    <row r="948" spans="13:48" s="277" customFormat="1">
      <c r="M948" s="185"/>
      <c r="N948" s="185"/>
      <c r="O948" s="185"/>
      <c r="S948" s="291">
        <v>42504</v>
      </c>
      <c r="T948" s="279">
        <v>865</v>
      </c>
      <c r="AI948" s="185"/>
      <c r="AJ948" s="185"/>
      <c r="AK948" s="185"/>
      <c r="AL948" s="185"/>
      <c r="AM948" s="185"/>
      <c r="AN948" s="185"/>
      <c r="AO948" s="185"/>
      <c r="AP948" s="185"/>
      <c r="AQ948" s="185"/>
      <c r="AR948" s="185"/>
      <c r="AS948" s="185"/>
      <c r="AT948" s="185"/>
      <c r="AU948" s="185"/>
      <c r="AV948" s="185"/>
    </row>
    <row r="949" spans="13:48" s="277" customFormat="1">
      <c r="M949" s="185"/>
      <c r="N949" s="185"/>
      <c r="O949" s="185"/>
      <c r="S949" s="291">
        <v>42505</v>
      </c>
      <c r="T949" s="279">
        <v>866</v>
      </c>
      <c r="AI949" s="185"/>
      <c r="AJ949" s="185"/>
      <c r="AK949" s="185"/>
      <c r="AL949" s="185"/>
      <c r="AM949" s="185"/>
      <c r="AN949" s="185"/>
      <c r="AO949" s="185"/>
      <c r="AP949" s="185"/>
      <c r="AQ949" s="185"/>
      <c r="AR949" s="185"/>
      <c r="AS949" s="185"/>
      <c r="AT949" s="185"/>
      <c r="AU949" s="185"/>
      <c r="AV949" s="185"/>
    </row>
    <row r="950" spans="13:48" s="277" customFormat="1">
      <c r="M950" s="185"/>
      <c r="N950" s="185"/>
      <c r="O950" s="185"/>
      <c r="S950" s="291">
        <v>42506</v>
      </c>
      <c r="T950" s="279">
        <v>867</v>
      </c>
      <c r="AI950" s="185"/>
      <c r="AJ950" s="185"/>
      <c r="AK950" s="185"/>
      <c r="AL950" s="185"/>
      <c r="AM950" s="185"/>
      <c r="AN950" s="185"/>
      <c r="AO950" s="185"/>
      <c r="AP950" s="185"/>
      <c r="AQ950" s="185"/>
      <c r="AR950" s="185"/>
      <c r="AS950" s="185"/>
      <c r="AT950" s="185"/>
      <c r="AU950" s="185"/>
      <c r="AV950" s="185"/>
    </row>
    <row r="951" spans="13:48" s="277" customFormat="1">
      <c r="M951" s="185"/>
      <c r="N951" s="185"/>
      <c r="O951" s="185"/>
      <c r="S951" s="291">
        <v>42507</v>
      </c>
      <c r="T951" s="279">
        <v>868</v>
      </c>
      <c r="AI951" s="185"/>
      <c r="AJ951" s="185"/>
      <c r="AK951" s="185"/>
      <c r="AL951" s="185"/>
      <c r="AM951" s="185"/>
      <c r="AN951" s="185"/>
      <c r="AO951" s="185"/>
      <c r="AP951" s="185"/>
      <c r="AQ951" s="185"/>
      <c r="AR951" s="185"/>
      <c r="AS951" s="185"/>
      <c r="AT951" s="185"/>
      <c r="AU951" s="185"/>
      <c r="AV951" s="185"/>
    </row>
    <row r="952" spans="13:48" s="277" customFormat="1">
      <c r="M952" s="185"/>
      <c r="N952" s="185"/>
      <c r="O952" s="185"/>
      <c r="S952" s="291">
        <v>42508</v>
      </c>
      <c r="T952" s="279">
        <v>869</v>
      </c>
      <c r="AI952" s="185"/>
      <c r="AJ952" s="185"/>
      <c r="AK952" s="185"/>
      <c r="AL952" s="185"/>
      <c r="AM952" s="185"/>
      <c r="AN952" s="185"/>
      <c r="AO952" s="185"/>
      <c r="AP952" s="185"/>
      <c r="AQ952" s="185"/>
      <c r="AR952" s="185"/>
      <c r="AS952" s="185"/>
      <c r="AT952" s="185"/>
      <c r="AU952" s="185"/>
      <c r="AV952" s="185"/>
    </row>
    <row r="953" spans="13:48" s="277" customFormat="1">
      <c r="M953" s="185"/>
      <c r="N953" s="185"/>
      <c r="O953" s="185"/>
      <c r="S953" s="291">
        <v>42509</v>
      </c>
      <c r="T953" s="279">
        <v>870</v>
      </c>
      <c r="AI953" s="185"/>
      <c r="AJ953" s="185"/>
      <c r="AK953" s="185"/>
      <c r="AL953" s="185"/>
      <c r="AM953" s="185"/>
      <c r="AN953" s="185"/>
      <c r="AO953" s="185"/>
      <c r="AP953" s="185"/>
      <c r="AQ953" s="185"/>
      <c r="AR953" s="185"/>
      <c r="AS953" s="185"/>
      <c r="AT953" s="185"/>
      <c r="AU953" s="185"/>
      <c r="AV953" s="185"/>
    </row>
    <row r="954" spans="13:48" s="277" customFormat="1">
      <c r="M954" s="185"/>
      <c r="N954" s="185"/>
      <c r="O954" s="185"/>
      <c r="S954" s="291">
        <v>42510</v>
      </c>
      <c r="T954" s="279">
        <v>871</v>
      </c>
      <c r="AI954" s="185"/>
      <c r="AJ954" s="185"/>
      <c r="AK954" s="185"/>
      <c r="AL954" s="185"/>
      <c r="AM954" s="185"/>
      <c r="AN954" s="185"/>
      <c r="AO954" s="185"/>
      <c r="AP954" s="185"/>
      <c r="AQ954" s="185"/>
      <c r="AR954" s="185"/>
      <c r="AS954" s="185"/>
      <c r="AT954" s="185"/>
      <c r="AU954" s="185"/>
      <c r="AV954" s="185"/>
    </row>
    <row r="955" spans="13:48" s="277" customFormat="1">
      <c r="M955" s="185"/>
      <c r="N955" s="185"/>
      <c r="O955" s="185"/>
      <c r="S955" s="291">
        <v>42511</v>
      </c>
      <c r="T955" s="279">
        <v>872</v>
      </c>
      <c r="AI955" s="185"/>
      <c r="AJ955" s="185"/>
      <c r="AK955" s="185"/>
      <c r="AL955" s="185"/>
      <c r="AM955" s="185"/>
      <c r="AN955" s="185"/>
      <c r="AO955" s="185"/>
      <c r="AP955" s="185"/>
      <c r="AQ955" s="185"/>
      <c r="AR955" s="185"/>
      <c r="AS955" s="185"/>
      <c r="AT955" s="185"/>
      <c r="AU955" s="185"/>
      <c r="AV955" s="185"/>
    </row>
    <row r="956" spans="13:48" s="277" customFormat="1">
      <c r="M956" s="185"/>
      <c r="N956" s="185"/>
      <c r="O956" s="185"/>
      <c r="S956" s="291">
        <v>42512</v>
      </c>
      <c r="T956" s="279">
        <v>873</v>
      </c>
      <c r="AI956" s="185"/>
      <c r="AJ956" s="185"/>
      <c r="AK956" s="185"/>
      <c r="AL956" s="185"/>
      <c r="AM956" s="185"/>
      <c r="AN956" s="185"/>
      <c r="AO956" s="185"/>
      <c r="AP956" s="185"/>
      <c r="AQ956" s="185"/>
      <c r="AR956" s="185"/>
      <c r="AS956" s="185"/>
      <c r="AT956" s="185"/>
      <c r="AU956" s="185"/>
      <c r="AV956" s="185"/>
    </row>
    <row r="957" spans="13:48" s="277" customFormat="1">
      <c r="M957" s="185"/>
      <c r="N957" s="185"/>
      <c r="O957" s="185"/>
      <c r="S957" s="291">
        <v>42513</v>
      </c>
      <c r="T957" s="279">
        <v>874</v>
      </c>
      <c r="AI957" s="185"/>
      <c r="AJ957" s="185"/>
      <c r="AK957" s="185"/>
      <c r="AL957" s="185"/>
      <c r="AM957" s="185"/>
      <c r="AN957" s="185"/>
      <c r="AO957" s="185"/>
      <c r="AP957" s="185"/>
      <c r="AQ957" s="185"/>
      <c r="AR957" s="185"/>
      <c r="AS957" s="185"/>
      <c r="AT957" s="185"/>
      <c r="AU957" s="185"/>
      <c r="AV957" s="185"/>
    </row>
    <row r="958" spans="13:48" s="277" customFormat="1">
      <c r="M958" s="185"/>
      <c r="N958" s="185"/>
      <c r="O958" s="185"/>
      <c r="S958" s="291">
        <v>42514</v>
      </c>
      <c r="T958" s="279">
        <v>875</v>
      </c>
      <c r="AI958" s="185"/>
      <c r="AJ958" s="185"/>
      <c r="AK958" s="185"/>
      <c r="AL958" s="185"/>
      <c r="AM958" s="185"/>
      <c r="AN958" s="185"/>
      <c r="AO958" s="185"/>
      <c r="AP958" s="185"/>
      <c r="AQ958" s="185"/>
      <c r="AR958" s="185"/>
      <c r="AS958" s="185"/>
      <c r="AT958" s="185"/>
      <c r="AU958" s="185"/>
      <c r="AV958" s="185"/>
    </row>
    <row r="959" spans="13:48" s="277" customFormat="1">
      <c r="M959" s="185"/>
      <c r="N959" s="185"/>
      <c r="O959" s="185"/>
      <c r="S959" s="291">
        <v>42515</v>
      </c>
      <c r="T959" s="279">
        <v>876</v>
      </c>
      <c r="AI959" s="185"/>
      <c r="AJ959" s="185"/>
      <c r="AK959" s="185"/>
      <c r="AL959" s="185"/>
      <c r="AM959" s="185"/>
      <c r="AN959" s="185"/>
      <c r="AO959" s="185"/>
      <c r="AP959" s="185"/>
      <c r="AQ959" s="185"/>
      <c r="AR959" s="185"/>
      <c r="AS959" s="185"/>
      <c r="AT959" s="185"/>
      <c r="AU959" s="185"/>
      <c r="AV959" s="185"/>
    </row>
    <row r="960" spans="13:48" s="277" customFormat="1">
      <c r="M960" s="185"/>
      <c r="N960" s="185"/>
      <c r="O960" s="185"/>
      <c r="S960" s="291">
        <v>42516</v>
      </c>
      <c r="T960" s="279">
        <v>877</v>
      </c>
      <c r="AI960" s="185"/>
      <c r="AJ960" s="185"/>
      <c r="AK960" s="185"/>
      <c r="AL960" s="185"/>
      <c r="AM960" s="185"/>
      <c r="AN960" s="185"/>
      <c r="AO960" s="185"/>
      <c r="AP960" s="185"/>
      <c r="AQ960" s="185"/>
      <c r="AR960" s="185"/>
      <c r="AS960" s="185"/>
      <c r="AT960" s="185"/>
      <c r="AU960" s="185"/>
      <c r="AV960" s="185"/>
    </row>
    <row r="961" spans="13:48" s="277" customFormat="1">
      <c r="M961" s="185"/>
      <c r="N961" s="185"/>
      <c r="O961" s="185"/>
      <c r="S961" s="291">
        <v>42517</v>
      </c>
      <c r="T961" s="279">
        <v>878</v>
      </c>
      <c r="AI961" s="185"/>
      <c r="AJ961" s="185"/>
      <c r="AK961" s="185"/>
      <c r="AL961" s="185"/>
      <c r="AM961" s="185"/>
      <c r="AN961" s="185"/>
      <c r="AO961" s="185"/>
      <c r="AP961" s="185"/>
      <c r="AQ961" s="185"/>
      <c r="AR961" s="185"/>
      <c r="AS961" s="185"/>
      <c r="AT961" s="185"/>
      <c r="AU961" s="185"/>
      <c r="AV961" s="185"/>
    </row>
    <row r="962" spans="13:48" s="277" customFormat="1">
      <c r="M962" s="185"/>
      <c r="N962" s="185"/>
      <c r="O962" s="185"/>
      <c r="S962" s="291">
        <v>42518</v>
      </c>
      <c r="T962" s="279">
        <v>879</v>
      </c>
      <c r="AI962" s="185"/>
      <c r="AJ962" s="185"/>
      <c r="AK962" s="185"/>
      <c r="AL962" s="185"/>
      <c r="AM962" s="185"/>
      <c r="AN962" s="185"/>
      <c r="AO962" s="185"/>
      <c r="AP962" s="185"/>
      <c r="AQ962" s="185"/>
      <c r="AR962" s="185"/>
      <c r="AS962" s="185"/>
      <c r="AT962" s="185"/>
      <c r="AU962" s="185"/>
      <c r="AV962" s="185"/>
    </row>
    <row r="963" spans="13:48" s="277" customFormat="1">
      <c r="M963" s="185"/>
      <c r="N963" s="185"/>
      <c r="O963" s="185"/>
      <c r="S963" s="291">
        <v>42519</v>
      </c>
      <c r="T963" s="279">
        <v>880</v>
      </c>
      <c r="AI963" s="185"/>
      <c r="AJ963" s="185"/>
      <c r="AK963" s="185"/>
      <c r="AL963" s="185"/>
      <c r="AM963" s="185"/>
      <c r="AN963" s="185"/>
      <c r="AO963" s="185"/>
      <c r="AP963" s="185"/>
      <c r="AQ963" s="185"/>
      <c r="AR963" s="185"/>
      <c r="AS963" s="185"/>
      <c r="AT963" s="185"/>
      <c r="AU963" s="185"/>
      <c r="AV963" s="185"/>
    </row>
    <row r="964" spans="13:48" s="277" customFormat="1">
      <c r="M964" s="185"/>
      <c r="N964" s="185"/>
      <c r="O964" s="185"/>
      <c r="S964" s="291">
        <v>42520</v>
      </c>
      <c r="T964" s="279">
        <v>881</v>
      </c>
      <c r="AI964" s="185"/>
      <c r="AJ964" s="185"/>
      <c r="AK964" s="185"/>
      <c r="AL964" s="185"/>
      <c r="AM964" s="185"/>
      <c r="AN964" s="185"/>
      <c r="AO964" s="185"/>
      <c r="AP964" s="185"/>
      <c r="AQ964" s="185"/>
      <c r="AR964" s="185"/>
      <c r="AS964" s="185"/>
      <c r="AT964" s="185"/>
      <c r="AU964" s="185"/>
      <c r="AV964" s="185"/>
    </row>
    <row r="965" spans="13:48" s="277" customFormat="1">
      <c r="M965" s="185"/>
      <c r="N965" s="185"/>
      <c r="O965" s="185"/>
      <c r="S965" s="291">
        <v>42521</v>
      </c>
      <c r="T965" s="279">
        <v>882</v>
      </c>
      <c r="AI965" s="185"/>
      <c r="AJ965" s="185"/>
      <c r="AK965" s="185"/>
      <c r="AL965" s="185"/>
      <c r="AM965" s="185"/>
      <c r="AN965" s="185"/>
      <c r="AO965" s="185"/>
      <c r="AP965" s="185"/>
      <c r="AQ965" s="185"/>
      <c r="AR965" s="185"/>
      <c r="AS965" s="185"/>
      <c r="AT965" s="185"/>
      <c r="AU965" s="185"/>
      <c r="AV965" s="185"/>
    </row>
    <row r="966" spans="13:48" s="277" customFormat="1">
      <c r="M966" s="185"/>
      <c r="N966" s="185"/>
      <c r="O966" s="185"/>
      <c r="S966" s="291">
        <v>42522</v>
      </c>
      <c r="T966" s="279">
        <v>883</v>
      </c>
      <c r="AI966" s="185"/>
      <c r="AJ966" s="185"/>
      <c r="AK966" s="185"/>
      <c r="AL966" s="185"/>
      <c r="AM966" s="185"/>
      <c r="AN966" s="185"/>
      <c r="AO966" s="185"/>
      <c r="AP966" s="185"/>
      <c r="AQ966" s="185"/>
      <c r="AR966" s="185"/>
      <c r="AS966" s="185"/>
      <c r="AT966" s="185"/>
      <c r="AU966" s="185"/>
      <c r="AV966" s="185"/>
    </row>
    <row r="967" spans="13:48" s="277" customFormat="1">
      <c r="M967" s="185"/>
      <c r="N967" s="185"/>
      <c r="O967" s="185"/>
      <c r="S967" s="291">
        <v>42523</v>
      </c>
      <c r="T967" s="279">
        <v>884</v>
      </c>
      <c r="AI967" s="185"/>
      <c r="AJ967" s="185"/>
      <c r="AK967" s="185"/>
      <c r="AL967" s="185"/>
      <c r="AM967" s="185"/>
      <c r="AN967" s="185"/>
      <c r="AO967" s="185"/>
      <c r="AP967" s="185"/>
      <c r="AQ967" s="185"/>
      <c r="AR967" s="185"/>
      <c r="AS967" s="185"/>
      <c r="AT967" s="185"/>
      <c r="AU967" s="185"/>
      <c r="AV967" s="185"/>
    </row>
    <row r="968" spans="13:48" s="277" customFormat="1">
      <c r="M968" s="185"/>
      <c r="N968" s="185"/>
      <c r="O968" s="185"/>
      <c r="S968" s="291">
        <v>42524</v>
      </c>
      <c r="T968" s="279">
        <v>885</v>
      </c>
      <c r="AI968" s="185"/>
      <c r="AJ968" s="185"/>
      <c r="AK968" s="185"/>
      <c r="AL968" s="185"/>
      <c r="AM968" s="185"/>
      <c r="AN968" s="185"/>
      <c r="AO968" s="185"/>
      <c r="AP968" s="185"/>
      <c r="AQ968" s="185"/>
      <c r="AR968" s="185"/>
      <c r="AS968" s="185"/>
      <c r="AT968" s="185"/>
      <c r="AU968" s="185"/>
      <c r="AV968" s="185"/>
    </row>
    <row r="969" spans="13:48" s="277" customFormat="1">
      <c r="M969" s="185"/>
      <c r="N969" s="185"/>
      <c r="O969" s="185"/>
      <c r="S969" s="291">
        <v>42525</v>
      </c>
      <c r="T969" s="279">
        <v>886</v>
      </c>
      <c r="AI969" s="185"/>
      <c r="AJ969" s="185"/>
      <c r="AK969" s="185"/>
      <c r="AL969" s="185"/>
      <c r="AM969" s="185"/>
      <c r="AN969" s="185"/>
      <c r="AO969" s="185"/>
      <c r="AP969" s="185"/>
      <c r="AQ969" s="185"/>
      <c r="AR969" s="185"/>
      <c r="AS969" s="185"/>
      <c r="AT969" s="185"/>
      <c r="AU969" s="185"/>
      <c r="AV969" s="185"/>
    </row>
    <row r="970" spans="13:48" s="277" customFormat="1">
      <c r="M970" s="185"/>
      <c r="N970" s="185"/>
      <c r="O970" s="185"/>
      <c r="S970" s="291">
        <v>42526</v>
      </c>
      <c r="T970" s="279">
        <v>887</v>
      </c>
      <c r="AI970" s="185"/>
      <c r="AJ970" s="185"/>
      <c r="AK970" s="185"/>
      <c r="AL970" s="185"/>
      <c r="AM970" s="185"/>
      <c r="AN970" s="185"/>
      <c r="AO970" s="185"/>
      <c r="AP970" s="185"/>
      <c r="AQ970" s="185"/>
      <c r="AR970" s="185"/>
      <c r="AS970" s="185"/>
      <c r="AT970" s="185"/>
      <c r="AU970" s="185"/>
      <c r="AV970" s="185"/>
    </row>
    <row r="971" spans="13:48" s="277" customFormat="1">
      <c r="M971" s="185"/>
      <c r="N971" s="185"/>
      <c r="O971" s="185"/>
      <c r="S971" s="291">
        <v>42527</v>
      </c>
      <c r="T971" s="279">
        <v>888</v>
      </c>
      <c r="AI971" s="185"/>
      <c r="AJ971" s="185"/>
      <c r="AK971" s="185"/>
      <c r="AL971" s="185"/>
      <c r="AM971" s="185"/>
      <c r="AN971" s="185"/>
      <c r="AO971" s="185"/>
      <c r="AP971" s="185"/>
      <c r="AQ971" s="185"/>
      <c r="AR971" s="185"/>
      <c r="AS971" s="185"/>
      <c r="AT971" s="185"/>
      <c r="AU971" s="185"/>
      <c r="AV971" s="185"/>
    </row>
    <row r="972" spans="13:48" s="277" customFormat="1">
      <c r="M972" s="185"/>
      <c r="N972" s="185"/>
      <c r="O972" s="185"/>
      <c r="S972" s="291">
        <v>42528</v>
      </c>
      <c r="T972" s="279">
        <v>889</v>
      </c>
      <c r="AI972" s="185"/>
      <c r="AJ972" s="185"/>
      <c r="AK972" s="185"/>
      <c r="AL972" s="185"/>
      <c r="AM972" s="185"/>
      <c r="AN972" s="185"/>
      <c r="AO972" s="185"/>
      <c r="AP972" s="185"/>
      <c r="AQ972" s="185"/>
      <c r="AR972" s="185"/>
      <c r="AS972" s="185"/>
      <c r="AT972" s="185"/>
      <c r="AU972" s="185"/>
      <c r="AV972" s="185"/>
    </row>
    <row r="973" spans="13:48" s="277" customFormat="1">
      <c r="M973" s="185"/>
      <c r="N973" s="185"/>
      <c r="O973" s="185"/>
      <c r="S973" s="291">
        <v>42529</v>
      </c>
      <c r="T973" s="279">
        <v>890</v>
      </c>
      <c r="AI973" s="185"/>
      <c r="AJ973" s="185"/>
      <c r="AK973" s="185"/>
      <c r="AL973" s="185"/>
      <c r="AM973" s="185"/>
      <c r="AN973" s="185"/>
      <c r="AO973" s="185"/>
      <c r="AP973" s="185"/>
      <c r="AQ973" s="185"/>
      <c r="AR973" s="185"/>
      <c r="AS973" s="185"/>
      <c r="AT973" s="185"/>
      <c r="AU973" s="185"/>
      <c r="AV973" s="185"/>
    </row>
    <row r="974" spans="13:48" s="277" customFormat="1">
      <c r="M974" s="185"/>
      <c r="N974" s="185"/>
      <c r="O974" s="185"/>
      <c r="S974" s="291">
        <v>42530</v>
      </c>
      <c r="T974" s="279">
        <v>891</v>
      </c>
      <c r="AI974" s="185"/>
      <c r="AJ974" s="185"/>
      <c r="AK974" s="185"/>
      <c r="AL974" s="185"/>
      <c r="AM974" s="185"/>
      <c r="AN974" s="185"/>
      <c r="AO974" s="185"/>
      <c r="AP974" s="185"/>
      <c r="AQ974" s="185"/>
      <c r="AR974" s="185"/>
      <c r="AS974" s="185"/>
      <c r="AT974" s="185"/>
      <c r="AU974" s="185"/>
      <c r="AV974" s="185"/>
    </row>
    <row r="975" spans="13:48" s="277" customFormat="1">
      <c r="M975" s="185"/>
      <c r="N975" s="185"/>
      <c r="O975" s="185"/>
      <c r="S975" s="291">
        <v>42531</v>
      </c>
      <c r="T975" s="279">
        <v>892</v>
      </c>
      <c r="AI975" s="185"/>
      <c r="AJ975" s="185"/>
      <c r="AK975" s="185"/>
      <c r="AL975" s="185"/>
      <c r="AM975" s="185"/>
      <c r="AN975" s="185"/>
      <c r="AO975" s="185"/>
      <c r="AP975" s="185"/>
      <c r="AQ975" s="185"/>
      <c r="AR975" s="185"/>
      <c r="AS975" s="185"/>
      <c r="AT975" s="185"/>
      <c r="AU975" s="185"/>
      <c r="AV975" s="185"/>
    </row>
    <row r="976" spans="13:48" s="277" customFormat="1">
      <c r="M976" s="185"/>
      <c r="N976" s="185"/>
      <c r="O976" s="185"/>
      <c r="S976" s="291">
        <v>42532</v>
      </c>
      <c r="T976" s="279">
        <v>893</v>
      </c>
      <c r="AI976" s="185"/>
      <c r="AJ976" s="185"/>
      <c r="AK976" s="185"/>
      <c r="AL976" s="185"/>
      <c r="AM976" s="185"/>
      <c r="AN976" s="185"/>
      <c r="AO976" s="185"/>
      <c r="AP976" s="185"/>
      <c r="AQ976" s="185"/>
      <c r="AR976" s="185"/>
      <c r="AS976" s="185"/>
      <c r="AT976" s="185"/>
      <c r="AU976" s="185"/>
      <c r="AV976" s="185"/>
    </row>
    <row r="977" spans="13:48" s="277" customFormat="1">
      <c r="M977" s="185"/>
      <c r="N977" s="185"/>
      <c r="O977" s="185"/>
      <c r="S977" s="291">
        <v>42533</v>
      </c>
      <c r="T977" s="279">
        <v>894</v>
      </c>
      <c r="AI977" s="185"/>
      <c r="AJ977" s="185"/>
      <c r="AK977" s="185"/>
      <c r="AL977" s="185"/>
      <c r="AM977" s="185"/>
      <c r="AN977" s="185"/>
      <c r="AO977" s="185"/>
      <c r="AP977" s="185"/>
      <c r="AQ977" s="185"/>
      <c r="AR977" s="185"/>
      <c r="AS977" s="185"/>
      <c r="AT977" s="185"/>
      <c r="AU977" s="185"/>
      <c r="AV977" s="185"/>
    </row>
    <row r="978" spans="13:48" s="277" customFormat="1">
      <c r="M978" s="185"/>
      <c r="N978" s="185"/>
      <c r="O978" s="185"/>
      <c r="S978" s="291">
        <v>42534</v>
      </c>
      <c r="T978" s="279">
        <v>895</v>
      </c>
      <c r="AI978" s="185"/>
      <c r="AJ978" s="185"/>
      <c r="AK978" s="185"/>
      <c r="AL978" s="185"/>
      <c r="AM978" s="185"/>
      <c r="AN978" s="185"/>
      <c r="AO978" s="185"/>
      <c r="AP978" s="185"/>
      <c r="AQ978" s="185"/>
      <c r="AR978" s="185"/>
      <c r="AS978" s="185"/>
      <c r="AT978" s="185"/>
      <c r="AU978" s="185"/>
      <c r="AV978" s="185"/>
    </row>
    <row r="979" spans="13:48" s="277" customFormat="1">
      <c r="M979" s="185"/>
      <c r="N979" s="185"/>
      <c r="O979" s="185"/>
      <c r="S979" s="291">
        <v>42535</v>
      </c>
      <c r="T979" s="279">
        <v>896</v>
      </c>
      <c r="AI979" s="185"/>
      <c r="AJ979" s="185"/>
      <c r="AK979" s="185"/>
      <c r="AL979" s="185"/>
      <c r="AM979" s="185"/>
      <c r="AN979" s="185"/>
      <c r="AO979" s="185"/>
      <c r="AP979" s="185"/>
      <c r="AQ979" s="185"/>
      <c r="AR979" s="185"/>
      <c r="AS979" s="185"/>
      <c r="AT979" s="185"/>
      <c r="AU979" s="185"/>
      <c r="AV979" s="185"/>
    </row>
    <row r="980" spans="13:48" s="277" customFormat="1">
      <c r="M980" s="185"/>
      <c r="N980" s="185"/>
      <c r="O980" s="185"/>
      <c r="S980" s="291">
        <v>42536</v>
      </c>
      <c r="T980" s="279">
        <v>897</v>
      </c>
      <c r="AI980" s="185"/>
      <c r="AJ980" s="185"/>
      <c r="AK980" s="185"/>
      <c r="AL980" s="185"/>
      <c r="AM980" s="185"/>
      <c r="AN980" s="185"/>
      <c r="AO980" s="185"/>
      <c r="AP980" s="185"/>
      <c r="AQ980" s="185"/>
      <c r="AR980" s="185"/>
      <c r="AS980" s="185"/>
      <c r="AT980" s="185"/>
      <c r="AU980" s="185"/>
      <c r="AV980" s="185"/>
    </row>
    <row r="981" spans="13:48" s="277" customFormat="1">
      <c r="M981" s="185"/>
      <c r="N981" s="185"/>
      <c r="O981" s="185"/>
      <c r="S981" s="291">
        <v>42537</v>
      </c>
      <c r="T981" s="279">
        <v>898</v>
      </c>
      <c r="AI981" s="185"/>
      <c r="AJ981" s="185"/>
      <c r="AK981" s="185"/>
      <c r="AL981" s="185"/>
      <c r="AM981" s="185"/>
      <c r="AN981" s="185"/>
      <c r="AO981" s="185"/>
      <c r="AP981" s="185"/>
      <c r="AQ981" s="185"/>
      <c r="AR981" s="185"/>
      <c r="AS981" s="185"/>
      <c r="AT981" s="185"/>
      <c r="AU981" s="185"/>
      <c r="AV981" s="185"/>
    </row>
    <row r="982" spans="13:48" s="277" customFormat="1">
      <c r="M982" s="185"/>
      <c r="N982" s="185"/>
      <c r="O982" s="185"/>
      <c r="S982" s="291">
        <v>42538</v>
      </c>
      <c r="T982" s="279">
        <v>899</v>
      </c>
      <c r="AI982" s="185"/>
      <c r="AJ982" s="185"/>
      <c r="AK982" s="185"/>
      <c r="AL982" s="185"/>
      <c r="AM982" s="185"/>
      <c r="AN982" s="185"/>
      <c r="AO982" s="185"/>
      <c r="AP982" s="185"/>
      <c r="AQ982" s="185"/>
      <c r="AR982" s="185"/>
      <c r="AS982" s="185"/>
      <c r="AT982" s="185"/>
      <c r="AU982" s="185"/>
      <c r="AV982" s="185"/>
    </row>
    <row r="983" spans="13:48" s="277" customFormat="1">
      <c r="M983" s="185"/>
      <c r="N983" s="185"/>
      <c r="O983" s="185"/>
      <c r="S983" s="291">
        <v>42539</v>
      </c>
      <c r="T983" s="279">
        <v>900</v>
      </c>
      <c r="AI983" s="185"/>
      <c r="AJ983" s="185"/>
      <c r="AK983" s="185"/>
      <c r="AL983" s="185"/>
      <c r="AM983" s="185"/>
      <c r="AN983" s="185"/>
      <c r="AO983" s="185"/>
      <c r="AP983" s="185"/>
      <c r="AQ983" s="185"/>
      <c r="AR983" s="185"/>
      <c r="AS983" s="185"/>
      <c r="AT983" s="185"/>
      <c r="AU983" s="185"/>
      <c r="AV983" s="185"/>
    </row>
    <row r="984" spans="13:48" s="277" customFormat="1">
      <c r="M984" s="185"/>
      <c r="N984" s="185"/>
      <c r="O984" s="185"/>
      <c r="S984" s="291">
        <v>42540</v>
      </c>
      <c r="T984" s="279">
        <v>901</v>
      </c>
      <c r="AI984" s="185"/>
      <c r="AJ984" s="185"/>
      <c r="AK984" s="185"/>
      <c r="AL984" s="185"/>
      <c r="AM984" s="185"/>
      <c r="AN984" s="185"/>
      <c r="AO984" s="185"/>
      <c r="AP984" s="185"/>
      <c r="AQ984" s="185"/>
      <c r="AR984" s="185"/>
      <c r="AS984" s="185"/>
      <c r="AT984" s="185"/>
      <c r="AU984" s="185"/>
      <c r="AV984" s="185"/>
    </row>
    <row r="985" spans="13:48" s="277" customFormat="1">
      <c r="M985" s="185"/>
      <c r="N985" s="185"/>
      <c r="O985" s="185"/>
      <c r="S985" s="291">
        <v>42541</v>
      </c>
      <c r="T985" s="279">
        <v>902</v>
      </c>
      <c r="AI985" s="185"/>
      <c r="AJ985" s="185"/>
      <c r="AK985" s="185"/>
      <c r="AL985" s="185"/>
      <c r="AM985" s="185"/>
      <c r="AN985" s="185"/>
      <c r="AO985" s="185"/>
      <c r="AP985" s="185"/>
      <c r="AQ985" s="185"/>
      <c r="AR985" s="185"/>
      <c r="AS985" s="185"/>
      <c r="AT985" s="185"/>
      <c r="AU985" s="185"/>
      <c r="AV985" s="185"/>
    </row>
    <row r="986" spans="13:48" s="277" customFormat="1">
      <c r="M986" s="185"/>
      <c r="N986" s="185"/>
      <c r="O986" s="185"/>
      <c r="S986" s="291">
        <v>42542</v>
      </c>
      <c r="T986" s="279">
        <v>903</v>
      </c>
      <c r="AI986" s="185"/>
      <c r="AJ986" s="185"/>
      <c r="AK986" s="185"/>
      <c r="AL986" s="185"/>
      <c r="AM986" s="185"/>
      <c r="AN986" s="185"/>
      <c r="AO986" s="185"/>
      <c r="AP986" s="185"/>
      <c r="AQ986" s="185"/>
      <c r="AR986" s="185"/>
      <c r="AS986" s="185"/>
      <c r="AT986" s="185"/>
      <c r="AU986" s="185"/>
      <c r="AV986" s="185"/>
    </row>
    <row r="987" spans="13:48" s="277" customFormat="1">
      <c r="M987" s="185"/>
      <c r="N987" s="185"/>
      <c r="O987" s="185"/>
      <c r="S987" s="291">
        <v>42543</v>
      </c>
      <c r="T987" s="279">
        <v>904</v>
      </c>
      <c r="AI987" s="185"/>
      <c r="AJ987" s="185"/>
      <c r="AK987" s="185"/>
      <c r="AL987" s="185"/>
      <c r="AM987" s="185"/>
      <c r="AN987" s="185"/>
      <c r="AO987" s="185"/>
      <c r="AP987" s="185"/>
      <c r="AQ987" s="185"/>
      <c r="AR987" s="185"/>
      <c r="AS987" s="185"/>
      <c r="AT987" s="185"/>
      <c r="AU987" s="185"/>
      <c r="AV987" s="185"/>
    </row>
    <row r="988" spans="13:48" s="277" customFormat="1">
      <c r="M988" s="185"/>
      <c r="N988" s="185"/>
      <c r="O988" s="185"/>
      <c r="S988" s="291">
        <v>42544</v>
      </c>
      <c r="T988" s="279">
        <v>905</v>
      </c>
      <c r="AI988" s="185"/>
      <c r="AJ988" s="185"/>
      <c r="AK988" s="185"/>
      <c r="AL988" s="185"/>
      <c r="AM988" s="185"/>
      <c r="AN988" s="185"/>
      <c r="AO988" s="185"/>
      <c r="AP988" s="185"/>
      <c r="AQ988" s="185"/>
      <c r="AR988" s="185"/>
      <c r="AS988" s="185"/>
      <c r="AT988" s="185"/>
      <c r="AU988" s="185"/>
      <c r="AV988" s="185"/>
    </row>
    <row r="989" spans="13:48" s="277" customFormat="1">
      <c r="M989" s="185"/>
      <c r="N989" s="185"/>
      <c r="O989" s="185"/>
      <c r="S989" s="291">
        <v>42545</v>
      </c>
      <c r="T989" s="279">
        <v>906</v>
      </c>
      <c r="AI989" s="185"/>
      <c r="AJ989" s="185"/>
      <c r="AK989" s="185"/>
      <c r="AL989" s="185"/>
      <c r="AM989" s="185"/>
      <c r="AN989" s="185"/>
      <c r="AO989" s="185"/>
      <c r="AP989" s="185"/>
      <c r="AQ989" s="185"/>
      <c r="AR989" s="185"/>
      <c r="AS989" s="185"/>
      <c r="AT989" s="185"/>
      <c r="AU989" s="185"/>
      <c r="AV989" s="185"/>
    </row>
    <row r="990" spans="13:48" s="277" customFormat="1">
      <c r="M990" s="185"/>
      <c r="N990" s="185"/>
      <c r="O990" s="185"/>
      <c r="S990" s="291">
        <v>42546</v>
      </c>
      <c r="T990" s="279">
        <v>907</v>
      </c>
      <c r="AI990" s="185"/>
      <c r="AJ990" s="185"/>
      <c r="AK990" s="185"/>
      <c r="AL990" s="185"/>
      <c r="AM990" s="185"/>
      <c r="AN990" s="185"/>
      <c r="AO990" s="185"/>
      <c r="AP990" s="185"/>
      <c r="AQ990" s="185"/>
      <c r="AR990" s="185"/>
      <c r="AS990" s="185"/>
      <c r="AT990" s="185"/>
      <c r="AU990" s="185"/>
      <c r="AV990" s="185"/>
    </row>
    <row r="991" spans="13:48" s="277" customFormat="1">
      <c r="M991" s="185"/>
      <c r="N991" s="185"/>
      <c r="O991" s="185"/>
      <c r="S991" s="291">
        <v>42547</v>
      </c>
      <c r="T991" s="279">
        <v>908</v>
      </c>
      <c r="AI991" s="185"/>
      <c r="AJ991" s="185"/>
      <c r="AK991" s="185"/>
      <c r="AL991" s="185"/>
      <c r="AM991" s="185"/>
      <c r="AN991" s="185"/>
      <c r="AO991" s="185"/>
      <c r="AP991" s="185"/>
      <c r="AQ991" s="185"/>
      <c r="AR991" s="185"/>
      <c r="AS991" s="185"/>
      <c r="AT991" s="185"/>
      <c r="AU991" s="185"/>
      <c r="AV991" s="185"/>
    </row>
    <row r="992" spans="13:48" s="277" customFormat="1">
      <c r="M992" s="185"/>
      <c r="N992" s="185"/>
      <c r="O992" s="185"/>
      <c r="S992" s="291">
        <v>42548</v>
      </c>
      <c r="T992" s="279">
        <v>909</v>
      </c>
      <c r="AI992" s="185"/>
      <c r="AJ992" s="185"/>
      <c r="AK992" s="185"/>
      <c r="AL992" s="185"/>
      <c r="AM992" s="185"/>
      <c r="AN992" s="185"/>
      <c r="AO992" s="185"/>
      <c r="AP992" s="185"/>
      <c r="AQ992" s="185"/>
      <c r="AR992" s="185"/>
      <c r="AS992" s="185"/>
      <c r="AT992" s="185"/>
      <c r="AU992" s="185"/>
      <c r="AV992" s="185"/>
    </row>
    <row r="993" spans="13:48" s="277" customFormat="1">
      <c r="M993" s="185"/>
      <c r="N993" s="185"/>
      <c r="O993" s="185"/>
      <c r="S993" s="291">
        <v>42549</v>
      </c>
      <c r="T993" s="279">
        <v>910</v>
      </c>
      <c r="AI993" s="185"/>
      <c r="AJ993" s="185"/>
      <c r="AK993" s="185"/>
      <c r="AL993" s="185"/>
      <c r="AM993" s="185"/>
      <c r="AN993" s="185"/>
      <c r="AO993" s="185"/>
      <c r="AP993" s="185"/>
      <c r="AQ993" s="185"/>
      <c r="AR993" s="185"/>
      <c r="AS993" s="185"/>
      <c r="AT993" s="185"/>
      <c r="AU993" s="185"/>
      <c r="AV993" s="185"/>
    </row>
    <row r="994" spans="13:48" s="277" customFormat="1">
      <c r="M994" s="185"/>
      <c r="N994" s="185"/>
      <c r="O994" s="185"/>
      <c r="S994" s="291">
        <v>42550</v>
      </c>
      <c r="T994" s="279">
        <v>911</v>
      </c>
      <c r="AI994" s="185"/>
      <c r="AJ994" s="185"/>
      <c r="AK994" s="185"/>
      <c r="AL994" s="185"/>
      <c r="AM994" s="185"/>
      <c r="AN994" s="185"/>
      <c r="AO994" s="185"/>
      <c r="AP994" s="185"/>
      <c r="AQ994" s="185"/>
      <c r="AR994" s="185"/>
      <c r="AS994" s="185"/>
      <c r="AT994" s="185"/>
      <c r="AU994" s="185"/>
      <c r="AV994" s="185"/>
    </row>
    <row r="995" spans="13:48" s="277" customFormat="1">
      <c r="M995" s="185"/>
      <c r="N995" s="185"/>
      <c r="O995" s="185"/>
      <c r="S995" s="291">
        <v>42551</v>
      </c>
      <c r="T995" s="279">
        <v>912</v>
      </c>
      <c r="AI995" s="185"/>
      <c r="AJ995" s="185"/>
      <c r="AK995" s="185"/>
      <c r="AL995" s="185"/>
      <c r="AM995" s="185"/>
      <c r="AN995" s="185"/>
      <c r="AO995" s="185"/>
      <c r="AP995" s="185"/>
      <c r="AQ995" s="185"/>
      <c r="AR995" s="185"/>
      <c r="AS995" s="185"/>
      <c r="AT995" s="185"/>
      <c r="AU995" s="185"/>
      <c r="AV995" s="185"/>
    </row>
    <row r="996" spans="13:48" s="277" customFormat="1">
      <c r="M996" s="185"/>
      <c r="N996" s="185"/>
      <c r="O996" s="185"/>
      <c r="S996" s="291">
        <v>42552</v>
      </c>
      <c r="T996" s="279">
        <v>913</v>
      </c>
      <c r="AI996" s="185"/>
      <c r="AJ996" s="185"/>
      <c r="AK996" s="185"/>
      <c r="AL996" s="185"/>
      <c r="AM996" s="185"/>
      <c r="AN996" s="185"/>
      <c r="AO996" s="185"/>
      <c r="AP996" s="185"/>
      <c r="AQ996" s="185"/>
      <c r="AR996" s="185"/>
      <c r="AS996" s="185"/>
      <c r="AT996" s="185"/>
      <c r="AU996" s="185"/>
      <c r="AV996" s="185"/>
    </row>
    <row r="997" spans="13:48" s="277" customFormat="1">
      <c r="M997" s="185"/>
      <c r="N997" s="185"/>
      <c r="O997" s="185"/>
      <c r="S997" s="291">
        <v>42553</v>
      </c>
      <c r="T997" s="279">
        <v>914</v>
      </c>
      <c r="AI997" s="185"/>
      <c r="AJ997" s="185"/>
      <c r="AK997" s="185"/>
      <c r="AL997" s="185"/>
      <c r="AM997" s="185"/>
      <c r="AN997" s="185"/>
      <c r="AO997" s="185"/>
      <c r="AP997" s="185"/>
      <c r="AQ997" s="185"/>
      <c r="AR997" s="185"/>
      <c r="AS997" s="185"/>
      <c r="AT997" s="185"/>
      <c r="AU997" s="185"/>
      <c r="AV997" s="185"/>
    </row>
    <row r="998" spans="13:48" s="277" customFormat="1">
      <c r="M998" s="185"/>
      <c r="N998" s="185"/>
      <c r="O998" s="185"/>
      <c r="S998" s="291">
        <v>42554</v>
      </c>
      <c r="T998" s="279">
        <v>915</v>
      </c>
      <c r="AI998" s="185"/>
      <c r="AJ998" s="185"/>
      <c r="AK998" s="185"/>
      <c r="AL998" s="185"/>
      <c r="AM998" s="185"/>
      <c r="AN998" s="185"/>
      <c r="AO998" s="185"/>
      <c r="AP998" s="185"/>
      <c r="AQ998" s="185"/>
      <c r="AR998" s="185"/>
      <c r="AS998" s="185"/>
      <c r="AT998" s="185"/>
      <c r="AU998" s="185"/>
      <c r="AV998" s="185"/>
    </row>
    <row r="999" spans="13:48" s="277" customFormat="1">
      <c r="M999" s="185"/>
      <c r="N999" s="185"/>
      <c r="O999" s="185"/>
      <c r="S999" s="291">
        <v>42555</v>
      </c>
      <c r="T999" s="279">
        <v>916</v>
      </c>
      <c r="AI999" s="185"/>
      <c r="AJ999" s="185"/>
      <c r="AK999" s="185"/>
      <c r="AL999" s="185"/>
      <c r="AM999" s="185"/>
      <c r="AN999" s="185"/>
      <c r="AO999" s="185"/>
      <c r="AP999" s="185"/>
      <c r="AQ999" s="185"/>
      <c r="AR999" s="185"/>
      <c r="AS999" s="185"/>
      <c r="AT999" s="185"/>
      <c r="AU999" s="185"/>
      <c r="AV999" s="185"/>
    </row>
    <row r="1000" spans="13:48" s="277" customFormat="1">
      <c r="M1000" s="185"/>
      <c r="N1000" s="185"/>
      <c r="O1000" s="185"/>
      <c r="S1000" s="291">
        <v>42556</v>
      </c>
      <c r="T1000" s="279">
        <v>917</v>
      </c>
      <c r="AI1000" s="185"/>
      <c r="AJ1000" s="185"/>
      <c r="AK1000" s="185"/>
      <c r="AL1000" s="185"/>
      <c r="AM1000" s="185"/>
      <c r="AN1000" s="185"/>
      <c r="AO1000" s="185"/>
      <c r="AP1000" s="185"/>
      <c r="AQ1000" s="185"/>
      <c r="AR1000" s="185"/>
      <c r="AS1000" s="185"/>
      <c r="AT1000" s="185"/>
      <c r="AU1000" s="185"/>
      <c r="AV1000" s="185"/>
    </row>
    <row r="1001" spans="13:48" s="277" customFormat="1">
      <c r="M1001" s="185"/>
      <c r="N1001" s="185"/>
      <c r="O1001" s="185"/>
      <c r="S1001" s="291">
        <v>42557</v>
      </c>
      <c r="T1001" s="279">
        <v>918</v>
      </c>
      <c r="AI1001" s="185"/>
      <c r="AJ1001" s="185"/>
      <c r="AK1001" s="185"/>
      <c r="AL1001" s="185"/>
      <c r="AM1001" s="185"/>
      <c r="AN1001" s="185"/>
      <c r="AO1001" s="185"/>
      <c r="AP1001" s="185"/>
      <c r="AQ1001" s="185"/>
      <c r="AR1001" s="185"/>
      <c r="AS1001" s="185"/>
      <c r="AT1001" s="185"/>
      <c r="AU1001" s="185"/>
      <c r="AV1001" s="185"/>
    </row>
    <row r="1002" spans="13:48" s="277" customFormat="1">
      <c r="M1002" s="185"/>
      <c r="N1002" s="185"/>
      <c r="O1002" s="185"/>
      <c r="S1002" s="291">
        <v>42558</v>
      </c>
      <c r="T1002" s="279">
        <v>919</v>
      </c>
      <c r="AI1002" s="185"/>
      <c r="AJ1002" s="185"/>
      <c r="AK1002" s="185"/>
      <c r="AL1002" s="185"/>
      <c r="AM1002" s="185"/>
      <c r="AN1002" s="185"/>
      <c r="AO1002" s="185"/>
      <c r="AP1002" s="185"/>
      <c r="AQ1002" s="185"/>
      <c r="AR1002" s="185"/>
      <c r="AS1002" s="185"/>
      <c r="AT1002" s="185"/>
      <c r="AU1002" s="185"/>
      <c r="AV1002" s="185"/>
    </row>
    <row r="1003" spans="13:48" s="277" customFormat="1">
      <c r="M1003" s="185"/>
      <c r="N1003" s="185"/>
      <c r="O1003" s="185"/>
      <c r="S1003" s="291">
        <v>42559</v>
      </c>
      <c r="T1003" s="279">
        <v>920</v>
      </c>
      <c r="AI1003" s="185"/>
      <c r="AJ1003" s="185"/>
      <c r="AK1003" s="185"/>
      <c r="AL1003" s="185"/>
      <c r="AM1003" s="185"/>
      <c r="AN1003" s="185"/>
      <c r="AO1003" s="185"/>
      <c r="AP1003" s="185"/>
      <c r="AQ1003" s="185"/>
      <c r="AR1003" s="185"/>
      <c r="AS1003" s="185"/>
      <c r="AT1003" s="185"/>
      <c r="AU1003" s="185"/>
      <c r="AV1003" s="185"/>
    </row>
    <row r="1004" spans="13:48" s="277" customFormat="1">
      <c r="M1004" s="185"/>
      <c r="N1004" s="185"/>
      <c r="O1004" s="185"/>
      <c r="S1004" s="291">
        <v>42560</v>
      </c>
      <c r="T1004" s="279">
        <v>921</v>
      </c>
      <c r="AI1004" s="185"/>
      <c r="AJ1004" s="185"/>
      <c r="AK1004" s="185"/>
      <c r="AL1004" s="185"/>
      <c r="AM1004" s="185"/>
      <c r="AN1004" s="185"/>
      <c r="AO1004" s="185"/>
      <c r="AP1004" s="185"/>
      <c r="AQ1004" s="185"/>
      <c r="AR1004" s="185"/>
      <c r="AS1004" s="185"/>
      <c r="AT1004" s="185"/>
      <c r="AU1004" s="185"/>
      <c r="AV1004" s="185"/>
    </row>
    <row r="1005" spans="13:48" s="277" customFormat="1">
      <c r="M1005" s="185"/>
      <c r="N1005" s="185"/>
      <c r="O1005" s="185"/>
      <c r="S1005" s="291">
        <v>42561</v>
      </c>
      <c r="T1005" s="279">
        <v>922</v>
      </c>
      <c r="AI1005" s="185"/>
      <c r="AJ1005" s="185"/>
      <c r="AK1005" s="185"/>
      <c r="AL1005" s="185"/>
      <c r="AM1005" s="185"/>
      <c r="AN1005" s="185"/>
      <c r="AO1005" s="185"/>
      <c r="AP1005" s="185"/>
      <c r="AQ1005" s="185"/>
      <c r="AR1005" s="185"/>
      <c r="AS1005" s="185"/>
      <c r="AT1005" s="185"/>
      <c r="AU1005" s="185"/>
      <c r="AV1005" s="185"/>
    </row>
    <row r="1006" spans="13:48" s="277" customFormat="1">
      <c r="M1006" s="185"/>
      <c r="N1006" s="185"/>
      <c r="O1006" s="185"/>
      <c r="S1006" s="291">
        <v>42562</v>
      </c>
      <c r="T1006" s="279">
        <v>923</v>
      </c>
      <c r="AI1006" s="185"/>
      <c r="AJ1006" s="185"/>
      <c r="AK1006" s="185"/>
      <c r="AL1006" s="185"/>
      <c r="AM1006" s="185"/>
      <c r="AN1006" s="185"/>
      <c r="AO1006" s="185"/>
      <c r="AP1006" s="185"/>
      <c r="AQ1006" s="185"/>
      <c r="AR1006" s="185"/>
      <c r="AS1006" s="185"/>
      <c r="AT1006" s="185"/>
      <c r="AU1006" s="185"/>
      <c r="AV1006" s="185"/>
    </row>
    <row r="1007" spans="13:48" s="277" customFormat="1">
      <c r="M1007" s="185"/>
      <c r="N1007" s="185"/>
      <c r="O1007" s="185"/>
      <c r="S1007" s="291">
        <v>42563</v>
      </c>
      <c r="T1007" s="279">
        <v>924</v>
      </c>
      <c r="AI1007" s="185"/>
      <c r="AJ1007" s="185"/>
      <c r="AK1007" s="185"/>
      <c r="AL1007" s="185"/>
      <c r="AM1007" s="185"/>
      <c r="AN1007" s="185"/>
      <c r="AO1007" s="185"/>
      <c r="AP1007" s="185"/>
      <c r="AQ1007" s="185"/>
      <c r="AR1007" s="185"/>
      <c r="AS1007" s="185"/>
      <c r="AT1007" s="185"/>
      <c r="AU1007" s="185"/>
      <c r="AV1007" s="185"/>
    </row>
    <row r="1008" spans="13:48" s="277" customFormat="1">
      <c r="M1008" s="185"/>
      <c r="N1008" s="185"/>
      <c r="O1008" s="185"/>
      <c r="S1008" s="291">
        <v>42564</v>
      </c>
      <c r="T1008" s="279">
        <v>925</v>
      </c>
      <c r="AI1008" s="185"/>
      <c r="AJ1008" s="185"/>
      <c r="AK1008" s="185"/>
      <c r="AL1008" s="185"/>
      <c r="AM1008" s="185"/>
      <c r="AN1008" s="185"/>
      <c r="AO1008" s="185"/>
      <c r="AP1008" s="185"/>
      <c r="AQ1008" s="185"/>
      <c r="AR1008" s="185"/>
      <c r="AS1008" s="185"/>
      <c r="AT1008" s="185"/>
      <c r="AU1008" s="185"/>
      <c r="AV1008" s="185"/>
    </row>
    <row r="1009" spans="13:48" s="277" customFormat="1">
      <c r="M1009" s="185"/>
      <c r="N1009" s="185"/>
      <c r="O1009" s="185"/>
      <c r="S1009" s="291">
        <v>42565</v>
      </c>
      <c r="T1009" s="279">
        <v>926</v>
      </c>
      <c r="AI1009" s="185"/>
      <c r="AJ1009" s="185"/>
      <c r="AK1009" s="185"/>
      <c r="AL1009" s="185"/>
      <c r="AM1009" s="185"/>
      <c r="AN1009" s="185"/>
      <c r="AO1009" s="185"/>
      <c r="AP1009" s="185"/>
      <c r="AQ1009" s="185"/>
      <c r="AR1009" s="185"/>
      <c r="AS1009" s="185"/>
      <c r="AT1009" s="185"/>
      <c r="AU1009" s="185"/>
      <c r="AV1009" s="185"/>
    </row>
    <row r="1010" spans="13:48" s="277" customFormat="1">
      <c r="M1010" s="185"/>
      <c r="N1010" s="185"/>
      <c r="O1010" s="185"/>
      <c r="S1010" s="291">
        <v>42566</v>
      </c>
      <c r="T1010" s="279">
        <v>927</v>
      </c>
      <c r="AI1010" s="185"/>
      <c r="AJ1010" s="185"/>
      <c r="AK1010" s="185"/>
      <c r="AL1010" s="185"/>
      <c r="AM1010" s="185"/>
      <c r="AN1010" s="185"/>
      <c r="AO1010" s="185"/>
      <c r="AP1010" s="185"/>
      <c r="AQ1010" s="185"/>
      <c r="AR1010" s="185"/>
      <c r="AS1010" s="185"/>
      <c r="AT1010" s="185"/>
      <c r="AU1010" s="185"/>
      <c r="AV1010" s="185"/>
    </row>
    <row r="1011" spans="13:48" s="277" customFormat="1">
      <c r="M1011" s="185"/>
      <c r="N1011" s="185"/>
      <c r="O1011" s="185"/>
      <c r="S1011" s="291">
        <v>42567</v>
      </c>
      <c r="T1011" s="279">
        <v>928</v>
      </c>
      <c r="AI1011" s="185"/>
      <c r="AJ1011" s="185"/>
      <c r="AK1011" s="185"/>
      <c r="AL1011" s="185"/>
      <c r="AM1011" s="185"/>
      <c r="AN1011" s="185"/>
      <c r="AO1011" s="185"/>
      <c r="AP1011" s="185"/>
      <c r="AQ1011" s="185"/>
      <c r="AR1011" s="185"/>
      <c r="AS1011" s="185"/>
      <c r="AT1011" s="185"/>
      <c r="AU1011" s="185"/>
      <c r="AV1011" s="185"/>
    </row>
    <row r="1012" spans="13:48" s="277" customFormat="1">
      <c r="M1012" s="185"/>
      <c r="N1012" s="185"/>
      <c r="O1012" s="185"/>
      <c r="S1012" s="291">
        <v>42568</v>
      </c>
      <c r="T1012" s="279">
        <v>929</v>
      </c>
      <c r="AI1012" s="185"/>
      <c r="AJ1012" s="185"/>
      <c r="AK1012" s="185"/>
      <c r="AL1012" s="185"/>
      <c r="AM1012" s="185"/>
      <c r="AN1012" s="185"/>
      <c r="AO1012" s="185"/>
      <c r="AP1012" s="185"/>
      <c r="AQ1012" s="185"/>
      <c r="AR1012" s="185"/>
      <c r="AS1012" s="185"/>
      <c r="AT1012" s="185"/>
      <c r="AU1012" s="185"/>
      <c r="AV1012" s="185"/>
    </row>
    <row r="1013" spans="13:48" s="277" customFormat="1">
      <c r="M1013" s="185"/>
      <c r="N1013" s="185"/>
      <c r="O1013" s="185"/>
      <c r="S1013" s="291">
        <v>42569</v>
      </c>
      <c r="T1013" s="279">
        <v>930</v>
      </c>
      <c r="AI1013" s="185"/>
      <c r="AJ1013" s="185"/>
      <c r="AK1013" s="185"/>
      <c r="AL1013" s="185"/>
      <c r="AM1013" s="185"/>
      <c r="AN1013" s="185"/>
      <c r="AO1013" s="185"/>
      <c r="AP1013" s="185"/>
      <c r="AQ1013" s="185"/>
      <c r="AR1013" s="185"/>
      <c r="AS1013" s="185"/>
      <c r="AT1013" s="185"/>
      <c r="AU1013" s="185"/>
      <c r="AV1013" s="185"/>
    </row>
    <row r="1014" spans="13:48" s="277" customFormat="1">
      <c r="M1014" s="185"/>
      <c r="N1014" s="185"/>
      <c r="O1014" s="185"/>
      <c r="S1014" s="291">
        <v>42570</v>
      </c>
      <c r="T1014" s="279">
        <v>931</v>
      </c>
      <c r="AI1014" s="185"/>
      <c r="AJ1014" s="185"/>
      <c r="AK1014" s="185"/>
      <c r="AL1014" s="185"/>
      <c r="AM1014" s="185"/>
      <c r="AN1014" s="185"/>
      <c r="AO1014" s="185"/>
      <c r="AP1014" s="185"/>
      <c r="AQ1014" s="185"/>
      <c r="AR1014" s="185"/>
      <c r="AS1014" s="185"/>
      <c r="AT1014" s="185"/>
      <c r="AU1014" s="185"/>
      <c r="AV1014" s="185"/>
    </row>
    <row r="1015" spans="13:48" s="277" customFormat="1">
      <c r="M1015" s="185"/>
      <c r="N1015" s="185"/>
      <c r="O1015" s="185"/>
      <c r="S1015" s="291">
        <v>42571</v>
      </c>
      <c r="T1015" s="279">
        <v>932</v>
      </c>
      <c r="AI1015" s="185"/>
      <c r="AJ1015" s="185"/>
      <c r="AK1015" s="185"/>
      <c r="AL1015" s="185"/>
      <c r="AM1015" s="185"/>
      <c r="AN1015" s="185"/>
      <c r="AO1015" s="185"/>
      <c r="AP1015" s="185"/>
      <c r="AQ1015" s="185"/>
      <c r="AR1015" s="185"/>
      <c r="AS1015" s="185"/>
      <c r="AT1015" s="185"/>
      <c r="AU1015" s="185"/>
      <c r="AV1015" s="185"/>
    </row>
    <row r="1016" spans="13:48" s="277" customFormat="1">
      <c r="M1016" s="185"/>
      <c r="N1016" s="185"/>
      <c r="O1016" s="185"/>
      <c r="S1016" s="291">
        <v>42572</v>
      </c>
      <c r="T1016" s="279">
        <v>933</v>
      </c>
      <c r="AI1016" s="185"/>
      <c r="AJ1016" s="185"/>
      <c r="AK1016" s="185"/>
      <c r="AL1016" s="185"/>
      <c r="AM1016" s="185"/>
      <c r="AN1016" s="185"/>
      <c r="AO1016" s="185"/>
      <c r="AP1016" s="185"/>
      <c r="AQ1016" s="185"/>
      <c r="AR1016" s="185"/>
      <c r="AS1016" s="185"/>
      <c r="AT1016" s="185"/>
      <c r="AU1016" s="185"/>
      <c r="AV1016" s="185"/>
    </row>
    <row r="1017" spans="13:48" s="277" customFormat="1">
      <c r="M1017" s="185"/>
      <c r="N1017" s="185"/>
      <c r="O1017" s="185"/>
      <c r="S1017" s="291">
        <v>42573</v>
      </c>
      <c r="T1017" s="279">
        <v>934</v>
      </c>
      <c r="AI1017" s="185"/>
      <c r="AJ1017" s="185"/>
      <c r="AK1017" s="185"/>
      <c r="AL1017" s="185"/>
      <c r="AM1017" s="185"/>
      <c r="AN1017" s="185"/>
      <c r="AO1017" s="185"/>
      <c r="AP1017" s="185"/>
      <c r="AQ1017" s="185"/>
      <c r="AR1017" s="185"/>
      <c r="AS1017" s="185"/>
      <c r="AT1017" s="185"/>
      <c r="AU1017" s="185"/>
      <c r="AV1017" s="185"/>
    </row>
    <row r="1018" spans="13:48" s="277" customFormat="1">
      <c r="M1018" s="185"/>
      <c r="N1018" s="185"/>
      <c r="O1018" s="185"/>
      <c r="S1018" s="291">
        <v>42574</v>
      </c>
      <c r="T1018" s="279">
        <v>935</v>
      </c>
      <c r="AI1018" s="185"/>
      <c r="AJ1018" s="185"/>
      <c r="AK1018" s="185"/>
      <c r="AL1018" s="185"/>
      <c r="AM1018" s="185"/>
      <c r="AN1018" s="185"/>
      <c r="AO1018" s="185"/>
      <c r="AP1018" s="185"/>
      <c r="AQ1018" s="185"/>
      <c r="AR1018" s="185"/>
      <c r="AS1018" s="185"/>
      <c r="AT1018" s="185"/>
      <c r="AU1018" s="185"/>
      <c r="AV1018" s="185"/>
    </row>
    <row r="1019" spans="13:48" s="277" customFormat="1">
      <c r="M1019" s="185"/>
      <c r="N1019" s="185"/>
      <c r="O1019" s="185"/>
      <c r="S1019" s="291">
        <v>42575</v>
      </c>
      <c r="T1019" s="279">
        <v>936</v>
      </c>
      <c r="AI1019" s="185"/>
      <c r="AJ1019" s="185"/>
      <c r="AK1019" s="185"/>
      <c r="AL1019" s="185"/>
      <c r="AM1019" s="185"/>
      <c r="AN1019" s="185"/>
      <c r="AO1019" s="185"/>
      <c r="AP1019" s="185"/>
      <c r="AQ1019" s="185"/>
      <c r="AR1019" s="185"/>
      <c r="AS1019" s="185"/>
      <c r="AT1019" s="185"/>
      <c r="AU1019" s="185"/>
      <c r="AV1019" s="185"/>
    </row>
    <row r="1020" spans="13:48" s="277" customFormat="1">
      <c r="M1020" s="185"/>
      <c r="N1020" s="185"/>
      <c r="O1020" s="185"/>
      <c r="S1020" s="291">
        <v>42576</v>
      </c>
      <c r="T1020" s="279">
        <v>937</v>
      </c>
      <c r="AI1020" s="185"/>
      <c r="AJ1020" s="185"/>
      <c r="AK1020" s="185"/>
      <c r="AL1020" s="185"/>
      <c r="AM1020" s="185"/>
      <c r="AN1020" s="185"/>
      <c r="AO1020" s="185"/>
      <c r="AP1020" s="185"/>
      <c r="AQ1020" s="185"/>
      <c r="AR1020" s="185"/>
      <c r="AS1020" s="185"/>
      <c r="AT1020" s="185"/>
      <c r="AU1020" s="185"/>
      <c r="AV1020" s="185"/>
    </row>
    <row r="1021" spans="13:48" s="277" customFormat="1">
      <c r="M1021" s="185"/>
      <c r="N1021" s="185"/>
      <c r="O1021" s="185"/>
      <c r="S1021" s="291">
        <v>42577</v>
      </c>
      <c r="T1021" s="279">
        <v>938</v>
      </c>
      <c r="AI1021" s="185"/>
      <c r="AJ1021" s="185"/>
      <c r="AK1021" s="185"/>
      <c r="AL1021" s="185"/>
      <c r="AM1021" s="185"/>
      <c r="AN1021" s="185"/>
      <c r="AO1021" s="185"/>
      <c r="AP1021" s="185"/>
      <c r="AQ1021" s="185"/>
      <c r="AR1021" s="185"/>
      <c r="AS1021" s="185"/>
      <c r="AT1021" s="185"/>
      <c r="AU1021" s="185"/>
      <c r="AV1021" s="185"/>
    </row>
    <row r="1022" spans="13:48" s="277" customFormat="1">
      <c r="M1022" s="185"/>
      <c r="N1022" s="185"/>
      <c r="O1022" s="185"/>
      <c r="S1022" s="291">
        <v>42578</v>
      </c>
      <c r="T1022" s="279">
        <v>939</v>
      </c>
      <c r="AI1022" s="185"/>
      <c r="AJ1022" s="185"/>
      <c r="AK1022" s="185"/>
      <c r="AL1022" s="185"/>
      <c r="AM1022" s="185"/>
      <c r="AN1022" s="185"/>
      <c r="AO1022" s="185"/>
      <c r="AP1022" s="185"/>
      <c r="AQ1022" s="185"/>
      <c r="AR1022" s="185"/>
      <c r="AS1022" s="185"/>
      <c r="AT1022" s="185"/>
      <c r="AU1022" s="185"/>
      <c r="AV1022" s="185"/>
    </row>
    <row r="1023" spans="13:48" s="277" customFormat="1">
      <c r="M1023" s="185"/>
      <c r="N1023" s="185"/>
      <c r="O1023" s="185"/>
      <c r="S1023" s="291">
        <v>42579</v>
      </c>
      <c r="T1023" s="279">
        <v>940</v>
      </c>
      <c r="AI1023" s="185"/>
      <c r="AJ1023" s="185"/>
      <c r="AK1023" s="185"/>
      <c r="AL1023" s="185"/>
      <c r="AM1023" s="185"/>
      <c r="AN1023" s="185"/>
      <c r="AO1023" s="185"/>
      <c r="AP1023" s="185"/>
      <c r="AQ1023" s="185"/>
      <c r="AR1023" s="185"/>
      <c r="AS1023" s="185"/>
      <c r="AT1023" s="185"/>
      <c r="AU1023" s="185"/>
      <c r="AV1023" s="185"/>
    </row>
    <row r="1024" spans="13:48" s="277" customFormat="1">
      <c r="M1024" s="185"/>
      <c r="N1024" s="185"/>
      <c r="O1024" s="185"/>
      <c r="S1024" s="291">
        <v>42580</v>
      </c>
      <c r="T1024" s="279">
        <v>941</v>
      </c>
      <c r="AI1024" s="185"/>
      <c r="AJ1024" s="185"/>
      <c r="AK1024" s="185"/>
      <c r="AL1024" s="185"/>
      <c r="AM1024" s="185"/>
      <c r="AN1024" s="185"/>
      <c r="AO1024" s="185"/>
      <c r="AP1024" s="185"/>
      <c r="AQ1024" s="185"/>
      <c r="AR1024" s="185"/>
      <c r="AS1024" s="185"/>
      <c r="AT1024" s="185"/>
      <c r="AU1024" s="185"/>
      <c r="AV1024" s="185"/>
    </row>
    <row r="1025" spans="13:48" s="277" customFormat="1">
      <c r="M1025" s="185"/>
      <c r="N1025" s="185"/>
      <c r="O1025" s="185"/>
      <c r="S1025" s="291">
        <v>42581</v>
      </c>
      <c r="T1025" s="279">
        <v>942</v>
      </c>
      <c r="AI1025" s="185"/>
      <c r="AJ1025" s="185"/>
      <c r="AK1025" s="185"/>
      <c r="AL1025" s="185"/>
      <c r="AM1025" s="185"/>
      <c r="AN1025" s="185"/>
      <c r="AO1025" s="185"/>
      <c r="AP1025" s="185"/>
      <c r="AQ1025" s="185"/>
      <c r="AR1025" s="185"/>
      <c r="AS1025" s="185"/>
      <c r="AT1025" s="185"/>
      <c r="AU1025" s="185"/>
      <c r="AV1025" s="185"/>
    </row>
    <row r="1026" spans="13:48" s="277" customFormat="1">
      <c r="M1026" s="185"/>
      <c r="N1026" s="185"/>
      <c r="O1026" s="185"/>
      <c r="S1026" s="291">
        <v>42582</v>
      </c>
      <c r="T1026" s="279">
        <v>943</v>
      </c>
      <c r="AI1026" s="185"/>
      <c r="AJ1026" s="185"/>
      <c r="AK1026" s="185"/>
      <c r="AL1026" s="185"/>
      <c r="AM1026" s="185"/>
      <c r="AN1026" s="185"/>
      <c r="AO1026" s="185"/>
      <c r="AP1026" s="185"/>
      <c r="AQ1026" s="185"/>
      <c r="AR1026" s="185"/>
      <c r="AS1026" s="185"/>
      <c r="AT1026" s="185"/>
      <c r="AU1026" s="185"/>
      <c r="AV1026" s="185"/>
    </row>
    <row r="1027" spans="13:48" s="277" customFormat="1">
      <c r="M1027" s="185"/>
      <c r="N1027" s="185"/>
      <c r="O1027" s="185"/>
      <c r="S1027" s="291">
        <v>42583</v>
      </c>
      <c r="T1027" s="279">
        <v>944</v>
      </c>
      <c r="AI1027" s="185"/>
      <c r="AJ1027" s="185"/>
      <c r="AK1027" s="185"/>
      <c r="AL1027" s="185"/>
      <c r="AM1027" s="185"/>
      <c r="AN1027" s="185"/>
      <c r="AO1027" s="185"/>
      <c r="AP1027" s="185"/>
      <c r="AQ1027" s="185"/>
      <c r="AR1027" s="185"/>
      <c r="AS1027" s="185"/>
      <c r="AT1027" s="185"/>
      <c r="AU1027" s="185"/>
      <c r="AV1027" s="185"/>
    </row>
    <row r="1028" spans="13:48" s="277" customFormat="1">
      <c r="M1028" s="185"/>
      <c r="N1028" s="185"/>
      <c r="O1028" s="185"/>
      <c r="S1028" s="291">
        <v>42584</v>
      </c>
      <c r="T1028" s="279">
        <v>945</v>
      </c>
      <c r="AI1028" s="185"/>
      <c r="AJ1028" s="185"/>
      <c r="AK1028" s="185"/>
      <c r="AL1028" s="185"/>
      <c r="AM1028" s="185"/>
      <c r="AN1028" s="185"/>
      <c r="AO1028" s="185"/>
      <c r="AP1028" s="185"/>
      <c r="AQ1028" s="185"/>
      <c r="AR1028" s="185"/>
      <c r="AS1028" s="185"/>
      <c r="AT1028" s="185"/>
      <c r="AU1028" s="185"/>
      <c r="AV1028" s="185"/>
    </row>
    <row r="1029" spans="13:48" s="277" customFormat="1">
      <c r="M1029" s="185"/>
      <c r="N1029" s="185"/>
      <c r="O1029" s="185"/>
      <c r="S1029" s="291">
        <v>42585</v>
      </c>
      <c r="T1029" s="279">
        <v>946</v>
      </c>
      <c r="AI1029" s="185"/>
      <c r="AJ1029" s="185"/>
      <c r="AK1029" s="185"/>
      <c r="AL1029" s="185"/>
      <c r="AM1029" s="185"/>
      <c r="AN1029" s="185"/>
      <c r="AO1029" s="185"/>
      <c r="AP1029" s="185"/>
      <c r="AQ1029" s="185"/>
      <c r="AR1029" s="185"/>
      <c r="AS1029" s="185"/>
      <c r="AT1029" s="185"/>
      <c r="AU1029" s="185"/>
      <c r="AV1029" s="185"/>
    </row>
    <row r="1030" spans="13:48" s="277" customFormat="1">
      <c r="M1030" s="185"/>
      <c r="N1030" s="185"/>
      <c r="O1030" s="185"/>
      <c r="S1030" s="291">
        <v>42586</v>
      </c>
      <c r="T1030" s="279">
        <v>947</v>
      </c>
      <c r="AI1030" s="185"/>
      <c r="AJ1030" s="185"/>
      <c r="AK1030" s="185"/>
      <c r="AL1030" s="185"/>
      <c r="AM1030" s="185"/>
      <c r="AN1030" s="185"/>
      <c r="AO1030" s="185"/>
      <c r="AP1030" s="185"/>
      <c r="AQ1030" s="185"/>
      <c r="AR1030" s="185"/>
      <c r="AS1030" s="185"/>
      <c r="AT1030" s="185"/>
      <c r="AU1030" s="185"/>
      <c r="AV1030" s="185"/>
    </row>
    <row r="1031" spans="13:48" s="277" customFormat="1">
      <c r="M1031" s="185"/>
      <c r="N1031" s="185"/>
      <c r="O1031" s="185"/>
      <c r="S1031" s="291">
        <v>42587</v>
      </c>
      <c r="T1031" s="279">
        <v>948</v>
      </c>
      <c r="AI1031" s="185"/>
      <c r="AJ1031" s="185"/>
      <c r="AK1031" s="185"/>
      <c r="AL1031" s="185"/>
      <c r="AM1031" s="185"/>
      <c r="AN1031" s="185"/>
      <c r="AO1031" s="185"/>
      <c r="AP1031" s="185"/>
      <c r="AQ1031" s="185"/>
      <c r="AR1031" s="185"/>
      <c r="AS1031" s="185"/>
      <c r="AT1031" s="185"/>
      <c r="AU1031" s="185"/>
      <c r="AV1031" s="185"/>
    </row>
    <row r="1032" spans="13:48" s="277" customFormat="1">
      <c r="M1032" s="185"/>
      <c r="N1032" s="185"/>
      <c r="O1032" s="185"/>
      <c r="S1032" s="291">
        <v>42588</v>
      </c>
      <c r="T1032" s="279">
        <v>949</v>
      </c>
      <c r="AI1032" s="185"/>
      <c r="AJ1032" s="185"/>
      <c r="AK1032" s="185"/>
      <c r="AL1032" s="185"/>
      <c r="AM1032" s="185"/>
      <c r="AN1032" s="185"/>
      <c r="AO1032" s="185"/>
      <c r="AP1032" s="185"/>
      <c r="AQ1032" s="185"/>
      <c r="AR1032" s="185"/>
      <c r="AS1032" s="185"/>
      <c r="AT1032" s="185"/>
      <c r="AU1032" s="185"/>
      <c r="AV1032" s="185"/>
    </row>
    <row r="1033" spans="13:48" s="277" customFormat="1">
      <c r="M1033" s="185"/>
      <c r="N1033" s="185"/>
      <c r="O1033" s="185"/>
      <c r="S1033" s="291">
        <v>42589</v>
      </c>
      <c r="T1033" s="279">
        <v>950</v>
      </c>
      <c r="AI1033" s="185"/>
      <c r="AJ1033" s="185"/>
      <c r="AK1033" s="185"/>
      <c r="AL1033" s="185"/>
      <c r="AM1033" s="185"/>
      <c r="AN1033" s="185"/>
      <c r="AO1033" s="185"/>
      <c r="AP1033" s="185"/>
      <c r="AQ1033" s="185"/>
      <c r="AR1033" s="185"/>
      <c r="AS1033" s="185"/>
      <c r="AT1033" s="185"/>
      <c r="AU1033" s="185"/>
      <c r="AV1033" s="185"/>
    </row>
    <row r="1034" spans="13:48" s="277" customFormat="1">
      <c r="M1034" s="185"/>
      <c r="N1034" s="185"/>
      <c r="O1034" s="185"/>
      <c r="S1034" s="291">
        <v>42590</v>
      </c>
      <c r="T1034" s="279">
        <v>951</v>
      </c>
      <c r="AI1034" s="185"/>
      <c r="AJ1034" s="185"/>
      <c r="AK1034" s="185"/>
      <c r="AL1034" s="185"/>
      <c r="AM1034" s="185"/>
      <c r="AN1034" s="185"/>
      <c r="AO1034" s="185"/>
      <c r="AP1034" s="185"/>
      <c r="AQ1034" s="185"/>
      <c r="AR1034" s="185"/>
      <c r="AS1034" s="185"/>
      <c r="AT1034" s="185"/>
      <c r="AU1034" s="185"/>
      <c r="AV1034" s="185"/>
    </row>
    <row r="1035" spans="13:48" s="277" customFormat="1">
      <c r="M1035" s="185"/>
      <c r="N1035" s="185"/>
      <c r="O1035" s="185"/>
      <c r="S1035" s="291">
        <v>42591</v>
      </c>
      <c r="T1035" s="279">
        <v>952</v>
      </c>
      <c r="AI1035" s="185"/>
      <c r="AJ1035" s="185"/>
      <c r="AK1035" s="185"/>
      <c r="AL1035" s="185"/>
      <c r="AM1035" s="185"/>
      <c r="AN1035" s="185"/>
      <c r="AO1035" s="185"/>
      <c r="AP1035" s="185"/>
      <c r="AQ1035" s="185"/>
      <c r="AR1035" s="185"/>
      <c r="AS1035" s="185"/>
      <c r="AT1035" s="185"/>
      <c r="AU1035" s="185"/>
      <c r="AV1035" s="185"/>
    </row>
    <row r="1036" spans="13:48" s="277" customFormat="1">
      <c r="M1036" s="185"/>
      <c r="N1036" s="185"/>
      <c r="O1036" s="185"/>
      <c r="S1036" s="291">
        <v>42592</v>
      </c>
      <c r="T1036" s="279">
        <v>953</v>
      </c>
      <c r="AI1036" s="185"/>
      <c r="AJ1036" s="185"/>
      <c r="AK1036" s="185"/>
      <c r="AL1036" s="185"/>
      <c r="AM1036" s="185"/>
      <c r="AN1036" s="185"/>
      <c r="AO1036" s="185"/>
      <c r="AP1036" s="185"/>
      <c r="AQ1036" s="185"/>
      <c r="AR1036" s="185"/>
      <c r="AS1036" s="185"/>
      <c r="AT1036" s="185"/>
      <c r="AU1036" s="185"/>
      <c r="AV1036" s="185"/>
    </row>
    <row r="1037" spans="13:48" s="277" customFormat="1">
      <c r="M1037" s="185"/>
      <c r="N1037" s="185"/>
      <c r="O1037" s="185"/>
      <c r="S1037" s="291">
        <v>42593</v>
      </c>
      <c r="T1037" s="279">
        <v>954</v>
      </c>
      <c r="AI1037" s="185"/>
      <c r="AJ1037" s="185"/>
      <c r="AK1037" s="185"/>
      <c r="AL1037" s="185"/>
      <c r="AM1037" s="185"/>
      <c r="AN1037" s="185"/>
      <c r="AO1037" s="185"/>
      <c r="AP1037" s="185"/>
      <c r="AQ1037" s="185"/>
      <c r="AR1037" s="185"/>
      <c r="AS1037" s="185"/>
      <c r="AT1037" s="185"/>
      <c r="AU1037" s="185"/>
      <c r="AV1037" s="185"/>
    </row>
    <row r="1038" spans="13:48" s="277" customFormat="1">
      <c r="M1038" s="185"/>
      <c r="N1038" s="185"/>
      <c r="O1038" s="185"/>
      <c r="S1038" s="291">
        <v>42594</v>
      </c>
      <c r="T1038" s="279">
        <v>955</v>
      </c>
      <c r="AI1038" s="185"/>
      <c r="AJ1038" s="185"/>
      <c r="AK1038" s="185"/>
      <c r="AL1038" s="185"/>
      <c r="AM1038" s="185"/>
      <c r="AN1038" s="185"/>
      <c r="AO1038" s="185"/>
      <c r="AP1038" s="185"/>
      <c r="AQ1038" s="185"/>
      <c r="AR1038" s="185"/>
      <c r="AS1038" s="185"/>
      <c r="AT1038" s="185"/>
      <c r="AU1038" s="185"/>
      <c r="AV1038" s="185"/>
    </row>
    <row r="1039" spans="13:48" s="277" customFormat="1">
      <c r="M1039" s="185"/>
      <c r="N1039" s="185"/>
      <c r="O1039" s="185"/>
      <c r="S1039" s="291">
        <v>42595</v>
      </c>
      <c r="T1039" s="279">
        <v>956</v>
      </c>
      <c r="AI1039" s="185"/>
      <c r="AJ1039" s="185"/>
      <c r="AK1039" s="185"/>
      <c r="AL1039" s="185"/>
      <c r="AM1039" s="185"/>
      <c r="AN1039" s="185"/>
      <c r="AO1039" s="185"/>
      <c r="AP1039" s="185"/>
      <c r="AQ1039" s="185"/>
      <c r="AR1039" s="185"/>
      <c r="AS1039" s="185"/>
      <c r="AT1039" s="185"/>
      <c r="AU1039" s="185"/>
      <c r="AV1039" s="185"/>
    </row>
    <row r="1040" spans="13:48" s="277" customFormat="1">
      <c r="M1040" s="185"/>
      <c r="N1040" s="185"/>
      <c r="O1040" s="185"/>
      <c r="S1040" s="291">
        <v>42596</v>
      </c>
      <c r="T1040" s="279">
        <v>957</v>
      </c>
      <c r="AI1040" s="185"/>
      <c r="AJ1040" s="185"/>
      <c r="AK1040" s="185"/>
      <c r="AL1040" s="185"/>
      <c r="AM1040" s="185"/>
      <c r="AN1040" s="185"/>
      <c r="AO1040" s="185"/>
      <c r="AP1040" s="185"/>
      <c r="AQ1040" s="185"/>
      <c r="AR1040" s="185"/>
      <c r="AS1040" s="185"/>
      <c r="AT1040" s="185"/>
      <c r="AU1040" s="185"/>
      <c r="AV1040" s="185"/>
    </row>
    <row r="1041" spans="13:48" s="277" customFormat="1">
      <c r="M1041" s="185"/>
      <c r="N1041" s="185"/>
      <c r="O1041" s="185"/>
      <c r="S1041" s="291">
        <v>42597</v>
      </c>
      <c r="T1041" s="279">
        <v>958</v>
      </c>
      <c r="AI1041" s="185"/>
      <c r="AJ1041" s="185"/>
      <c r="AK1041" s="185"/>
      <c r="AL1041" s="185"/>
      <c r="AM1041" s="185"/>
      <c r="AN1041" s="185"/>
      <c r="AO1041" s="185"/>
      <c r="AP1041" s="185"/>
      <c r="AQ1041" s="185"/>
      <c r="AR1041" s="185"/>
      <c r="AS1041" s="185"/>
      <c r="AT1041" s="185"/>
      <c r="AU1041" s="185"/>
      <c r="AV1041" s="185"/>
    </row>
    <row r="1042" spans="13:48" s="277" customFormat="1">
      <c r="M1042" s="185"/>
      <c r="N1042" s="185"/>
      <c r="O1042" s="185"/>
      <c r="S1042" s="291">
        <v>42598</v>
      </c>
      <c r="T1042" s="279">
        <v>959</v>
      </c>
      <c r="AI1042" s="185"/>
      <c r="AJ1042" s="185"/>
      <c r="AK1042" s="185"/>
      <c r="AL1042" s="185"/>
      <c r="AM1042" s="185"/>
      <c r="AN1042" s="185"/>
      <c r="AO1042" s="185"/>
      <c r="AP1042" s="185"/>
      <c r="AQ1042" s="185"/>
      <c r="AR1042" s="185"/>
      <c r="AS1042" s="185"/>
      <c r="AT1042" s="185"/>
      <c r="AU1042" s="185"/>
      <c r="AV1042" s="185"/>
    </row>
    <row r="1043" spans="13:48" s="277" customFormat="1">
      <c r="M1043" s="185"/>
      <c r="N1043" s="185"/>
      <c r="O1043" s="185"/>
      <c r="S1043" s="291">
        <v>42599</v>
      </c>
      <c r="T1043" s="279">
        <v>960</v>
      </c>
      <c r="AI1043" s="185"/>
      <c r="AJ1043" s="185"/>
      <c r="AK1043" s="185"/>
      <c r="AL1043" s="185"/>
      <c r="AM1043" s="185"/>
      <c r="AN1043" s="185"/>
      <c r="AO1043" s="185"/>
      <c r="AP1043" s="185"/>
      <c r="AQ1043" s="185"/>
      <c r="AR1043" s="185"/>
      <c r="AS1043" s="185"/>
      <c r="AT1043" s="185"/>
      <c r="AU1043" s="185"/>
      <c r="AV1043" s="185"/>
    </row>
    <row r="1044" spans="13:48" s="277" customFormat="1">
      <c r="M1044" s="185"/>
      <c r="N1044" s="185"/>
      <c r="O1044" s="185"/>
      <c r="S1044" s="291">
        <v>42600</v>
      </c>
      <c r="T1044" s="279">
        <v>961</v>
      </c>
      <c r="AI1044" s="185"/>
      <c r="AJ1044" s="185"/>
      <c r="AK1044" s="185"/>
      <c r="AL1044" s="185"/>
      <c r="AM1044" s="185"/>
      <c r="AN1044" s="185"/>
      <c r="AO1044" s="185"/>
      <c r="AP1044" s="185"/>
      <c r="AQ1044" s="185"/>
      <c r="AR1044" s="185"/>
      <c r="AS1044" s="185"/>
      <c r="AT1044" s="185"/>
      <c r="AU1044" s="185"/>
      <c r="AV1044" s="185"/>
    </row>
    <row r="1045" spans="13:48" s="277" customFormat="1">
      <c r="M1045" s="185"/>
      <c r="N1045" s="185"/>
      <c r="O1045" s="185"/>
      <c r="S1045" s="291">
        <v>42601</v>
      </c>
      <c r="T1045" s="279">
        <v>962</v>
      </c>
      <c r="AI1045" s="185"/>
      <c r="AJ1045" s="185"/>
      <c r="AK1045" s="185"/>
      <c r="AL1045" s="185"/>
      <c r="AM1045" s="185"/>
      <c r="AN1045" s="185"/>
      <c r="AO1045" s="185"/>
      <c r="AP1045" s="185"/>
      <c r="AQ1045" s="185"/>
      <c r="AR1045" s="185"/>
      <c r="AS1045" s="185"/>
      <c r="AT1045" s="185"/>
      <c r="AU1045" s="185"/>
      <c r="AV1045" s="185"/>
    </row>
    <row r="1046" spans="13:48" s="277" customFormat="1">
      <c r="M1046" s="185"/>
      <c r="N1046" s="185"/>
      <c r="O1046" s="185"/>
      <c r="S1046" s="291">
        <v>42602</v>
      </c>
      <c r="T1046" s="279">
        <v>963</v>
      </c>
      <c r="AI1046" s="185"/>
      <c r="AJ1046" s="185"/>
      <c r="AK1046" s="185"/>
      <c r="AL1046" s="185"/>
      <c r="AM1046" s="185"/>
      <c r="AN1046" s="185"/>
      <c r="AO1046" s="185"/>
      <c r="AP1046" s="185"/>
      <c r="AQ1046" s="185"/>
      <c r="AR1046" s="185"/>
      <c r="AS1046" s="185"/>
      <c r="AT1046" s="185"/>
      <c r="AU1046" s="185"/>
      <c r="AV1046" s="185"/>
    </row>
    <row r="1047" spans="13:48" s="277" customFormat="1">
      <c r="M1047" s="185"/>
      <c r="N1047" s="185"/>
      <c r="O1047" s="185"/>
      <c r="S1047" s="291">
        <v>42603</v>
      </c>
      <c r="T1047" s="279">
        <v>964</v>
      </c>
      <c r="AI1047" s="185"/>
      <c r="AJ1047" s="185"/>
      <c r="AK1047" s="185"/>
      <c r="AL1047" s="185"/>
      <c r="AM1047" s="185"/>
      <c r="AN1047" s="185"/>
      <c r="AO1047" s="185"/>
      <c r="AP1047" s="185"/>
      <c r="AQ1047" s="185"/>
      <c r="AR1047" s="185"/>
      <c r="AS1047" s="185"/>
      <c r="AT1047" s="185"/>
      <c r="AU1047" s="185"/>
      <c r="AV1047" s="185"/>
    </row>
    <row r="1048" spans="13:48" s="277" customFormat="1">
      <c r="M1048" s="185"/>
      <c r="N1048" s="185"/>
      <c r="O1048" s="185"/>
      <c r="S1048" s="291">
        <v>42604</v>
      </c>
      <c r="T1048" s="279">
        <v>965</v>
      </c>
      <c r="AI1048" s="185"/>
      <c r="AJ1048" s="185"/>
      <c r="AK1048" s="185"/>
      <c r="AL1048" s="185"/>
      <c r="AM1048" s="185"/>
      <c r="AN1048" s="185"/>
      <c r="AO1048" s="185"/>
      <c r="AP1048" s="185"/>
      <c r="AQ1048" s="185"/>
      <c r="AR1048" s="185"/>
      <c r="AS1048" s="185"/>
      <c r="AT1048" s="185"/>
      <c r="AU1048" s="185"/>
      <c r="AV1048" s="185"/>
    </row>
    <row r="1049" spans="13:48" s="277" customFormat="1">
      <c r="M1049" s="185"/>
      <c r="N1049" s="185"/>
      <c r="O1049" s="185"/>
      <c r="S1049" s="291">
        <v>42605</v>
      </c>
      <c r="T1049" s="279">
        <v>966</v>
      </c>
      <c r="AI1049" s="185"/>
      <c r="AJ1049" s="185"/>
      <c r="AK1049" s="185"/>
      <c r="AL1049" s="185"/>
      <c r="AM1049" s="185"/>
      <c r="AN1049" s="185"/>
      <c r="AO1049" s="185"/>
      <c r="AP1049" s="185"/>
      <c r="AQ1049" s="185"/>
      <c r="AR1049" s="185"/>
      <c r="AS1049" s="185"/>
      <c r="AT1049" s="185"/>
      <c r="AU1049" s="185"/>
      <c r="AV1049" s="185"/>
    </row>
    <row r="1050" spans="13:48" s="277" customFormat="1">
      <c r="M1050" s="185"/>
      <c r="N1050" s="185"/>
      <c r="O1050" s="185"/>
      <c r="S1050" s="291">
        <v>42606</v>
      </c>
      <c r="T1050" s="279">
        <v>967</v>
      </c>
      <c r="AI1050" s="185"/>
      <c r="AJ1050" s="185"/>
      <c r="AK1050" s="185"/>
      <c r="AL1050" s="185"/>
      <c r="AM1050" s="185"/>
      <c r="AN1050" s="185"/>
      <c r="AO1050" s="185"/>
      <c r="AP1050" s="185"/>
      <c r="AQ1050" s="185"/>
      <c r="AR1050" s="185"/>
      <c r="AS1050" s="185"/>
      <c r="AT1050" s="185"/>
      <c r="AU1050" s="185"/>
      <c r="AV1050" s="185"/>
    </row>
    <row r="1051" spans="13:48" s="277" customFormat="1">
      <c r="M1051" s="185"/>
      <c r="N1051" s="185"/>
      <c r="O1051" s="185"/>
      <c r="S1051" s="291">
        <v>42607</v>
      </c>
      <c r="T1051" s="279">
        <v>968</v>
      </c>
      <c r="AI1051" s="185"/>
      <c r="AJ1051" s="185"/>
      <c r="AK1051" s="185"/>
      <c r="AL1051" s="185"/>
      <c r="AM1051" s="185"/>
      <c r="AN1051" s="185"/>
      <c r="AO1051" s="185"/>
      <c r="AP1051" s="185"/>
      <c r="AQ1051" s="185"/>
      <c r="AR1051" s="185"/>
      <c r="AS1051" s="185"/>
      <c r="AT1051" s="185"/>
      <c r="AU1051" s="185"/>
      <c r="AV1051" s="185"/>
    </row>
    <row r="1052" spans="13:48" s="277" customFormat="1">
      <c r="M1052" s="185"/>
      <c r="N1052" s="185"/>
      <c r="O1052" s="185"/>
      <c r="S1052" s="291">
        <v>42608</v>
      </c>
      <c r="T1052" s="279">
        <v>969</v>
      </c>
      <c r="AI1052" s="185"/>
      <c r="AJ1052" s="185"/>
      <c r="AK1052" s="185"/>
      <c r="AL1052" s="185"/>
      <c r="AM1052" s="185"/>
      <c r="AN1052" s="185"/>
      <c r="AO1052" s="185"/>
      <c r="AP1052" s="185"/>
      <c r="AQ1052" s="185"/>
      <c r="AR1052" s="185"/>
      <c r="AS1052" s="185"/>
      <c r="AT1052" s="185"/>
      <c r="AU1052" s="185"/>
      <c r="AV1052" s="185"/>
    </row>
    <row r="1053" spans="13:48" s="277" customFormat="1">
      <c r="M1053" s="185"/>
      <c r="N1053" s="185"/>
      <c r="O1053" s="185"/>
      <c r="S1053" s="291">
        <v>42609</v>
      </c>
      <c r="T1053" s="279">
        <v>970</v>
      </c>
      <c r="AI1053" s="185"/>
      <c r="AJ1053" s="185"/>
      <c r="AK1053" s="185"/>
      <c r="AL1053" s="185"/>
      <c r="AM1053" s="185"/>
      <c r="AN1053" s="185"/>
      <c r="AO1053" s="185"/>
      <c r="AP1053" s="185"/>
      <c r="AQ1053" s="185"/>
      <c r="AR1053" s="185"/>
      <c r="AS1053" s="185"/>
      <c r="AT1053" s="185"/>
      <c r="AU1053" s="185"/>
      <c r="AV1053" s="185"/>
    </row>
    <row r="1054" spans="13:48" s="277" customFormat="1">
      <c r="M1054" s="185"/>
      <c r="N1054" s="185"/>
      <c r="O1054" s="185"/>
      <c r="S1054" s="291">
        <v>42610</v>
      </c>
      <c r="T1054" s="279">
        <v>971</v>
      </c>
      <c r="AI1054" s="185"/>
      <c r="AJ1054" s="185"/>
      <c r="AK1054" s="185"/>
      <c r="AL1054" s="185"/>
      <c r="AM1054" s="185"/>
      <c r="AN1054" s="185"/>
      <c r="AO1054" s="185"/>
      <c r="AP1054" s="185"/>
      <c r="AQ1054" s="185"/>
      <c r="AR1054" s="185"/>
      <c r="AS1054" s="185"/>
      <c r="AT1054" s="185"/>
      <c r="AU1054" s="185"/>
      <c r="AV1054" s="185"/>
    </row>
    <row r="1055" spans="13:48" s="277" customFormat="1">
      <c r="M1055" s="185"/>
      <c r="N1055" s="185"/>
      <c r="O1055" s="185"/>
      <c r="S1055" s="291">
        <v>42611</v>
      </c>
      <c r="T1055" s="279">
        <v>972</v>
      </c>
      <c r="AI1055" s="185"/>
      <c r="AJ1055" s="185"/>
      <c r="AK1055" s="185"/>
      <c r="AL1055" s="185"/>
      <c r="AM1055" s="185"/>
      <c r="AN1055" s="185"/>
      <c r="AO1055" s="185"/>
      <c r="AP1055" s="185"/>
      <c r="AQ1055" s="185"/>
      <c r="AR1055" s="185"/>
      <c r="AS1055" s="185"/>
      <c r="AT1055" s="185"/>
      <c r="AU1055" s="185"/>
      <c r="AV1055" s="185"/>
    </row>
    <row r="1056" spans="13:48" s="277" customFormat="1">
      <c r="M1056" s="185"/>
      <c r="N1056" s="185"/>
      <c r="O1056" s="185"/>
      <c r="S1056" s="291">
        <v>42612</v>
      </c>
      <c r="T1056" s="279">
        <v>973</v>
      </c>
      <c r="AI1056" s="185"/>
      <c r="AJ1056" s="185"/>
      <c r="AK1056" s="185"/>
      <c r="AL1056" s="185"/>
      <c r="AM1056" s="185"/>
      <c r="AN1056" s="185"/>
      <c r="AO1056" s="185"/>
      <c r="AP1056" s="185"/>
      <c r="AQ1056" s="185"/>
      <c r="AR1056" s="185"/>
      <c r="AS1056" s="185"/>
      <c r="AT1056" s="185"/>
      <c r="AU1056" s="185"/>
      <c r="AV1056" s="185"/>
    </row>
    <row r="1057" spans="13:48" s="277" customFormat="1">
      <c r="M1057" s="185"/>
      <c r="N1057" s="185"/>
      <c r="O1057" s="185"/>
      <c r="S1057" s="291">
        <v>42613</v>
      </c>
      <c r="T1057" s="279">
        <v>974</v>
      </c>
      <c r="AI1057" s="185"/>
      <c r="AJ1057" s="185"/>
      <c r="AK1057" s="185"/>
      <c r="AL1057" s="185"/>
      <c r="AM1057" s="185"/>
      <c r="AN1057" s="185"/>
      <c r="AO1057" s="185"/>
      <c r="AP1057" s="185"/>
      <c r="AQ1057" s="185"/>
      <c r="AR1057" s="185"/>
      <c r="AS1057" s="185"/>
      <c r="AT1057" s="185"/>
      <c r="AU1057" s="185"/>
      <c r="AV1057" s="185"/>
    </row>
    <row r="1058" spans="13:48" s="277" customFormat="1">
      <c r="M1058" s="185"/>
      <c r="N1058" s="185"/>
      <c r="O1058" s="185"/>
      <c r="S1058" s="291">
        <v>42614</v>
      </c>
      <c r="T1058" s="279">
        <v>975</v>
      </c>
      <c r="AI1058" s="185"/>
      <c r="AJ1058" s="185"/>
      <c r="AK1058" s="185"/>
      <c r="AL1058" s="185"/>
      <c r="AM1058" s="185"/>
      <c r="AN1058" s="185"/>
      <c r="AO1058" s="185"/>
      <c r="AP1058" s="185"/>
      <c r="AQ1058" s="185"/>
      <c r="AR1058" s="185"/>
      <c r="AS1058" s="185"/>
      <c r="AT1058" s="185"/>
      <c r="AU1058" s="185"/>
      <c r="AV1058" s="185"/>
    </row>
    <row r="1059" spans="13:48" s="277" customFormat="1">
      <c r="M1059" s="185"/>
      <c r="N1059" s="185"/>
      <c r="O1059" s="185"/>
      <c r="S1059" s="291">
        <v>42615</v>
      </c>
      <c r="T1059" s="279">
        <v>976</v>
      </c>
      <c r="AI1059" s="185"/>
      <c r="AJ1059" s="185"/>
      <c r="AK1059" s="185"/>
      <c r="AL1059" s="185"/>
      <c r="AM1059" s="185"/>
      <c r="AN1059" s="185"/>
      <c r="AO1059" s="185"/>
      <c r="AP1059" s="185"/>
      <c r="AQ1059" s="185"/>
      <c r="AR1059" s="185"/>
      <c r="AS1059" s="185"/>
      <c r="AT1059" s="185"/>
      <c r="AU1059" s="185"/>
      <c r="AV1059" s="185"/>
    </row>
    <row r="1060" spans="13:48" s="277" customFormat="1">
      <c r="M1060" s="185"/>
      <c r="N1060" s="185"/>
      <c r="O1060" s="185"/>
      <c r="S1060" s="291">
        <v>42616</v>
      </c>
      <c r="T1060" s="279">
        <v>977</v>
      </c>
      <c r="AI1060" s="185"/>
      <c r="AJ1060" s="185"/>
      <c r="AK1060" s="185"/>
      <c r="AL1060" s="185"/>
      <c r="AM1060" s="185"/>
      <c r="AN1060" s="185"/>
      <c r="AO1060" s="185"/>
      <c r="AP1060" s="185"/>
      <c r="AQ1060" s="185"/>
      <c r="AR1060" s="185"/>
      <c r="AS1060" s="185"/>
      <c r="AT1060" s="185"/>
      <c r="AU1060" s="185"/>
      <c r="AV1060" s="185"/>
    </row>
    <row r="1061" spans="13:48" s="277" customFormat="1">
      <c r="M1061" s="185"/>
      <c r="N1061" s="185"/>
      <c r="O1061" s="185"/>
      <c r="S1061" s="291">
        <v>42617</v>
      </c>
      <c r="T1061" s="279">
        <v>978</v>
      </c>
      <c r="AI1061" s="185"/>
      <c r="AJ1061" s="185"/>
      <c r="AK1061" s="185"/>
      <c r="AL1061" s="185"/>
      <c r="AM1061" s="185"/>
      <c r="AN1061" s="185"/>
      <c r="AO1061" s="185"/>
      <c r="AP1061" s="185"/>
      <c r="AQ1061" s="185"/>
      <c r="AR1061" s="185"/>
      <c r="AS1061" s="185"/>
      <c r="AT1061" s="185"/>
      <c r="AU1061" s="185"/>
      <c r="AV1061" s="185"/>
    </row>
    <row r="1062" spans="13:48" s="277" customFormat="1">
      <c r="M1062" s="185"/>
      <c r="N1062" s="185"/>
      <c r="O1062" s="185"/>
      <c r="S1062" s="291">
        <v>42618</v>
      </c>
      <c r="T1062" s="279">
        <v>979</v>
      </c>
      <c r="AI1062" s="185"/>
      <c r="AJ1062" s="185"/>
      <c r="AK1062" s="185"/>
      <c r="AL1062" s="185"/>
      <c r="AM1062" s="185"/>
      <c r="AN1062" s="185"/>
      <c r="AO1062" s="185"/>
      <c r="AP1062" s="185"/>
      <c r="AQ1062" s="185"/>
      <c r="AR1062" s="185"/>
      <c r="AS1062" s="185"/>
      <c r="AT1062" s="185"/>
      <c r="AU1062" s="185"/>
      <c r="AV1062" s="185"/>
    </row>
    <row r="1063" spans="13:48" s="277" customFormat="1">
      <c r="M1063" s="185"/>
      <c r="N1063" s="185"/>
      <c r="O1063" s="185"/>
      <c r="S1063" s="291">
        <v>42619</v>
      </c>
      <c r="T1063" s="279">
        <v>980</v>
      </c>
      <c r="AI1063" s="185"/>
      <c r="AJ1063" s="185"/>
      <c r="AK1063" s="185"/>
      <c r="AL1063" s="185"/>
      <c r="AM1063" s="185"/>
      <c r="AN1063" s="185"/>
      <c r="AO1063" s="185"/>
      <c r="AP1063" s="185"/>
      <c r="AQ1063" s="185"/>
      <c r="AR1063" s="185"/>
      <c r="AS1063" s="185"/>
      <c r="AT1063" s="185"/>
      <c r="AU1063" s="185"/>
      <c r="AV1063" s="185"/>
    </row>
    <row r="1064" spans="13:48" s="277" customFormat="1">
      <c r="M1064" s="185"/>
      <c r="N1064" s="185"/>
      <c r="O1064" s="185"/>
      <c r="S1064" s="291">
        <v>42620</v>
      </c>
      <c r="T1064" s="279">
        <v>981</v>
      </c>
      <c r="AI1064" s="185"/>
      <c r="AJ1064" s="185"/>
      <c r="AK1064" s="185"/>
      <c r="AL1064" s="185"/>
      <c r="AM1064" s="185"/>
      <c r="AN1064" s="185"/>
      <c r="AO1064" s="185"/>
      <c r="AP1064" s="185"/>
      <c r="AQ1064" s="185"/>
      <c r="AR1064" s="185"/>
      <c r="AS1064" s="185"/>
      <c r="AT1064" s="185"/>
      <c r="AU1064" s="185"/>
      <c r="AV1064" s="185"/>
    </row>
    <row r="1065" spans="13:48" s="277" customFormat="1">
      <c r="M1065" s="185"/>
      <c r="N1065" s="185"/>
      <c r="O1065" s="185"/>
      <c r="S1065" s="291">
        <v>42621</v>
      </c>
      <c r="T1065" s="279">
        <v>982</v>
      </c>
      <c r="AI1065" s="185"/>
      <c r="AJ1065" s="185"/>
      <c r="AK1065" s="185"/>
      <c r="AL1065" s="185"/>
      <c r="AM1065" s="185"/>
      <c r="AN1065" s="185"/>
      <c r="AO1065" s="185"/>
      <c r="AP1065" s="185"/>
      <c r="AQ1065" s="185"/>
      <c r="AR1065" s="185"/>
      <c r="AS1065" s="185"/>
      <c r="AT1065" s="185"/>
      <c r="AU1065" s="185"/>
      <c r="AV1065" s="185"/>
    </row>
    <row r="1066" spans="13:48" s="277" customFormat="1">
      <c r="M1066" s="185"/>
      <c r="N1066" s="185"/>
      <c r="O1066" s="185"/>
      <c r="S1066" s="291">
        <v>42622</v>
      </c>
      <c r="T1066" s="279">
        <v>983</v>
      </c>
      <c r="AI1066" s="185"/>
      <c r="AJ1066" s="185"/>
      <c r="AK1066" s="185"/>
      <c r="AL1066" s="185"/>
      <c r="AM1066" s="185"/>
      <c r="AN1066" s="185"/>
      <c r="AO1066" s="185"/>
      <c r="AP1066" s="185"/>
      <c r="AQ1066" s="185"/>
      <c r="AR1066" s="185"/>
      <c r="AS1066" s="185"/>
      <c r="AT1066" s="185"/>
      <c r="AU1066" s="185"/>
      <c r="AV1066" s="185"/>
    </row>
    <row r="1067" spans="13:48" s="277" customFormat="1">
      <c r="M1067" s="185"/>
      <c r="N1067" s="185"/>
      <c r="O1067" s="185"/>
      <c r="S1067" s="291">
        <v>42623</v>
      </c>
      <c r="T1067" s="279">
        <v>984</v>
      </c>
      <c r="AI1067" s="185"/>
      <c r="AJ1067" s="185"/>
      <c r="AK1067" s="185"/>
      <c r="AL1067" s="185"/>
      <c r="AM1067" s="185"/>
      <c r="AN1067" s="185"/>
      <c r="AO1067" s="185"/>
      <c r="AP1067" s="185"/>
      <c r="AQ1067" s="185"/>
      <c r="AR1067" s="185"/>
      <c r="AS1067" s="185"/>
      <c r="AT1067" s="185"/>
      <c r="AU1067" s="185"/>
      <c r="AV1067" s="185"/>
    </row>
    <row r="1068" spans="13:48" s="277" customFormat="1">
      <c r="M1068" s="185"/>
      <c r="N1068" s="185"/>
      <c r="O1068" s="185"/>
      <c r="S1068" s="291">
        <v>42624</v>
      </c>
      <c r="T1068" s="279">
        <v>985</v>
      </c>
      <c r="AI1068" s="185"/>
      <c r="AJ1068" s="185"/>
      <c r="AK1068" s="185"/>
      <c r="AL1068" s="185"/>
      <c r="AM1068" s="185"/>
      <c r="AN1068" s="185"/>
      <c r="AO1068" s="185"/>
      <c r="AP1068" s="185"/>
      <c r="AQ1068" s="185"/>
      <c r="AR1068" s="185"/>
      <c r="AS1068" s="185"/>
      <c r="AT1068" s="185"/>
      <c r="AU1068" s="185"/>
      <c r="AV1068" s="185"/>
    </row>
    <row r="1069" spans="13:48" s="277" customFormat="1">
      <c r="M1069" s="185"/>
      <c r="N1069" s="185"/>
      <c r="O1069" s="185"/>
      <c r="S1069" s="291">
        <v>42625</v>
      </c>
      <c r="T1069" s="279">
        <v>986</v>
      </c>
      <c r="AI1069" s="185"/>
      <c r="AJ1069" s="185"/>
      <c r="AK1069" s="185"/>
      <c r="AL1069" s="185"/>
      <c r="AM1069" s="185"/>
      <c r="AN1069" s="185"/>
      <c r="AO1069" s="185"/>
      <c r="AP1069" s="185"/>
      <c r="AQ1069" s="185"/>
      <c r="AR1069" s="185"/>
      <c r="AS1069" s="185"/>
      <c r="AT1069" s="185"/>
      <c r="AU1069" s="185"/>
      <c r="AV1069" s="185"/>
    </row>
    <row r="1070" spans="13:48" s="277" customFormat="1">
      <c r="M1070" s="185"/>
      <c r="N1070" s="185"/>
      <c r="O1070" s="185"/>
      <c r="S1070" s="291">
        <v>42626</v>
      </c>
      <c r="T1070" s="279">
        <v>987</v>
      </c>
      <c r="AI1070" s="185"/>
      <c r="AJ1070" s="185"/>
      <c r="AK1070" s="185"/>
      <c r="AL1070" s="185"/>
      <c r="AM1070" s="185"/>
      <c r="AN1070" s="185"/>
      <c r="AO1070" s="185"/>
      <c r="AP1070" s="185"/>
      <c r="AQ1070" s="185"/>
      <c r="AR1070" s="185"/>
      <c r="AS1070" s="185"/>
      <c r="AT1070" s="185"/>
      <c r="AU1070" s="185"/>
      <c r="AV1070" s="185"/>
    </row>
    <row r="1071" spans="13:48" s="277" customFormat="1">
      <c r="M1071" s="185"/>
      <c r="N1071" s="185"/>
      <c r="O1071" s="185"/>
      <c r="S1071" s="291">
        <v>42627</v>
      </c>
      <c r="T1071" s="279">
        <v>988</v>
      </c>
      <c r="AI1071" s="185"/>
      <c r="AJ1071" s="185"/>
      <c r="AK1071" s="185"/>
      <c r="AL1071" s="185"/>
      <c r="AM1071" s="185"/>
      <c r="AN1071" s="185"/>
      <c r="AO1071" s="185"/>
      <c r="AP1071" s="185"/>
      <c r="AQ1071" s="185"/>
      <c r="AR1071" s="185"/>
      <c r="AS1071" s="185"/>
      <c r="AT1071" s="185"/>
      <c r="AU1071" s="185"/>
      <c r="AV1071" s="185"/>
    </row>
    <row r="1072" spans="13:48" s="277" customFormat="1">
      <c r="M1072" s="185"/>
      <c r="N1072" s="185"/>
      <c r="O1072" s="185"/>
      <c r="S1072" s="291">
        <v>42628</v>
      </c>
      <c r="T1072" s="279">
        <v>989</v>
      </c>
      <c r="AI1072" s="185"/>
      <c r="AJ1072" s="185"/>
      <c r="AK1072" s="185"/>
      <c r="AL1072" s="185"/>
      <c r="AM1072" s="185"/>
      <c r="AN1072" s="185"/>
      <c r="AO1072" s="185"/>
      <c r="AP1072" s="185"/>
      <c r="AQ1072" s="185"/>
      <c r="AR1072" s="185"/>
      <c r="AS1072" s="185"/>
      <c r="AT1072" s="185"/>
      <c r="AU1072" s="185"/>
      <c r="AV1072" s="185"/>
    </row>
    <row r="1073" spans="13:48" s="277" customFormat="1">
      <c r="M1073" s="185"/>
      <c r="N1073" s="185"/>
      <c r="O1073" s="185"/>
      <c r="S1073" s="291">
        <v>42629</v>
      </c>
      <c r="T1073" s="279">
        <v>990</v>
      </c>
      <c r="AI1073" s="185"/>
      <c r="AJ1073" s="185"/>
      <c r="AK1073" s="185"/>
      <c r="AL1073" s="185"/>
      <c r="AM1073" s="185"/>
      <c r="AN1073" s="185"/>
      <c r="AO1073" s="185"/>
      <c r="AP1073" s="185"/>
      <c r="AQ1073" s="185"/>
      <c r="AR1073" s="185"/>
      <c r="AS1073" s="185"/>
      <c r="AT1073" s="185"/>
      <c r="AU1073" s="185"/>
      <c r="AV1073" s="185"/>
    </row>
    <row r="1074" spans="13:48" s="277" customFormat="1">
      <c r="M1074" s="185"/>
      <c r="N1074" s="185"/>
      <c r="O1074" s="185"/>
      <c r="S1074" s="291">
        <v>42630</v>
      </c>
      <c r="T1074" s="279">
        <v>991</v>
      </c>
      <c r="AI1074" s="185"/>
      <c r="AJ1074" s="185"/>
      <c r="AK1074" s="185"/>
      <c r="AL1074" s="185"/>
      <c r="AM1074" s="185"/>
      <c r="AN1074" s="185"/>
      <c r="AO1074" s="185"/>
      <c r="AP1074" s="185"/>
      <c r="AQ1074" s="185"/>
      <c r="AR1074" s="185"/>
      <c r="AS1074" s="185"/>
      <c r="AT1074" s="185"/>
      <c r="AU1074" s="185"/>
      <c r="AV1074" s="185"/>
    </row>
    <row r="1075" spans="13:48" s="277" customFormat="1">
      <c r="M1075" s="185"/>
      <c r="N1075" s="185"/>
      <c r="O1075" s="185"/>
      <c r="S1075" s="291">
        <v>42631</v>
      </c>
      <c r="T1075" s="279">
        <v>992</v>
      </c>
      <c r="AI1075" s="185"/>
      <c r="AJ1075" s="185"/>
      <c r="AK1075" s="185"/>
      <c r="AL1075" s="185"/>
      <c r="AM1075" s="185"/>
      <c r="AN1075" s="185"/>
      <c r="AO1075" s="185"/>
      <c r="AP1075" s="185"/>
      <c r="AQ1075" s="185"/>
      <c r="AR1075" s="185"/>
      <c r="AS1075" s="185"/>
      <c r="AT1075" s="185"/>
      <c r="AU1075" s="185"/>
      <c r="AV1075" s="185"/>
    </row>
    <row r="1076" spans="13:48" s="277" customFormat="1">
      <c r="M1076" s="185"/>
      <c r="N1076" s="185"/>
      <c r="O1076" s="185"/>
      <c r="S1076" s="291">
        <v>42632</v>
      </c>
      <c r="T1076" s="279">
        <v>993</v>
      </c>
      <c r="AI1076" s="185"/>
      <c r="AJ1076" s="185"/>
      <c r="AK1076" s="185"/>
      <c r="AL1076" s="185"/>
      <c r="AM1076" s="185"/>
      <c r="AN1076" s="185"/>
      <c r="AO1076" s="185"/>
      <c r="AP1076" s="185"/>
      <c r="AQ1076" s="185"/>
      <c r="AR1076" s="185"/>
      <c r="AS1076" s="185"/>
      <c r="AT1076" s="185"/>
      <c r="AU1076" s="185"/>
      <c r="AV1076" s="185"/>
    </row>
    <row r="1077" spans="13:48" s="277" customFormat="1">
      <c r="M1077" s="185"/>
      <c r="N1077" s="185"/>
      <c r="O1077" s="185"/>
      <c r="S1077" s="291">
        <v>42633</v>
      </c>
      <c r="T1077" s="279">
        <v>994</v>
      </c>
      <c r="AI1077" s="185"/>
      <c r="AJ1077" s="185"/>
      <c r="AK1077" s="185"/>
      <c r="AL1077" s="185"/>
      <c r="AM1077" s="185"/>
      <c r="AN1077" s="185"/>
      <c r="AO1077" s="185"/>
      <c r="AP1077" s="185"/>
      <c r="AQ1077" s="185"/>
      <c r="AR1077" s="185"/>
      <c r="AS1077" s="185"/>
      <c r="AT1077" s="185"/>
      <c r="AU1077" s="185"/>
      <c r="AV1077" s="185"/>
    </row>
    <row r="1078" spans="13:48" s="277" customFormat="1">
      <c r="M1078" s="185"/>
      <c r="N1078" s="185"/>
      <c r="O1078" s="185"/>
      <c r="S1078" s="291">
        <v>42634</v>
      </c>
      <c r="T1078" s="279">
        <v>995</v>
      </c>
      <c r="AI1078" s="185"/>
      <c r="AJ1078" s="185"/>
      <c r="AK1078" s="185"/>
      <c r="AL1078" s="185"/>
      <c r="AM1078" s="185"/>
      <c r="AN1078" s="185"/>
      <c r="AO1078" s="185"/>
      <c r="AP1078" s="185"/>
      <c r="AQ1078" s="185"/>
      <c r="AR1078" s="185"/>
      <c r="AS1078" s="185"/>
      <c r="AT1078" s="185"/>
      <c r="AU1078" s="185"/>
      <c r="AV1078" s="185"/>
    </row>
    <row r="1079" spans="13:48" s="277" customFormat="1">
      <c r="M1079" s="185"/>
      <c r="N1079" s="185"/>
      <c r="O1079" s="185"/>
      <c r="S1079" s="291">
        <v>42635</v>
      </c>
      <c r="T1079" s="279">
        <v>996</v>
      </c>
      <c r="AI1079" s="185"/>
      <c r="AJ1079" s="185"/>
      <c r="AK1079" s="185"/>
      <c r="AL1079" s="185"/>
      <c r="AM1079" s="185"/>
      <c r="AN1079" s="185"/>
      <c r="AO1079" s="185"/>
      <c r="AP1079" s="185"/>
      <c r="AQ1079" s="185"/>
      <c r="AR1079" s="185"/>
      <c r="AS1079" s="185"/>
      <c r="AT1079" s="185"/>
      <c r="AU1079" s="185"/>
      <c r="AV1079" s="185"/>
    </row>
    <row r="1080" spans="13:48" s="277" customFormat="1">
      <c r="M1080" s="185"/>
      <c r="N1080" s="185"/>
      <c r="O1080" s="185"/>
      <c r="S1080" s="291">
        <v>42636</v>
      </c>
      <c r="T1080" s="279">
        <v>997</v>
      </c>
      <c r="AI1080" s="185"/>
      <c r="AJ1080" s="185"/>
      <c r="AK1080" s="185"/>
      <c r="AL1080" s="185"/>
      <c r="AM1080" s="185"/>
      <c r="AN1080" s="185"/>
      <c r="AO1080" s="185"/>
      <c r="AP1080" s="185"/>
      <c r="AQ1080" s="185"/>
      <c r="AR1080" s="185"/>
      <c r="AS1080" s="185"/>
      <c r="AT1080" s="185"/>
      <c r="AU1080" s="185"/>
      <c r="AV1080" s="185"/>
    </row>
    <row r="1081" spans="13:48" s="277" customFormat="1">
      <c r="M1081" s="185"/>
      <c r="N1081" s="185"/>
      <c r="O1081" s="185"/>
      <c r="S1081" s="291">
        <v>42637</v>
      </c>
      <c r="T1081" s="279">
        <v>998</v>
      </c>
      <c r="AI1081" s="185"/>
      <c r="AJ1081" s="185"/>
      <c r="AK1081" s="185"/>
      <c r="AL1081" s="185"/>
      <c r="AM1081" s="185"/>
      <c r="AN1081" s="185"/>
      <c r="AO1081" s="185"/>
      <c r="AP1081" s="185"/>
      <c r="AQ1081" s="185"/>
      <c r="AR1081" s="185"/>
      <c r="AS1081" s="185"/>
      <c r="AT1081" s="185"/>
      <c r="AU1081" s="185"/>
      <c r="AV1081" s="185"/>
    </row>
    <row r="1082" spans="13:48" s="277" customFormat="1">
      <c r="M1082" s="185"/>
      <c r="N1082" s="185"/>
      <c r="O1082" s="185"/>
      <c r="S1082" s="291">
        <v>42638</v>
      </c>
      <c r="T1082" s="279">
        <v>999</v>
      </c>
      <c r="AI1082" s="185"/>
      <c r="AJ1082" s="185"/>
      <c r="AK1082" s="185"/>
      <c r="AL1082" s="185"/>
      <c r="AM1082" s="185"/>
      <c r="AN1082" s="185"/>
      <c r="AO1082" s="185"/>
      <c r="AP1082" s="185"/>
      <c r="AQ1082" s="185"/>
      <c r="AR1082" s="185"/>
      <c r="AS1082" s="185"/>
      <c r="AT1082" s="185"/>
      <c r="AU1082" s="185"/>
      <c r="AV1082" s="185"/>
    </row>
    <row r="1083" spans="13:48" s="277" customFormat="1">
      <c r="M1083" s="185"/>
      <c r="N1083" s="185"/>
      <c r="O1083" s="185"/>
      <c r="S1083" s="291">
        <v>42639</v>
      </c>
      <c r="T1083" s="279">
        <v>1000</v>
      </c>
      <c r="AI1083" s="185"/>
      <c r="AJ1083" s="185"/>
      <c r="AK1083" s="185"/>
      <c r="AL1083" s="185"/>
      <c r="AM1083" s="185"/>
      <c r="AN1083" s="185"/>
      <c r="AO1083" s="185"/>
      <c r="AP1083" s="185"/>
      <c r="AQ1083" s="185"/>
      <c r="AR1083" s="185"/>
      <c r="AS1083" s="185"/>
      <c r="AT1083" s="185"/>
      <c r="AU1083" s="185"/>
      <c r="AV1083" s="185"/>
    </row>
    <row r="1084" spans="13:48" s="277" customFormat="1">
      <c r="M1084" s="185"/>
      <c r="N1084" s="185"/>
      <c r="O1084" s="185"/>
      <c r="S1084" s="291">
        <v>42640</v>
      </c>
      <c r="T1084" s="279">
        <v>1001</v>
      </c>
      <c r="AI1084" s="185"/>
      <c r="AJ1084" s="185"/>
      <c r="AK1084" s="185"/>
      <c r="AL1084" s="185"/>
      <c r="AM1084" s="185"/>
      <c r="AN1084" s="185"/>
      <c r="AO1084" s="185"/>
      <c r="AP1084" s="185"/>
      <c r="AQ1084" s="185"/>
      <c r="AR1084" s="185"/>
      <c r="AS1084" s="185"/>
      <c r="AT1084" s="185"/>
      <c r="AU1084" s="185"/>
      <c r="AV1084" s="185"/>
    </row>
    <row r="1085" spans="13:48" s="277" customFormat="1">
      <c r="M1085" s="185"/>
      <c r="N1085" s="185"/>
      <c r="O1085" s="185"/>
      <c r="S1085" s="291">
        <v>42641</v>
      </c>
      <c r="T1085" s="279">
        <v>1002</v>
      </c>
      <c r="AI1085" s="185"/>
      <c r="AJ1085" s="185"/>
      <c r="AK1085" s="185"/>
      <c r="AL1085" s="185"/>
      <c r="AM1085" s="185"/>
      <c r="AN1085" s="185"/>
      <c r="AO1085" s="185"/>
      <c r="AP1085" s="185"/>
      <c r="AQ1085" s="185"/>
      <c r="AR1085" s="185"/>
      <c r="AS1085" s="185"/>
      <c r="AT1085" s="185"/>
      <c r="AU1085" s="185"/>
      <c r="AV1085" s="185"/>
    </row>
    <row r="1086" spans="13:48" s="277" customFormat="1">
      <c r="M1086" s="185"/>
      <c r="N1086" s="185"/>
      <c r="O1086" s="185"/>
      <c r="S1086" s="291">
        <v>42642</v>
      </c>
      <c r="T1086" s="279">
        <v>1003</v>
      </c>
      <c r="AI1086" s="185"/>
      <c r="AJ1086" s="185"/>
      <c r="AK1086" s="185"/>
      <c r="AL1086" s="185"/>
      <c r="AM1086" s="185"/>
      <c r="AN1086" s="185"/>
      <c r="AO1086" s="185"/>
      <c r="AP1086" s="185"/>
      <c r="AQ1086" s="185"/>
      <c r="AR1086" s="185"/>
      <c r="AS1086" s="185"/>
      <c r="AT1086" s="185"/>
      <c r="AU1086" s="185"/>
      <c r="AV1086" s="185"/>
    </row>
    <row r="1087" spans="13:48" s="277" customFormat="1">
      <c r="M1087" s="185"/>
      <c r="N1087" s="185"/>
      <c r="O1087" s="185"/>
      <c r="S1087" s="291">
        <v>42643</v>
      </c>
      <c r="T1087" s="279">
        <v>1004</v>
      </c>
      <c r="AI1087" s="185"/>
      <c r="AJ1087" s="185"/>
      <c r="AK1087" s="185"/>
      <c r="AL1087" s="185"/>
      <c r="AM1087" s="185"/>
      <c r="AN1087" s="185"/>
      <c r="AO1087" s="185"/>
      <c r="AP1087" s="185"/>
      <c r="AQ1087" s="185"/>
      <c r="AR1087" s="185"/>
      <c r="AS1087" s="185"/>
      <c r="AT1087" s="185"/>
      <c r="AU1087" s="185"/>
      <c r="AV1087" s="185"/>
    </row>
    <row r="1088" spans="13:48" s="277" customFormat="1">
      <c r="M1088" s="185"/>
      <c r="N1088" s="185"/>
      <c r="O1088" s="185"/>
      <c r="S1088" s="291">
        <v>42644</v>
      </c>
      <c r="T1088" s="279">
        <v>1005</v>
      </c>
      <c r="AI1088" s="185"/>
      <c r="AJ1088" s="185"/>
      <c r="AK1088" s="185"/>
      <c r="AL1088" s="185"/>
      <c r="AM1088" s="185"/>
      <c r="AN1088" s="185"/>
      <c r="AO1088" s="185"/>
      <c r="AP1088" s="185"/>
      <c r="AQ1088" s="185"/>
      <c r="AR1088" s="185"/>
      <c r="AS1088" s="185"/>
      <c r="AT1088" s="185"/>
      <c r="AU1088" s="185"/>
      <c r="AV1088" s="185"/>
    </row>
    <row r="1089" spans="1:48" s="277" customFormat="1">
      <c r="M1089" s="185"/>
      <c r="N1089" s="185"/>
      <c r="O1089" s="185"/>
      <c r="S1089" s="291">
        <v>42645</v>
      </c>
      <c r="T1089" s="279">
        <v>1006</v>
      </c>
      <c r="AI1089" s="185"/>
      <c r="AJ1089" s="185"/>
      <c r="AK1089" s="185"/>
      <c r="AL1089" s="185"/>
      <c r="AM1089" s="185"/>
      <c r="AN1089" s="185"/>
      <c r="AO1089" s="185"/>
      <c r="AP1089" s="185"/>
      <c r="AQ1089" s="185"/>
      <c r="AR1089" s="185"/>
      <c r="AS1089" s="185"/>
      <c r="AT1089" s="185"/>
      <c r="AU1089" s="185"/>
      <c r="AV1089" s="185"/>
    </row>
    <row r="1090" spans="1:48" s="277" customFormat="1">
      <c r="M1090" s="185"/>
      <c r="N1090" s="185"/>
      <c r="O1090" s="185"/>
      <c r="S1090" s="291">
        <v>42646</v>
      </c>
      <c r="T1090" s="279">
        <v>1007</v>
      </c>
      <c r="AI1090" s="185"/>
      <c r="AJ1090" s="185"/>
      <c r="AK1090" s="185"/>
      <c r="AL1090" s="185"/>
      <c r="AM1090" s="185"/>
      <c r="AN1090" s="185"/>
      <c r="AO1090" s="185"/>
      <c r="AP1090" s="185"/>
      <c r="AQ1090" s="185"/>
      <c r="AR1090" s="185"/>
      <c r="AS1090" s="185"/>
      <c r="AT1090" s="185"/>
      <c r="AU1090" s="185"/>
      <c r="AV1090" s="185"/>
    </row>
    <row r="1091" spans="1:48" s="277" customFormat="1">
      <c r="M1091" s="185"/>
      <c r="N1091" s="185"/>
      <c r="O1091" s="185"/>
      <c r="S1091" s="291">
        <v>42647</v>
      </c>
      <c r="T1091" s="279">
        <v>1008</v>
      </c>
      <c r="AI1091" s="185"/>
      <c r="AJ1091" s="185"/>
      <c r="AK1091" s="185"/>
      <c r="AL1091" s="185"/>
      <c r="AM1091" s="185"/>
      <c r="AN1091" s="185"/>
      <c r="AO1091" s="185"/>
      <c r="AP1091" s="185"/>
      <c r="AQ1091" s="185"/>
      <c r="AR1091" s="185"/>
      <c r="AS1091" s="185"/>
      <c r="AT1091" s="185"/>
      <c r="AU1091" s="185"/>
      <c r="AV1091" s="185"/>
    </row>
    <row r="1092" spans="1:48" s="277" customFormat="1">
      <c r="M1092" s="185"/>
      <c r="N1092" s="185"/>
      <c r="O1092" s="185"/>
      <c r="S1092" s="291">
        <v>42648</v>
      </c>
      <c r="T1092" s="279">
        <v>1009</v>
      </c>
      <c r="AI1092" s="185"/>
      <c r="AJ1092" s="185"/>
      <c r="AK1092" s="185"/>
      <c r="AL1092" s="185"/>
      <c r="AM1092" s="185"/>
      <c r="AN1092" s="185"/>
      <c r="AO1092" s="185"/>
      <c r="AP1092" s="185"/>
      <c r="AQ1092" s="185"/>
      <c r="AR1092" s="185"/>
      <c r="AS1092" s="185"/>
      <c r="AT1092" s="185"/>
      <c r="AU1092" s="185"/>
      <c r="AV1092" s="185"/>
    </row>
    <row r="1093" spans="1:48" s="277" customFormat="1">
      <c r="M1093" s="185"/>
      <c r="N1093" s="185"/>
      <c r="O1093" s="185"/>
      <c r="S1093" s="291">
        <v>42649</v>
      </c>
      <c r="T1093" s="279">
        <v>1010</v>
      </c>
      <c r="AI1093" s="185"/>
      <c r="AJ1093" s="185"/>
      <c r="AK1093" s="185"/>
      <c r="AL1093" s="185"/>
      <c r="AM1093" s="185"/>
      <c r="AN1093" s="185"/>
      <c r="AO1093" s="185"/>
      <c r="AP1093" s="185"/>
      <c r="AQ1093" s="185"/>
      <c r="AR1093" s="185"/>
      <c r="AS1093" s="185"/>
      <c r="AT1093" s="185"/>
      <c r="AU1093" s="185"/>
      <c r="AV1093" s="185"/>
    </row>
    <row r="1094" spans="1:48" s="277" customFormat="1">
      <c r="M1094" s="185"/>
      <c r="N1094" s="185"/>
      <c r="O1094" s="185"/>
      <c r="S1094" s="291">
        <v>42650</v>
      </c>
      <c r="T1094" s="279">
        <v>1011</v>
      </c>
      <c r="AI1094" s="185"/>
      <c r="AJ1094" s="185"/>
      <c r="AK1094" s="185"/>
      <c r="AL1094" s="185"/>
      <c r="AM1094" s="185"/>
      <c r="AN1094" s="185"/>
      <c r="AO1094" s="185"/>
      <c r="AP1094" s="185"/>
      <c r="AQ1094" s="185"/>
      <c r="AR1094" s="185"/>
      <c r="AS1094" s="185"/>
      <c r="AT1094" s="185"/>
      <c r="AU1094" s="185"/>
      <c r="AV1094" s="185"/>
    </row>
    <row r="1095" spans="1:48" s="277" customFormat="1">
      <c r="M1095" s="185"/>
      <c r="N1095" s="185"/>
      <c r="O1095" s="185"/>
      <c r="S1095" s="291">
        <v>42651</v>
      </c>
      <c r="T1095" s="279">
        <v>1012</v>
      </c>
      <c r="AI1095" s="185"/>
      <c r="AJ1095" s="185"/>
      <c r="AK1095" s="185"/>
      <c r="AL1095" s="185"/>
      <c r="AM1095" s="185"/>
      <c r="AN1095" s="185"/>
      <c r="AO1095" s="185"/>
      <c r="AP1095" s="185"/>
      <c r="AQ1095" s="185"/>
      <c r="AR1095" s="185"/>
      <c r="AS1095" s="185"/>
      <c r="AT1095" s="185"/>
      <c r="AU1095" s="185"/>
      <c r="AV1095" s="185"/>
    </row>
    <row r="1096" spans="1:48" s="277" customFormat="1">
      <c r="M1096" s="185"/>
      <c r="N1096" s="185"/>
      <c r="O1096" s="185"/>
      <c r="S1096" s="291">
        <v>42652</v>
      </c>
      <c r="T1096" s="279">
        <v>1013</v>
      </c>
      <c r="AI1096" s="185"/>
      <c r="AJ1096" s="185"/>
      <c r="AK1096" s="185"/>
      <c r="AL1096" s="185"/>
      <c r="AM1096" s="185"/>
      <c r="AN1096" s="185"/>
      <c r="AO1096" s="185"/>
      <c r="AP1096" s="185"/>
      <c r="AQ1096" s="185"/>
      <c r="AR1096" s="185"/>
      <c r="AS1096" s="185"/>
      <c r="AT1096" s="185"/>
      <c r="AU1096" s="185"/>
      <c r="AV1096" s="185"/>
    </row>
    <row r="1097" spans="1:48" s="277" customFormat="1">
      <c r="M1097" s="185"/>
      <c r="N1097" s="185"/>
      <c r="O1097" s="185"/>
      <c r="S1097" s="291">
        <v>42653</v>
      </c>
      <c r="T1097" s="279">
        <v>1014</v>
      </c>
      <c r="AI1097" s="185"/>
      <c r="AJ1097" s="185"/>
      <c r="AK1097" s="185"/>
      <c r="AL1097" s="185"/>
      <c r="AM1097" s="185"/>
      <c r="AN1097" s="185"/>
      <c r="AO1097" s="185"/>
      <c r="AP1097" s="185"/>
      <c r="AQ1097" s="185"/>
      <c r="AR1097" s="185"/>
      <c r="AS1097" s="185"/>
      <c r="AT1097" s="185"/>
      <c r="AU1097" s="185"/>
      <c r="AV1097" s="185"/>
    </row>
    <row r="1098" spans="1:48" s="277" customFormat="1">
      <c r="M1098" s="185"/>
      <c r="N1098" s="185"/>
      <c r="O1098" s="185"/>
      <c r="S1098" s="291">
        <v>42654</v>
      </c>
      <c r="T1098" s="279">
        <v>1015</v>
      </c>
      <c r="AI1098" s="185"/>
      <c r="AJ1098" s="185"/>
      <c r="AK1098" s="185"/>
      <c r="AL1098" s="185"/>
      <c r="AM1098" s="185"/>
      <c r="AN1098" s="185"/>
      <c r="AO1098" s="185"/>
      <c r="AP1098" s="185"/>
      <c r="AQ1098" s="185"/>
      <c r="AR1098" s="185"/>
      <c r="AS1098" s="185"/>
      <c r="AT1098" s="185"/>
      <c r="AU1098" s="185"/>
      <c r="AV1098" s="185"/>
    </row>
    <row r="1099" spans="1:48" s="277" customFormat="1">
      <c r="M1099" s="185"/>
      <c r="N1099" s="185"/>
      <c r="O1099" s="185"/>
      <c r="S1099" s="291">
        <v>42655</v>
      </c>
      <c r="T1099" s="279">
        <v>1016</v>
      </c>
      <c r="AI1099" s="185"/>
      <c r="AJ1099" s="185"/>
      <c r="AK1099" s="185"/>
      <c r="AL1099" s="185"/>
      <c r="AM1099" s="185"/>
      <c r="AN1099" s="185"/>
      <c r="AO1099" s="185"/>
      <c r="AP1099" s="185"/>
      <c r="AQ1099" s="185"/>
      <c r="AR1099" s="185"/>
      <c r="AS1099" s="185"/>
      <c r="AT1099" s="185"/>
      <c r="AU1099" s="185"/>
      <c r="AV1099" s="185"/>
    </row>
    <row r="1100" spans="1:48" s="277" customFormat="1">
      <c r="M1100" s="185"/>
      <c r="N1100" s="185"/>
      <c r="O1100" s="185"/>
      <c r="S1100" s="291">
        <v>42656</v>
      </c>
      <c r="T1100" s="279">
        <v>1017</v>
      </c>
      <c r="AI1100" s="185"/>
      <c r="AJ1100" s="185"/>
      <c r="AK1100" s="185"/>
      <c r="AL1100" s="185"/>
      <c r="AM1100" s="185"/>
      <c r="AN1100" s="185"/>
      <c r="AO1100" s="185"/>
      <c r="AP1100" s="185"/>
      <c r="AQ1100" s="185"/>
      <c r="AR1100" s="185"/>
      <c r="AS1100" s="185"/>
      <c r="AT1100" s="185"/>
      <c r="AU1100" s="185"/>
      <c r="AV1100" s="185"/>
    </row>
    <row r="1101" spans="1:48" s="277" customFormat="1">
      <c r="M1101" s="185"/>
      <c r="N1101" s="185"/>
      <c r="O1101" s="185"/>
      <c r="S1101" s="291">
        <v>42657</v>
      </c>
      <c r="T1101" s="279">
        <v>1018</v>
      </c>
      <c r="AI1101" s="185"/>
      <c r="AJ1101" s="185"/>
      <c r="AK1101" s="185"/>
      <c r="AL1101" s="185"/>
      <c r="AM1101" s="185"/>
      <c r="AN1101" s="185"/>
      <c r="AO1101" s="185"/>
      <c r="AP1101" s="185"/>
      <c r="AQ1101" s="185"/>
      <c r="AR1101" s="185"/>
      <c r="AS1101" s="185"/>
      <c r="AT1101" s="185"/>
      <c r="AU1101" s="185"/>
      <c r="AV1101" s="185"/>
    </row>
    <row r="1102" spans="1:48" s="277" customFormat="1">
      <c r="M1102" s="185"/>
      <c r="N1102" s="185"/>
      <c r="O1102" s="185"/>
      <c r="S1102" s="291">
        <v>42658</v>
      </c>
      <c r="T1102" s="279">
        <v>1019</v>
      </c>
      <c r="AI1102" s="185"/>
      <c r="AJ1102" s="185"/>
      <c r="AK1102" s="185"/>
      <c r="AL1102" s="185"/>
      <c r="AM1102" s="185"/>
      <c r="AN1102" s="185"/>
      <c r="AO1102" s="185"/>
      <c r="AP1102" s="185"/>
      <c r="AQ1102" s="185"/>
      <c r="AR1102" s="185"/>
      <c r="AS1102" s="185"/>
      <c r="AT1102" s="185"/>
      <c r="AU1102" s="185"/>
      <c r="AV1102" s="185"/>
    </row>
    <row r="1103" spans="1:48" s="277" customFormat="1">
      <c r="M1103" s="185"/>
      <c r="N1103" s="185"/>
      <c r="O1103" s="185"/>
      <c r="S1103" s="291">
        <v>42659</v>
      </c>
      <c r="T1103" s="279">
        <v>1020</v>
      </c>
      <c r="AI1103" s="185"/>
      <c r="AJ1103" s="185"/>
      <c r="AK1103" s="185"/>
      <c r="AL1103" s="185"/>
      <c r="AM1103" s="185"/>
      <c r="AN1103" s="185"/>
      <c r="AO1103" s="185"/>
      <c r="AP1103" s="185"/>
      <c r="AQ1103" s="185"/>
      <c r="AR1103" s="185"/>
      <c r="AS1103" s="185"/>
      <c r="AT1103" s="185"/>
      <c r="AU1103" s="185"/>
      <c r="AV1103" s="185"/>
    </row>
    <row r="1104" spans="1:48" s="277" customFormat="1">
      <c r="A1104" s="185"/>
      <c r="B1104" s="185"/>
      <c r="C1104" s="185"/>
      <c r="D1104" s="185"/>
      <c r="E1104" s="185"/>
      <c r="F1104" s="185"/>
      <c r="G1104" s="185"/>
      <c r="M1104" s="185"/>
      <c r="N1104" s="185"/>
      <c r="O1104" s="185"/>
      <c r="S1104" s="291">
        <v>42660</v>
      </c>
      <c r="T1104" s="279">
        <v>1021</v>
      </c>
      <c r="AI1104" s="185"/>
      <c r="AJ1104" s="185"/>
      <c r="AK1104" s="185"/>
      <c r="AL1104" s="185"/>
      <c r="AM1104" s="185"/>
      <c r="AN1104" s="185"/>
      <c r="AO1104" s="185"/>
      <c r="AP1104" s="185"/>
      <c r="AQ1104" s="185"/>
      <c r="AR1104" s="185"/>
      <c r="AS1104" s="185"/>
      <c r="AT1104" s="185"/>
      <c r="AU1104" s="185"/>
      <c r="AV1104" s="185"/>
    </row>
    <row r="1105" spans="1:48" s="277" customFormat="1">
      <c r="A1105" s="185"/>
      <c r="B1105" s="185"/>
      <c r="C1105" s="185"/>
      <c r="D1105" s="185"/>
      <c r="E1105" s="185"/>
      <c r="F1105" s="185"/>
      <c r="G1105" s="185"/>
      <c r="M1105" s="185"/>
      <c r="N1105" s="185"/>
      <c r="O1105" s="185"/>
      <c r="S1105" s="291">
        <v>42661</v>
      </c>
      <c r="T1105" s="279">
        <v>1022</v>
      </c>
      <c r="AI1105" s="185"/>
      <c r="AJ1105" s="185"/>
      <c r="AK1105" s="185"/>
      <c r="AL1105" s="185"/>
      <c r="AM1105" s="185"/>
      <c r="AN1105" s="185"/>
      <c r="AO1105" s="185"/>
      <c r="AP1105" s="185"/>
      <c r="AQ1105" s="185"/>
      <c r="AR1105" s="185"/>
      <c r="AS1105" s="185"/>
      <c r="AT1105" s="185"/>
      <c r="AU1105" s="185"/>
      <c r="AV1105" s="185"/>
    </row>
    <row r="1106" spans="1:48" s="277" customFormat="1">
      <c r="A1106" s="185"/>
      <c r="B1106" s="185"/>
      <c r="C1106" s="185"/>
      <c r="D1106" s="185"/>
      <c r="E1106" s="185"/>
      <c r="F1106" s="185"/>
      <c r="G1106" s="185"/>
      <c r="M1106" s="185"/>
      <c r="N1106" s="185"/>
      <c r="O1106" s="185"/>
      <c r="S1106" s="291">
        <v>42662</v>
      </c>
      <c r="T1106" s="279">
        <v>1023</v>
      </c>
      <c r="AI1106" s="185"/>
      <c r="AJ1106" s="185"/>
      <c r="AK1106" s="185"/>
      <c r="AL1106" s="185"/>
      <c r="AM1106" s="185"/>
      <c r="AN1106" s="185"/>
      <c r="AO1106" s="185"/>
      <c r="AP1106" s="185"/>
      <c r="AQ1106" s="185"/>
      <c r="AR1106" s="185"/>
      <c r="AS1106" s="185"/>
      <c r="AT1106" s="185"/>
      <c r="AU1106" s="185"/>
      <c r="AV1106" s="185"/>
    </row>
    <row r="1107" spans="1:48" s="277" customFormat="1">
      <c r="A1107" s="185"/>
      <c r="B1107" s="185"/>
      <c r="C1107" s="185"/>
      <c r="D1107" s="185"/>
      <c r="E1107" s="185"/>
      <c r="F1107" s="185"/>
      <c r="G1107" s="185"/>
      <c r="M1107" s="185"/>
      <c r="N1107" s="185"/>
      <c r="O1107" s="185"/>
      <c r="S1107" s="291">
        <v>42663</v>
      </c>
      <c r="T1107" s="279">
        <v>1024</v>
      </c>
      <c r="AI1107" s="185"/>
      <c r="AJ1107" s="185"/>
      <c r="AK1107" s="185"/>
      <c r="AL1107" s="185"/>
      <c r="AM1107" s="185"/>
      <c r="AN1107" s="185"/>
      <c r="AO1107" s="185"/>
      <c r="AP1107" s="185"/>
      <c r="AQ1107" s="185"/>
      <c r="AR1107" s="185"/>
      <c r="AS1107" s="185"/>
      <c r="AT1107" s="185"/>
      <c r="AU1107" s="185"/>
      <c r="AV1107" s="185"/>
    </row>
    <row r="1108" spans="1:48" s="277" customFormat="1">
      <c r="A1108" s="185"/>
      <c r="B1108" s="185"/>
      <c r="C1108" s="185"/>
      <c r="D1108" s="185"/>
      <c r="E1108" s="185"/>
      <c r="F1108" s="185"/>
      <c r="G1108" s="185"/>
      <c r="M1108" s="185"/>
      <c r="N1108" s="185"/>
      <c r="O1108" s="185"/>
      <c r="S1108" s="291">
        <v>42664</v>
      </c>
      <c r="T1108" s="279">
        <v>1025</v>
      </c>
      <c r="AI1108" s="185"/>
      <c r="AJ1108" s="185"/>
      <c r="AK1108" s="185"/>
      <c r="AL1108" s="185"/>
      <c r="AM1108" s="185"/>
      <c r="AN1108" s="185"/>
      <c r="AO1108" s="185"/>
      <c r="AP1108" s="185"/>
      <c r="AQ1108" s="185"/>
      <c r="AR1108" s="185"/>
      <c r="AS1108" s="185"/>
      <c r="AT1108" s="185"/>
      <c r="AU1108" s="185"/>
      <c r="AV1108" s="185"/>
    </row>
    <row r="1109" spans="1:48" s="277" customFormat="1">
      <c r="A1109" s="185"/>
      <c r="B1109" s="185"/>
      <c r="C1109" s="185"/>
      <c r="D1109" s="185"/>
      <c r="E1109" s="185"/>
      <c r="F1109" s="185"/>
      <c r="G1109" s="185"/>
      <c r="M1109" s="185"/>
      <c r="N1109" s="185"/>
      <c r="O1109" s="185"/>
      <c r="S1109" s="291">
        <v>42665</v>
      </c>
      <c r="T1109" s="279">
        <v>1026</v>
      </c>
      <c r="AI1109" s="185"/>
      <c r="AJ1109" s="185"/>
      <c r="AK1109" s="185"/>
      <c r="AL1109" s="185"/>
      <c r="AM1109" s="185"/>
      <c r="AN1109" s="185"/>
      <c r="AO1109" s="185"/>
      <c r="AP1109" s="185"/>
      <c r="AQ1109" s="185"/>
      <c r="AR1109" s="185"/>
      <c r="AS1109" s="185"/>
      <c r="AT1109" s="185"/>
      <c r="AU1109" s="185"/>
      <c r="AV1109" s="185"/>
    </row>
    <row r="1110" spans="1:48" s="277" customFormat="1">
      <c r="A1110" s="185"/>
      <c r="B1110" s="185"/>
      <c r="C1110" s="185"/>
      <c r="D1110" s="185"/>
      <c r="E1110" s="185"/>
      <c r="F1110" s="185"/>
      <c r="G1110" s="185"/>
      <c r="M1110" s="185"/>
      <c r="N1110" s="185"/>
      <c r="O1110" s="185"/>
      <c r="S1110" s="291">
        <v>42666</v>
      </c>
      <c r="T1110" s="279">
        <v>1027</v>
      </c>
      <c r="AI1110" s="185"/>
      <c r="AJ1110" s="185"/>
      <c r="AK1110" s="185"/>
      <c r="AL1110" s="185"/>
      <c r="AM1110" s="185"/>
      <c r="AN1110" s="185"/>
      <c r="AO1110" s="185"/>
      <c r="AP1110" s="185"/>
      <c r="AQ1110" s="185"/>
      <c r="AR1110" s="185"/>
      <c r="AS1110" s="185"/>
      <c r="AT1110" s="185"/>
      <c r="AU1110" s="185"/>
      <c r="AV1110" s="185"/>
    </row>
    <row r="1111" spans="1:48" s="185" customFormat="1">
      <c r="P1111" s="277"/>
      <c r="Q1111" s="277"/>
      <c r="R1111" s="277"/>
      <c r="S1111" s="291">
        <v>42667</v>
      </c>
      <c r="T1111" s="279">
        <v>1028</v>
      </c>
      <c r="U1111" s="277"/>
      <c r="V1111" s="277"/>
      <c r="W1111" s="277"/>
      <c r="X1111" s="277"/>
      <c r="Y1111" s="277"/>
      <c r="Z1111" s="277"/>
      <c r="AA1111" s="277"/>
      <c r="AB1111" s="277"/>
      <c r="AC1111" s="277"/>
      <c r="AD1111" s="277"/>
      <c r="AE1111" s="277"/>
      <c r="AF1111" s="277"/>
      <c r="AG1111" s="277"/>
      <c r="AH1111" s="277"/>
    </row>
    <row r="1112" spans="1:48" s="185" customFormat="1">
      <c r="P1112" s="277"/>
      <c r="Q1112" s="277"/>
      <c r="R1112" s="277"/>
      <c r="S1112" s="291">
        <v>42668</v>
      </c>
      <c r="T1112" s="279">
        <v>1029</v>
      </c>
      <c r="U1112" s="277"/>
      <c r="V1112" s="277"/>
      <c r="W1112" s="277"/>
      <c r="X1112" s="277"/>
      <c r="Y1112" s="277"/>
      <c r="Z1112" s="277"/>
      <c r="AA1112" s="277"/>
      <c r="AB1112" s="277"/>
      <c r="AC1112" s="277"/>
      <c r="AD1112" s="277"/>
      <c r="AE1112" s="277"/>
      <c r="AF1112" s="277"/>
      <c r="AG1112" s="277"/>
      <c r="AH1112" s="277"/>
    </row>
    <row r="1113" spans="1:48" s="185" customFormat="1">
      <c r="P1113" s="277"/>
      <c r="Q1113" s="277"/>
      <c r="R1113" s="277"/>
      <c r="S1113" s="291">
        <v>42669</v>
      </c>
      <c r="T1113" s="279">
        <v>1030</v>
      </c>
      <c r="U1113" s="277"/>
      <c r="V1113" s="277"/>
      <c r="W1113" s="277"/>
      <c r="X1113" s="277"/>
      <c r="Y1113" s="277"/>
      <c r="Z1113" s="277"/>
      <c r="AA1113" s="277"/>
      <c r="AB1113" s="277"/>
      <c r="AC1113" s="277"/>
      <c r="AD1113" s="277"/>
      <c r="AE1113" s="277"/>
      <c r="AF1113" s="277"/>
      <c r="AG1113" s="277"/>
      <c r="AH1113" s="277"/>
    </row>
    <row r="1114" spans="1:48" s="185" customFormat="1">
      <c r="P1114" s="277"/>
      <c r="Q1114" s="277"/>
      <c r="R1114" s="277"/>
      <c r="S1114" s="291">
        <v>42670</v>
      </c>
      <c r="T1114" s="279">
        <v>1031</v>
      </c>
      <c r="U1114" s="277"/>
      <c r="V1114" s="277"/>
      <c r="W1114" s="277"/>
      <c r="X1114" s="277"/>
      <c r="Y1114" s="277"/>
      <c r="Z1114" s="277"/>
      <c r="AA1114" s="277"/>
      <c r="AB1114" s="277"/>
      <c r="AC1114" s="277"/>
      <c r="AD1114" s="277"/>
      <c r="AE1114" s="277"/>
      <c r="AF1114" s="277"/>
      <c r="AG1114" s="277"/>
      <c r="AH1114" s="277"/>
    </row>
    <row r="1115" spans="1:48" s="185" customFormat="1">
      <c r="P1115" s="277"/>
      <c r="Q1115" s="277"/>
      <c r="R1115" s="277"/>
      <c r="S1115" s="291">
        <v>42671</v>
      </c>
      <c r="T1115" s="279">
        <v>1032</v>
      </c>
      <c r="U1115" s="277"/>
      <c r="V1115" s="277"/>
      <c r="W1115" s="277"/>
      <c r="X1115" s="277"/>
      <c r="Y1115" s="277"/>
      <c r="Z1115" s="277"/>
      <c r="AA1115" s="277"/>
      <c r="AB1115" s="277"/>
      <c r="AC1115" s="277"/>
      <c r="AD1115" s="277"/>
      <c r="AE1115" s="277"/>
      <c r="AF1115" s="277"/>
      <c r="AG1115" s="277"/>
      <c r="AH1115" s="277"/>
    </row>
    <row r="1116" spans="1:48" s="185" customFormat="1">
      <c r="P1116" s="277"/>
      <c r="Q1116" s="277"/>
      <c r="R1116" s="277"/>
      <c r="S1116" s="291">
        <v>42672</v>
      </c>
      <c r="T1116" s="279">
        <v>1033</v>
      </c>
      <c r="U1116" s="277"/>
      <c r="V1116" s="277"/>
      <c r="W1116" s="277"/>
      <c r="X1116" s="277"/>
      <c r="Y1116" s="277"/>
      <c r="Z1116" s="277"/>
      <c r="AA1116" s="277"/>
      <c r="AB1116" s="277"/>
      <c r="AC1116" s="277"/>
      <c r="AD1116" s="277"/>
      <c r="AE1116" s="277"/>
      <c r="AF1116" s="277"/>
      <c r="AG1116" s="277"/>
      <c r="AH1116" s="277"/>
    </row>
    <row r="1117" spans="1:48" s="185" customFormat="1">
      <c r="P1117" s="277"/>
      <c r="Q1117" s="277"/>
      <c r="R1117" s="277"/>
      <c r="S1117" s="291">
        <v>42673</v>
      </c>
      <c r="T1117" s="279">
        <v>1034</v>
      </c>
      <c r="U1117" s="277"/>
      <c r="V1117" s="277"/>
      <c r="W1117" s="277"/>
      <c r="X1117" s="277"/>
      <c r="Y1117" s="277"/>
      <c r="Z1117" s="277"/>
      <c r="AA1117" s="277"/>
      <c r="AB1117" s="277"/>
      <c r="AC1117" s="277"/>
      <c r="AD1117" s="277"/>
      <c r="AE1117" s="277"/>
      <c r="AF1117" s="277"/>
      <c r="AG1117" s="277"/>
      <c r="AH1117" s="277"/>
    </row>
    <row r="1118" spans="1:48" s="185" customFormat="1">
      <c r="P1118" s="277"/>
      <c r="Q1118" s="277"/>
      <c r="R1118" s="277"/>
      <c r="S1118" s="291">
        <v>42674</v>
      </c>
      <c r="T1118" s="279">
        <v>1035</v>
      </c>
      <c r="U1118" s="277"/>
      <c r="V1118" s="277"/>
      <c r="W1118" s="277"/>
      <c r="X1118" s="277"/>
      <c r="Y1118" s="277"/>
      <c r="Z1118" s="277"/>
      <c r="AA1118" s="277"/>
      <c r="AB1118" s="277"/>
      <c r="AC1118" s="277"/>
      <c r="AD1118" s="277"/>
      <c r="AE1118" s="277"/>
      <c r="AF1118" s="277"/>
      <c r="AG1118" s="277"/>
      <c r="AH1118" s="277"/>
    </row>
    <row r="1119" spans="1:48" s="185" customFormat="1">
      <c r="P1119" s="277"/>
      <c r="Q1119" s="277"/>
      <c r="R1119" s="277"/>
      <c r="S1119" s="291">
        <v>42675</v>
      </c>
      <c r="T1119" s="279">
        <v>1036</v>
      </c>
      <c r="U1119" s="277"/>
      <c r="V1119" s="277"/>
      <c r="W1119" s="277"/>
      <c r="X1119" s="277"/>
      <c r="Y1119" s="277"/>
      <c r="Z1119" s="277"/>
      <c r="AA1119" s="277"/>
      <c r="AB1119" s="277"/>
      <c r="AC1119" s="277"/>
      <c r="AD1119" s="277"/>
      <c r="AE1119" s="277"/>
      <c r="AF1119" s="277"/>
      <c r="AG1119" s="277"/>
      <c r="AH1119" s="277"/>
    </row>
    <row r="1120" spans="1:48" s="185" customFormat="1">
      <c r="P1120" s="277"/>
      <c r="Q1120" s="277"/>
      <c r="R1120" s="277"/>
      <c r="S1120" s="291">
        <v>42676</v>
      </c>
      <c r="T1120" s="279">
        <v>1037</v>
      </c>
      <c r="U1120" s="277"/>
      <c r="V1120" s="277"/>
      <c r="W1120" s="277"/>
      <c r="X1120" s="277"/>
      <c r="Y1120" s="277"/>
      <c r="Z1120" s="277"/>
      <c r="AA1120" s="277"/>
      <c r="AB1120" s="277"/>
      <c r="AC1120" s="277"/>
      <c r="AD1120" s="277"/>
      <c r="AE1120" s="277"/>
      <c r="AF1120" s="277"/>
      <c r="AG1120" s="277"/>
      <c r="AH1120" s="277"/>
    </row>
    <row r="1121" spans="16:34" s="185" customFormat="1">
      <c r="P1121" s="277"/>
      <c r="Q1121" s="277"/>
      <c r="R1121" s="277"/>
      <c r="S1121" s="291">
        <v>42677</v>
      </c>
      <c r="T1121" s="279">
        <v>1038</v>
      </c>
      <c r="U1121" s="277"/>
      <c r="V1121" s="277"/>
      <c r="W1121" s="277"/>
      <c r="X1121" s="277"/>
      <c r="Y1121" s="277"/>
      <c r="Z1121" s="277"/>
      <c r="AA1121" s="277"/>
      <c r="AB1121" s="277"/>
      <c r="AC1121" s="277"/>
      <c r="AD1121" s="277"/>
      <c r="AE1121" s="277"/>
      <c r="AF1121" s="277"/>
      <c r="AG1121" s="277"/>
      <c r="AH1121" s="277"/>
    </row>
    <row r="1122" spans="16:34" s="185" customFormat="1">
      <c r="P1122" s="277"/>
      <c r="Q1122" s="277"/>
      <c r="R1122" s="277"/>
      <c r="S1122" s="291">
        <v>42678</v>
      </c>
      <c r="T1122" s="279">
        <v>1039</v>
      </c>
      <c r="U1122" s="277"/>
      <c r="V1122" s="277"/>
      <c r="W1122" s="277"/>
      <c r="X1122" s="277"/>
      <c r="Y1122" s="277"/>
      <c r="Z1122" s="277"/>
      <c r="AA1122" s="277"/>
      <c r="AB1122" s="277"/>
      <c r="AC1122" s="277"/>
      <c r="AD1122" s="277"/>
      <c r="AE1122" s="277"/>
      <c r="AF1122" s="277"/>
      <c r="AG1122" s="277"/>
      <c r="AH1122" s="277"/>
    </row>
    <row r="1123" spans="16:34" s="185" customFormat="1">
      <c r="P1123" s="277"/>
      <c r="Q1123" s="277"/>
      <c r="R1123" s="277"/>
      <c r="S1123" s="291">
        <v>42679</v>
      </c>
      <c r="T1123" s="279">
        <v>1040</v>
      </c>
      <c r="U1123" s="277"/>
      <c r="V1123" s="277"/>
      <c r="W1123" s="277"/>
      <c r="X1123" s="277"/>
      <c r="Y1123" s="277"/>
      <c r="Z1123" s="277"/>
      <c r="AA1123" s="277"/>
      <c r="AB1123" s="277"/>
      <c r="AC1123" s="277"/>
      <c r="AD1123" s="277"/>
      <c r="AE1123" s="277"/>
      <c r="AF1123" s="277"/>
      <c r="AG1123" s="277"/>
      <c r="AH1123" s="277"/>
    </row>
    <row r="1124" spans="16:34" s="185" customFormat="1">
      <c r="P1124" s="277"/>
      <c r="Q1124" s="277"/>
      <c r="R1124" s="277"/>
      <c r="S1124" s="291">
        <v>42680</v>
      </c>
      <c r="T1124" s="279">
        <v>1041</v>
      </c>
      <c r="U1124" s="277"/>
      <c r="V1124" s="277"/>
      <c r="W1124" s="277"/>
      <c r="X1124" s="277"/>
      <c r="Y1124" s="277"/>
      <c r="Z1124" s="277"/>
      <c r="AA1124" s="277"/>
      <c r="AB1124" s="277"/>
      <c r="AC1124" s="277"/>
      <c r="AD1124" s="277"/>
      <c r="AE1124" s="277"/>
      <c r="AF1124" s="277"/>
      <c r="AG1124" s="277"/>
      <c r="AH1124" s="277"/>
    </row>
    <row r="1125" spans="16:34" s="185" customFormat="1">
      <c r="P1125" s="277"/>
      <c r="Q1125" s="277"/>
      <c r="R1125" s="277"/>
      <c r="S1125" s="291">
        <v>42681</v>
      </c>
      <c r="T1125" s="279">
        <v>1042</v>
      </c>
      <c r="U1125" s="277"/>
      <c r="V1125" s="277"/>
      <c r="W1125" s="277"/>
      <c r="X1125" s="277"/>
      <c r="Y1125" s="277"/>
      <c r="Z1125" s="277"/>
      <c r="AA1125" s="277"/>
      <c r="AB1125" s="277"/>
      <c r="AC1125" s="277"/>
      <c r="AD1125" s="277"/>
      <c r="AE1125" s="277"/>
      <c r="AF1125" s="277"/>
      <c r="AG1125" s="277"/>
      <c r="AH1125" s="277"/>
    </row>
    <row r="1126" spans="16:34" s="185" customFormat="1">
      <c r="P1126" s="277"/>
      <c r="Q1126" s="277"/>
      <c r="R1126" s="277"/>
      <c r="S1126" s="291">
        <v>42682</v>
      </c>
      <c r="T1126" s="279">
        <v>1043</v>
      </c>
      <c r="U1126" s="277"/>
      <c r="V1126" s="277"/>
      <c r="W1126" s="277"/>
      <c r="X1126" s="277"/>
      <c r="Y1126" s="277"/>
      <c r="Z1126" s="277"/>
      <c r="AA1126" s="277"/>
      <c r="AB1126" s="277"/>
      <c r="AC1126" s="277"/>
      <c r="AD1126" s="277"/>
      <c r="AE1126" s="277"/>
      <c r="AF1126" s="277"/>
      <c r="AG1126" s="277"/>
      <c r="AH1126" s="277"/>
    </row>
    <row r="1127" spans="16:34" s="185" customFormat="1">
      <c r="P1127" s="277"/>
      <c r="Q1127" s="277"/>
      <c r="R1127" s="277"/>
      <c r="S1127" s="291">
        <v>42683</v>
      </c>
      <c r="T1127" s="279">
        <v>1044</v>
      </c>
      <c r="U1127" s="277"/>
      <c r="V1127" s="277"/>
      <c r="W1127" s="277"/>
      <c r="X1127" s="277"/>
      <c r="Y1127" s="277"/>
      <c r="Z1127" s="277"/>
      <c r="AA1127" s="277"/>
      <c r="AB1127" s="277"/>
      <c r="AC1127" s="277"/>
      <c r="AD1127" s="277"/>
      <c r="AE1127" s="277"/>
      <c r="AF1127" s="277"/>
      <c r="AG1127" s="277"/>
      <c r="AH1127" s="277"/>
    </row>
    <row r="1128" spans="16:34" s="185" customFormat="1">
      <c r="P1128" s="277"/>
      <c r="Q1128" s="277"/>
      <c r="R1128" s="277"/>
      <c r="S1128" s="291">
        <v>42684</v>
      </c>
      <c r="T1128" s="279">
        <v>1045</v>
      </c>
      <c r="U1128" s="277"/>
      <c r="V1128" s="277"/>
      <c r="W1128" s="277"/>
      <c r="X1128" s="277"/>
      <c r="Y1128" s="277"/>
      <c r="Z1128" s="277"/>
      <c r="AA1128" s="277"/>
      <c r="AB1128" s="277"/>
      <c r="AC1128" s="277"/>
      <c r="AD1128" s="277"/>
      <c r="AE1128" s="277"/>
      <c r="AF1128" s="277"/>
      <c r="AG1128" s="277"/>
      <c r="AH1128" s="277"/>
    </row>
    <row r="1129" spans="16:34" s="185" customFormat="1">
      <c r="P1129" s="277"/>
      <c r="Q1129" s="277"/>
      <c r="R1129" s="277"/>
      <c r="S1129" s="291">
        <v>42685</v>
      </c>
      <c r="T1129" s="279">
        <v>1046</v>
      </c>
      <c r="U1129" s="277"/>
      <c r="V1129" s="277"/>
      <c r="W1129" s="277"/>
      <c r="X1129" s="277"/>
      <c r="Y1129" s="277"/>
      <c r="Z1129" s="277"/>
      <c r="AA1129" s="277"/>
      <c r="AB1129" s="277"/>
      <c r="AC1129" s="277"/>
      <c r="AD1129" s="277"/>
      <c r="AE1129" s="277"/>
      <c r="AF1129" s="277"/>
      <c r="AG1129" s="277"/>
      <c r="AH1129" s="277"/>
    </row>
    <row r="1130" spans="16:34" s="185" customFormat="1">
      <c r="P1130" s="277"/>
      <c r="Q1130" s="277"/>
      <c r="R1130" s="277"/>
      <c r="S1130" s="291">
        <v>42686</v>
      </c>
      <c r="T1130" s="279">
        <v>1047</v>
      </c>
      <c r="U1130" s="277"/>
      <c r="V1130" s="277"/>
      <c r="W1130" s="277"/>
      <c r="X1130" s="277"/>
      <c r="Y1130" s="277"/>
      <c r="Z1130" s="277"/>
      <c r="AA1130" s="277"/>
      <c r="AB1130" s="277"/>
      <c r="AC1130" s="277"/>
      <c r="AD1130" s="277"/>
      <c r="AE1130" s="277"/>
      <c r="AF1130" s="277"/>
      <c r="AG1130" s="277"/>
      <c r="AH1130" s="277"/>
    </row>
    <row r="1131" spans="16:34" s="185" customFormat="1">
      <c r="P1131" s="277"/>
      <c r="Q1131" s="277"/>
      <c r="R1131" s="277"/>
      <c r="S1131" s="291">
        <v>42687</v>
      </c>
      <c r="T1131" s="279">
        <v>1048</v>
      </c>
      <c r="U1131" s="277"/>
      <c r="V1131" s="277"/>
      <c r="W1131" s="277"/>
      <c r="X1131" s="277"/>
      <c r="Y1131" s="277"/>
      <c r="Z1131" s="277"/>
      <c r="AA1131" s="277"/>
      <c r="AB1131" s="277"/>
      <c r="AC1131" s="277"/>
      <c r="AD1131" s="277"/>
      <c r="AE1131" s="277"/>
      <c r="AF1131" s="277"/>
      <c r="AG1131" s="277"/>
      <c r="AH1131" s="277"/>
    </row>
    <row r="1132" spans="16:34" s="185" customFormat="1">
      <c r="P1132" s="277"/>
      <c r="Q1132" s="277"/>
      <c r="R1132" s="277"/>
      <c r="S1132" s="291">
        <v>42688</v>
      </c>
      <c r="T1132" s="279">
        <v>1049</v>
      </c>
      <c r="U1132" s="277"/>
      <c r="V1132" s="277"/>
      <c r="W1132" s="277"/>
      <c r="X1132" s="277"/>
      <c r="Y1132" s="277"/>
      <c r="Z1132" s="277"/>
      <c r="AA1132" s="277"/>
      <c r="AB1132" s="277"/>
      <c r="AC1132" s="277"/>
      <c r="AD1132" s="277"/>
      <c r="AE1132" s="277"/>
      <c r="AF1132" s="277"/>
      <c r="AG1132" s="277"/>
      <c r="AH1132" s="277"/>
    </row>
    <row r="1133" spans="16:34" s="185" customFormat="1">
      <c r="P1133" s="277"/>
      <c r="Q1133" s="277"/>
      <c r="R1133" s="277"/>
      <c r="S1133" s="291">
        <v>42689</v>
      </c>
      <c r="T1133" s="279">
        <v>1050</v>
      </c>
      <c r="U1133" s="277"/>
      <c r="V1133" s="277"/>
      <c r="W1133" s="277"/>
      <c r="X1133" s="277"/>
      <c r="Y1133" s="277"/>
      <c r="Z1133" s="277"/>
      <c r="AA1133" s="277"/>
      <c r="AB1133" s="277"/>
      <c r="AC1133" s="277"/>
      <c r="AD1133" s="277"/>
      <c r="AE1133" s="277"/>
      <c r="AF1133" s="277"/>
      <c r="AG1133" s="277"/>
      <c r="AH1133" s="277"/>
    </row>
    <row r="1134" spans="16:34" s="185" customFormat="1">
      <c r="P1134" s="277"/>
      <c r="Q1134" s="277"/>
      <c r="R1134" s="277"/>
      <c r="S1134" s="291">
        <v>42690</v>
      </c>
      <c r="T1134" s="279">
        <v>1051</v>
      </c>
      <c r="U1134" s="277"/>
      <c r="V1134" s="277"/>
      <c r="W1134" s="277"/>
      <c r="X1134" s="277"/>
      <c r="Y1134" s="277"/>
      <c r="Z1134" s="277"/>
      <c r="AA1134" s="277"/>
      <c r="AB1134" s="277"/>
      <c r="AC1134" s="277"/>
      <c r="AD1134" s="277"/>
      <c r="AE1134" s="277"/>
      <c r="AF1134" s="277"/>
      <c r="AG1134" s="277"/>
      <c r="AH1134" s="277"/>
    </row>
    <row r="1135" spans="16:34" s="185" customFormat="1">
      <c r="P1135" s="277"/>
      <c r="Q1135" s="277"/>
      <c r="R1135" s="277"/>
      <c r="S1135" s="291">
        <v>42691</v>
      </c>
      <c r="T1135" s="279">
        <v>1052</v>
      </c>
      <c r="U1135" s="277"/>
      <c r="V1135" s="277"/>
      <c r="W1135" s="277"/>
      <c r="X1135" s="277"/>
      <c r="Y1135" s="277"/>
      <c r="Z1135" s="277"/>
      <c r="AA1135" s="277"/>
      <c r="AB1135" s="277"/>
      <c r="AC1135" s="277"/>
      <c r="AD1135" s="277"/>
      <c r="AE1135" s="277"/>
      <c r="AF1135" s="277"/>
      <c r="AG1135" s="277"/>
      <c r="AH1135" s="277"/>
    </row>
    <row r="1136" spans="16:34" s="185" customFormat="1">
      <c r="P1136" s="277"/>
      <c r="Q1136" s="277"/>
      <c r="R1136" s="277"/>
      <c r="S1136" s="291">
        <v>42692</v>
      </c>
      <c r="T1136" s="279">
        <v>1053</v>
      </c>
      <c r="U1136" s="277"/>
      <c r="V1136" s="277"/>
      <c r="W1136" s="277"/>
      <c r="X1136" s="277"/>
      <c r="Y1136" s="277"/>
      <c r="Z1136" s="277"/>
      <c r="AA1136" s="277"/>
      <c r="AB1136" s="277"/>
      <c r="AC1136" s="277"/>
      <c r="AD1136" s="277"/>
      <c r="AE1136" s="277"/>
      <c r="AF1136" s="277"/>
      <c r="AG1136" s="277"/>
      <c r="AH1136" s="277"/>
    </row>
    <row r="1137" spans="16:34" s="185" customFormat="1">
      <c r="P1137" s="277"/>
      <c r="Q1137" s="277"/>
      <c r="R1137" s="277"/>
      <c r="S1137" s="291">
        <v>42693</v>
      </c>
      <c r="T1137" s="279">
        <v>1054</v>
      </c>
      <c r="U1137" s="277"/>
      <c r="V1137" s="277"/>
      <c r="W1137" s="277"/>
      <c r="X1137" s="277"/>
      <c r="Y1137" s="277"/>
      <c r="Z1137" s="277"/>
      <c r="AA1137" s="277"/>
      <c r="AB1137" s="277"/>
      <c r="AC1137" s="277"/>
      <c r="AD1137" s="277"/>
      <c r="AE1137" s="277"/>
      <c r="AF1137" s="277"/>
      <c r="AG1137" s="277"/>
      <c r="AH1137" s="277"/>
    </row>
    <row r="1138" spans="16:34" s="185" customFormat="1">
      <c r="P1138" s="277"/>
      <c r="Q1138" s="277"/>
      <c r="R1138" s="277"/>
      <c r="S1138" s="291">
        <v>42694</v>
      </c>
      <c r="T1138" s="279">
        <v>1055</v>
      </c>
      <c r="U1138" s="277"/>
      <c r="V1138" s="277"/>
      <c r="W1138" s="277"/>
      <c r="X1138" s="277"/>
      <c r="Y1138" s="277"/>
      <c r="Z1138" s="277"/>
      <c r="AA1138" s="277"/>
      <c r="AB1138" s="277"/>
      <c r="AC1138" s="277"/>
      <c r="AD1138" s="277"/>
      <c r="AE1138" s="277"/>
      <c r="AF1138" s="277"/>
      <c r="AG1138" s="277"/>
      <c r="AH1138" s="277"/>
    </row>
    <row r="1139" spans="16:34" s="185" customFormat="1">
      <c r="P1139" s="277"/>
      <c r="Q1139" s="277"/>
      <c r="R1139" s="277"/>
      <c r="S1139" s="291">
        <v>42695</v>
      </c>
      <c r="T1139" s="279">
        <v>1056</v>
      </c>
      <c r="U1139" s="277"/>
      <c r="V1139" s="277"/>
      <c r="W1139" s="277"/>
      <c r="X1139" s="277"/>
      <c r="Y1139" s="277"/>
      <c r="Z1139" s="277"/>
      <c r="AA1139" s="277"/>
      <c r="AB1139" s="277"/>
      <c r="AC1139" s="277"/>
      <c r="AD1139" s="277"/>
      <c r="AE1139" s="277"/>
      <c r="AF1139" s="277"/>
      <c r="AG1139" s="277"/>
      <c r="AH1139" s="277"/>
    </row>
    <row r="1140" spans="16:34" s="185" customFormat="1">
      <c r="P1140" s="277"/>
      <c r="Q1140" s="277"/>
      <c r="R1140" s="277"/>
      <c r="S1140" s="291">
        <v>42696</v>
      </c>
      <c r="T1140" s="279">
        <v>1057</v>
      </c>
      <c r="U1140" s="277"/>
      <c r="V1140" s="277"/>
      <c r="W1140" s="277"/>
      <c r="X1140" s="277"/>
      <c r="Y1140" s="277"/>
      <c r="Z1140" s="277"/>
      <c r="AA1140" s="277"/>
      <c r="AB1140" s="277"/>
      <c r="AC1140" s="277"/>
      <c r="AD1140" s="277"/>
      <c r="AE1140" s="277"/>
      <c r="AF1140" s="277"/>
      <c r="AG1140" s="277"/>
      <c r="AH1140" s="277"/>
    </row>
    <row r="1141" spans="16:34" s="185" customFormat="1">
      <c r="P1141" s="277"/>
      <c r="Q1141" s="277"/>
      <c r="R1141" s="277"/>
      <c r="S1141" s="291">
        <v>42697</v>
      </c>
      <c r="T1141" s="279">
        <v>1058</v>
      </c>
      <c r="U1141" s="277"/>
      <c r="V1141" s="277"/>
      <c r="W1141" s="277"/>
      <c r="X1141" s="277"/>
      <c r="Y1141" s="277"/>
      <c r="Z1141" s="277"/>
      <c r="AA1141" s="277"/>
      <c r="AB1141" s="277"/>
      <c r="AC1141" s="277"/>
      <c r="AD1141" s="277"/>
      <c r="AE1141" s="277"/>
      <c r="AF1141" s="277"/>
      <c r="AG1141" s="277"/>
      <c r="AH1141" s="277"/>
    </row>
    <row r="1142" spans="16:34" s="185" customFormat="1">
      <c r="P1142" s="277"/>
      <c r="Q1142" s="277"/>
      <c r="R1142" s="277"/>
      <c r="S1142" s="291">
        <v>42698</v>
      </c>
      <c r="T1142" s="279">
        <v>1059</v>
      </c>
      <c r="U1142" s="277"/>
      <c r="V1142" s="277"/>
      <c r="W1142" s="277"/>
      <c r="X1142" s="277"/>
      <c r="Y1142" s="277"/>
      <c r="Z1142" s="277"/>
      <c r="AA1142" s="277"/>
      <c r="AB1142" s="277"/>
      <c r="AC1142" s="277"/>
      <c r="AD1142" s="277"/>
      <c r="AE1142" s="277"/>
      <c r="AF1142" s="277"/>
      <c r="AG1142" s="277"/>
      <c r="AH1142" s="277"/>
    </row>
    <row r="1143" spans="16:34" s="185" customFormat="1">
      <c r="P1143" s="277"/>
      <c r="Q1143" s="277"/>
      <c r="R1143" s="277"/>
      <c r="S1143" s="291">
        <v>42699</v>
      </c>
      <c r="T1143" s="279">
        <v>1060</v>
      </c>
      <c r="U1143" s="277"/>
      <c r="V1143" s="277"/>
      <c r="W1143" s="277"/>
      <c r="X1143" s="277"/>
      <c r="Y1143" s="277"/>
      <c r="Z1143" s="277"/>
      <c r="AA1143" s="277"/>
      <c r="AB1143" s="277"/>
      <c r="AC1143" s="277"/>
      <c r="AD1143" s="277"/>
      <c r="AE1143" s="277"/>
      <c r="AF1143" s="277"/>
      <c r="AG1143" s="277"/>
      <c r="AH1143" s="277"/>
    </row>
    <row r="1144" spans="16:34" s="185" customFormat="1">
      <c r="P1144" s="277"/>
      <c r="Q1144" s="277"/>
      <c r="R1144" s="277"/>
      <c r="S1144" s="291">
        <v>42700</v>
      </c>
      <c r="T1144" s="279">
        <v>1061</v>
      </c>
      <c r="U1144" s="277"/>
      <c r="V1144" s="277"/>
      <c r="W1144" s="277"/>
      <c r="X1144" s="277"/>
      <c r="Y1144" s="277"/>
      <c r="Z1144" s="277"/>
      <c r="AA1144" s="277"/>
      <c r="AB1144" s="277"/>
      <c r="AC1144" s="277"/>
      <c r="AD1144" s="277"/>
      <c r="AE1144" s="277"/>
      <c r="AF1144" s="277"/>
      <c r="AG1144" s="277"/>
      <c r="AH1144" s="277"/>
    </row>
    <row r="1145" spans="16:34" s="185" customFormat="1">
      <c r="P1145" s="277"/>
      <c r="Q1145" s="277"/>
      <c r="R1145" s="277"/>
      <c r="S1145" s="291">
        <v>42701</v>
      </c>
      <c r="T1145" s="279">
        <v>1062</v>
      </c>
      <c r="U1145" s="277"/>
      <c r="V1145" s="277"/>
      <c r="W1145" s="277"/>
      <c r="X1145" s="277"/>
      <c r="Y1145" s="277"/>
      <c r="Z1145" s="277"/>
      <c r="AA1145" s="277"/>
      <c r="AB1145" s="277"/>
      <c r="AC1145" s="277"/>
      <c r="AD1145" s="277"/>
      <c r="AE1145" s="277"/>
      <c r="AF1145" s="277"/>
      <c r="AG1145" s="277"/>
      <c r="AH1145" s="277"/>
    </row>
    <row r="1146" spans="16:34" s="185" customFormat="1">
      <c r="P1146" s="277"/>
      <c r="Q1146" s="277"/>
      <c r="R1146" s="277"/>
      <c r="S1146" s="291">
        <v>42702</v>
      </c>
      <c r="T1146" s="279">
        <v>1063</v>
      </c>
      <c r="U1146" s="277"/>
      <c r="V1146" s="277"/>
      <c r="W1146" s="277"/>
      <c r="X1146" s="277"/>
      <c r="Y1146" s="277"/>
      <c r="Z1146" s="277"/>
      <c r="AA1146" s="277"/>
      <c r="AB1146" s="277"/>
      <c r="AC1146" s="277"/>
      <c r="AD1146" s="277"/>
      <c r="AE1146" s="277"/>
      <c r="AF1146" s="277"/>
      <c r="AG1146" s="277"/>
      <c r="AH1146" s="277"/>
    </row>
    <row r="1147" spans="16:34" s="185" customFormat="1">
      <c r="P1147" s="277"/>
      <c r="Q1147" s="277"/>
      <c r="R1147" s="277"/>
      <c r="S1147" s="291">
        <v>42703</v>
      </c>
      <c r="T1147" s="279">
        <v>1064</v>
      </c>
      <c r="U1147" s="277"/>
      <c r="V1147" s="277"/>
      <c r="W1147" s="277"/>
      <c r="X1147" s="277"/>
      <c r="Y1147" s="277"/>
      <c r="Z1147" s="277"/>
      <c r="AA1147" s="277"/>
      <c r="AB1147" s="277"/>
      <c r="AC1147" s="277"/>
      <c r="AD1147" s="277"/>
      <c r="AE1147" s="277"/>
      <c r="AF1147" s="277"/>
      <c r="AG1147" s="277"/>
      <c r="AH1147" s="277"/>
    </row>
    <row r="1148" spans="16:34" s="185" customFormat="1">
      <c r="P1148" s="277"/>
      <c r="Q1148" s="277"/>
      <c r="R1148" s="277"/>
      <c r="S1148" s="291">
        <v>42704</v>
      </c>
      <c r="T1148" s="279">
        <v>1065</v>
      </c>
      <c r="U1148" s="277"/>
      <c r="V1148" s="277"/>
      <c r="W1148" s="277"/>
      <c r="X1148" s="277"/>
      <c r="Y1148" s="277"/>
      <c r="Z1148" s="277"/>
      <c r="AA1148" s="277"/>
      <c r="AB1148" s="277"/>
      <c r="AC1148" s="277"/>
      <c r="AD1148" s="277"/>
      <c r="AE1148" s="277"/>
      <c r="AF1148" s="277"/>
      <c r="AG1148" s="277"/>
      <c r="AH1148" s="277"/>
    </row>
    <row r="1149" spans="16:34" s="185" customFormat="1">
      <c r="P1149" s="277"/>
      <c r="Q1149" s="277"/>
      <c r="R1149" s="277"/>
      <c r="S1149" s="291">
        <v>42705</v>
      </c>
      <c r="T1149" s="279">
        <v>1066</v>
      </c>
      <c r="U1149" s="277"/>
      <c r="V1149" s="277"/>
      <c r="W1149" s="277"/>
      <c r="X1149" s="277"/>
      <c r="Y1149" s="277"/>
      <c r="Z1149" s="277"/>
      <c r="AA1149" s="277"/>
      <c r="AB1149" s="277"/>
      <c r="AC1149" s="277"/>
      <c r="AD1149" s="277"/>
      <c r="AE1149" s="277"/>
      <c r="AF1149" s="277"/>
      <c r="AG1149" s="277"/>
      <c r="AH1149" s="277"/>
    </row>
    <row r="1150" spans="16:34" s="185" customFormat="1">
      <c r="P1150" s="277"/>
      <c r="Q1150" s="277"/>
      <c r="R1150" s="277"/>
      <c r="S1150" s="291">
        <v>42706</v>
      </c>
      <c r="T1150" s="279">
        <v>1067</v>
      </c>
      <c r="U1150" s="277"/>
      <c r="V1150" s="277"/>
      <c r="W1150" s="277"/>
      <c r="X1150" s="277"/>
      <c r="Y1150" s="277"/>
      <c r="Z1150" s="277"/>
      <c r="AA1150" s="277"/>
      <c r="AB1150" s="277"/>
      <c r="AC1150" s="277"/>
      <c r="AD1150" s="277"/>
      <c r="AE1150" s="277"/>
      <c r="AF1150" s="277"/>
      <c r="AG1150" s="277"/>
      <c r="AH1150" s="277"/>
    </row>
    <row r="1151" spans="16:34" s="185" customFormat="1">
      <c r="P1151" s="277"/>
      <c r="Q1151" s="277"/>
      <c r="R1151" s="277"/>
      <c r="S1151" s="291">
        <v>42707</v>
      </c>
      <c r="T1151" s="279">
        <v>1068</v>
      </c>
      <c r="U1151" s="277"/>
      <c r="V1151" s="277"/>
      <c r="W1151" s="277"/>
      <c r="X1151" s="277"/>
      <c r="Y1151" s="277"/>
      <c r="Z1151" s="277"/>
      <c r="AA1151" s="277"/>
      <c r="AB1151" s="277"/>
      <c r="AC1151" s="277"/>
      <c r="AD1151" s="277"/>
      <c r="AE1151" s="277"/>
      <c r="AF1151" s="277"/>
      <c r="AG1151" s="277"/>
      <c r="AH1151" s="277"/>
    </row>
    <row r="1152" spans="16:34" s="185" customFormat="1">
      <c r="P1152" s="277"/>
      <c r="Q1152" s="277"/>
      <c r="R1152" s="277"/>
      <c r="S1152" s="291">
        <v>42708</v>
      </c>
      <c r="T1152" s="279">
        <v>1069</v>
      </c>
      <c r="U1152" s="277"/>
      <c r="V1152" s="277"/>
      <c r="W1152" s="277"/>
      <c r="X1152" s="277"/>
      <c r="Y1152" s="277"/>
      <c r="Z1152" s="277"/>
      <c r="AA1152" s="277"/>
      <c r="AB1152" s="277"/>
      <c r="AC1152" s="277"/>
      <c r="AD1152" s="277"/>
      <c r="AE1152" s="277"/>
      <c r="AF1152" s="277"/>
      <c r="AG1152" s="277"/>
      <c r="AH1152" s="277"/>
    </row>
    <row r="1153" spans="16:34" s="185" customFormat="1">
      <c r="P1153" s="277"/>
      <c r="Q1153" s="277"/>
      <c r="R1153" s="277"/>
      <c r="S1153" s="291">
        <v>42709</v>
      </c>
      <c r="T1153" s="279">
        <v>1070</v>
      </c>
      <c r="U1153" s="277"/>
      <c r="V1153" s="277"/>
      <c r="W1153" s="277"/>
      <c r="X1153" s="277"/>
      <c r="Y1153" s="277"/>
      <c r="Z1153" s="277"/>
      <c r="AA1153" s="277"/>
      <c r="AB1153" s="277"/>
      <c r="AC1153" s="277"/>
      <c r="AD1153" s="277"/>
      <c r="AE1153" s="277"/>
      <c r="AF1153" s="277"/>
      <c r="AG1153" s="277"/>
      <c r="AH1153" s="277"/>
    </row>
    <row r="1154" spans="16:34" s="185" customFormat="1">
      <c r="P1154" s="277"/>
      <c r="Q1154" s="277"/>
      <c r="R1154" s="277"/>
      <c r="S1154" s="291">
        <v>42710</v>
      </c>
      <c r="T1154" s="279">
        <v>1071</v>
      </c>
      <c r="U1154" s="277"/>
      <c r="V1154" s="277"/>
      <c r="W1154" s="277"/>
      <c r="X1154" s="277"/>
      <c r="Y1154" s="277"/>
      <c r="Z1154" s="277"/>
      <c r="AA1154" s="277"/>
      <c r="AB1154" s="277"/>
      <c r="AC1154" s="277"/>
      <c r="AD1154" s="277"/>
      <c r="AE1154" s="277"/>
      <c r="AF1154" s="277"/>
      <c r="AG1154" s="277"/>
      <c r="AH1154" s="277"/>
    </row>
    <row r="1155" spans="16:34" s="185" customFormat="1">
      <c r="P1155" s="277"/>
      <c r="Q1155" s="277"/>
      <c r="R1155" s="277"/>
      <c r="S1155" s="291">
        <v>42711</v>
      </c>
      <c r="T1155" s="279">
        <v>1072</v>
      </c>
      <c r="U1155" s="277"/>
      <c r="V1155" s="277"/>
      <c r="W1155" s="277"/>
      <c r="X1155" s="277"/>
      <c r="Y1155" s="277"/>
      <c r="Z1155" s="277"/>
      <c r="AA1155" s="277"/>
      <c r="AB1155" s="277"/>
      <c r="AC1155" s="277"/>
      <c r="AD1155" s="277"/>
      <c r="AE1155" s="277"/>
      <c r="AF1155" s="277"/>
      <c r="AG1155" s="277"/>
      <c r="AH1155" s="277"/>
    </row>
    <row r="1156" spans="16:34" s="185" customFormat="1">
      <c r="P1156" s="277"/>
      <c r="Q1156" s="277"/>
      <c r="R1156" s="277"/>
      <c r="S1156" s="291">
        <v>42712</v>
      </c>
      <c r="T1156" s="279">
        <v>1073</v>
      </c>
      <c r="U1156" s="277"/>
      <c r="V1156" s="277"/>
      <c r="W1156" s="277"/>
      <c r="X1156" s="277"/>
      <c r="Y1156" s="277"/>
      <c r="Z1156" s="277"/>
      <c r="AA1156" s="277"/>
      <c r="AB1156" s="277"/>
      <c r="AC1156" s="277"/>
      <c r="AD1156" s="277"/>
      <c r="AE1156" s="277"/>
      <c r="AF1156" s="277"/>
      <c r="AG1156" s="277"/>
      <c r="AH1156" s="277"/>
    </row>
    <row r="1157" spans="16:34" s="185" customFormat="1">
      <c r="P1157" s="277"/>
      <c r="Q1157" s="277"/>
      <c r="R1157" s="277"/>
      <c r="S1157" s="291">
        <v>42713</v>
      </c>
      <c r="T1157" s="279">
        <v>1074</v>
      </c>
      <c r="U1157" s="277"/>
      <c r="V1157" s="277"/>
      <c r="W1157" s="277"/>
      <c r="X1157" s="277"/>
      <c r="Y1157" s="277"/>
      <c r="Z1157" s="277"/>
      <c r="AA1157" s="277"/>
      <c r="AB1157" s="277"/>
      <c r="AC1157" s="277"/>
      <c r="AD1157" s="277"/>
      <c r="AE1157" s="277"/>
      <c r="AF1157" s="277"/>
      <c r="AG1157" s="277"/>
      <c r="AH1157" s="277"/>
    </row>
    <row r="1158" spans="16:34" s="185" customFormat="1">
      <c r="P1158" s="277"/>
      <c r="Q1158" s="277"/>
      <c r="R1158" s="277"/>
      <c r="S1158" s="291">
        <v>42714</v>
      </c>
      <c r="T1158" s="279">
        <v>1075</v>
      </c>
      <c r="U1158" s="277"/>
      <c r="V1158" s="277"/>
      <c r="W1158" s="277"/>
      <c r="X1158" s="277"/>
      <c r="Y1158" s="277"/>
      <c r="Z1158" s="277"/>
      <c r="AA1158" s="277"/>
      <c r="AB1158" s="277"/>
      <c r="AC1158" s="277"/>
      <c r="AD1158" s="277"/>
      <c r="AE1158" s="277"/>
      <c r="AF1158" s="277"/>
      <c r="AG1158" s="277"/>
      <c r="AH1158" s="277"/>
    </row>
    <row r="1159" spans="16:34" s="185" customFormat="1">
      <c r="P1159" s="277"/>
      <c r="Q1159" s="277"/>
      <c r="R1159" s="277"/>
      <c r="S1159" s="291">
        <v>42715</v>
      </c>
      <c r="T1159" s="279">
        <v>1076</v>
      </c>
      <c r="U1159" s="277"/>
      <c r="V1159" s="277"/>
      <c r="W1159" s="277"/>
      <c r="X1159" s="277"/>
      <c r="Y1159" s="277"/>
      <c r="Z1159" s="277"/>
      <c r="AA1159" s="277"/>
      <c r="AB1159" s="277"/>
      <c r="AC1159" s="277"/>
      <c r="AD1159" s="277"/>
      <c r="AE1159" s="277"/>
      <c r="AF1159" s="277"/>
      <c r="AG1159" s="277"/>
      <c r="AH1159" s="277"/>
    </row>
    <row r="1160" spans="16:34" s="185" customFormat="1">
      <c r="P1160" s="277"/>
      <c r="Q1160" s="277"/>
      <c r="R1160" s="277"/>
      <c r="S1160" s="291">
        <v>42716</v>
      </c>
      <c r="T1160" s="279">
        <v>1077</v>
      </c>
      <c r="U1160" s="277"/>
      <c r="V1160" s="277"/>
      <c r="W1160" s="277"/>
      <c r="X1160" s="277"/>
      <c r="Y1160" s="277"/>
      <c r="Z1160" s="277"/>
      <c r="AA1160" s="277"/>
      <c r="AB1160" s="277"/>
      <c r="AC1160" s="277"/>
      <c r="AD1160" s="277"/>
      <c r="AE1160" s="277"/>
      <c r="AF1160" s="277"/>
      <c r="AG1160" s="277"/>
      <c r="AH1160" s="277"/>
    </row>
    <row r="1161" spans="16:34" s="185" customFormat="1">
      <c r="P1161" s="277"/>
      <c r="Q1161" s="277"/>
      <c r="R1161" s="277"/>
      <c r="S1161" s="291">
        <v>42717</v>
      </c>
      <c r="T1161" s="279">
        <v>1078</v>
      </c>
      <c r="U1161" s="277"/>
      <c r="V1161" s="277"/>
      <c r="W1161" s="277"/>
      <c r="X1161" s="277"/>
      <c r="Y1161" s="277"/>
      <c r="Z1161" s="277"/>
      <c r="AA1161" s="277"/>
      <c r="AB1161" s="277"/>
      <c r="AC1161" s="277"/>
      <c r="AD1161" s="277"/>
      <c r="AE1161" s="277"/>
      <c r="AF1161" s="277"/>
      <c r="AG1161" s="277"/>
      <c r="AH1161" s="277"/>
    </row>
    <row r="1162" spans="16:34" s="185" customFormat="1">
      <c r="P1162" s="277"/>
      <c r="Q1162" s="277"/>
      <c r="R1162" s="277"/>
      <c r="S1162" s="291">
        <v>42718</v>
      </c>
      <c r="T1162" s="279">
        <v>1079</v>
      </c>
      <c r="U1162" s="277"/>
      <c r="V1162" s="277"/>
      <c r="W1162" s="277"/>
      <c r="X1162" s="277"/>
      <c r="Y1162" s="277"/>
      <c r="Z1162" s="277"/>
      <c r="AA1162" s="277"/>
      <c r="AB1162" s="277"/>
      <c r="AC1162" s="277"/>
      <c r="AD1162" s="277"/>
      <c r="AE1162" s="277"/>
      <c r="AF1162" s="277"/>
      <c r="AG1162" s="277"/>
      <c r="AH1162" s="277"/>
    </row>
    <row r="1163" spans="16:34" s="185" customFormat="1">
      <c r="P1163" s="277"/>
      <c r="Q1163" s="277"/>
      <c r="R1163" s="277"/>
      <c r="S1163" s="291">
        <v>42719</v>
      </c>
      <c r="T1163" s="279">
        <v>1080</v>
      </c>
      <c r="U1163" s="277"/>
      <c r="V1163" s="277"/>
      <c r="W1163" s="277"/>
      <c r="X1163" s="277"/>
      <c r="Y1163" s="277"/>
      <c r="Z1163" s="277"/>
      <c r="AA1163" s="277"/>
      <c r="AB1163" s="277"/>
      <c r="AC1163" s="277"/>
      <c r="AD1163" s="277"/>
      <c r="AE1163" s="277"/>
      <c r="AF1163" s="277"/>
      <c r="AG1163" s="277"/>
      <c r="AH1163" s="277"/>
    </row>
    <row r="1164" spans="16:34" s="185" customFormat="1">
      <c r="P1164" s="277"/>
      <c r="Q1164" s="277"/>
      <c r="R1164" s="277"/>
      <c r="S1164" s="291">
        <v>42720</v>
      </c>
      <c r="T1164" s="279">
        <v>1081</v>
      </c>
      <c r="U1164" s="277"/>
      <c r="V1164" s="277"/>
      <c r="W1164" s="277"/>
      <c r="X1164" s="277"/>
      <c r="Y1164" s="277"/>
      <c r="Z1164" s="277"/>
      <c r="AA1164" s="277"/>
      <c r="AB1164" s="277"/>
      <c r="AC1164" s="277"/>
      <c r="AD1164" s="277"/>
      <c r="AE1164" s="277"/>
      <c r="AF1164" s="277"/>
      <c r="AG1164" s="277"/>
      <c r="AH1164" s="277"/>
    </row>
    <row r="1165" spans="16:34" s="185" customFormat="1">
      <c r="P1165" s="277"/>
      <c r="Q1165" s="277"/>
      <c r="R1165" s="277"/>
      <c r="S1165" s="291">
        <v>42721</v>
      </c>
      <c r="T1165" s="279">
        <v>1082</v>
      </c>
      <c r="U1165" s="277"/>
      <c r="V1165" s="277"/>
      <c r="W1165" s="277"/>
      <c r="X1165" s="277"/>
      <c r="Y1165" s="277"/>
      <c r="Z1165" s="277"/>
      <c r="AA1165" s="277"/>
      <c r="AB1165" s="277"/>
      <c r="AC1165" s="277"/>
      <c r="AD1165" s="277"/>
      <c r="AE1165" s="277"/>
      <c r="AF1165" s="277"/>
      <c r="AG1165" s="277"/>
      <c r="AH1165" s="277"/>
    </row>
    <row r="1166" spans="16:34" s="185" customFormat="1">
      <c r="P1166" s="277"/>
      <c r="Q1166" s="277"/>
      <c r="R1166" s="277"/>
      <c r="S1166" s="291">
        <v>42722</v>
      </c>
      <c r="T1166" s="279">
        <v>1083</v>
      </c>
      <c r="U1166" s="277"/>
      <c r="V1166" s="277"/>
      <c r="W1166" s="277"/>
      <c r="X1166" s="277"/>
      <c r="Y1166" s="277"/>
      <c r="Z1166" s="277"/>
      <c r="AA1166" s="277"/>
      <c r="AB1166" s="277"/>
      <c r="AC1166" s="277"/>
      <c r="AD1166" s="277"/>
      <c r="AE1166" s="277"/>
      <c r="AF1166" s="277"/>
      <c r="AG1166" s="277"/>
      <c r="AH1166" s="277"/>
    </row>
    <row r="1167" spans="16:34" s="185" customFormat="1">
      <c r="P1167" s="277"/>
      <c r="Q1167" s="277"/>
      <c r="R1167" s="277"/>
      <c r="S1167" s="291">
        <v>42723</v>
      </c>
      <c r="T1167" s="279">
        <v>1084</v>
      </c>
      <c r="U1167" s="277"/>
      <c r="V1167" s="277"/>
      <c r="W1167" s="277"/>
      <c r="X1167" s="277"/>
      <c r="Y1167" s="277"/>
      <c r="Z1167" s="277"/>
      <c r="AA1167" s="277"/>
      <c r="AB1167" s="277"/>
      <c r="AC1167" s="277"/>
      <c r="AD1167" s="277"/>
      <c r="AE1167" s="277"/>
      <c r="AF1167" s="277"/>
      <c r="AG1167" s="277"/>
      <c r="AH1167" s="277"/>
    </row>
    <row r="1168" spans="16:34" s="185" customFormat="1">
      <c r="P1168" s="277"/>
      <c r="Q1168" s="277"/>
      <c r="R1168" s="277"/>
      <c r="S1168" s="291">
        <v>42724</v>
      </c>
      <c r="T1168" s="279">
        <v>1085</v>
      </c>
      <c r="U1168" s="277"/>
      <c r="V1168" s="277"/>
      <c r="W1168" s="277"/>
      <c r="X1168" s="277"/>
      <c r="Y1168" s="277"/>
      <c r="Z1168" s="277"/>
      <c r="AA1168" s="277"/>
      <c r="AB1168" s="277"/>
      <c r="AC1168" s="277"/>
      <c r="AD1168" s="277"/>
      <c r="AE1168" s="277"/>
      <c r="AF1168" s="277"/>
      <c r="AG1168" s="277"/>
      <c r="AH1168" s="277"/>
    </row>
    <row r="1169" spans="16:34" s="185" customFormat="1">
      <c r="P1169" s="277"/>
      <c r="Q1169" s="277"/>
      <c r="R1169" s="277"/>
      <c r="S1169" s="291">
        <v>42725</v>
      </c>
      <c r="T1169" s="279">
        <v>1086</v>
      </c>
      <c r="U1169" s="277"/>
      <c r="V1169" s="277"/>
      <c r="W1169" s="277"/>
      <c r="X1169" s="277"/>
      <c r="Y1169" s="277"/>
      <c r="Z1169" s="277"/>
      <c r="AA1169" s="277"/>
      <c r="AB1169" s="277"/>
      <c r="AC1169" s="277"/>
      <c r="AD1169" s="277"/>
      <c r="AE1169" s="277"/>
      <c r="AF1169" s="277"/>
      <c r="AG1169" s="277"/>
      <c r="AH1169" s="277"/>
    </row>
    <row r="1170" spans="16:34" s="185" customFormat="1">
      <c r="P1170" s="277"/>
      <c r="Q1170" s="277"/>
      <c r="R1170" s="277"/>
      <c r="S1170" s="291">
        <v>42726</v>
      </c>
      <c r="T1170" s="279">
        <v>1087</v>
      </c>
      <c r="U1170" s="277"/>
      <c r="V1170" s="277"/>
      <c r="W1170" s="277"/>
      <c r="X1170" s="277"/>
      <c r="Y1170" s="277"/>
      <c r="Z1170" s="277"/>
      <c r="AA1170" s="277"/>
      <c r="AB1170" s="277"/>
      <c r="AC1170" s="277"/>
      <c r="AD1170" s="277"/>
      <c r="AE1170" s="277"/>
      <c r="AF1170" s="277"/>
      <c r="AG1170" s="277"/>
      <c r="AH1170" s="277"/>
    </row>
    <row r="1171" spans="16:34" s="185" customFormat="1">
      <c r="P1171" s="277"/>
      <c r="Q1171" s="277"/>
      <c r="R1171" s="277"/>
      <c r="S1171" s="291">
        <v>42727</v>
      </c>
      <c r="T1171" s="279">
        <v>1088</v>
      </c>
      <c r="U1171" s="277"/>
      <c r="V1171" s="277"/>
      <c r="W1171" s="277"/>
      <c r="X1171" s="277"/>
      <c r="Y1171" s="277"/>
      <c r="Z1171" s="277"/>
      <c r="AA1171" s="277"/>
      <c r="AB1171" s="277"/>
      <c r="AC1171" s="277"/>
      <c r="AD1171" s="277"/>
      <c r="AE1171" s="277"/>
      <c r="AF1171" s="277"/>
      <c r="AG1171" s="277"/>
      <c r="AH1171" s="277"/>
    </row>
    <row r="1172" spans="16:34" s="185" customFormat="1">
      <c r="P1172" s="277"/>
      <c r="Q1172" s="277"/>
      <c r="R1172" s="277"/>
      <c r="S1172" s="291">
        <v>42728</v>
      </c>
      <c r="T1172" s="279">
        <v>1089</v>
      </c>
      <c r="U1172" s="277"/>
      <c r="V1172" s="277"/>
      <c r="W1172" s="277"/>
      <c r="X1172" s="277"/>
      <c r="Y1172" s="277"/>
      <c r="Z1172" s="277"/>
      <c r="AA1172" s="277"/>
      <c r="AB1172" s="277"/>
      <c r="AC1172" s="277"/>
      <c r="AD1172" s="277"/>
      <c r="AE1172" s="277"/>
      <c r="AF1172" s="277"/>
      <c r="AG1172" s="277"/>
      <c r="AH1172" s="277"/>
    </row>
    <row r="1173" spans="16:34" s="185" customFormat="1">
      <c r="P1173" s="277"/>
      <c r="Q1173" s="277"/>
      <c r="R1173" s="277"/>
      <c r="S1173" s="291">
        <v>42729</v>
      </c>
      <c r="T1173" s="279">
        <v>1090</v>
      </c>
      <c r="U1173" s="277"/>
      <c r="V1173" s="277"/>
      <c r="W1173" s="277"/>
      <c r="X1173" s="277"/>
      <c r="Y1173" s="277"/>
      <c r="Z1173" s="277"/>
      <c r="AA1173" s="277"/>
      <c r="AB1173" s="277"/>
      <c r="AC1173" s="277"/>
      <c r="AD1173" s="277"/>
      <c r="AE1173" s="277"/>
      <c r="AF1173" s="277"/>
      <c r="AG1173" s="277"/>
      <c r="AH1173" s="277"/>
    </row>
    <row r="1174" spans="16:34" s="185" customFormat="1">
      <c r="P1174" s="277"/>
      <c r="Q1174" s="277"/>
      <c r="R1174" s="277"/>
      <c r="S1174" s="291">
        <v>42730</v>
      </c>
      <c r="T1174" s="279">
        <v>1091</v>
      </c>
      <c r="U1174" s="277"/>
      <c r="V1174" s="277"/>
      <c r="W1174" s="277"/>
      <c r="X1174" s="277"/>
      <c r="Y1174" s="277"/>
      <c r="Z1174" s="277"/>
      <c r="AA1174" s="277"/>
      <c r="AB1174" s="277"/>
      <c r="AC1174" s="277"/>
      <c r="AD1174" s="277"/>
      <c r="AE1174" s="277"/>
      <c r="AF1174" s="277"/>
      <c r="AG1174" s="277"/>
      <c r="AH1174" s="277"/>
    </row>
    <row r="1175" spans="16:34" s="185" customFormat="1">
      <c r="P1175" s="277"/>
      <c r="Q1175" s="277"/>
      <c r="R1175" s="277"/>
      <c r="S1175" s="291">
        <v>42731</v>
      </c>
      <c r="T1175" s="279">
        <v>1092</v>
      </c>
      <c r="U1175" s="277"/>
      <c r="V1175" s="277"/>
      <c r="W1175" s="277"/>
      <c r="X1175" s="277"/>
      <c r="Y1175" s="277"/>
      <c r="Z1175" s="277"/>
      <c r="AA1175" s="277"/>
      <c r="AB1175" s="277"/>
      <c r="AC1175" s="277"/>
      <c r="AD1175" s="277"/>
      <c r="AE1175" s="277"/>
      <c r="AF1175" s="277"/>
      <c r="AG1175" s="277"/>
      <c r="AH1175" s="277"/>
    </row>
    <row r="1176" spans="16:34" s="185" customFormat="1">
      <c r="P1176" s="277"/>
      <c r="Q1176" s="277"/>
      <c r="R1176" s="277"/>
      <c r="S1176" s="291">
        <v>42732</v>
      </c>
      <c r="T1176" s="279">
        <v>1093</v>
      </c>
      <c r="U1176" s="277"/>
      <c r="V1176" s="277"/>
      <c r="W1176" s="277"/>
      <c r="X1176" s="277"/>
      <c r="Y1176" s="277"/>
      <c r="Z1176" s="277"/>
      <c r="AA1176" s="277"/>
      <c r="AB1176" s="277"/>
      <c r="AC1176" s="277"/>
      <c r="AD1176" s="277"/>
      <c r="AE1176" s="277"/>
      <c r="AF1176" s="277"/>
      <c r="AG1176" s="277"/>
      <c r="AH1176" s="277"/>
    </row>
    <row r="1177" spans="16:34" s="185" customFormat="1">
      <c r="P1177" s="277"/>
      <c r="Q1177" s="277"/>
      <c r="R1177" s="277"/>
      <c r="S1177" s="291">
        <v>42733</v>
      </c>
      <c r="T1177" s="279">
        <v>1094</v>
      </c>
      <c r="U1177" s="277"/>
      <c r="V1177" s="277"/>
      <c r="W1177" s="277"/>
      <c r="X1177" s="277"/>
      <c r="Y1177" s="277"/>
      <c r="Z1177" s="277"/>
      <c r="AA1177" s="277"/>
      <c r="AB1177" s="277"/>
      <c r="AC1177" s="277"/>
      <c r="AD1177" s="277"/>
      <c r="AE1177" s="277"/>
      <c r="AF1177" s="277"/>
      <c r="AG1177" s="277"/>
      <c r="AH1177" s="277"/>
    </row>
    <row r="1178" spans="16:34" s="185" customFormat="1">
      <c r="P1178" s="277"/>
      <c r="Q1178" s="277"/>
      <c r="R1178" s="277"/>
      <c r="S1178" s="291">
        <v>42734</v>
      </c>
      <c r="T1178" s="279">
        <v>1095</v>
      </c>
      <c r="U1178" s="277"/>
      <c r="V1178" s="277"/>
      <c r="W1178" s="277"/>
      <c r="X1178" s="277"/>
      <c r="Y1178" s="277"/>
      <c r="Z1178" s="277"/>
      <c r="AA1178" s="277"/>
      <c r="AB1178" s="277"/>
      <c r="AC1178" s="277"/>
      <c r="AD1178" s="277"/>
      <c r="AE1178" s="277"/>
      <c r="AF1178" s="277"/>
      <c r="AG1178" s="277"/>
      <c r="AH1178" s="277"/>
    </row>
    <row r="1179" spans="16:34" s="185" customFormat="1">
      <c r="P1179" s="277"/>
      <c r="Q1179" s="277"/>
      <c r="R1179" s="277"/>
      <c r="S1179" s="291">
        <v>42735</v>
      </c>
      <c r="T1179" s="279">
        <v>1096</v>
      </c>
      <c r="U1179" s="277"/>
      <c r="V1179" s="277"/>
      <c r="W1179" s="277"/>
      <c r="X1179" s="277"/>
      <c r="Y1179" s="277"/>
      <c r="Z1179" s="277"/>
      <c r="AA1179" s="277"/>
      <c r="AB1179" s="277"/>
      <c r="AC1179" s="277"/>
      <c r="AD1179" s="277"/>
      <c r="AE1179" s="277"/>
      <c r="AF1179" s="277"/>
      <c r="AG1179" s="277"/>
      <c r="AH1179" s="277"/>
    </row>
    <row r="1180" spans="16:34" s="185" customFormat="1">
      <c r="P1180" s="277"/>
      <c r="Q1180" s="277"/>
      <c r="R1180" s="277"/>
      <c r="S1180" s="291">
        <v>42736</v>
      </c>
      <c r="T1180" s="279">
        <v>1097</v>
      </c>
      <c r="U1180" s="277"/>
      <c r="V1180" s="277"/>
      <c r="W1180" s="277"/>
      <c r="X1180" s="277"/>
      <c r="Y1180" s="277"/>
      <c r="Z1180" s="277"/>
      <c r="AA1180" s="277"/>
      <c r="AB1180" s="277"/>
      <c r="AC1180" s="277"/>
      <c r="AD1180" s="277"/>
      <c r="AE1180" s="277"/>
      <c r="AF1180" s="277"/>
      <c r="AG1180" s="277"/>
      <c r="AH1180" s="277"/>
    </row>
    <row r="1181" spans="16:34" s="185" customFormat="1">
      <c r="P1181" s="277"/>
      <c r="Q1181" s="277"/>
      <c r="R1181" s="277"/>
      <c r="S1181" s="291">
        <v>42737</v>
      </c>
      <c r="T1181" s="279">
        <v>1098</v>
      </c>
      <c r="U1181" s="277"/>
      <c r="V1181" s="277"/>
      <c r="W1181" s="277"/>
      <c r="X1181" s="277"/>
      <c r="Y1181" s="277"/>
      <c r="Z1181" s="277"/>
      <c r="AA1181" s="277"/>
      <c r="AB1181" s="277"/>
      <c r="AC1181" s="277"/>
      <c r="AD1181" s="277"/>
      <c r="AE1181" s="277"/>
      <c r="AF1181" s="277"/>
      <c r="AG1181" s="277"/>
      <c r="AH1181" s="277"/>
    </row>
    <row r="1182" spans="16:34" s="185" customFormat="1">
      <c r="P1182" s="277"/>
      <c r="Q1182" s="277"/>
      <c r="R1182" s="277"/>
      <c r="S1182" s="291">
        <v>42738</v>
      </c>
      <c r="T1182" s="279">
        <v>1099</v>
      </c>
      <c r="U1182" s="277"/>
      <c r="V1182" s="277"/>
      <c r="W1182" s="277"/>
      <c r="X1182" s="277"/>
      <c r="Y1182" s="277"/>
      <c r="Z1182" s="277"/>
      <c r="AA1182" s="277"/>
      <c r="AB1182" s="277"/>
      <c r="AC1182" s="277"/>
      <c r="AD1182" s="277"/>
      <c r="AE1182" s="277"/>
      <c r="AF1182" s="277"/>
      <c r="AG1182" s="277"/>
      <c r="AH1182" s="277"/>
    </row>
    <row r="1183" spans="16:34" s="185" customFormat="1">
      <c r="P1183" s="277"/>
      <c r="Q1183" s="277"/>
      <c r="R1183" s="277"/>
      <c r="S1183" s="291">
        <v>42739</v>
      </c>
      <c r="T1183" s="279">
        <v>1100</v>
      </c>
      <c r="U1183" s="277"/>
      <c r="V1183" s="277"/>
      <c r="W1183" s="277"/>
      <c r="X1183" s="277"/>
      <c r="Y1183" s="277"/>
      <c r="Z1183" s="277"/>
      <c r="AA1183" s="277"/>
      <c r="AB1183" s="277"/>
      <c r="AC1183" s="277"/>
      <c r="AD1183" s="277"/>
      <c r="AE1183" s="277"/>
      <c r="AF1183" s="277"/>
      <c r="AG1183" s="277"/>
      <c r="AH1183" s="277"/>
    </row>
    <row r="1184" spans="16:34" s="185" customFormat="1">
      <c r="P1184" s="277"/>
      <c r="Q1184" s="277"/>
      <c r="R1184" s="277"/>
      <c r="S1184" s="291">
        <v>42740</v>
      </c>
      <c r="T1184" s="279">
        <v>1101</v>
      </c>
      <c r="U1184" s="277"/>
      <c r="V1184" s="277"/>
      <c r="W1184" s="277"/>
      <c r="X1184" s="277"/>
      <c r="Y1184" s="277"/>
      <c r="Z1184" s="277"/>
      <c r="AA1184" s="277"/>
      <c r="AB1184" s="277"/>
      <c r="AC1184" s="277"/>
      <c r="AD1184" s="277"/>
      <c r="AE1184" s="277"/>
      <c r="AF1184" s="277"/>
      <c r="AG1184" s="277"/>
      <c r="AH1184" s="277"/>
    </row>
    <row r="1185" spans="16:34" s="185" customFormat="1">
      <c r="P1185" s="277"/>
      <c r="Q1185" s="277"/>
      <c r="R1185" s="277"/>
      <c r="S1185" s="291">
        <v>42741</v>
      </c>
      <c r="T1185" s="279">
        <v>1102</v>
      </c>
      <c r="U1185" s="277"/>
      <c r="V1185" s="277"/>
      <c r="W1185" s="277"/>
      <c r="X1185" s="277"/>
      <c r="Y1185" s="277"/>
      <c r="Z1185" s="277"/>
      <c r="AA1185" s="277"/>
      <c r="AB1185" s="277"/>
      <c r="AC1185" s="277"/>
      <c r="AD1185" s="277"/>
      <c r="AE1185" s="277"/>
      <c r="AF1185" s="277"/>
      <c r="AG1185" s="277"/>
      <c r="AH1185" s="277"/>
    </row>
    <row r="1186" spans="16:34" s="185" customFormat="1">
      <c r="P1186" s="277"/>
      <c r="Q1186" s="277"/>
      <c r="R1186" s="277"/>
      <c r="S1186" s="291">
        <v>42742</v>
      </c>
      <c r="T1186" s="279">
        <v>1103</v>
      </c>
      <c r="U1186" s="277"/>
      <c r="V1186" s="277"/>
      <c r="W1186" s="277"/>
      <c r="X1186" s="277"/>
      <c r="Y1186" s="277"/>
      <c r="Z1186" s="277"/>
      <c r="AA1186" s="277"/>
      <c r="AB1186" s="277"/>
      <c r="AC1186" s="277"/>
      <c r="AD1186" s="277"/>
      <c r="AE1186" s="277"/>
      <c r="AF1186" s="277"/>
      <c r="AG1186" s="277"/>
      <c r="AH1186" s="277"/>
    </row>
    <row r="1187" spans="16:34" s="185" customFormat="1">
      <c r="P1187" s="277"/>
      <c r="Q1187" s="277"/>
      <c r="R1187" s="277"/>
      <c r="S1187" s="291">
        <v>42743</v>
      </c>
      <c r="T1187" s="279">
        <v>1104</v>
      </c>
      <c r="U1187" s="277"/>
      <c r="V1187" s="277"/>
      <c r="W1187" s="277"/>
      <c r="X1187" s="277"/>
      <c r="Y1187" s="277"/>
      <c r="Z1187" s="277"/>
      <c r="AA1187" s="277"/>
      <c r="AB1187" s="277"/>
      <c r="AC1187" s="277"/>
      <c r="AD1187" s="277"/>
      <c r="AE1187" s="277"/>
      <c r="AF1187" s="277"/>
      <c r="AG1187" s="277"/>
      <c r="AH1187" s="277"/>
    </row>
    <row r="1188" spans="16:34" s="185" customFormat="1">
      <c r="P1188" s="277"/>
      <c r="Q1188" s="277"/>
      <c r="R1188" s="277"/>
      <c r="S1188" s="291">
        <v>42744</v>
      </c>
      <c r="T1188" s="279">
        <v>1105</v>
      </c>
      <c r="U1188" s="277"/>
      <c r="V1188" s="277"/>
      <c r="W1188" s="277"/>
      <c r="X1188" s="277"/>
      <c r="Y1188" s="277"/>
      <c r="Z1188" s="277"/>
      <c r="AA1188" s="277"/>
      <c r="AB1188" s="277"/>
      <c r="AC1188" s="277"/>
      <c r="AD1188" s="277"/>
      <c r="AE1188" s="277"/>
      <c r="AF1188" s="277"/>
      <c r="AG1188" s="277"/>
      <c r="AH1188" s="277"/>
    </row>
    <row r="1189" spans="16:34" s="185" customFormat="1">
      <c r="P1189" s="277"/>
      <c r="Q1189" s="277"/>
      <c r="R1189" s="277"/>
      <c r="S1189" s="291">
        <v>42745</v>
      </c>
      <c r="T1189" s="279">
        <v>1106</v>
      </c>
      <c r="U1189" s="277"/>
      <c r="V1189" s="277"/>
      <c r="W1189" s="277"/>
      <c r="X1189" s="277"/>
      <c r="Y1189" s="277"/>
      <c r="Z1189" s="277"/>
      <c r="AA1189" s="277"/>
      <c r="AB1189" s="277"/>
      <c r="AC1189" s="277"/>
      <c r="AD1189" s="277"/>
      <c r="AE1189" s="277"/>
      <c r="AF1189" s="277"/>
      <c r="AG1189" s="277"/>
      <c r="AH1189" s="277"/>
    </row>
    <row r="1190" spans="16:34" s="185" customFormat="1">
      <c r="P1190" s="277"/>
      <c r="Q1190" s="277"/>
      <c r="R1190" s="277"/>
      <c r="S1190" s="291">
        <v>42746</v>
      </c>
      <c r="T1190" s="279">
        <v>1107</v>
      </c>
      <c r="U1190" s="277"/>
      <c r="V1190" s="277"/>
      <c r="W1190" s="277"/>
      <c r="X1190" s="277"/>
      <c r="Y1190" s="277"/>
      <c r="Z1190" s="277"/>
      <c r="AA1190" s="277"/>
      <c r="AB1190" s="277"/>
      <c r="AC1190" s="277"/>
      <c r="AD1190" s="277"/>
      <c r="AE1190" s="277"/>
      <c r="AF1190" s="277"/>
      <c r="AG1190" s="277"/>
      <c r="AH1190" s="277"/>
    </row>
    <row r="1191" spans="16:34" s="185" customFormat="1">
      <c r="P1191" s="277"/>
      <c r="Q1191" s="277"/>
      <c r="R1191" s="277"/>
      <c r="S1191" s="291">
        <v>42747</v>
      </c>
      <c r="T1191" s="279">
        <v>1108</v>
      </c>
      <c r="U1191" s="277"/>
      <c r="V1191" s="277"/>
      <c r="W1191" s="277"/>
      <c r="X1191" s="277"/>
      <c r="Y1191" s="277"/>
      <c r="Z1191" s="277"/>
      <c r="AA1191" s="277"/>
      <c r="AB1191" s="277"/>
      <c r="AC1191" s="277"/>
      <c r="AD1191" s="277"/>
      <c r="AE1191" s="277"/>
      <c r="AF1191" s="277"/>
      <c r="AG1191" s="277"/>
      <c r="AH1191" s="277"/>
    </row>
    <row r="1192" spans="16:34" s="185" customFormat="1">
      <c r="P1192" s="277"/>
      <c r="Q1192" s="277"/>
      <c r="R1192" s="277"/>
      <c r="S1192" s="291">
        <v>42748</v>
      </c>
      <c r="T1192" s="279">
        <v>1109</v>
      </c>
      <c r="U1192" s="277"/>
      <c r="V1192" s="277"/>
      <c r="W1192" s="277"/>
      <c r="X1192" s="277"/>
      <c r="Y1192" s="277"/>
      <c r="Z1192" s="277"/>
      <c r="AA1192" s="277"/>
      <c r="AB1192" s="277"/>
      <c r="AC1192" s="277"/>
      <c r="AD1192" s="277"/>
      <c r="AE1192" s="277"/>
      <c r="AF1192" s="277"/>
      <c r="AG1192" s="277"/>
      <c r="AH1192" s="277"/>
    </row>
    <row r="1193" spans="16:34" s="185" customFormat="1">
      <c r="P1193" s="277"/>
      <c r="Q1193" s="277"/>
      <c r="R1193" s="277"/>
      <c r="S1193" s="291">
        <v>42749</v>
      </c>
      <c r="T1193" s="279">
        <v>1110</v>
      </c>
      <c r="U1193" s="277"/>
      <c r="V1193" s="277"/>
      <c r="W1193" s="277"/>
      <c r="X1193" s="277"/>
      <c r="Y1193" s="277"/>
      <c r="Z1193" s="277"/>
      <c r="AA1193" s="277"/>
      <c r="AB1193" s="277"/>
      <c r="AC1193" s="277"/>
      <c r="AD1193" s="277"/>
      <c r="AE1193" s="277"/>
      <c r="AF1193" s="277"/>
      <c r="AG1193" s="277"/>
      <c r="AH1193" s="277"/>
    </row>
    <row r="1194" spans="16:34" s="185" customFormat="1">
      <c r="P1194" s="277"/>
      <c r="Q1194" s="277"/>
      <c r="R1194" s="277"/>
      <c r="S1194" s="291">
        <v>42750</v>
      </c>
      <c r="T1194" s="279">
        <v>1111</v>
      </c>
      <c r="U1194" s="277"/>
      <c r="V1194" s="277"/>
      <c r="W1194" s="277"/>
      <c r="X1194" s="277"/>
      <c r="Y1194" s="277"/>
      <c r="Z1194" s="277"/>
      <c r="AA1194" s="277"/>
      <c r="AB1194" s="277"/>
      <c r="AC1194" s="277"/>
      <c r="AD1194" s="277"/>
      <c r="AE1194" s="277"/>
      <c r="AF1194" s="277"/>
      <c r="AG1194" s="277"/>
      <c r="AH1194" s="277"/>
    </row>
    <row r="1195" spans="16:34" s="185" customFormat="1">
      <c r="P1195" s="277"/>
      <c r="Q1195" s="277"/>
      <c r="R1195" s="277"/>
      <c r="S1195" s="291">
        <v>42751</v>
      </c>
      <c r="T1195" s="279">
        <v>1112</v>
      </c>
      <c r="U1195" s="277"/>
      <c r="V1195" s="277"/>
      <c r="W1195" s="277"/>
      <c r="X1195" s="277"/>
      <c r="Y1195" s="277"/>
      <c r="Z1195" s="277"/>
      <c r="AA1195" s="277"/>
      <c r="AB1195" s="277"/>
      <c r="AC1195" s="277"/>
      <c r="AD1195" s="277"/>
      <c r="AE1195" s="277"/>
      <c r="AF1195" s="277"/>
      <c r="AG1195" s="277"/>
      <c r="AH1195" s="277"/>
    </row>
    <row r="1196" spans="16:34" s="185" customFormat="1">
      <c r="P1196" s="277"/>
      <c r="Q1196" s="277"/>
      <c r="R1196" s="277"/>
      <c r="S1196" s="291">
        <v>42752</v>
      </c>
      <c r="T1196" s="279">
        <v>1113</v>
      </c>
      <c r="U1196" s="277"/>
      <c r="V1196" s="277"/>
      <c r="W1196" s="277"/>
      <c r="X1196" s="277"/>
      <c r="Y1196" s="277"/>
      <c r="Z1196" s="277"/>
      <c r="AA1196" s="277"/>
      <c r="AB1196" s="277"/>
      <c r="AC1196" s="277"/>
      <c r="AD1196" s="277"/>
      <c r="AE1196" s="277"/>
      <c r="AF1196" s="277"/>
      <c r="AG1196" s="277"/>
      <c r="AH1196" s="277"/>
    </row>
    <row r="1197" spans="16:34" s="185" customFormat="1">
      <c r="P1197" s="277"/>
      <c r="Q1197" s="277"/>
      <c r="R1197" s="277"/>
      <c r="S1197" s="291">
        <v>42753</v>
      </c>
      <c r="T1197" s="279">
        <v>1114</v>
      </c>
      <c r="U1197" s="277"/>
      <c r="V1197" s="277"/>
      <c r="W1197" s="277"/>
      <c r="X1197" s="277"/>
      <c r="Y1197" s="277"/>
      <c r="Z1197" s="277"/>
      <c r="AA1197" s="277"/>
      <c r="AB1197" s="277"/>
      <c r="AC1197" s="277"/>
      <c r="AD1197" s="277"/>
      <c r="AE1197" s="277"/>
      <c r="AF1197" s="277"/>
      <c r="AG1197" s="277"/>
      <c r="AH1197" s="277"/>
    </row>
    <row r="1198" spans="16:34" s="185" customFormat="1">
      <c r="P1198" s="277"/>
      <c r="Q1198" s="277"/>
      <c r="R1198" s="277"/>
      <c r="S1198" s="291">
        <v>42754</v>
      </c>
      <c r="T1198" s="279">
        <v>1115</v>
      </c>
      <c r="U1198" s="277"/>
      <c r="V1198" s="277"/>
      <c r="W1198" s="277"/>
      <c r="X1198" s="277"/>
      <c r="Y1198" s="277"/>
      <c r="Z1198" s="277"/>
      <c r="AA1198" s="277"/>
      <c r="AB1198" s="277"/>
      <c r="AC1198" s="277"/>
      <c r="AD1198" s="277"/>
      <c r="AE1198" s="277"/>
      <c r="AF1198" s="277"/>
      <c r="AG1198" s="277"/>
      <c r="AH1198" s="277"/>
    </row>
    <row r="1199" spans="16:34" s="185" customFormat="1">
      <c r="P1199" s="277"/>
      <c r="Q1199" s="277"/>
      <c r="R1199" s="277"/>
      <c r="S1199" s="291">
        <v>42755</v>
      </c>
      <c r="T1199" s="279">
        <v>1116</v>
      </c>
      <c r="U1199" s="277"/>
      <c r="V1199" s="277"/>
      <c r="W1199" s="277"/>
      <c r="X1199" s="277"/>
      <c r="Y1199" s="277"/>
      <c r="Z1199" s="277"/>
      <c r="AA1199" s="277"/>
      <c r="AB1199" s="277"/>
      <c r="AC1199" s="277"/>
      <c r="AD1199" s="277"/>
      <c r="AE1199" s="277"/>
      <c r="AF1199" s="277"/>
      <c r="AG1199" s="277"/>
      <c r="AH1199" s="277"/>
    </row>
    <row r="1200" spans="16:34" s="185" customFormat="1">
      <c r="P1200" s="277"/>
      <c r="Q1200" s="277"/>
      <c r="R1200" s="277"/>
      <c r="S1200" s="291">
        <v>42756</v>
      </c>
      <c r="T1200" s="279">
        <v>1117</v>
      </c>
      <c r="U1200" s="277"/>
      <c r="V1200" s="277"/>
      <c r="W1200" s="277"/>
      <c r="X1200" s="277"/>
      <c r="Y1200" s="277"/>
      <c r="Z1200" s="277"/>
      <c r="AA1200" s="277"/>
      <c r="AB1200" s="277"/>
      <c r="AC1200" s="277"/>
      <c r="AD1200" s="277"/>
      <c r="AE1200" s="277"/>
      <c r="AF1200" s="277"/>
      <c r="AG1200" s="277"/>
      <c r="AH1200" s="277"/>
    </row>
    <row r="1201" spans="16:34" s="185" customFormat="1">
      <c r="P1201" s="277"/>
      <c r="Q1201" s="277"/>
      <c r="R1201" s="277"/>
      <c r="S1201" s="291">
        <v>42757</v>
      </c>
      <c r="T1201" s="279">
        <v>1118</v>
      </c>
      <c r="U1201" s="277"/>
      <c r="V1201" s="277"/>
      <c r="W1201" s="277"/>
      <c r="X1201" s="277"/>
      <c r="Y1201" s="277"/>
      <c r="Z1201" s="277"/>
      <c r="AA1201" s="277"/>
      <c r="AB1201" s="277"/>
      <c r="AC1201" s="277"/>
      <c r="AD1201" s="277"/>
      <c r="AE1201" s="277"/>
      <c r="AF1201" s="277"/>
      <c r="AG1201" s="277"/>
      <c r="AH1201" s="277"/>
    </row>
    <row r="1202" spans="16:34" s="185" customFormat="1">
      <c r="P1202" s="277"/>
      <c r="Q1202" s="277"/>
      <c r="R1202" s="277"/>
      <c r="S1202" s="291">
        <v>42758</v>
      </c>
      <c r="T1202" s="279">
        <v>1119</v>
      </c>
      <c r="U1202" s="277"/>
      <c r="V1202" s="277"/>
      <c r="W1202" s="277"/>
      <c r="X1202" s="277"/>
      <c r="Y1202" s="277"/>
      <c r="Z1202" s="277"/>
      <c r="AA1202" s="277"/>
      <c r="AB1202" s="277"/>
      <c r="AC1202" s="277"/>
      <c r="AD1202" s="277"/>
      <c r="AE1202" s="277"/>
      <c r="AF1202" s="277"/>
      <c r="AG1202" s="277"/>
      <c r="AH1202" s="277"/>
    </row>
    <row r="1203" spans="16:34" s="185" customFormat="1">
      <c r="P1203" s="277"/>
      <c r="Q1203" s="277"/>
      <c r="R1203" s="277"/>
      <c r="S1203" s="291">
        <v>42759</v>
      </c>
      <c r="T1203" s="279">
        <v>1120</v>
      </c>
      <c r="U1203" s="277"/>
      <c r="V1203" s="277"/>
      <c r="W1203" s="277"/>
      <c r="X1203" s="277"/>
      <c r="Y1203" s="277"/>
      <c r="Z1203" s="277"/>
      <c r="AA1203" s="277"/>
      <c r="AB1203" s="277"/>
      <c r="AC1203" s="277"/>
      <c r="AD1203" s="277"/>
      <c r="AE1203" s="277"/>
      <c r="AF1203" s="277"/>
      <c r="AG1203" s="277"/>
      <c r="AH1203" s="277"/>
    </row>
    <row r="1204" spans="16:34" s="185" customFormat="1">
      <c r="P1204" s="277"/>
      <c r="Q1204" s="277"/>
      <c r="R1204" s="277"/>
      <c r="S1204" s="291">
        <v>42760</v>
      </c>
      <c r="T1204" s="279">
        <v>1121</v>
      </c>
      <c r="U1204" s="277"/>
      <c r="V1204" s="277"/>
      <c r="W1204" s="277"/>
      <c r="X1204" s="277"/>
      <c r="Y1204" s="277"/>
      <c r="Z1204" s="277"/>
      <c r="AA1204" s="277"/>
      <c r="AB1204" s="277"/>
      <c r="AC1204" s="277"/>
      <c r="AD1204" s="277"/>
      <c r="AE1204" s="277"/>
      <c r="AF1204" s="277"/>
      <c r="AG1204" s="277"/>
      <c r="AH1204" s="277"/>
    </row>
    <row r="1205" spans="16:34" s="185" customFormat="1">
      <c r="P1205" s="277"/>
      <c r="Q1205" s="277"/>
      <c r="R1205" s="277"/>
      <c r="S1205" s="291">
        <v>42761</v>
      </c>
      <c r="T1205" s="279">
        <v>1122</v>
      </c>
      <c r="U1205" s="277"/>
      <c r="V1205" s="277"/>
      <c r="W1205" s="277"/>
      <c r="X1205" s="277"/>
      <c r="Y1205" s="277"/>
      <c r="Z1205" s="277"/>
      <c r="AA1205" s="277"/>
      <c r="AB1205" s="277"/>
      <c r="AC1205" s="277"/>
      <c r="AD1205" s="277"/>
      <c r="AE1205" s="277"/>
      <c r="AF1205" s="277"/>
      <c r="AG1205" s="277"/>
      <c r="AH1205" s="277"/>
    </row>
    <row r="1206" spans="16:34" s="185" customFormat="1">
      <c r="P1206" s="277"/>
      <c r="Q1206" s="277"/>
      <c r="R1206" s="277"/>
      <c r="S1206" s="291">
        <v>42762</v>
      </c>
      <c r="T1206" s="279">
        <v>1123</v>
      </c>
      <c r="U1206" s="277"/>
      <c r="V1206" s="277"/>
      <c r="W1206" s="277"/>
      <c r="X1206" s="277"/>
      <c r="Y1206" s="277"/>
      <c r="Z1206" s="277"/>
      <c r="AA1206" s="277"/>
      <c r="AB1206" s="277"/>
      <c r="AC1206" s="277"/>
      <c r="AD1206" s="277"/>
      <c r="AE1206" s="277"/>
      <c r="AF1206" s="277"/>
      <c r="AG1206" s="277"/>
      <c r="AH1206" s="277"/>
    </row>
    <row r="1207" spans="16:34" s="185" customFormat="1">
      <c r="P1207" s="277"/>
      <c r="Q1207" s="277"/>
      <c r="R1207" s="277"/>
      <c r="S1207" s="291">
        <v>42763</v>
      </c>
      <c r="T1207" s="279">
        <v>1124</v>
      </c>
      <c r="U1207" s="277"/>
      <c r="V1207" s="277"/>
      <c r="W1207" s="277"/>
      <c r="X1207" s="277"/>
      <c r="Y1207" s="277"/>
      <c r="Z1207" s="277"/>
      <c r="AA1207" s="277"/>
      <c r="AB1207" s="277"/>
      <c r="AC1207" s="277"/>
      <c r="AD1207" s="277"/>
      <c r="AE1207" s="277"/>
      <c r="AF1207" s="277"/>
      <c r="AG1207" s="277"/>
      <c r="AH1207" s="277"/>
    </row>
    <row r="1208" spans="16:34" s="185" customFormat="1">
      <c r="P1208" s="277"/>
      <c r="Q1208" s="277"/>
      <c r="R1208" s="277"/>
      <c r="S1208" s="291">
        <v>42764</v>
      </c>
      <c r="T1208" s="279">
        <v>1125</v>
      </c>
      <c r="U1208" s="277"/>
      <c r="V1208" s="277"/>
      <c r="W1208" s="277"/>
      <c r="X1208" s="277"/>
      <c r="Y1208" s="277"/>
      <c r="Z1208" s="277"/>
      <c r="AA1208" s="277"/>
      <c r="AB1208" s="277"/>
      <c r="AC1208" s="277"/>
      <c r="AD1208" s="277"/>
      <c r="AE1208" s="277"/>
      <c r="AF1208" s="277"/>
      <c r="AG1208" s="277"/>
      <c r="AH1208" s="277"/>
    </row>
    <row r="1209" spans="16:34" s="185" customFormat="1">
      <c r="P1209" s="277"/>
      <c r="Q1209" s="277"/>
      <c r="R1209" s="277"/>
      <c r="S1209" s="291">
        <v>42765</v>
      </c>
      <c r="T1209" s="279">
        <v>1126</v>
      </c>
      <c r="U1209" s="277"/>
      <c r="V1209" s="277"/>
      <c r="W1209" s="277"/>
      <c r="X1209" s="277"/>
      <c r="Y1209" s="277"/>
      <c r="Z1209" s="277"/>
      <c r="AA1209" s="277"/>
      <c r="AB1209" s="277"/>
      <c r="AC1209" s="277"/>
      <c r="AD1209" s="277"/>
      <c r="AE1209" s="277"/>
      <c r="AF1209" s="277"/>
      <c r="AG1209" s="277"/>
      <c r="AH1209" s="277"/>
    </row>
    <row r="1210" spans="16:34" s="185" customFormat="1">
      <c r="P1210" s="277"/>
      <c r="Q1210" s="277"/>
      <c r="R1210" s="277"/>
      <c r="S1210" s="291">
        <v>42766</v>
      </c>
      <c r="T1210" s="279">
        <v>1127</v>
      </c>
      <c r="U1210" s="277"/>
      <c r="V1210" s="277"/>
      <c r="W1210" s="277"/>
      <c r="X1210" s="277"/>
      <c r="Y1210" s="277"/>
      <c r="Z1210" s="277"/>
      <c r="AA1210" s="277"/>
      <c r="AB1210" s="277"/>
      <c r="AC1210" s="277"/>
      <c r="AD1210" s="277"/>
      <c r="AE1210" s="277"/>
      <c r="AF1210" s="277"/>
      <c r="AG1210" s="277"/>
      <c r="AH1210" s="277"/>
    </row>
    <row r="1211" spans="16:34" s="185" customFormat="1">
      <c r="P1211" s="277"/>
      <c r="Q1211" s="277"/>
      <c r="R1211" s="277"/>
      <c r="S1211" s="291">
        <v>42767</v>
      </c>
      <c r="T1211" s="279">
        <v>1128</v>
      </c>
      <c r="U1211" s="277"/>
      <c r="V1211" s="277"/>
      <c r="W1211" s="277"/>
      <c r="X1211" s="277"/>
      <c r="Y1211" s="277"/>
      <c r="Z1211" s="277"/>
      <c r="AA1211" s="277"/>
      <c r="AB1211" s="277"/>
      <c r="AC1211" s="277"/>
      <c r="AD1211" s="277"/>
      <c r="AE1211" s="277"/>
      <c r="AF1211" s="277"/>
      <c r="AG1211" s="277"/>
      <c r="AH1211" s="277"/>
    </row>
    <row r="1212" spans="16:34" s="185" customFormat="1">
      <c r="P1212" s="277"/>
      <c r="Q1212" s="277"/>
      <c r="R1212" s="277"/>
      <c r="S1212" s="291">
        <v>42768</v>
      </c>
      <c r="T1212" s="279">
        <v>1129</v>
      </c>
      <c r="U1212" s="277"/>
      <c r="V1212" s="277"/>
      <c r="W1212" s="277"/>
      <c r="X1212" s="277"/>
      <c r="Y1212" s="277"/>
      <c r="Z1212" s="277"/>
      <c r="AA1212" s="277"/>
      <c r="AB1212" s="277"/>
      <c r="AC1212" s="277"/>
      <c r="AD1212" s="277"/>
      <c r="AE1212" s="277"/>
      <c r="AF1212" s="277"/>
      <c r="AG1212" s="277"/>
      <c r="AH1212" s="277"/>
    </row>
    <row r="1213" spans="16:34" s="185" customFormat="1">
      <c r="P1213" s="277"/>
      <c r="Q1213" s="277"/>
      <c r="R1213" s="277"/>
      <c r="S1213" s="291">
        <v>42769</v>
      </c>
      <c r="T1213" s="279">
        <v>1130</v>
      </c>
      <c r="U1213" s="277"/>
      <c r="V1213" s="277"/>
      <c r="W1213" s="277"/>
      <c r="X1213" s="277"/>
      <c r="Y1213" s="277"/>
      <c r="Z1213" s="277"/>
      <c r="AA1213" s="277"/>
      <c r="AB1213" s="277"/>
      <c r="AC1213" s="277"/>
      <c r="AD1213" s="277"/>
      <c r="AE1213" s="277"/>
      <c r="AF1213" s="277"/>
      <c r="AG1213" s="277"/>
      <c r="AH1213" s="277"/>
    </row>
    <row r="1214" spans="16:34" s="185" customFormat="1">
      <c r="P1214" s="277"/>
      <c r="Q1214" s="277"/>
      <c r="R1214" s="277"/>
      <c r="S1214" s="291">
        <v>42770</v>
      </c>
      <c r="T1214" s="279">
        <v>1131</v>
      </c>
      <c r="U1214" s="277"/>
      <c r="V1214" s="277"/>
      <c r="W1214" s="277"/>
      <c r="X1214" s="277"/>
      <c r="Y1214" s="277"/>
      <c r="Z1214" s="277"/>
      <c r="AA1214" s="277"/>
      <c r="AB1214" s="277"/>
      <c r="AC1214" s="277"/>
      <c r="AD1214" s="277"/>
      <c r="AE1214" s="277"/>
      <c r="AF1214" s="277"/>
      <c r="AG1214" s="277"/>
      <c r="AH1214" s="277"/>
    </row>
    <row r="1215" spans="16:34" s="185" customFormat="1">
      <c r="P1215" s="277"/>
      <c r="Q1215" s="277"/>
      <c r="R1215" s="277"/>
      <c r="S1215" s="291">
        <v>42771</v>
      </c>
      <c r="T1215" s="279">
        <v>1132</v>
      </c>
      <c r="U1215" s="277"/>
      <c r="V1215" s="277"/>
      <c r="W1215" s="277"/>
      <c r="X1215" s="277"/>
      <c r="Y1215" s="277"/>
      <c r="Z1215" s="277"/>
      <c r="AA1215" s="277"/>
      <c r="AB1215" s="277"/>
      <c r="AC1215" s="277"/>
      <c r="AD1215" s="277"/>
      <c r="AE1215" s="277"/>
      <c r="AF1215" s="277"/>
      <c r="AG1215" s="277"/>
      <c r="AH1215" s="277"/>
    </row>
    <row r="1216" spans="16:34" s="185" customFormat="1">
      <c r="P1216" s="277"/>
      <c r="Q1216" s="277"/>
      <c r="R1216" s="277"/>
      <c r="S1216" s="291">
        <v>42772</v>
      </c>
      <c r="T1216" s="279">
        <v>1133</v>
      </c>
      <c r="U1216" s="277"/>
      <c r="V1216" s="277"/>
      <c r="W1216" s="277"/>
      <c r="X1216" s="277"/>
      <c r="Y1216" s="277"/>
      <c r="Z1216" s="277"/>
      <c r="AA1216" s="277"/>
      <c r="AB1216" s="277"/>
      <c r="AC1216" s="277"/>
      <c r="AD1216" s="277"/>
      <c r="AE1216" s="277"/>
      <c r="AF1216" s="277"/>
      <c r="AG1216" s="277"/>
      <c r="AH1216" s="277"/>
    </row>
    <row r="1217" spans="16:34" s="185" customFormat="1">
      <c r="P1217" s="277"/>
      <c r="Q1217" s="277"/>
      <c r="R1217" s="277"/>
      <c r="S1217" s="291">
        <v>42773</v>
      </c>
      <c r="T1217" s="279">
        <v>1134</v>
      </c>
      <c r="U1217" s="277"/>
      <c r="V1217" s="277"/>
      <c r="W1217" s="277"/>
      <c r="X1217" s="277"/>
      <c r="Y1217" s="277"/>
      <c r="Z1217" s="277"/>
      <c r="AA1217" s="277"/>
      <c r="AB1217" s="277"/>
      <c r="AC1217" s="277"/>
      <c r="AD1217" s="277"/>
      <c r="AE1217" s="277"/>
      <c r="AF1217" s="277"/>
      <c r="AG1217" s="277"/>
      <c r="AH1217" s="277"/>
    </row>
    <row r="1218" spans="16:34" s="185" customFormat="1">
      <c r="P1218" s="277"/>
      <c r="Q1218" s="277"/>
      <c r="R1218" s="277"/>
      <c r="S1218" s="291">
        <v>42774</v>
      </c>
      <c r="T1218" s="279">
        <v>1135</v>
      </c>
      <c r="U1218" s="277"/>
      <c r="V1218" s="277"/>
      <c r="W1218" s="277"/>
      <c r="X1218" s="277"/>
      <c r="Y1218" s="277"/>
      <c r="Z1218" s="277"/>
      <c r="AA1218" s="277"/>
      <c r="AB1218" s="277"/>
      <c r="AC1218" s="277"/>
      <c r="AD1218" s="277"/>
      <c r="AE1218" s="277"/>
      <c r="AF1218" s="277"/>
      <c r="AG1218" s="277"/>
      <c r="AH1218" s="277"/>
    </row>
    <row r="1219" spans="16:34" s="185" customFormat="1">
      <c r="P1219" s="277"/>
      <c r="Q1219" s="277"/>
      <c r="R1219" s="277"/>
      <c r="S1219" s="291">
        <v>42775</v>
      </c>
      <c r="T1219" s="279">
        <v>1136</v>
      </c>
      <c r="U1219" s="277"/>
      <c r="V1219" s="277"/>
      <c r="W1219" s="277"/>
      <c r="X1219" s="277"/>
      <c r="Y1219" s="277"/>
      <c r="Z1219" s="277"/>
      <c r="AA1219" s="277"/>
      <c r="AB1219" s="277"/>
      <c r="AC1219" s="277"/>
      <c r="AD1219" s="277"/>
      <c r="AE1219" s="277"/>
      <c r="AF1219" s="277"/>
      <c r="AG1219" s="277"/>
      <c r="AH1219" s="277"/>
    </row>
    <row r="1220" spans="16:34" s="185" customFormat="1">
      <c r="P1220" s="277"/>
      <c r="Q1220" s="277"/>
      <c r="R1220" s="277"/>
      <c r="S1220" s="291">
        <v>42776</v>
      </c>
      <c r="T1220" s="279">
        <v>1137</v>
      </c>
      <c r="U1220" s="277"/>
      <c r="V1220" s="277"/>
      <c r="W1220" s="277"/>
      <c r="X1220" s="277"/>
      <c r="Y1220" s="277"/>
      <c r="Z1220" s="277"/>
      <c r="AA1220" s="277"/>
      <c r="AB1220" s="277"/>
      <c r="AC1220" s="277"/>
      <c r="AD1220" s="277"/>
      <c r="AE1220" s="277"/>
      <c r="AF1220" s="277"/>
      <c r="AG1220" s="277"/>
      <c r="AH1220" s="277"/>
    </row>
    <row r="1221" spans="16:34" s="185" customFormat="1">
      <c r="P1221" s="277"/>
      <c r="Q1221" s="277"/>
      <c r="R1221" s="277"/>
      <c r="S1221" s="291">
        <v>42777</v>
      </c>
      <c r="T1221" s="279">
        <v>1138</v>
      </c>
      <c r="U1221" s="277"/>
      <c r="V1221" s="277"/>
      <c r="W1221" s="277"/>
      <c r="X1221" s="277"/>
      <c r="Y1221" s="277"/>
      <c r="Z1221" s="277"/>
      <c r="AA1221" s="277"/>
      <c r="AB1221" s="277"/>
      <c r="AC1221" s="277"/>
      <c r="AD1221" s="277"/>
      <c r="AE1221" s="277"/>
      <c r="AF1221" s="277"/>
      <c r="AG1221" s="277"/>
      <c r="AH1221" s="277"/>
    </row>
    <row r="1222" spans="16:34" s="185" customFormat="1">
      <c r="P1222" s="277"/>
      <c r="Q1222" s="277"/>
      <c r="R1222" s="277"/>
      <c r="S1222" s="291">
        <v>42778</v>
      </c>
      <c r="T1222" s="279">
        <v>1139</v>
      </c>
      <c r="U1222" s="277"/>
      <c r="V1222" s="277"/>
      <c r="W1222" s="277"/>
      <c r="X1222" s="277"/>
      <c r="Y1222" s="277"/>
      <c r="Z1222" s="277"/>
      <c r="AA1222" s="277"/>
      <c r="AB1222" s="277"/>
      <c r="AC1222" s="277"/>
      <c r="AD1222" s="277"/>
      <c r="AE1222" s="277"/>
      <c r="AF1222" s="277"/>
      <c r="AG1222" s="277"/>
      <c r="AH1222" s="277"/>
    </row>
    <row r="1223" spans="16:34" s="185" customFormat="1">
      <c r="P1223" s="277"/>
      <c r="Q1223" s="277"/>
      <c r="R1223" s="277"/>
      <c r="S1223" s="291">
        <v>42779</v>
      </c>
      <c r="T1223" s="279">
        <v>1140</v>
      </c>
      <c r="U1223" s="277"/>
      <c r="V1223" s="277"/>
      <c r="W1223" s="277"/>
      <c r="X1223" s="277"/>
      <c r="Y1223" s="277"/>
      <c r="Z1223" s="277"/>
      <c r="AA1223" s="277"/>
      <c r="AB1223" s="277"/>
      <c r="AC1223" s="277"/>
      <c r="AD1223" s="277"/>
      <c r="AE1223" s="277"/>
      <c r="AF1223" s="277"/>
      <c r="AG1223" s="277"/>
      <c r="AH1223" s="277"/>
    </row>
    <row r="1224" spans="16:34" s="185" customFormat="1">
      <c r="P1224" s="277"/>
      <c r="Q1224" s="277"/>
      <c r="R1224" s="277"/>
      <c r="S1224" s="291">
        <v>42780</v>
      </c>
      <c r="T1224" s="279">
        <v>1141</v>
      </c>
      <c r="U1224" s="277"/>
      <c r="V1224" s="277"/>
      <c r="W1224" s="277"/>
      <c r="X1224" s="277"/>
      <c r="Y1224" s="277"/>
      <c r="Z1224" s="277"/>
      <c r="AA1224" s="277"/>
      <c r="AB1224" s="277"/>
      <c r="AC1224" s="277"/>
      <c r="AD1224" s="277"/>
      <c r="AE1224" s="277"/>
      <c r="AF1224" s="277"/>
      <c r="AG1224" s="277"/>
      <c r="AH1224" s="277"/>
    </row>
    <row r="1225" spans="16:34" s="185" customFormat="1">
      <c r="P1225" s="277"/>
      <c r="Q1225" s="277"/>
      <c r="R1225" s="277"/>
      <c r="S1225" s="291">
        <v>42781</v>
      </c>
      <c r="T1225" s="279">
        <v>1142</v>
      </c>
      <c r="U1225" s="277"/>
      <c r="V1225" s="277"/>
      <c r="W1225" s="277"/>
      <c r="X1225" s="277"/>
      <c r="Y1225" s="277"/>
      <c r="Z1225" s="277"/>
      <c r="AA1225" s="277"/>
      <c r="AB1225" s="277"/>
      <c r="AC1225" s="277"/>
      <c r="AD1225" s="277"/>
      <c r="AE1225" s="277"/>
      <c r="AF1225" s="277"/>
      <c r="AG1225" s="277"/>
      <c r="AH1225" s="277"/>
    </row>
    <row r="1226" spans="16:34" s="185" customFormat="1">
      <c r="P1226" s="277"/>
      <c r="Q1226" s="277"/>
      <c r="R1226" s="277"/>
      <c r="S1226" s="291">
        <v>42782</v>
      </c>
      <c r="T1226" s="279">
        <v>1143</v>
      </c>
      <c r="U1226" s="277"/>
      <c r="V1226" s="277"/>
      <c r="W1226" s="277"/>
      <c r="X1226" s="277"/>
      <c r="Y1226" s="277"/>
      <c r="Z1226" s="277"/>
      <c r="AA1226" s="277"/>
      <c r="AB1226" s="277"/>
      <c r="AC1226" s="277"/>
      <c r="AD1226" s="277"/>
      <c r="AE1226" s="277"/>
      <c r="AF1226" s="277"/>
      <c r="AG1226" s="277"/>
      <c r="AH1226" s="277"/>
    </row>
    <row r="1227" spans="16:34" s="185" customFormat="1">
      <c r="P1227" s="277"/>
      <c r="Q1227" s="277"/>
      <c r="R1227" s="277"/>
      <c r="S1227" s="291">
        <v>42783</v>
      </c>
      <c r="T1227" s="279">
        <v>1144</v>
      </c>
      <c r="U1227" s="277"/>
      <c r="V1227" s="277"/>
      <c r="W1227" s="277"/>
      <c r="X1227" s="277"/>
      <c r="Y1227" s="277"/>
      <c r="Z1227" s="277"/>
      <c r="AA1227" s="277"/>
      <c r="AB1227" s="277"/>
      <c r="AC1227" s="277"/>
      <c r="AD1227" s="277"/>
      <c r="AE1227" s="277"/>
      <c r="AF1227" s="277"/>
      <c r="AG1227" s="277"/>
      <c r="AH1227" s="277"/>
    </row>
    <row r="1228" spans="16:34" s="185" customFormat="1">
      <c r="P1228" s="277"/>
      <c r="Q1228" s="277"/>
      <c r="R1228" s="277"/>
      <c r="S1228" s="291">
        <v>42784</v>
      </c>
      <c r="T1228" s="279">
        <v>1145</v>
      </c>
      <c r="U1228" s="277"/>
      <c r="V1228" s="277"/>
      <c r="W1228" s="277"/>
      <c r="X1228" s="277"/>
      <c r="Y1228" s="277"/>
      <c r="Z1228" s="277"/>
      <c r="AA1228" s="277"/>
      <c r="AB1228" s="277"/>
      <c r="AC1228" s="277"/>
      <c r="AD1228" s="277"/>
      <c r="AE1228" s="277"/>
      <c r="AF1228" s="277"/>
      <c r="AG1228" s="277"/>
      <c r="AH1228" s="277"/>
    </row>
    <row r="1229" spans="16:34" s="185" customFormat="1">
      <c r="P1229" s="277"/>
      <c r="Q1229" s="277"/>
      <c r="R1229" s="277"/>
      <c r="S1229" s="291">
        <v>42785</v>
      </c>
      <c r="T1229" s="279">
        <v>1146</v>
      </c>
      <c r="U1229" s="277"/>
      <c r="V1229" s="277"/>
      <c r="W1229" s="277"/>
      <c r="X1229" s="277"/>
      <c r="Y1229" s="277"/>
      <c r="Z1229" s="277"/>
      <c r="AA1229" s="277"/>
      <c r="AB1229" s="277"/>
      <c r="AC1229" s="277"/>
      <c r="AD1229" s="277"/>
      <c r="AE1229" s="277"/>
      <c r="AF1229" s="277"/>
      <c r="AG1229" s="277"/>
      <c r="AH1229" s="277"/>
    </row>
    <row r="1230" spans="16:34" s="185" customFormat="1">
      <c r="P1230" s="277"/>
      <c r="Q1230" s="277"/>
      <c r="R1230" s="277"/>
      <c r="S1230" s="291">
        <v>42786</v>
      </c>
      <c r="T1230" s="279">
        <v>1147</v>
      </c>
      <c r="U1230" s="277"/>
      <c r="V1230" s="277"/>
      <c r="W1230" s="277"/>
      <c r="X1230" s="277"/>
      <c r="Y1230" s="277"/>
      <c r="Z1230" s="277"/>
      <c r="AA1230" s="277"/>
      <c r="AB1230" s="277"/>
      <c r="AC1230" s="277"/>
      <c r="AD1230" s="277"/>
      <c r="AE1230" s="277"/>
      <c r="AF1230" s="277"/>
      <c r="AG1230" s="277"/>
      <c r="AH1230" s="277"/>
    </row>
    <row r="1231" spans="16:34" s="185" customFormat="1">
      <c r="P1231" s="277"/>
      <c r="Q1231" s="277"/>
      <c r="R1231" s="277"/>
      <c r="S1231" s="291">
        <v>42787</v>
      </c>
      <c r="T1231" s="279">
        <v>1148</v>
      </c>
      <c r="U1231" s="277"/>
      <c r="V1231" s="277"/>
      <c r="W1231" s="277"/>
      <c r="X1231" s="277"/>
      <c r="Y1231" s="277"/>
      <c r="Z1231" s="277"/>
      <c r="AA1231" s="277"/>
      <c r="AB1231" s="277"/>
      <c r="AC1231" s="277"/>
      <c r="AD1231" s="277"/>
      <c r="AE1231" s="277"/>
      <c r="AF1231" s="277"/>
      <c r="AG1231" s="277"/>
      <c r="AH1231" s="277"/>
    </row>
    <row r="1232" spans="16:34" s="185" customFormat="1">
      <c r="P1232" s="277"/>
      <c r="Q1232" s="277"/>
      <c r="R1232" s="277"/>
      <c r="S1232" s="291">
        <v>42788</v>
      </c>
      <c r="T1232" s="279">
        <v>1149</v>
      </c>
      <c r="U1232" s="277"/>
      <c r="V1232" s="277"/>
      <c r="W1232" s="277"/>
      <c r="X1232" s="277"/>
      <c r="Y1232" s="277"/>
      <c r="Z1232" s="277"/>
      <c r="AA1232" s="277"/>
      <c r="AB1232" s="277"/>
      <c r="AC1232" s="277"/>
      <c r="AD1232" s="277"/>
      <c r="AE1232" s="277"/>
      <c r="AF1232" s="277"/>
      <c r="AG1232" s="277"/>
      <c r="AH1232" s="277"/>
    </row>
    <row r="1233" spans="16:34" s="185" customFormat="1">
      <c r="P1233" s="277"/>
      <c r="Q1233" s="277"/>
      <c r="R1233" s="277"/>
      <c r="S1233" s="291">
        <v>42789</v>
      </c>
      <c r="T1233" s="279">
        <v>1150</v>
      </c>
      <c r="U1233" s="277"/>
      <c r="V1233" s="277"/>
      <c r="W1233" s="277"/>
      <c r="X1233" s="277"/>
      <c r="Y1233" s="277"/>
      <c r="Z1233" s="277"/>
      <c r="AA1233" s="277"/>
      <c r="AB1233" s="277"/>
      <c r="AC1233" s="277"/>
      <c r="AD1233" s="277"/>
      <c r="AE1233" s="277"/>
      <c r="AF1233" s="277"/>
      <c r="AG1233" s="277"/>
      <c r="AH1233" s="277"/>
    </row>
    <row r="1234" spans="16:34" s="185" customFormat="1">
      <c r="P1234" s="277"/>
      <c r="Q1234" s="277"/>
      <c r="R1234" s="277"/>
      <c r="S1234" s="291">
        <v>42790</v>
      </c>
      <c r="T1234" s="279">
        <v>1151</v>
      </c>
      <c r="U1234" s="277"/>
      <c r="V1234" s="277"/>
      <c r="W1234" s="277"/>
      <c r="X1234" s="277"/>
      <c r="Y1234" s="277"/>
      <c r="Z1234" s="277"/>
      <c r="AA1234" s="277"/>
      <c r="AB1234" s="277"/>
      <c r="AC1234" s="277"/>
      <c r="AD1234" s="277"/>
      <c r="AE1234" s="277"/>
      <c r="AF1234" s="277"/>
      <c r="AG1234" s="277"/>
      <c r="AH1234" s="277"/>
    </row>
    <row r="1235" spans="16:34" s="185" customFormat="1">
      <c r="P1235" s="277"/>
      <c r="Q1235" s="277"/>
      <c r="R1235" s="277"/>
      <c r="S1235" s="291">
        <v>42791</v>
      </c>
      <c r="T1235" s="279">
        <v>1152</v>
      </c>
      <c r="U1235" s="277"/>
      <c r="V1235" s="277"/>
      <c r="W1235" s="277"/>
      <c r="X1235" s="277"/>
      <c r="Y1235" s="277"/>
      <c r="Z1235" s="277"/>
      <c r="AA1235" s="277"/>
      <c r="AB1235" s="277"/>
      <c r="AC1235" s="277"/>
      <c r="AD1235" s="277"/>
      <c r="AE1235" s="277"/>
      <c r="AF1235" s="277"/>
      <c r="AG1235" s="277"/>
      <c r="AH1235" s="277"/>
    </row>
    <row r="1236" spans="16:34" s="185" customFormat="1">
      <c r="P1236" s="277"/>
      <c r="Q1236" s="277"/>
      <c r="R1236" s="277"/>
      <c r="S1236" s="291">
        <v>42792</v>
      </c>
      <c r="T1236" s="279">
        <v>1153</v>
      </c>
      <c r="U1236" s="277"/>
      <c r="V1236" s="277"/>
      <c r="W1236" s="277"/>
      <c r="X1236" s="277"/>
      <c r="Y1236" s="277"/>
      <c r="Z1236" s="277"/>
      <c r="AA1236" s="277"/>
      <c r="AB1236" s="277"/>
      <c r="AC1236" s="277"/>
      <c r="AD1236" s="277"/>
      <c r="AE1236" s="277"/>
      <c r="AF1236" s="277"/>
      <c r="AG1236" s="277"/>
      <c r="AH1236" s="277"/>
    </row>
    <row r="1237" spans="16:34" s="185" customFormat="1">
      <c r="P1237" s="277"/>
      <c r="Q1237" s="277"/>
      <c r="R1237" s="277"/>
      <c r="S1237" s="291">
        <v>42793</v>
      </c>
      <c r="T1237" s="279">
        <v>1154</v>
      </c>
      <c r="U1237" s="277"/>
      <c r="V1237" s="277"/>
      <c r="W1237" s="277"/>
      <c r="X1237" s="277"/>
      <c r="Y1237" s="277"/>
      <c r="Z1237" s="277"/>
      <c r="AA1237" s="277"/>
      <c r="AB1237" s="277"/>
      <c r="AC1237" s="277"/>
      <c r="AD1237" s="277"/>
      <c r="AE1237" s="277"/>
      <c r="AF1237" s="277"/>
      <c r="AG1237" s="277"/>
      <c r="AH1237" s="277"/>
    </row>
    <row r="1238" spans="16:34" s="185" customFormat="1">
      <c r="P1238" s="277"/>
      <c r="Q1238" s="277"/>
      <c r="R1238" s="277"/>
      <c r="S1238" s="291">
        <v>42794</v>
      </c>
      <c r="T1238" s="279">
        <v>1155</v>
      </c>
      <c r="U1238" s="277"/>
      <c r="V1238" s="277"/>
      <c r="W1238" s="277"/>
      <c r="X1238" s="277"/>
      <c r="Y1238" s="277"/>
      <c r="Z1238" s="277"/>
      <c r="AA1238" s="277"/>
      <c r="AB1238" s="277"/>
      <c r="AC1238" s="277"/>
      <c r="AD1238" s="277"/>
      <c r="AE1238" s="277"/>
      <c r="AF1238" s="277"/>
      <c r="AG1238" s="277"/>
      <c r="AH1238" s="277"/>
    </row>
    <row r="1239" spans="16:34" s="185" customFormat="1">
      <c r="P1239" s="277"/>
      <c r="Q1239" s="277"/>
      <c r="R1239" s="277"/>
      <c r="S1239" s="291">
        <v>42795</v>
      </c>
      <c r="T1239" s="279">
        <v>1156</v>
      </c>
      <c r="U1239" s="277"/>
      <c r="V1239" s="277"/>
      <c r="W1239" s="277"/>
      <c r="X1239" s="277"/>
      <c r="Y1239" s="277"/>
      <c r="Z1239" s="277"/>
      <c r="AA1239" s="277"/>
      <c r="AB1239" s="277"/>
      <c r="AC1239" s="277"/>
      <c r="AD1239" s="277"/>
      <c r="AE1239" s="277"/>
      <c r="AF1239" s="277"/>
      <c r="AG1239" s="277"/>
      <c r="AH1239" s="277"/>
    </row>
    <row r="1240" spans="16:34" s="185" customFormat="1">
      <c r="P1240" s="277"/>
      <c r="Q1240" s="277"/>
      <c r="R1240" s="277"/>
      <c r="S1240" s="291">
        <v>42796</v>
      </c>
      <c r="T1240" s="279">
        <v>1157</v>
      </c>
      <c r="U1240" s="277"/>
      <c r="V1240" s="277"/>
      <c r="W1240" s="277"/>
      <c r="X1240" s="277"/>
      <c r="Y1240" s="277"/>
      <c r="Z1240" s="277"/>
      <c r="AA1240" s="277"/>
      <c r="AB1240" s="277"/>
      <c r="AC1240" s="277"/>
      <c r="AD1240" s="277"/>
      <c r="AE1240" s="277"/>
      <c r="AF1240" s="277"/>
      <c r="AG1240" s="277"/>
      <c r="AH1240" s="277"/>
    </row>
    <row r="1241" spans="16:34" s="185" customFormat="1">
      <c r="P1241" s="277"/>
      <c r="Q1241" s="277"/>
      <c r="R1241" s="277"/>
      <c r="S1241" s="291">
        <v>42797</v>
      </c>
      <c r="T1241" s="279">
        <v>1158</v>
      </c>
      <c r="U1241" s="277"/>
      <c r="V1241" s="277"/>
      <c r="W1241" s="277"/>
      <c r="X1241" s="277"/>
      <c r="Y1241" s="277"/>
      <c r="Z1241" s="277"/>
      <c r="AA1241" s="277"/>
      <c r="AB1241" s="277"/>
      <c r="AC1241" s="277"/>
      <c r="AD1241" s="277"/>
      <c r="AE1241" s="277"/>
      <c r="AF1241" s="277"/>
      <c r="AG1241" s="277"/>
      <c r="AH1241" s="277"/>
    </row>
    <row r="1242" spans="16:34" s="185" customFormat="1">
      <c r="P1242" s="277"/>
      <c r="Q1242" s="277"/>
      <c r="R1242" s="277"/>
      <c r="S1242" s="291">
        <v>42798</v>
      </c>
      <c r="T1242" s="279">
        <v>1159</v>
      </c>
      <c r="U1242" s="277"/>
      <c r="V1242" s="277"/>
      <c r="W1242" s="277"/>
      <c r="X1242" s="277"/>
      <c r="Y1242" s="277"/>
      <c r="Z1242" s="277"/>
      <c r="AA1242" s="277"/>
      <c r="AB1242" s="277"/>
      <c r="AC1242" s="277"/>
      <c r="AD1242" s="277"/>
      <c r="AE1242" s="277"/>
      <c r="AF1242" s="277"/>
      <c r="AG1242" s="277"/>
      <c r="AH1242" s="277"/>
    </row>
    <row r="1243" spans="16:34" s="185" customFormat="1">
      <c r="P1243" s="277"/>
      <c r="Q1243" s="277"/>
      <c r="R1243" s="277"/>
      <c r="S1243" s="291">
        <v>42799</v>
      </c>
      <c r="T1243" s="279">
        <v>1160</v>
      </c>
      <c r="U1243" s="277"/>
      <c r="V1243" s="277"/>
      <c r="W1243" s="277"/>
      <c r="X1243" s="277"/>
      <c r="Y1243" s="277"/>
      <c r="Z1243" s="277"/>
      <c r="AA1243" s="277"/>
      <c r="AB1243" s="277"/>
      <c r="AC1243" s="277"/>
      <c r="AD1243" s="277"/>
      <c r="AE1243" s="277"/>
      <c r="AF1243" s="277"/>
      <c r="AG1243" s="277"/>
      <c r="AH1243" s="277"/>
    </row>
    <row r="1244" spans="16:34" s="185" customFormat="1">
      <c r="P1244" s="277"/>
      <c r="Q1244" s="277"/>
      <c r="R1244" s="277"/>
      <c r="S1244" s="291">
        <v>42800</v>
      </c>
      <c r="T1244" s="279">
        <v>1161</v>
      </c>
      <c r="U1244" s="277"/>
      <c r="V1244" s="277"/>
      <c r="W1244" s="277"/>
      <c r="X1244" s="277"/>
      <c r="Y1244" s="277"/>
      <c r="Z1244" s="277"/>
      <c r="AA1244" s="277"/>
      <c r="AB1244" s="277"/>
      <c r="AC1244" s="277"/>
      <c r="AD1244" s="277"/>
      <c r="AE1244" s="277"/>
      <c r="AF1244" s="277"/>
      <c r="AG1244" s="277"/>
      <c r="AH1244" s="277"/>
    </row>
    <row r="1245" spans="16:34" s="185" customFormat="1">
      <c r="P1245" s="277"/>
      <c r="Q1245" s="277"/>
      <c r="R1245" s="277"/>
      <c r="S1245" s="291">
        <v>42801</v>
      </c>
      <c r="T1245" s="279">
        <v>1162</v>
      </c>
      <c r="U1245" s="277"/>
      <c r="V1245" s="277"/>
      <c r="W1245" s="277"/>
      <c r="X1245" s="277"/>
      <c r="Y1245" s="277"/>
      <c r="Z1245" s="277"/>
      <c r="AA1245" s="277"/>
      <c r="AB1245" s="277"/>
      <c r="AC1245" s="277"/>
      <c r="AD1245" s="277"/>
      <c r="AE1245" s="277"/>
      <c r="AF1245" s="277"/>
      <c r="AG1245" s="277"/>
      <c r="AH1245" s="277"/>
    </row>
    <row r="1246" spans="16:34" s="185" customFormat="1">
      <c r="P1246" s="277"/>
      <c r="Q1246" s="277"/>
      <c r="R1246" s="277"/>
      <c r="S1246" s="291">
        <v>42802</v>
      </c>
      <c r="T1246" s="279">
        <v>1163</v>
      </c>
      <c r="U1246" s="277"/>
      <c r="V1246" s="277"/>
      <c r="W1246" s="277"/>
      <c r="X1246" s="277"/>
      <c r="Y1246" s="277"/>
      <c r="Z1246" s="277"/>
      <c r="AA1246" s="277"/>
      <c r="AB1246" s="277"/>
      <c r="AC1246" s="277"/>
      <c r="AD1246" s="277"/>
      <c r="AE1246" s="277"/>
      <c r="AF1246" s="277"/>
      <c r="AG1246" s="277"/>
      <c r="AH1246" s="277"/>
    </row>
    <row r="1247" spans="16:34" s="185" customFormat="1">
      <c r="P1247" s="277"/>
      <c r="Q1247" s="277"/>
      <c r="R1247" s="277"/>
      <c r="S1247" s="291">
        <v>42803</v>
      </c>
      <c r="T1247" s="279">
        <v>1164</v>
      </c>
      <c r="U1247" s="277"/>
      <c r="V1247" s="277"/>
      <c r="W1247" s="277"/>
      <c r="X1247" s="277"/>
      <c r="Y1247" s="277"/>
      <c r="Z1247" s="277"/>
      <c r="AA1247" s="277"/>
      <c r="AB1247" s="277"/>
      <c r="AC1247" s="277"/>
      <c r="AD1247" s="277"/>
      <c r="AE1247" s="277"/>
      <c r="AF1247" s="277"/>
      <c r="AG1247" s="277"/>
      <c r="AH1247" s="277"/>
    </row>
    <row r="1248" spans="16:34" s="185" customFormat="1">
      <c r="P1248" s="277"/>
      <c r="Q1248" s="277"/>
      <c r="R1248" s="277"/>
      <c r="S1248" s="291">
        <v>42804</v>
      </c>
      <c r="T1248" s="279">
        <v>1165</v>
      </c>
      <c r="U1248" s="277"/>
      <c r="V1248" s="277"/>
      <c r="W1248" s="277"/>
      <c r="X1248" s="277"/>
      <c r="Y1248" s="277"/>
      <c r="Z1248" s="277"/>
      <c r="AA1248" s="277"/>
      <c r="AB1248" s="277"/>
      <c r="AC1248" s="277"/>
      <c r="AD1248" s="277"/>
      <c r="AE1248" s="277"/>
      <c r="AF1248" s="277"/>
      <c r="AG1248" s="277"/>
      <c r="AH1248" s="277"/>
    </row>
    <row r="1249" spans="16:34" s="185" customFormat="1">
      <c r="P1249" s="277"/>
      <c r="Q1249" s="277"/>
      <c r="R1249" s="277"/>
      <c r="S1249" s="291">
        <v>42805</v>
      </c>
      <c r="T1249" s="279">
        <v>1166</v>
      </c>
      <c r="U1249" s="277"/>
      <c r="V1249" s="277"/>
      <c r="W1249" s="277"/>
      <c r="X1249" s="277"/>
      <c r="Y1249" s="277"/>
      <c r="Z1249" s="277"/>
      <c r="AA1249" s="277"/>
      <c r="AB1249" s="277"/>
      <c r="AC1249" s="277"/>
      <c r="AD1249" s="277"/>
      <c r="AE1249" s="277"/>
      <c r="AF1249" s="277"/>
      <c r="AG1249" s="277"/>
      <c r="AH1249" s="277"/>
    </row>
    <row r="1250" spans="16:34" s="185" customFormat="1">
      <c r="P1250" s="277"/>
      <c r="Q1250" s="277"/>
      <c r="R1250" s="277"/>
      <c r="S1250" s="291">
        <v>42806</v>
      </c>
      <c r="T1250" s="279">
        <v>1167</v>
      </c>
      <c r="U1250" s="277"/>
      <c r="V1250" s="277"/>
      <c r="W1250" s="277"/>
      <c r="X1250" s="277"/>
      <c r="Y1250" s="277"/>
      <c r="Z1250" s="277"/>
      <c r="AA1250" s="277"/>
      <c r="AB1250" s="277"/>
      <c r="AC1250" s="277"/>
      <c r="AD1250" s="277"/>
      <c r="AE1250" s="277"/>
      <c r="AF1250" s="277"/>
      <c r="AG1250" s="277"/>
      <c r="AH1250" s="277"/>
    </row>
    <row r="1251" spans="16:34" s="185" customFormat="1">
      <c r="P1251" s="277"/>
      <c r="Q1251" s="277"/>
      <c r="R1251" s="277"/>
      <c r="S1251" s="291">
        <v>42807</v>
      </c>
      <c r="T1251" s="279">
        <v>1168</v>
      </c>
      <c r="U1251" s="277"/>
      <c r="V1251" s="277"/>
      <c r="W1251" s="277"/>
      <c r="X1251" s="277"/>
      <c r="Y1251" s="277"/>
      <c r="Z1251" s="277"/>
      <c r="AA1251" s="277"/>
      <c r="AB1251" s="277"/>
      <c r="AC1251" s="277"/>
      <c r="AD1251" s="277"/>
      <c r="AE1251" s="277"/>
      <c r="AF1251" s="277"/>
      <c r="AG1251" s="277"/>
      <c r="AH1251" s="277"/>
    </row>
    <row r="1252" spans="16:34" s="185" customFormat="1">
      <c r="P1252" s="277"/>
      <c r="Q1252" s="277"/>
      <c r="R1252" s="277"/>
      <c r="S1252" s="291">
        <v>42808</v>
      </c>
      <c r="T1252" s="279">
        <v>1169</v>
      </c>
      <c r="U1252" s="277"/>
      <c r="V1252" s="277"/>
      <c r="W1252" s="277"/>
      <c r="X1252" s="277"/>
      <c r="Y1252" s="277"/>
      <c r="Z1252" s="277"/>
      <c r="AA1252" s="277"/>
      <c r="AB1252" s="277"/>
      <c r="AC1252" s="277"/>
      <c r="AD1252" s="277"/>
      <c r="AE1252" s="277"/>
      <c r="AF1252" s="277"/>
      <c r="AG1252" s="277"/>
      <c r="AH1252" s="277"/>
    </row>
    <row r="1253" spans="16:34" s="185" customFormat="1">
      <c r="P1253" s="277"/>
      <c r="Q1253" s="277"/>
      <c r="R1253" s="277"/>
      <c r="S1253" s="291">
        <v>42809</v>
      </c>
      <c r="T1253" s="279">
        <v>1170</v>
      </c>
      <c r="U1253" s="277"/>
      <c r="V1253" s="277"/>
      <c r="W1253" s="277"/>
      <c r="X1253" s="277"/>
      <c r="Y1253" s="277"/>
      <c r="Z1253" s="277"/>
      <c r="AA1253" s="277"/>
      <c r="AB1253" s="277"/>
      <c r="AC1253" s="277"/>
      <c r="AD1253" s="277"/>
      <c r="AE1253" s="277"/>
      <c r="AF1253" s="277"/>
      <c r="AG1253" s="277"/>
      <c r="AH1253" s="277"/>
    </row>
    <row r="1254" spans="16:34" s="185" customFormat="1">
      <c r="P1254" s="277"/>
      <c r="Q1254" s="277"/>
      <c r="R1254" s="277"/>
      <c r="S1254" s="291">
        <v>42810</v>
      </c>
      <c r="T1254" s="279">
        <v>1171</v>
      </c>
      <c r="U1254" s="277"/>
      <c r="V1254" s="277"/>
      <c r="W1254" s="277"/>
      <c r="X1254" s="277"/>
      <c r="Y1254" s="277"/>
      <c r="Z1254" s="277"/>
      <c r="AA1254" s="277"/>
      <c r="AB1254" s="277"/>
      <c r="AC1254" s="277"/>
      <c r="AD1254" s="277"/>
      <c r="AE1254" s="277"/>
      <c r="AF1254" s="277"/>
      <c r="AG1254" s="277"/>
      <c r="AH1254" s="277"/>
    </row>
    <row r="1255" spans="16:34" s="185" customFormat="1">
      <c r="P1255" s="277"/>
      <c r="Q1255" s="277"/>
      <c r="R1255" s="277"/>
      <c r="S1255" s="291">
        <v>42811</v>
      </c>
      <c r="T1255" s="279">
        <v>1172</v>
      </c>
      <c r="U1255" s="277"/>
      <c r="V1255" s="277"/>
      <c r="W1255" s="277"/>
      <c r="X1255" s="277"/>
      <c r="Y1255" s="277"/>
      <c r="Z1255" s="277"/>
      <c r="AA1255" s="277"/>
      <c r="AB1255" s="277"/>
      <c r="AC1255" s="277"/>
      <c r="AD1255" s="277"/>
      <c r="AE1255" s="277"/>
      <c r="AF1255" s="277"/>
      <c r="AG1255" s="277"/>
      <c r="AH1255" s="277"/>
    </row>
    <row r="1256" spans="16:34" s="185" customFormat="1">
      <c r="P1256" s="277"/>
      <c r="Q1256" s="277"/>
      <c r="R1256" s="277"/>
      <c r="S1256" s="291">
        <v>42812</v>
      </c>
      <c r="T1256" s="279">
        <v>1173</v>
      </c>
      <c r="U1256" s="277"/>
      <c r="V1256" s="277"/>
      <c r="W1256" s="277"/>
      <c r="X1256" s="277"/>
      <c r="Y1256" s="277"/>
      <c r="Z1256" s="277"/>
      <c r="AA1256" s="277"/>
      <c r="AB1256" s="277"/>
      <c r="AC1256" s="277"/>
      <c r="AD1256" s="277"/>
      <c r="AE1256" s="277"/>
      <c r="AF1256" s="277"/>
      <c r="AG1256" s="277"/>
      <c r="AH1256" s="277"/>
    </row>
    <row r="1257" spans="16:34" s="185" customFormat="1">
      <c r="P1257" s="277"/>
      <c r="Q1257" s="277"/>
      <c r="R1257" s="277"/>
      <c r="S1257" s="291">
        <v>42813</v>
      </c>
      <c r="T1257" s="279">
        <v>1174</v>
      </c>
      <c r="U1257" s="277"/>
      <c r="V1257" s="277"/>
      <c r="W1257" s="277"/>
      <c r="X1257" s="277"/>
      <c r="Y1257" s="277"/>
      <c r="Z1257" s="277"/>
      <c r="AA1257" s="277"/>
      <c r="AB1257" s="277"/>
      <c r="AC1257" s="277"/>
      <c r="AD1257" s="277"/>
      <c r="AE1257" s="277"/>
      <c r="AF1257" s="277"/>
      <c r="AG1257" s="277"/>
      <c r="AH1257" s="277"/>
    </row>
    <row r="1258" spans="16:34" s="185" customFormat="1">
      <c r="P1258" s="277"/>
      <c r="Q1258" s="277"/>
      <c r="R1258" s="277"/>
      <c r="S1258" s="291">
        <v>42814</v>
      </c>
      <c r="T1258" s="279">
        <v>1175</v>
      </c>
      <c r="U1258" s="277"/>
      <c r="V1258" s="277"/>
      <c r="W1258" s="277"/>
      <c r="X1258" s="277"/>
      <c r="Y1258" s="277"/>
      <c r="Z1258" s="277"/>
      <c r="AA1258" s="277"/>
      <c r="AB1258" s="277"/>
      <c r="AC1258" s="277"/>
      <c r="AD1258" s="277"/>
      <c r="AE1258" s="277"/>
      <c r="AF1258" s="277"/>
      <c r="AG1258" s="277"/>
      <c r="AH1258" s="277"/>
    </row>
    <row r="1259" spans="16:34" s="185" customFormat="1">
      <c r="P1259" s="277"/>
      <c r="Q1259" s="277"/>
      <c r="R1259" s="277"/>
      <c r="S1259" s="291">
        <v>42815</v>
      </c>
      <c r="T1259" s="279">
        <v>1176</v>
      </c>
      <c r="U1259" s="277"/>
      <c r="V1259" s="277"/>
      <c r="W1259" s="277"/>
      <c r="X1259" s="277"/>
      <c r="Y1259" s="277"/>
      <c r="Z1259" s="277"/>
      <c r="AA1259" s="277"/>
      <c r="AB1259" s="277"/>
      <c r="AC1259" s="277"/>
      <c r="AD1259" s="277"/>
      <c r="AE1259" s="277"/>
      <c r="AF1259" s="277"/>
      <c r="AG1259" s="277"/>
      <c r="AH1259" s="277"/>
    </row>
    <row r="1260" spans="16:34" s="185" customFormat="1">
      <c r="P1260" s="277"/>
      <c r="Q1260" s="277"/>
      <c r="R1260" s="277"/>
      <c r="S1260" s="291">
        <v>42816</v>
      </c>
      <c r="T1260" s="279">
        <v>1177</v>
      </c>
      <c r="U1260" s="277"/>
      <c r="V1260" s="277"/>
      <c r="W1260" s="277"/>
      <c r="X1260" s="277"/>
      <c r="Y1260" s="277"/>
      <c r="Z1260" s="277"/>
      <c r="AA1260" s="277"/>
      <c r="AB1260" s="277"/>
      <c r="AC1260" s="277"/>
      <c r="AD1260" s="277"/>
      <c r="AE1260" s="277"/>
      <c r="AF1260" s="277"/>
      <c r="AG1260" s="277"/>
      <c r="AH1260" s="277"/>
    </row>
    <row r="1261" spans="16:34" s="185" customFormat="1">
      <c r="P1261" s="277"/>
      <c r="Q1261" s="277"/>
      <c r="R1261" s="277"/>
      <c r="S1261" s="291">
        <v>42817</v>
      </c>
      <c r="T1261" s="279">
        <v>1178</v>
      </c>
      <c r="U1261" s="277"/>
      <c r="V1261" s="277"/>
      <c r="W1261" s="277"/>
      <c r="X1261" s="277"/>
      <c r="Y1261" s="277"/>
      <c r="Z1261" s="277"/>
      <c r="AA1261" s="277"/>
      <c r="AB1261" s="277"/>
      <c r="AC1261" s="277"/>
      <c r="AD1261" s="277"/>
      <c r="AE1261" s="277"/>
      <c r="AF1261" s="277"/>
      <c r="AG1261" s="277"/>
      <c r="AH1261" s="277"/>
    </row>
    <row r="1262" spans="16:34" s="185" customFormat="1">
      <c r="P1262" s="277"/>
      <c r="Q1262" s="277"/>
      <c r="R1262" s="277"/>
      <c r="S1262" s="291">
        <v>42818</v>
      </c>
      <c r="T1262" s="279">
        <v>1179</v>
      </c>
      <c r="U1262" s="277"/>
      <c r="V1262" s="277"/>
      <c r="W1262" s="277"/>
      <c r="X1262" s="277"/>
      <c r="Y1262" s="277"/>
      <c r="Z1262" s="277"/>
      <c r="AA1262" s="277"/>
      <c r="AB1262" s="277"/>
      <c r="AC1262" s="277"/>
      <c r="AD1262" s="277"/>
      <c r="AE1262" s="277"/>
      <c r="AF1262" s="277"/>
      <c r="AG1262" s="277"/>
      <c r="AH1262" s="277"/>
    </row>
    <row r="1263" spans="16:34" s="185" customFormat="1">
      <c r="P1263" s="277"/>
      <c r="Q1263" s="277"/>
      <c r="R1263" s="277"/>
      <c r="S1263" s="291">
        <v>42819</v>
      </c>
      <c r="T1263" s="279">
        <v>1180</v>
      </c>
      <c r="U1263" s="277"/>
      <c r="V1263" s="277"/>
      <c r="W1263" s="277"/>
      <c r="X1263" s="277"/>
      <c r="Y1263" s="277"/>
      <c r="Z1263" s="277"/>
      <c r="AA1263" s="277"/>
      <c r="AB1263" s="277"/>
      <c r="AC1263" s="277"/>
      <c r="AD1263" s="277"/>
      <c r="AE1263" s="277"/>
      <c r="AF1263" s="277"/>
      <c r="AG1263" s="277"/>
      <c r="AH1263" s="277"/>
    </row>
    <row r="1264" spans="16:34" s="185" customFormat="1">
      <c r="P1264" s="277"/>
      <c r="Q1264" s="277"/>
      <c r="R1264" s="277"/>
      <c r="S1264" s="291">
        <v>42820</v>
      </c>
      <c r="T1264" s="279">
        <v>1181</v>
      </c>
      <c r="U1264" s="277"/>
      <c r="V1264" s="277"/>
      <c r="W1264" s="277"/>
      <c r="X1264" s="277"/>
      <c r="Y1264" s="277"/>
      <c r="Z1264" s="277"/>
      <c r="AA1264" s="277"/>
      <c r="AB1264" s="277"/>
      <c r="AC1264" s="277"/>
      <c r="AD1264" s="277"/>
      <c r="AE1264" s="277"/>
      <c r="AF1264" s="277"/>
      <c r="AG1264" s="277"/>
      <c r="AH1264" s="277"/>
    </row>
    <row r="1265" spans="16:34" s="185" customFormat="1">
      <c r="P1265" s="277"/>
      <c r="Q1265" s="277"/>
      <c r="R1265" s="277"/>
      <c r="S1265" s="291">
        <v>42821</v>
      </c>
      <c r="T1265" s="279">
        <v>1182</v>
      </c>
      <c r="U1265" s="277"/>
      <c r="V1265" s="277"/>
      <c r="W1265" s="277"/>
      <c r="X1265" s="277"/>
      <c r="Y1265" s="277"/>
      <c r="Z1265" s="277"/>
      <c r="AA1265" s="277"/>
      <c r="AB1265" s="277"/>
      <c r="AC1265" s="277"/>
      <c r="AD1265" s="277"/>
      <c r="AE1265" s="277"/>
      <c r="AF1265" s="277"/>
      <c r="AG1265" s="277"/>
      <c r="AH1265" s="277"/>
    </row>
    <row r="1266" spans="16:34" s="185" customFormat="1">
      <c r="P1266" s="277"/>
      <c r="Q1266" s="277"/>
      <c r="R1266" s="277"/>
      <c r="S1266" s="291">
        <v>42822</v>
      </c>
      <c r="T1266" s="279">
        <v>1183</v>
      </c>
      <c r="U1266" s="277"/>
      <c r="V1266" s="277"/>
      <c r="W1266" s="277"/>
      <c r="X1266" s="277"/>
      <c r="Y1266" s="277"/>
      <c r="Z1266" s="277"/>
      <c r="AA1266" s="277"/>
      <c r="AB1266" s="277"/>
      <c r="AC1266" s="277"/>
      <c r="AD1266" s="277"/>
      <c r="AE1266" s="277"/>
      <c r="AF1266" s="277"/>
      <c r="AG1266" s="277"/>
      <c r="AH1266" s="277"/>
    </row>
    <row r="1267" spans="16:34" s="185" customFormat="1">
      <c r="P1267" s="277"/>
      <c r="Q1267" s="277"/>
      <c r="R1267" s="277"/>
      <c r="S1267" s="291">
        <v>42823</v>
      </c>
      <c r="T1267" s="279">
        <v>1184</v>
      </c>
      <c r="U1267" s="277"/>
      <c r="V1267" s="277"/>
      <c r="W1267" s="277"/>
      <c r="X1267" s="277"/>
      <c r="Y1267" s="277"/>
      <c r="Z1267" s="277"/>
      <c r="AA1267" s="277"/>
      <c r="AB1267" s="277"/>
      <c r="AC1267" s="277"/>
      <c r="AD1267" s="277"/>
      <c r="AE1267" s="277"/>
      <c r="AF1267" s="277"/>
      <c r="AG1267" s="277"/>
      <c r="AH1267" s="277"/>
    </row>
    <row r="1268" spans="16:34" s="185" customFormat="1">
      <c r="P1268" s="277"/>
      <c r="Q1268" s="277"/>
      <c r="R1268" s="277"/>
      <c r="S1268" s="291">
        <v>42824</v>
      </c>
      <c r="T1268" s="279">
        <v>1185</v>
      </c>
      <c r="U1268" s="277"/>
      <c r="V1268" s="277"/>
      <c r="W1268" s="277"/>
      <c r="X1268" s="277"/>
      <c r="Y1268" s="277"/>
      <c r="Z1268" s="277"/>
      <c r="AA1268" s="277"/>
      <c r="AB1268" s="277"/>
      <c r="AC1268" s="277"/>
      <c r="AD1268" s="277"/>
      <c r="AE1268" s="277"/>
      <c r="AF1268" s="277"/>
      <c r="AG1268" s="277"/>
      <c r="AH1268" s="277"/>
    </row>
    <row r="1269" spans="16:34" s="185" customFormat="1">
      <c r="P1269" s="277"/>
      <c r="Q1269" s="277"/>
      <c r="R1269" s="277"/>
      <c r="S1269" s="291">
        <v>42825</v>
      </c>
      <c r="T1269" s="279">
        <v>1186</v>
      </c>
      <c r="U1269" s="277"/>
      <c r="V1269" s="277"/>
      <c r="W1269" s="277"/>
      <c r="X1269" s="277"/>
      <c r="Y1269" s="277"/>
      <c r="Z1269" s="277"/>
      <c r="AA1269" s="277"/>
      <c r="AB1269" s="277"/>
      <c r="AC1269" s="277"/>
      <c r="AD1269" s="277"/>
      <c r="AE1269" s="277"/>
      <c r="AF1269" s="277"/>
      <c r="AG1269" s="277"/>
      <c r="AH1269" s="277"/>
    </row>
    <row r="1270" spans="16:34" s="185" customFormat="1">
      <c r="P1270" s="277"/>
      <c r="Q1270" s="277"/>
      <c r="R1270" s="277"/>
      <c r="S1270" s="291">
        <v>42826</v>
      </c>
      <c r="T1270" s="279">
        <v>1187</v>
      </c>
      <c r="U1270" s="277"/>
      <c r="V1270" s="277"/>
      <c r="W1270" s="277"/>
      <c r="X1270" s="277"/>
      <c r="Y1270" s="277"/>
      <c r="Z1270" s="277"/>
      <c r="AA1270" s="277"/>
      <c r="AB1270" s="277"/>
      <c r="AC1270" s="277"/>
      <c r="AD1270" s="277"/>
      <c r="AE1270" s="277"/>
      <c r="AF1270" s="277"/>
      <c r="AG1270" s="277"/>
      <c r="AH1270" s="277"/>
    </row>
    <row r="1271" spans="16:34" s="185" customFormat="1">
      <c r="P1271" s="277"/>
      <c r="Q1271" s="277"/>
      <c r="R1271" s="277"/>
      <c r="S1271" s="291">
        <v>42827</v>
      </c>
      <c r="T1271" s="279">
        <v>1188</v>
      </c>
      <c r="U1271" s="277"/>
      <c r="V1271" s="277"/>
      <c r="W1271" s="277"/>
      <c r="X1271" s="277"/>
      <c r="Y1271" s="277"/>
      <c r="Z1271" s="277"/>
      <c r="AA1271" s="277"/>
      <c r="AB1271" s="277"/>
      <c r="AC1271" s="277"/>
      <c r="AD1271" s="277"/>
      <c r="AE1271" s="277"/>
      <c r="AF1271" s="277"/>
      <c r="AG1271" s="277"/>
      <c r="AH1271" s="277"/>
    </row>
    <row r="1272" spans="16:34" s="185" customFormat="1">
      <c r="P1272" s="277"/>
      <c r="Q1272" s="277"/>
      <c r="R1272" s="277"/>
      <c r="S1272" s="291">
        <v>42828</v>
      </c>
      <c r="T1272" s="279">
        <v>1189</v>
      </c>
      <c r="U1272" s="277"/>
      <c r="V1272" s="277"/>
      <c r="W1272" s="277"/>
      <c r="X1272" s="277"/>
      <c r="Y1272" s="277"/>
      <c r="Z1272" s="277"/>
      <c r="AA1272" s="277"/>
      <c r="AB1272" s="277"/>
      <c r="AC1272" s="277"/>
      <c r="AD1272" s="277"/>
      <c r="AE1272" s="277"/>
      <c r="AF1272" s="277"/>
      <c r="AG1272" s="277"/>
      <c r="AH1272" s="277"/>
    </row>
    <row r="1273" spans="16:34" s="185" customFormat="1">
      <c r="P1273" s="277"/>
      <c r="Q1273" s="277"/>
      <c r="R1273" s="277"/>
      <c r="S1273" s="291">
        <v>42829</v>
      </c>
      <c r="T1273" s="279">
        <v>1190</v>
      </c>
      <c r="U1273" s="277"/>
      <c r="V1273" s="277"/>
      <c r="W1273" s="277"/>
      <c r="X1273" s="277"/>
      <c r="Y1273" s="277"/>
      <c r="Z1273" s="277"/>
      <c r="AA1273" s="277"/>
      <c r="AB1273" s="277"/>
      <c r="AC1273" s="277"/>
      <c r="AD1273" s="277"/>
      <c r="AE1273" s="277"/>
      <c r="AF1273" s="277"/>
      <c r="AG1273" s="277"/>
      <c r="AH1273" s="277"/>
    </row>
    <row r="1274" spans="16:34" s="185" customFormat="1">
      <c r="P1274" s="277"/>
      <c r="Q1274" s="277"/>
      <c r="R1274" s="277"/>
      <c r="S1274" s="291">
        <v>42830</v>
      </c>
      <c r="T1274" s="279">
        <v>1191</v>
      </c>
      <c r="U1274" s="277"/>
      <c r="V1274" s="277"/>
      <c r="W1274" s="277"/>
      <c r="X1274" s="277"/>
      <c r="Y1274" s="277"/>
      <c r="Z1274" s="277"/>
      <c r="AA1274" s="277"/>
      <c r="AB1274" s="277"/>
      <c r="AC1274" s="277"/>
      <c r="AD1274" s="277"/>
      <c r="AE1274" s="277"/>
      <c r="AF1274" s="277"/>
      <c r="AG1274" s="277"/>
      <c r="AH1274" s="277"/>
    </row>
    <row r="1275" spans="16:34" s="185" customFormat="1">
      <c r="P1275" s="277"/>
      <c r="Q1275" s="277"/>
      <c r="R1275" s="277"/>
      <c r="S1275" s="291">
        <v>42831</v>
      </c>
      <c r="T1275" s="279">
        <v>1192</v>
      </c>
      <c r="U1275" s="277"/>
      <c r="V1275" s="277"/>
      <c r="W1275" s="277"/>
      <c r="X1275" s="277"/>
      <c r="Y1275" s="277"/>
      <c r="Z1275" s="277"/>
      <c r="AA1275" s="277"/>
      <c r="AB1275" s="277"/>
      <c r="AC1275" s="277"/>
      <c r="AD1275" s="277"/>
      <c r="AE1275" s="277"/>
      <c r="AF1275" s="277"/>
      <c r="AG1275" s="277"/>
      <c r="AH1275" s="277"/>
    </row>
    <row r="1276" spans="16:34" s="185" customFormat="1">
      <c r="P1276" s="277"/>
      <c r="Q1276" s="277"/>
      <c r="R1276" s="277"/>
      <c r="S1276" s="291">
        <v>42832</v>
      </c>
      <c r="T1276" s="279">
        <v>1193</v>
      </c>
      <c r="U1276" s="277"/>
      <c r="V1276" s="277"/>
      <c r="W1276" s="277"/>
      <c r="X1276" s="277"/>
      <c r="Y1276" s="277"/>
      <c r="Z1276" s="277"/>
      <c r="AA1276" s="277"/>
      <c r="AB1276" s="277"/>
      <c r="AC1276" s="277"/>
      <c r="AD1276" s="277"/>
      <c r="AE1276" s="277"/>
      <c r="AF1276" s="277"/>
      <c r="AG1276" s="277"/>
      <c r="AH1276" s="277"/>
    </row>
    <row r="1277" spans="16:34" s="185" customFormat="1">
      <c r="P1277" s="277"/>
      <c r="Q1277" s="277"/>
      <c r="R1277" s="277"/>
      <c r="S1277" s="291">
        <v>42833</v>
      </c>
      <c r="T1277" s="279">
        <v>1194</v>
      </c>
      <c r="U1277" s="277"/>
      <c r="V1277" s="277"/>
      <c r="W1277" s="277"/>
      <c r="X1277" s="277"/>
      <c r="Y1277" s="277"/>
      <c r="Z1277" s="277"/>
      <c r="AA1277" s="277"/>
      <c r="AB1277" s="277"/>
      <c r="AC1277" s="277"/>
      <c r="AD1277" s="277"/>
      <c r="AE1277" s="277"/>
      <c r="AF1277" s="277"/>
      <c r="AG1277" s="277"/>
      <c r="AH1277" s="277"/>
    </row>
    <row r="1278" spans="16:34" s="185" customFormat="1">
      <c r="P1278" s="277"/>
      <c r="Q1278" s="277"/>
      <c r="R1278" s="277"/>
      <c r="S1278" s="291">
        <v>42834</v>
      </c>
      <c r="T1278" s="279">
        <v>1195</v>
      </c>
      <c r="U1278" s="277"/>
      <c r="V1278" s="277"/>
      <c r="W1278" s="277"/>
      <c r="X1278" s="277"/>
      <c r="Y1278" s="277"/>
      <c r="Z1278" s="277"/>
      <c r="AA1278" s="277"/>
      <c r="AB1278" s="277"/>
      <c r="AC1278" s="277"/>
      <c r="AD1278" s="277"/>
      <c r="AE1278" s="277"/>
      <c r="AF1278" s="277"/>
      <c r="AG1278" s="277"/>
      <c r="AH1278" s="277"/>
    </row>
    <row r="1279" spans="16:34" s="185" customFormat="1">
      <c r="P1279" s="277"/>
      <c r="Q1279" s="277"/>
      <c r="R1279" s="277"/>
      <c r="S1279" s="291">
        <v>42835</v>
      </c>
      <c r="T1279" s="279">
        <v>1196</v>
      </c>
      <c r="U1279" s="277"/>
      <c r="V1279" s="277"/>
      <c r="W1279" s="277"/>
      <c r="X1279" s="277"/>
      <c r="Y1279" s="277"/>
      <c r="Z1279" s="277"/>
      <c r="AA1279" s="277"/>
      <c r="AB1279" s="277"/>
      <c r="AC1279" s="277"/>
      <c r="AD1279" s="277"/>
      <c r="AE1279" s="277"/>
      <c r="AF1279" s="277"/>
      <c r="AG1279" s="277"/>
      <c r="AH1279" s="277"/>
    </row>
    <row r="1280" spans="16:34" s="185" customFormat="1">
      <c r="P1280" s="277"/>
      <c r="Q1280" s="277"/>
      <c r="R1280" s="277"/>
      <c r="S1280" s="291">
        <v>42836</v>
      </c>
      <c r="T1280" s="279">
        <v>1197</v>
      </c>
      <c r="U1280" s="277"/>
      <c r="V1280" s="277"/>
      <c r="W1280" s="277"/>
      <c r="X1280" s="277"/>
      <c r="Y1280" s="277"/>
      <c r="Z1280" s="277"/>
      <c r="AA1280" s="277"/>
      <c r="AB1280" s="277"/>
      <c r="AC1280" s="277"/>
      <c r="AD1280" s="277"/>
      <c r="AE1280" s="277"/>
      <c r="AF1280" s="277"/>
      <c r="AG1280" s="277"/>
      <c r="AH1280" s="277"/>
    </row>
    <row r="1281" spans="16:34" s="185" customFormat="1">
      <c r="P1281" s="277"/>
      <c r="Q1281" s="277"/>
      <c r="R1281" s="277"/>
      <c r="S1281" s="291">
        <v>42837</v>
      </c>
      <c r="T1281" s="279">
        <v>1198</v>
      </c>
      <c r="U1281" s="277"/>
      <c r="V1281" s="277"/>
      <c r="W1281" s="277"/>
      <c r="X1281" s="277"/>
      <c r="Y1281" s="277"/>
      <c r="Z1281" s="277"/>
      <c r="AA1281" s="277"/>
      <c r="AB1281" s="277"/>
      <c r="AC1281" s="277"/>
      <c r="AD1281" s="277"/>
      <c r="AE1281" s="277"/>
      <c r="AF1281" s="277"/>
      <c r="AG1281" s="277"/>
      <c r="AH1281" s="277"/>
    </row>
    <row r="1282" spans="16:34" s="185" customFormat="1">
      <c r="P1282" s="277"/>
      <c r="Q1282" s="277"/>
      <c r="R1282" s="277"/>
      <c r="S1282" s="291">
        <v>42838</v>
      </c>
      <c r="T1282" s="279">
        <v>1199</v>
      </c>
      <c r="U1282" s="277"/>
      <c r="V1282" s="277"/>
      <c r="W1282" s="277"/>
      <c r="X1282" s="277"/>
      <c r="Y1282" s="277"/>
      <c r="Z1282" s="277"/>
      <c r="AA1282" s="277"/>
      <c r="AB1282" s="277"/>
      <c r="AC1282" s="277"/>
      <c r="AD1282" s="277"/>
      <c r="AE1282" s="277"/>
      <c r="AF1282" s="277"/>
      <c r="AG1282" s="277"/>
      <c r="AH1282" s="277"/>
    </row>
    <row r="1283" spans="16:34" s="185" customFormat="1">
      <c r="P1283" s="277"/>
      <c r="Q1283" s="277"/>
      <c r="R1283" s="277"/>
      <c r="S1283" s="291">
        <v>42839</v>
      </c>
      <c r="T1283" s="279">
        <v>1200</v>
      </c>
      <c r="U1283" s="277"/>
      <c r="V1283" s="277"/>
      <c r="W1283" s="277"/>
      <c r="X1283" s="277"/>
      <c r="Y1283" s="277"/>
      <c r="Z1283" s="277"/>
      <c r="AA1283" s="277"/>
      <c r="AB1283" s="277"/>
      <c r="AC1283" s="277"/>
      <c r="AD1283" s="277"/>
      <c r="AE1283" s="277"/>
      <c r="AF1283" s="277"/>
      <c r="AG1283" s="277"/>
      <c r="AH1283" s="277"/>
    </row>
    <row r="1284" spans="16:34" s="185" customFormat="1">
      <c r="P1284" s="277"/>
      <c r="Q1284" s="277"/>
      <c r="R1284" s="277"/>
      <c r="S1284" s="291">
        <v>42840</v>
      </c>
      <c r="T1284" s="279">
        <v>1201</v>
      </c>
      <c r="U1284" s="277"/>
      <c r="V1284" s="277"/>
      <c r="W1284" s="277"/>
      <c r="X1284" s="277"/>
      <c r="Y1284" s="277"/>
      <c r="Z1284" s="277"/>
      <c r="AA1284" s="277"/>
      <c r="AB1284" s="277"/>
      <c r="AC1284" s="277"/>
      <c r="AD1284" s="277"/>
      <c r="AE1284" s="277"/>
      <c r="AF1284" s="277"/>
      <c r="AG1284" s="277"/>
      <c r="AH1284" s="277"/>
    </row>
    <row r="1285" spans="16:34" s="185" customFormat="1">
      <c r="P1285" s="277"/>
      <c r="Q1285" s="277"/>
      <c r="R1285" s="277"/>
      <c r="S1285" s="291">
        <v>42841</v>
      </c>
      <c r="T1285" s="279">
        <v>1202</v>
      </c>
      <c r="U1285" s="277"/>
      <c r="V1285" s="277"/>
      <c r="W1285" s="277"/>
      <c r="X1285" s="277"/>
      <c r="Y1285" s="277"/>
      <c r="Z1285" s="277"/>
      <c r="AA1285" s="277"/>
      <c r="AB1285" s="277"/>
      <c r="AC1285" s="277"/>
      <c r="AD1285" s="277"/>
      <c r="AE1285" s="277"/>
      <c r="AF1285" s="277"/>
      <c r="AG1285" s="277"/>
      <c r="AH1285" s="277"/>
    </row>
    <row r="1286" spans="16:34" s="185" customFormat="1">
      <c r="P1286" s="277"/>
      <c r="Q1286" s="277"/>
      <c r="R1286" s="277"/>
      <c r="S1286" s="291">
        <v>42842</v>
      </c>
      <c r="T1286" s="279">
        <v>1203</v>
      </c>
      <c r="U1286" s="277"/>
      <c r="V1286" s="277"/>
      <c r="W1286" s="277"/>
      <c r="X1286" s="277"/>
      <c r="Y1286" s="277"/>
      <c r="Z1286" s="277"/>
      <c r="AA1286" s="277"/>
      <c r="AB1286" s="277"/>
      <c r="AC1286" s="277"/>
      <c r="AD1286" s="277"/>
      <c r="AE1286" s="277"/>
      <c r="AF1286" s="277"/>
      <c r="AG1286" s="277"/>
      <c r="AH1286" s="277"/>
    </row>
    <row r="1287" spans="16:34" s="185" customFormat="1">
      <c r="P1287" s="277"/>
      <c r="Q1287" s="277"/>
      <c r="R1287" s="277"/>
      <c r="S1287" s="291">
        <v>42843</v>
      </c>
      <c r="T1287" s="279">
        <v>1204</v>
      </c>
      <c r="U1287" s="277"/>
      <c r="V1287" s="277"/>
      <c r="W1287" s="277"/>
      <c r="X1287" s="277"/>
      <c r="Y1287" s="277"/>
      <c r="Z1287" s="277"/>
      <c r="AA1287" s="277"/>
      <c r="AB1287" s="277"/>
      <c r="AC1287" s="277"/>
      <c r="AD1287" s="277"/>
      <c r="AE1287" s="277"/>
      <c r="AF1287" s="277"/>
      <c r="AG1287" s="277"/>
      <c r="AH1287" s="277"/>
    </row>
    <row r="1288" spans="16:34" s="185" customFormat="1">
      <c r="P1288" s="277"/>
      <c r="Q1288" s="277"/>
      <c r="R1288" s="277"/>
      <c r="S1288" s="291">
        <v>42844</v>
      </c>
      <c r="T1288" s="279">
        <v>1205</v>
      </c>
      <c r="U1288" s="277"/>
      <c r="V1288" s="277"/>
      <c r="W1288" s="277"/>
      <c r="X1288" s="277"/>
      <c r="Y1288" s="277"/>
      <c r="Z1288" s="277"/>
      <c r="AA1288" s="277"/>
      <c r="AB1288" s="277"/>
      <c r="AC1288" s="277"/>
      <c r="AD1288" s="277"/>
      <c r="AE1288" s="277"/>
      <c r="AF1288" s="277"/>
      <c r="AG1288" s="277"/>
      <c r="AH1288" s="277"/>
    </row>
    <row r="1289" spans="16:34" s="185" customFormat="1">
      <c r="P1289" s="277"/>
      <c r="Q1289" s="277"/>
      <c r="R1289" s="277"/>
      <c r="S1289" s="291">
        <v>42845</v>
      </c>
      <c r="T1289" s="279">
        <v>1206</v>
      </c>
      <c r="U1289" s="277"/>
      <c r="V1289" s="277"/>
      <c r="W1289" s="277"/>
      <c r="X1289" s="277"/>
      <c r="Y1289" s="277"/>
      <c r="Z1289" s="277"/>
      <c r="AA1289" s="277"/>
      <c r="AB1289" s="277"/>
      <c r="AC1289" s="277"/>
      <c r="AD1289" s="277"/>
      <c r="AE1289" s="277"/>
      <c r="AF1289" s="277"/>
      <c r="AG1289" s="277"/>
      <c r="AH1289" s="277"/>
    </row>
    <row r="1290" spans="16:34" s="185" customFormat="1">
      <c r="P1290" s="277"/>
      <c r="Q1290" s="277"/>
      <c r="R1290" s="277"/>
      <c r="S1290" s="291">
        <v>42846</v>
      </c>
      <c r="T1290" s="279">
        <v>1207</v>
      </c>
      <c r="U1290" s="277"/>
      <c r="V1290" s="277"/>
      <c r="W1290" s="277"/>
      <c r="X1290" s="277"/>
      <c r="Y1290" s="277"/>
      <c r="Z1290" s="277"/>
      <c r="AA1290" s="277"/>
      <c r="AB1290" s="277"/>
      <c r="AC1290" s="277"/>
      <c r="AD1290" s="277"/>
      <c r="AE1290" s="277"/>
      <c r="AF1290" s="277"/>
      <c r="AG1290" s="277"/>
      <c r="AH1290" s="277"/>
    </row>
    <row r="1291" spans="16:34" s="185" customFormat="1">
      <c r="P1291" s="277"/>
      <c r="Q1291" s="277"/>
      <c r="R1291" s="277"/>
      <c r="S1291" s="291">
        <v>42847</v>
      </c>
      <c r="T1291" s="279">
        <v>1208</v>
      </c>
      <c r="U1291" s="277"/>
      <c r="V1291" s="277"/>
      <c r="W1291" s="277"/>
      <c r="X1291" s="277"/>
      <c r="Y1291" s="277"/>
      <c r="Z1291" s="277"/>
      <c r="AA1291" s="277"/>
      <c r="AB1291" s="277"/>
      <c r="AC1291" s="277"/>
      <c r="AD1291" s="277"/>
      <c r="AE1291" s="277"/>
      <c r="AF1291" s="277"/>
      <c r="AG1291" s="277"/>
      <c r="AH1291" s="277"/>
    </row>
    <row r="1292" spans="16:34" s="185" customFormat="1">
      <c r="P1292" s="277"/>
      <c r="Q1292" s="277"/>
      <c r="R1292" s="277"/>
      <c r="S1292" s="291">
        <v>42848</v>
      </c>
      <c r="T1292" s="279">
        <v>1209</v>
      </c>
      <c r="U1292" s="277"/>
      <c r="V1292" s="277"/>
      <c r="W1292" s="277"/>
      <c r="X1292" s="277"/>
      <c r="Y1292" s="277"/>
      <c r="Z1292" s="277"/>
      <c r="AA1292" s="277"/>
      <c r="AB1292" s="277"/>
      <c r="AC1292" s="277"/>
      <c r="AD1292" s="277"/>
      <c r="AE1292" s="277"/>
      <c r="AF1292" s="277"/>
      <c r="AG1292" s="277"/>
      <c r="AH1292" s="277"/>
    </row>
    <row r="1293" spans="16:34" s="185" customFormat="1">
      <c r="P1293" s="277"/>
      <c r="Q1293" s="277"/>
      <c r="R1293" s="277"/>
      <c r="S1293" s="291">
        <v>42849</v>
      </c>
      <c r="T1293" s="279">
        <v>1210</v>
      </c>
      <c r="U1293" s="277"/>
      <c r="V1293" s="277"/>
      <c r="W1293" s="277"/>
      <c r="X1293" s="277"/>
      <c r="Y1293" s="277"/>
      <c r="Z1293" s="277"/>
      <c r="AA1293" s="277"/>
      <c r="AB1293" s="277"/>
      <c r="AC1293" s="277"/>
      <c r="AD1293" s="277"/>
      <c r="AE1293" s="277"/>
      <c r="AF1293" s="277"/>
      <c r="AG1293" s="277"/>
      <c r="AH1293" s="277"/>
    </row>
    <row r="1294" spans="16:34" s="185" customFormat="1">
      <c r="P1294" s="277"/>
      <c r="Q1294" s="277"/>
      <c r="R1294" s="277"/>
      <c r="S1294" s="291">
        <v>42850</v>
      </c>
      <c r="T1294" s="279">
        <v>1211</v>
      </c>
      <c r="U1294" s="277"/>
      <c r="V1294" s="277"/>
      <c r="W1294" s="277"/>
      <c r="X1294" s="277"/>
      <c r="Y1294" s="277"/>
      <c r="Z1294" s="277"/>
      <c r="AA1294" s="277"/>
      <c r="AB1294" s="277"/>
      <c r="AC1294" s="277"/>
      <c r="AD1294" s="277"/>
      <c r="AE1294" s="277"/>
      <c r="AF1294" s="277"/>
      <c r="AG1294" s="277"/>
      <c r="AH1294" s="277"/>
    </row>
    <row r="1295" spans="16:34" s="185" customFormat="1">
      <c r="P1295" s="277"/>
      <c r="Q1295" s="277"/>
      <c r="R1295" s="277"/>
      <c r="S1295" s="291">
        <v>42851</v>
      </c>
      <c r="T1295" s="279">
        <v>1212</v>
      </c>
      <c r="U1295" s="277"/>
      <c r="V1295" s="277"/>
      <c r="W1295" s="277"/>
      <c r="X1295" s="277"/>
      <c r="Y1295" s="277"/>
      <c r="Z1295" s="277"/>
      <c r="AA1295" s="277"/>
      <c r="AB1295" s="277"/>
      <c r="AC1295" s="277"/>
      <c r="AD1295" s="277"/>
      <c r="AE1295" s="277"/>
      <c r="AF1295" s="277"/>
      <c r="AG1295" s="277"/>
      <c r="AH1295" s="277"/>
    </row>
    <row r="1296" spans="16:34" s="185" customFormat="1">
      <c r="P1296" s="277"/>
      <c r="Q1296" s="277"/>
      <c r="R1296" s="277"/>
      <c r="S1296" s="291">
        <v>42852</v>
      </c>
      <c r="T1296" s="279">
        <v>1213</v>
      </c>
      <c r="U1296" s="277"/>
      <c r="V1296" s="277"/>
      <c r="W1296" s="277"/>
      <c r="X1296" s="277"/>
      <c r="Y1296" s="277"/>
      <c r="Z1296" s="277"/>
      <c r="AA1296" s="277"/>
      <c r="AB1296" s="277"/>
      <c r="AC1296" s="277"/>
      <c r="AD1296" s="277"/>
      <c r="AE1296" s="277"/>
      <c r="AF1296" s="277"/>
      <c r="AG1296" s="277"/>
      <c r="AH1296" s="277"/>
    </row>
    <row r="1297" spans="16:34" s="185" customFormat="1">
      <c r="P1297" s="277"/>
      <c r="Q1297" s="277"/>
      <c r="R1297" s="277"/>
      <c r="S1297" s="291">
        <v>42853</v>
      </c>
      <c r="T1297" s="279">
        <v>1214</v>
      </c>
      <c r="U1297" s="277"/>
      <c r="V1297" s="277"/>
      <c r="W1297" s="277"/>
      <c r="X1297" s="277"/>
      <c r="Y1297" s="277"/>
      <c r="Z1297" s="277"/>
      <c r="AA1297" s="277"/>
      <c r="AB1297" s="277"/>
      <c r="AC1297" s="277"/>
      <c r="AD1297" s="277"/>
      <c r="AE1297" s="277"/>
      <c r="AF1297" s="277"/>
      <c r="AG1297" s="277"/>
      <c r="AH1297" s="277"/>
    </row>
    <row r="1298" spans="16:34" s="185" customFormat="1">
      <c r="P1298" s="277"/>
      <c r="Q1298" s="277"/>
      <c r="R1298" s="277"/>
      <c r="S1298" s="291">
        <v>42854</v>
      </c>
      <c r="T1298" s="279">
        <v>1215</v>
      </c>
      <c r="U1298" s="277"/>
      <c r="V1298" s="277"/>
      <c r="W1298" s="277"/>
      <c r="X1298" s="277"/>
      <c r="Y1298" s="277"/>
      <c r="Z1298" s="277"/>
      <c r="AA1298" s="277"/>
      <c r="AB1298" s="277"/>
      <c r="AC1298" s="277"/>
      <c r="AD1298" s="277"/>
      <c r="AE1298" s="277"/>
      <c r="AF1298" s="277"/>
      <c r="AG1298" s="277"/>
      <c r="AH1298" s="277"/>
    </row>
    <row r="1299" spans="16:34" s="185" customFormat="1">
      <c r="P1299" s="277"/>
      <c r="Q1299" s="277"/>
      <c r="R1299" s="277"/>
      <c r="S1299" s="291">
        <v>42855</v>
      </c>
      <c r="T1299" s="279">
        <v>1216</v>
      </c>
      <c r="U1299" s="277"/>
      <c r="V1299" s="277"/>
      <c r="W1299" s="277"/>
      <c r="X1299" s="277"/>
      <c r="Y1299" s="277"/>
      <c r="Z1299" s="277"/>
      <c r="AA1299" s="277"/>
      <c r="AB1299" s="277"/>
      <c r="AC1299" s="277"/>
      <c r="AD1299" s="277"/>
      <c r="AE1299" s="277"/>
      <c r="AF1299" s="277"/>
      <c r="AG1299" s="277"/>
      <c r="AH1299" s="277"/>
    </row>
    <row r="1300" spans="16:34" s="185" customFormat="1">
      <c r="P1300" s="277"/>
      <c r="Q1300" s="277"/>
      <c r="R1300" s="277"/>
      <c r="S1300" s="291">
        <v>42856</v>
      </c>
      <c r="T1300" s="279">
        <v>1217</v>
      </c>
      <c r="U1300" s="277"/>
      <c r="V1300" s="277"/>
      <c r="W1300" s="277"/>
      <c r="X1300" s="277"/>
      <c r="Y1300" s="277"/>
      <c r="Z1300" s="277"/>
      <c r="AA1300" s="277"/>
      <c r="AB1300" s="277"/>
      <c r="AC1300" s="277"/>
      <c r="AD1300" s="277"/>
      <c r="AE1300" s="277"/>
      <c r="AF1300" s="277"/>
      <c r="AG1300" s="277"/>
      <c r="AH1300" s="277"/>
    </row>
    <row r="1301" spans="16:34" s="185" customFormat="1">
      <c r="P1301" s="277"/>
      <c r="Q1301" s="277"/>
      <c r="R1301" s="277"/>
      <c r="S1301" s="291">
        <v>42857</v>
      </c>
      <c r="T1301" s="279">
        <v>1218</v>
      </c>
      <c r="U1301" s="277"/>
      <c r="V1301" s="277"/>
      <c r="W1301" s="277"/>
      <c r="X1301" s="277"/>
      <c r="Y1301" s="277"/>
      <c r="Z1301" s="277"/>
      <c r="AA1301" s="277"/>
      <c r="AB1301" s="277"/>
      <c r="AC1301" s="277"/>
      <c r="AD1301" s="277"/>
      <c r="AE1301" s="277"/>
      <c r="AF1301" s="277"/>
      <c r="AG1301" s="277"/>
      <c r="AH1301" s="277"/>
    </row>
    <row r="1302" spans="16:34" s="185" customFormat="1">
      <c r="P1302" s="277"/>
      <c r="Q1302" s="277"/>
      <c r="R1302" s="277"/>
      <c r="S1302" s="291">
        <v>42858</v>
      </c>
      <c r="T1302" s="279">
        <v>1219</v>
      </c>
      <c r="U1302" s="277"/>
      <c r="V1302" s="277"/>
      <c r="W1302" s="277"/>
      <c r="X1302" s="277"/>
      <c r="Y1302" s="277"/>
      <c r="Z1302" s="277"/>
      <c r="AA1302" s="277"/>
      <c r="AB1302" s="277"/>
      <c r="AC1302" s="277"/>
      <c r="AD1302" s="277"/>
      <c r="AE1302" s="277"/>
      <c r="AF1302" s="277"/>
      <c r="AG1302" s="277"/>
      <c r="AH1302" s="277"/>
    </row>
    <row r="1303" spans="16:34" s="185" customFormat="1">
      <c r="P1303" s="277"/>
      <c r="Q1303" s="277"/>
      <c r="R1303" s="277"/>
      <c r="S1303" s="291">
        <v>42859</v>
      </c>
      <c r="T1303" s="279">
        <v>1220</v>
      </c>
      <c r="U1303" s="277"/>
      <c r="V1303" s="277"/>
      <c r="W1303" s="277"/>
      <c r="X1303" s="277"/>
      <c r="Y1303" s="277"/>
      <c r="Z1303" s="277"/>
      <c r="AA1303" s="277"/>
      <c r="AB1303" s="277"/>
      <c r="AC1303" s="277"/>
      <c r="AD1303" s="277"/>
      <c r="AE1303" s="277"/>
      <c r="AF1303" s="277"/>
      <c r="AG1303" s="277"/>
      <c r="AH1303" s="277"/>
    </row>
    <row r="1304" spans="16:34" s="185" customFormat="1">
      <c r="P1304" s="277"/>
      <c r="Q1304" s="277"/>
      <c r="R1304" s="277"/>
      <c r="S1304" s="291">
        <v>42860</v>
      </c>
      <c r="T1304" s="279">
        <v>1221</v>
      </c>
      <c r="U1304" s="277"/>
      <c r="V1304" s="277"/>
      <c r="W1304" s="277"/>
      <c r="X1304" s="277"/>
      <c r="Y1304" s="277"/>
      <c r="Z1304" s="277"/>
      <c r="AA1304" s="277"/>
      <c r="AB1304" s="277"/>
      <c r="AC1304" s="277"/>
      <c r="AD1304" s="277"/>
      <c r="AE1304" s="277"/>
      <c r="AF1304" s="277"/>
      <c r="AG1304" s="277"/>
      <c r="AH1304" s="277"/>
    </row>
    <row r="1305" spans="16:34" s="185" customFormat="1">
      <c r="P1305" s="277"/>
      <c r="Q1305" s="277"/>
      <c r="R1305" s="277"/>
      <c r="S1305" s="291">
        <v>42861</v>
      </c>
      <c r="T1305" s="279">
        <v>1222</v>
      </c>
      <c r="U1305" s="277"/>
      <c r="V1305" s="277"/>
      <c r="W1305" s="277"/>
      <c r="X1305" s="277"/>
      <c r="Y1305" s="277"/>
      <c r="Z1305" s="277"/>
      <c r="AA1305" s="277"/>
      <c r="AB1305" s="277"/>
      <c r="AC1305" s="277"/>
      <c r="AD1305" s="277"/>
      <c r="AE1305" s="277"/>
      <c r="AF1305" s="277"/>
      <c r="AG1305" s="277"/>
      <c r="AH1305" s="277"/>
    </row>
    <row r="1306" spans="16:34" s="185" customFormat="1">
      <c r="P1306" s="277"/>
      <c r="Q1306" s="277"/>
      <c r="R1306" s="277"/>
      <c r="S1306" s="291">
        <v>42862</v>
      </c>
      <c r="T1306" s="279">
        <v>1223</v>
      </c>
      <c r="U1306" s="277"/>
      <c r="V1306" s="277"/>
      <c r="W1306" s="277"/>
      <c r="X1306" s="277"/>
      <c r="Y1306" s="277"/>
      <c r="Z1306" s="277"/>
      <c r="AA1306" s="277"/>
      <c r="AB1306" s="277"/>
      <c r="AC1306" s="277"/>
      <c r="AD1306" s="277"/>
      <c r="AE1306" s="277"/>
      <c r="AF1306" s="277"/>
      <c r="AG1306" s="277"/>
      <c r="AH1306" s="277"/>
    </row>
    <row r="1307" spans="16:34" s="185" customFormat="1">
      <c r="P1307" s="277"/>
      <c r="Q1307" s="277"/>
      <c r="R1307" s="277"/>
      <c r="S1307" s="291">
        <v>42863</v>
      </c>
      <c r="T1307" s="279">
        <v>1224</v>
      </c>
      <c r="U1307" s="277"/>
      <c r="V1307" s="277"/>
      <c r="W1307" s="277"/>
      <c r="X1307" s="277"/>
      <c r="Y1307" s="277"/>
      <c r="Z1307" s="277"/>
      <c r="AA1307" s="277"/>
      <c r="AB1307" s="277"/>
      <c r="AC1307" s="277"/>
      <c r="AD1307" s="277"/>
      <c r="AE1307" s="277"/>
      <c r="AF1307" s="277"/>
      <c r="AG1307" s="277"/>
      <c r="AH1307" s="277"/>
    </row>
    <row r="1308" spans="16:34" s="185" customFormat="1">
      <c r="P1308" s="277"/>
      <c r="Q1308" s="277"/>
      <c r="R1308" s="277"/>
      <c r="S1308" s="291">
        <v>42864</v>
      </c>
      <c r="T1308" s="279">
        <v>1225</v>
      </c>
      <c r="U1308" s="277"/>
      <c r="V1308" s="277"/>
      <c r="W1308" s="277"/>
      <c r="X1308" s="277"/>
      <c r="Y1308" s="277"/>
      <c r="Z1308" s="277"/>
      <c r="AA1308" s="277"/>
      <c r="AB1308" s="277"/>
      <c r="AC1308" s="277"/>
      <c r="AD1308" s="277"/>
      <c r="AE1308" s="277"/>
      <c r="AF1308" s="277"/>
      <c r="AG1308" s="277"/>
      <c r="AH1308" s="277"/>
    </row>
    <row r="1309" spans="16:34" s="185" customFormat="1">
      <c r="P1309" s="277"/>
      <c r="Q1309" s="277"/>
      <c r="R1309" s="277"/>
      <c r="S1309" s="291">
        <v>42865</v>
      </c>
      <c r="T1309" s="279">
        <v>1226</v>
      </c>
      <c r="U1309" s="277"/>
      <c r="V1309" s="277"/>
      <c r="W1309" s="277"/>
      <c r="X1309" s="277"/>
      <c r="Y1309" s="277"/>
      <c r="Z1309" s="277"/>
      <c r="AA1309" s="277"/>
      <c r="AB1309" s="277"/>
      <c r="AC1309" s="277"/>
      <c r="AD1309" s="277"/>
      <c r="AE1309" s="277"/>
      <c r="AF1309" s="277"/>
      <c r="AG1309" s="277"/>
      <c r="AH1309" s="277"/>
    </row>
    <row r="1310" spans="16:34" s="185" customFormat="1">
      <c r="P1310" s="277"/>
      <c r="Q1310" s="277"/>
      <c r="R1310" s="277"/>
      <c r="S1310" s="291">
        <v>42866</v>
      </c>
      <c r="T1310" s="279">
        <v>1227</v>
      </c>
      <c r="U1310" s="277"/>
      <c r="V1310" s="277"/>
      <c r="W1310" s="277"/>
      <c r="X1310" s="277"/>
      <c r="Y1310" s="277"/>
      <c r="Z1310" s="277"/>
      <c r="AA1310" s="277"/>
      <c r="AB1310" s="277"/>
      <c r="AC1310" s="277"/>
      <c r="AD1310" s="277"/>
      <c r="AE1310" s="277"/>
      <c r="AF1310" s="277"/>
      <c r="AG1310" s="277"/>
      <c r="AH1310" s="277"/>
    </row>
    <row r="1311" spans="16:34" s="185" customFormat="1">
      <c r="P1311" s="277"/>
      <c r="Q1311" s="277"/>
      <c r="R1311" s="277"/>
      <c r="S1311" s="291">
        <v>42867</v>
      </c>
      <c r="T1311" s="279">
        <v>1228</v>
      </c>
      <c r="U1311" s="277"/>
      <c r="V1311" s="277"/>
      <c r="W1311" s="277"/>
      <c r="X1311" s="277"/>
      <c r="Y1311" s="277"/>
      <c r="Z1311" s="277"/>
      <c r="AA1311" s="277"/>
      <c r="AB1311" s="277"/>
      <c r="AC1311" s="277"/>
      <c r="AD1311" s="277"/>
      <c r="AE1311" s="277"/>
      <c r="AF1311" s="277"/>
      <c r="AG1311" s="277"/>
      <c r="AH1311" s="277"/>
    </row>
    <row r="1312" spans="16:34" s="185" customFormat="1">
      <c r="P1312" s="277"/>
      <c r="Q1312" s="277"/>
      <c r="R1312" s="277"/>
      <c r="S1312" s="291">
        <v>42868</v>
      </c>
      <c r="T1312" s="279">
        <v>1229</v>
      </c>
      <c r="U1312" s="277"/>
      <c r="V1312" s="277"/>
      <c r="W1312" s="277"/>
      <c r="X1312" s="277"/>
      <c r="Y1312" s="277"/>
      <c r="Z1312" s="277"/>
      <c r="AA1312" s="277"/>
      <c r="AB1312" s="277"/>
      <c r="AC1312" s="277"/>
      <c r="AD1312" s="277"/>
      <c r="AE1312" s="277"/>
      <c r="AF1312" s="277"/>
      <c r="AG1312" s="277"/>
      <c r="AH1312" s="277"/>
    </row>
    <row r="1313" spans="16:34" s="185" customFormat="1">
      <c r="P1313" s="277"/>
      <c r="Q1313" s="277"/>
      <c r="R1313" s="277"/>
      <c r="S1313" s="291">
        <v>42869</v>
      </c>
      <c r="T1313" s="279">
        <v>1230</v>
      </c>
      <c r="U1313" s="277"/>
      <c r="V1313" s="277"/>
      <c r="W1313" s="277"/>
      <c r="X1313" s="277"/>
      <c r="Y1313" s="277"/>
      <c r="Z1313" s="277"/>
      <c r="AA1313" s="277"/>
      <c r="AB1313" s="277"/>
      <c r="AC1313" s="277"/>
      <c r="AD1313" s="277"/>
      <c r="AE1313" s="277"/>
      <c r="AF1313" s="277"/>
      <c r="AG1313" s="277"/>
      <c r="AH1313" s="277"/>
    </row>
    <row r="1314" spans="16:34" s="185" customFormat="1">
      <c r="P1314" s="277"/>
      <c r="Q1314" s="277"/>
      <c r="R1314" s="277"/>
      <c r="S1314" s="291">
        <v>42870</v>
      </c>
      <c r="T1314" s="279">
        <v>1231</v>
      </c>
      <c r="U1314" s="277"/>
      <c r="V1314" s="277"/>
      <c r="W1314" s="277"/>
      <c r="X1314" s="277"/>
      <c r="Y1314" s="277"/>
      <c r="Z1314" s="277"/>
      <c r="AA1314" s="277"/>
      <c r="AB1314" s="277"/>
      <c r="AC1314" s="277"/>
      <c r="AD1314" s="277"/>
      <c r="AE1314" s="277"/>
      <c r="AF1314" s="277"/>
      <c r="AG1314" s="277"/>
      <c r="AH1314" s="277"/>
    </row>
    <row r="1315" spans="16:34" s="185" customFormat="1">
      <c r="P1315" s="277"/>
      <c r="Q1315" s="277"/>
      <c r="R1315" s="277"/>
      <c r="S1315" s="291">
        <v>42871</v>
      </c>
      <c r="T1315" s="279">
        <v>1232</v>
      </c>
      <c r="U1315" s="277"/>
      <c r="V1315" s="277"/>
      <c r="W1315" s="277"/>
      <c r="X1315" s="277"/>
      <c r="Y1315" s="277"/>
      <c r="Z1315" s="277"/>
      <c r="AA1315" s="277"/>
      <c r="AB1315" s="277"/>
      <c r="AC1315" s="277"/>
      <c r="AD1315" s="277"/>
      <c r="AE1315" s="277"/>
      <c r="AF1315" s="277"/>
      <c r="AG1315" s="277"/>
      <c r="AH1315" s="277"/>
    </row>
    <row r="1316" spans="16:34" s="185" customFormat="1">
      <c r="P1316" s="277"/>
      <c r="Q1316" s="277"/>
      <c r="R1316" s="277"/>
      <c r="S1316" s="291">
        <v>42872</v>
      </c>
      <c r="T1316" s="279">
        <v>1233</v>
      </c>
      <c r="U1316" s="277"/>
      <c r="V1316" s="277"/>
      <c r="W1316" s="277"/>
      <c r="X1316" s="277"/>
      <c r="Y1316" s="277"/>
      <c r="Z1316" s="277"/>
      <c r="AA1316" s="277"/>
      <c r="AB1316" s="277"/>
      <c r="AC1316" s="277"/>
      <c r="AD1316" s="277"/>
      <c r="AE1316" s="277"/>
      <c r="AF1316" s="277"/>
      <c r="AG1316" s="277"/>
      <c r="AH1316" s="277"/>
    </row>
    <row r="1317" spans="16:34" s="185" customFormat="1">
      <c r="P1317" s="277"/>
      <c r="Q1317" s="277"/>
      <c r="R1317" s="277"/>
      <c r="S1317" s="291">
        <v>42873</v>
      </c>
      <c r="T1317" s="279">
        <v>1234</v>
      </c>
      <c r="U1317" s="277"/>
      <c r="V1317" s="277"/>
      <c r="W1317" s="277"/>
      <c r="X1317" s="277"/>
      <c r="Y1317" s="277"/>
      <c r="Z1317" s="277"/>
      <c r="AA1317" s="277"/>
      <c r="AB1317" s="277"/>
      <c r="AC1317" s="277"/>
      <c r="AD1317" s="277"/>
      <c r="AE1317" s="277"/>
      <c r="AF1317" s="277"/>
      <c r="AG1317" s="277"/>
      <c r="AH1317" s="277"/>
    </row>
    <row r="1318" spans="16:34" s="185" customFormat="1">
      <c r="P1318" s="277"/>
      <c r="Q1318" s="277"/>
      <c r="R1318" s="277"/>
      <c r="S1318" s="291">
        <v>42874</v>
      </c>
      <c r="T1318" s="279">
        <v>1235</v>
      </c>
      <c r="U1318" s="277"/>
      <c r="V1318" s="277"/>
      <c r="W1318" s="277"/>
      <c r="X1318" s="277"/>
      <c r="Y1318" s="277"/>
      <c r="Z1318" s="277"/>
      <c r="AA1318" s="277"/>
      <c r="AB1318" s="277"/>
      <c r="AC1318" s="277"/>
      <c r="AD1318" s="277"/>
      <c r="AE1318" s="277"/>
      <c r="AF1318" s="277"/>
      <c r="AG1318" s="277"/>
      <c r="AH1318" s="277"/>
    </row>
    <row r="1319" spans="16:34" s="185" customFormat="1">
      <c r="P1319" s="277"/>
      <c r="Q1319" s="277"/>
      <c r="R1319" s="277"/>
      <c r="S1319" s="291">
        <v>42875</v>
      </c>
      <c r="T1319" s="279">
        <v>1236</v>
      </c>
      <c r="U1319" s="277"/>
      <c r="V1319" s="277"/>
      <c r="W1319" s="277"/>
      <c r="X1319" s="277"/>
      <c r="Y1319" s="277"/>
      <c r="Z1319" s="277"/>
      <c r="AA1319" s="277"/>
      <c r="AB1319" s="277"/>
      <c r="AC1319" s="277"/>
      <c r="AD1319" s="277"/>
      <c r="AE1319" s="277"/>
      <c r="AF1319" s="277"/>
      <c r="AG1319" s="277"/>
      <c r="AH1319" s="277"/>
    </row>
    <row r="1320" spans="16:34" s="185" customFormat="1">
      <c r="P1320" s="277"/>
      <c r="Q1320" s="277"/>
      <c r="R1320" s="277"/>
      <c r="S1320" s="291">
        <v>42876</v>
      </c>
      <c r="T1320" s="279">
        <v>1237</v>
      </c>
      <c r="U1320" s="277"/>
      <c r="V1320" s="277"/>
      <c r="W1320" s="277"/>
      <c r="X1320" s="277"/>
      <c r="Y1320" s="277"/>
      <c r="Z1320" s="277"/>
      <c r="AA1320" s="277"/>
      <c r="AB1320" s="277"/>
      <c r="AC1320" s="277"/>
      <c r="AD1320" s="277"/>
      <c r="AE1320" s="277"/>
      <c r="AF1320" s="277"/>
      <c r="AG1320" s="277"/>
      <c r="AH1320" s="277"/>
    </row>
    <row r="1321" spans="16:34" s="185" customFormat="1">
      <c r="P1321" s="277"/>
      <c r="Q1321" s="277"/>
      <c r="R1321" s="277"/>
      <c r="S1321" s="291">
        <v>42877</v>
      </c>
      <c r="T1321" s="279">
        <v>1238</v>
      </c>
      <c r="U1321" s="277"/>
      <c r="V1321" s="277"/>
      <c r="W1321" s="277"/>
      <c r="X1321" s="277"/>
      <c r="Y1321" s="277"/>
      <c r="Z1321" s="277"/>
      <c r="AA1321" s="277"/>
      <c r="AB1321" s="277"/>
      <c r="AC1321" s="277"/>
      <c r="AD1321" s="277"/>
      <c r="AE1321" s="277"/>
      <c r="AF1321" s="277"/>
      <c r="AG1321" s="277"/>
      <c r="AH1321" s="277"/>
    </row>
    <row r="1322" spans="16:34" s="185" customFormat="1">
      <c r="P1322" s="277"/>
      <c r="Q1322" s="277"/>
      <c r="R1322" s="277"/>
      <c r="S1322" s="291">
        <v>42878</v>
      </c>
      <c r="T1322" s="279">
        <v>1239</v>
      </c>
      <c r="U1322" s="277"/>
      <c r="V1322" s="277"/>
      <c r="W1322" s="277"/>
      <c r="X1322" s="277"/>
      <c r="Y1322" s="277"/>
      <c r="Z1322" s="277"/>
      <c r="AA1322" s="277"/>
      <c r="AB1322" s="277"/>
      <c r="AC1322" s="277"/>
      <c r="AD1322" s="277"/>
      <c r="AE1322" s="277"/>
      <c r="AF1322" s="277"/>
      <c r="AG1322" s="277"/>
      <c r="AH1322" s="277"/>
    </row>
    <row r="1323" spans="16:34" s="185" customFormat="1">
      <c r="P1323" s="277"/>
      <c r="Q1323" s="277"/>
      <c r="R1323" s="277"/>
      <c r="S1323" s="291">
        <v>42879</v>
      </c>
      <c r="T1323" s="279">
        <v>1240</v>
      </c>
      <c r="U1323" s="277"/>
      <c r="V1323" s="277"/>
      <c r="W1323" s="277"/>
      <c r="X1323" s="277"/>
      <c r="Y1323" s="277"/>
      <c r="Z1323" s="277"/>
      <c r="AA1323" s="277"/>
      <c r="AB1323" s="277"/>
      <c r="AC1323" s="277"/>
      <c r="AD1323" s="277"/>
      <c r="AE1323" s="277"/>
      <c r="AF1323" s="277"/>
      <c r="AG1323" s="277"/>
      <c r="AH1323" s="277"/>
    </row>
    <row r="1324" spans="16:34" s="185" customFormat="1">
      <c r="P1324" s="277"/>
      <c r="Q1324" s="277"/>
      <c r="R1324" s="277"/>
      <c r="S1324" s="291">
        <v>42880</v>
      </c>
      <c r="T1324" s="279">
        <v>1241</v>
      </c>
      <c r="U1324" s="277"/>
      <c r="V1324" s="277"/>
      <c r="W1324" s="277"/>
      <c r="X1324" s="277"/>
      <c r="Y1324" s="277"/>
      <c r="Z1324" s="277"/>
      <c r="AA1324" s="277"/>
      <c r="AB1324" s="277"/>
      <c r="AC1324" s="277"/>
      <c r="AD1324" s="277"/>
      <c r="AE1324" s="277"/>
      <c r="AF1324" s="277"/>
      <c r="AG1324" s="277"/>
      <c r="AH1324" s="277"/>
    </row>
    <row r="1325" spans="16:34" s="185" customFormat="1">
      <c r="P1325" s="277"/>
      <c r="Q1325" s="277"/>
      <c r="R1325" s="277"/>
      <c r="S1325" s="291">
        <v>42881</v>
      </c>
      <c r="T1325" s="279">
        <v>1242</v>
      </c>
      <c r="U1325" s="277"/>
      <c r="V1325" s="277"/>
      <c r="W1325" s="277"/>
      <c r="X1325" s="277"/>
      <c r="Y1325" s="277"/>
      <c r="Z1325" s="277"/>
      <c r="AA1325" s="277"/>
      <c r="AB1325" s="277"/>
      <c r="AC1325" s="277"/>
      <c r="AD1325" s="277"/>
      <c r="AE1325" s="277"/>
      <c r="AF1325" s="277"/>
      <c r="AG1325" s="277"/>
      <c r="AH1325" s="277"/>
    </row>
    <row r="1326" spans="16:34" s="185" customFormat="1">
      <c r="P1326" s="277"/>
      <c r="Q1326" s="277"/>
      <c r="R1326" s="277"/>
      <c r="S1326" s="291">
        <v>42882</v>
      </c>
      <c r="T1326" s="279">
        <v>1243</v>
      </c>
      <c r="U1326" s="277"/>
      <c r="V1326" s="277"/>
      <c r="W1326" s="277"/>
      <c r="X1326" s="277"/>
      <c r="Y1326" s="277"/>
      <c r="Z1326" s="277"/>
      <c r="AA1326" s="277"/>
      <c r="AB1326" s="277"/>
      <c r="AC1326" s="277"/>
      <c r="AD1326" s="277"/>
      <c r="AE1326" s="277"/>
      <c r="AF1326" s="277"/>
      <c r="AG1326" s="277"/>
      <c r="AH1326" s="277"/>
    </row>
    <row r="1327" spans="16:34" s="185" customFormat="1">
      <c r="P1327" s="277"/>
      <c r="Q1327" s="277"/>
      <c r="R1327" s="277"/>
      <c r="S1327" s="291">
        <v>42883</v>
      </c>
      <c r="T1327" s="279">
        <v>1244</v>
      </c>
      <c r="U1327" s="277"/>
      <c r="V1327" s="277"/>
      <c r="W1327" s="277"/>
      <c r="X1327" s="277"/>
      <c r="Y1327" s="277"/>
      <c r="Z1327" s="277"/>
      <c r="AA1327" s="277"/>
      <c r="AB1327" s="277"/>
      <c r="AC1327" s="277"/>
      <c r="AD1327" s="277"/>
      <c r="AE1327" s="277"/>
      <c r="AF1327" s="277"/>
      <c r="AG1327" s="277"/>
      <c r="AH1327" s="277"/>
    </row>
    <row r="1328" spans="16:34" s="185" customFormat="1">
      <c r="P1328" s="277"/>
      <c r="Q1328" s="277"/>
      <c r="R1328" s="277"/>
      <c r="S1328" s="291">
        <v>42884</v>
      </c>
      <c r="T1328" s="279">
        <v>1245</v>
      </c>
      <c r="U1328" s="277"/>
      <c r="V1328" s="277"/>
      <c r="W1328" s="277"/>
      <c r="X1328" s="277"/>
      <c r="Y1328" s="277"/>
      <c r="Z1328" s="277"/>
      <c r="AA1328" s="277"/>
      <c r="AB1328" s="277"/>
      <c r="AC1328" s="277"/>
      <c r="AD1328" s="277"/>
      <c r="AE1328" s="277"/>
      <c r="AF1328" s="277"/>
      <c r="AG1328" s="277"/>
      <c r="AH1328" s="277"/>
    </row>
    <row r="1329" spans="16:34" s="185" customFormat="1">
      <c r="P1329" s="277"/>
      <c r="Q1329" s="277"/>
      <c r="R1329" s="277"/>
      <c r="S1329" s="291">
        <v>42885</v>
      </c>
      <c r="T1329" s="279">
        <v>1246</v>
      </c>
      <c r="U1329" s="277"/>
      <c r="V1329" s="277"/>
      <c r="W1329" s="277"/>
      <c r="X1329" s="277"/>
      <c r="Y1329" s="277"/>
      <c r="Z1329" s="277"/>
      <c r="AA1329" s="277"/>
      <c r="AB1329" s="277"/>
      <c r="AC1329" s="277"/>
      <c r="AD1329" s="277"/>
      <c r="AE1329" s="277"/>
      <c r="AF1329" s="277"/>
      <c r="AG1329" s="277"/>
      <c r="AH1329" s="277"/>
    </row>
    <row r="1330" spans="16:34" s="185" customFormat="1">
      <c r="P1330" s="277"/>
      <c r="Q1330" s="277"/>
      <c r="R1330" s="277"/>
      <c r="S1330" s="291">
        <v>42886</v>
      </c>
      <c r="T1330" s="279">
        <v>1247</v>
      </c>
      <c r="U1330" s="277"/>
      <c r="V1330" s="277"/>
      <c r="W1330" s="277"/>
      <c r="X1330" s="277"/>
      <c r="Y1330" s="277"/>
      <c r="Z1330" s="277"/>
      <c r="AA1330" s="277"/>
      <c r="AB1330" s="277"/>
      <c r="AC1330" s="277"/>
      <c r="AD1330" s="277"/>
      <c r="AE1330" s="277"/>
      <c r="AF1330" s="277"/>
      <c r="AG1330" s="277"/>
      <c r="AH1330" s="277"/>
    </row>
    <row r="1331" spans="16:34" s="185" customFormat="1">
      <c r="P1331" s="277"/>
      <c r="Q1331" s="277"/>
      <c r="R1331" s="277"/>
      <c r="S1331" s="291">
        <v>42887</v>
      </c>
      <c r="T1331" s="279">
        <v>1248</v>
      </c>
      <c r="U1331" s="277"/>
      <c r="V1331" s="277"/>
      <c r="W1331" s="277"/>
      <c r="X1331" s="277"/>
      <c r="Y1331" s="277"/>
      <c r="Z1331" s="277"/>
      <c r="AA1331" s="277"/>
      <c r="AB1331" s="277"/>
      <c r="AC1331" s="277"/>
      <c r="AD1331" s="277"/>
      <c r="AE1331" s="277"/>
      <c r="AF1331" s="277"/>
      <c r="AG1331" s="277"/>
      <c r="AH1331" s="277"/>
    </row>
    <row r="1332" spans="16:34" s="185" customFormat="1">
      <c r="P1332" s="277"/>
      <c r="Q1332" s="277"/>
      <c r="R1332" s="277"/>
      <c r="S1332" s="291">
        <v>42888</v>
      </c>
      <c r="T1332" s="279">
        <v>1249</v>
      </c>
      <c r="U1332" s="277"/>
      <c r="V1332" s="277"/>
      <c r="W1332" s="277"/>
      <c r="X1332" s="277"/>
      <c r="Y1332" s="277"/>
      <c r="Z1332" s="277"/>
      <c r="AA1332" s="277"/>
      <c r="AB1332" s="277"/>
      <c r="AC1332" s="277"/>
      <c r="AD1332" s="277"/>
      <c r="AE1332" s="277"/>
      <c r="AF1332" s="277"/>
      <c r="AG1332" s="277"/>
      <c r="AH1332" s="277"/>
    </row>
    <row r="1333" spans="16:34" s="185" customFormat="1">
      <c r="P1333" s="277"/>
      <c r="Q1333" s="277"/>
      <c r="R1333" s="277"/>
      <c r="S1333" s="291">
        <v>42889</v>
      </c>
      <c r="T1333" s="279">
        <v>1250</v>
      </c>
      <c r="U1333" s="277"/>
      <c r="V1333" s="277"/>
      <c r="W1333" s="277"/>
      <c r="X1333" s="277"/>
      <c r="Y1333" s="277"/>
      <c r="Z1333" s="277"/>
      <c r="AA1333" s="277"/>
      <c r="AB1333" s="277"/>
      <c r="AC1333" s="277"/>
      <c r="AD1333" s="277"/>
      <c r="AE1333" s="277"/>
      <c r="AF1333" s="277"/>
      <c r="AG1333" s="277"/>
      <c r="AH1333" s="277"/>
    </row>
    <row r="1334" spans="16:34" s="185" customFormat="1">
      <c r="P1334" s="277"/>
      <c r="Q1334" s="277"/>
      <c r="R1334" s="277"/>
      <c r="S1334" s="291">
        <v>42890</v>
      </c>
      <c r="T1334" s="279">
        <v>1251</v>
      </c>
      <c r="U1334" s="277"/>
      <c r="V1334" s="277"/>
      <c r="W1334" s="277"/>
      <c r="X1334" s="277"/>
      <c r="Y1334" s="277"/>
      <c r="Z1334" s="277"/>
      <c r="AA1334" s="277"/>
      <c r="AB1334" s="277"/>
      <c r="AC1334" s="277"/>
      <c r="AD1334" s="277"/>
      <c r="AE1334" s="277"/>
      <c r="AF1334" s="277"/>
      <c r="AG1334" s="277"/>
      <c r="AH1334" s="277"/>
    </row>
    <row r="1335" spans="16:34" s="185" customFormat="1">
      <c r="P1335" s="277"/>
      <c r="Q1335" s="277"/>
      <c r="R1335" s="277"/>
      <c r="S1335" s="291">
        <v>42891</v>
      </c>
      <c r="T1335" s="279">
        <v>1252</v>
      </c>
      <c r="U1335" s="277"/>
      <c r="V1335" s="277"/>
      <c r="W1335" s="277"/>
      <c r="X1335" s="277"/>
      <c r="Y1335" s="277"/>
      <c r="Z1335" s="277"/>
      <c r="AA1335" s="277"/>
      <c r="AB1335" s="277"/>
      <c r="AC1335" s="277"/>
      <c r="AD1335" s="277"/>
      <c r="AE1335" s="277"/>
      <c r="AF1335" s="277"/>
      <c r="AG1335" s="277"/>
      <c r="AH1335" s="277"/>
    </row>
    <row r="1336" spans="16:34" s="185" customFormat="1">
      <c r="P1336" s="277"/>
      <c r="Q1336" s="277"/>
      <c r="R1336" s="277"/>
      <c r="S1336" s="291">
        <v>42892</v>
      </c>
      <c r="T1336" s="279">
        <v>1253</v>
      </c>
      <c r="U1336" s="277"/>
      <c r="V1336" s="277"/>
      <c r="W1336" s="277"/>
      <c r="X1336" s="277"/>
      <c r="Y1336" s="277"/>
      <c r="Z1336" s="277"/>
      <c r="AA1336" s="277"/>
      <c r="AB1336" s="277"/>
      <c r="AC1336" s="277"/>
      <c r="AD1336" s="277"/>
      <c r="AE1336" s="277"/>
      <c r="AF1336" s="277"/>
      <c r="AG1336" s="277"/>
      <c r="AH1336" s="277"/>
    </row>
    <row r="1337" spans="16:34" s="185" customFormat="1">
      <c r="P1337" s="277"/>
      <c r="Q1337" s="277"/>
      <c r="R1337" s="277"/>
      <c r="S1337" s="291">
        <v>42893</v>
      </c>
      <c r="T1337" s="279">
        <v>1254</v>
      </c>
      <c r="U1337" s="277"/>
      <c r="V1337" s="277"/>
      <c r="W1337" s="277"/>
      <c r="X1337" s="277"/>
      <c r="Y1337" s="277"/>
      <c r="Z1337" s="277"/>
      <c r="AA1337" s="277"/>
      <c r="AB1337" s="277"/>
      <c r="AC1337" s="277"/>
      <c r="AD1337" s="277"/>
      <c r="AE1337" s="277"/>
      <c r="AF1337" s="277"/>
      <c r="AG1337" s="277"/>
      <c r="AH1337" s="277"/>
    </row>
    <row r="1338" spans="16:34" s="185" customFormat="1">
      <c r="P1338" s="277"/>
      <c r="Q1338" s="277"/>
      <c r="R1338" s="277"/>
      <c r="S1338" s="291">
        <v>42894</v>
      </c>
      <c r="T1338" s="279">
        <v>1255</v>
      </c>
      <c r="U1338" s="277"/>
      <c r="V1338" s="277"/>
      <c r="W1338" s="277"/>
      <c r="X1338" s="277"/>
      <c r="Y1338" s="277"/>
      <c r="Z1338" s="277"/>
      <c r="AA1338" s="277"/>
      <c r="AB1338" s="277"/>
      <c r="AC1338" s="277"/>
      <c r="AD1338" s="277"/>
      <c r="AE1338" s="277"/>
      <c r="AF1338" s="277"/>
      <c r="AG1338" s="277"/>
      <c r="AH1338" s="277"/>
    </row>
    <row r="1339" spans="16:34" s="185" customFormat="1">
      <c r="P1339" s="277"/>
      <c r="Q1339" s="277"/>
      <c r="R1339" s="277"/>
      <c r="S1339" s="291">
        <v>42895</v>
      </c>
      <c r="T1339" s="279">
        <v>1256</v>
      </c>
      <c r="U1339" s="277"/>
      <c r="V1339" s="277"/>
      <c r="W1339" s="277"/>
      <c r="X1339" s="277"/>
      <c r="Y1339" s="277"/>
      <c r="Z1339" s="277"/>
      <c r="AA1339" s="277"/>
      <c r="AB1339" s="277"/>
      <c r="AC1339" s="277"/>
      <c r="AD1339" s="277"/>
      <c r="AE1339" s="277"/>
      <c r="AF1339" s="277"/>
      <c r="AG1339" s="277"/>
      <c r="AH1339" s="277"/>
    </row>
    <row r="1340" spans="16:34" s="185" customFormat="1">
      <c r="P1340" s="277"/>
      <c r="Q1340" s="277"/>
      <c r="R1340" s="277"/>
      <c r="S1340" s="291">
        <v>42896</v>
      </c>
      <c r="T1340" s="279">
        <v>1257</v>
      </c>
      <c r="U1340" s="277"/>
      <c r="V1340" s="277"/>
      <c r="W1340" s="277"/>
      <c r="X1340" s="277"/>
      <c r="Y1340" s="277"/>
      <c r="Z1340" s="277"/>
      <c r="AA1340" s="277"/>
      <c r="AB1340" s="277"/>
      <c r="AC1340" s="277"/>
      <c r="AD1340" s="277"/>
      <c r="AE1340" s="277"/>
      <c r="AF1340" s="277"/>
      <c r="AG1340" s="277"/>
      <c r="AH1340" s="277"/>
    </row>
    <row r="1341" spans="16:34" s="185" customFormat="1">
      <c r="P1341" s="277"/>
      <c r="Q1341" s="277"/>
      <c r="R1341" s="277"/>
      <c r="S1341" s="291">
        <v>42897</v>
      </c>
      <c r="T1341" s="279">
        <v>1258</v>
      </c>
      <c r="U1341" s="277"/>
      <c r="V1341" s="277"/>
      <c r="W1341" s="277"/>
      <c r="X1341" s="277"/>
      <c r="Y1341" s="277"/>
      <c r="Z1341" s="277"/>
      <c r="AA1341" s="277"/>
      <c r="AB1341" s="277"/>
      <c r="AC1341" s="277"/>
      <c r="AD1341" s="277"/>
      <c r="AE1341" s="277"/>
      <c r="AF1341" s="277"/>
      <c r="AG1341" s="277"/>
      <c r="AH1341" s="277"/>
    </row>
    <row r="1342" spans="16:34" s="185" customFormat="1">
      <c r="P1342" s="277"/>
      <c r="Q1342" s="277"/>
      <c r="R1342" s="277"/>
      <c r="S1342" s="291">
        <v>42898</v>
      </c>
      <c r="T1342" s="279">
        <v>1259</v>
      </c>
      <c r="U1342" s="277"/>
      <c r="V1342" s="277"/>
      <c r="W1342" s="277"/>
      <c r="X1342" s="277"/>
      <c r="Y1342" s="277"/>
      <c r="Z1342" s="277"/>
      <c r="AA1342" s="277"/>
      <c r="AB1342" s="277"/>
      <c r="AC1342" s="277"/>
      <c r="AD1342" s="277"/>
      <c r="AE1342" s="277"/>
      <c r="AF1342" s="277"/>
      <c r="AG1342" s="277"/>
      <c r="AH1342" s="277"/>
    </row>
    <row r="1343" spans="16:34" s="185" customFormat="1">
      <c r="P1343" s="277"/>
      <c r="Q1343" s="277"/>
      <c r="R1343" s="277"/>
      <c r="S1343" s="291">
        <v>42899</v>
      </c>
      <c r="T1343" s="279">
        <v>1260</v>
      </c>
      <c r="U1343" s="277"/>
      <c r="V1343" s="277"/>
      <c r="W1343" s="277"/>
      <c r="X1343" s="277"/>
      <c r="Y1343" s="277"/>
      <c r="Z1343" s="277"/>
      <c r="AA1343" s="277"/>
      <c r="AB1343" s="277"/>
      <c r="AC1343" s="277"/>
      <c r="AD1343" s="277"/>
      <c r="AE1343" s="277"/>
      <c r="AF1343" s="277"/>
      <c r="AG1343" s="277"/>
      <c r="AH1343" s="277"/>
    </row>
    <row r="1344" spans="16:34" s="185" customFormat="1">
      <c r="P1344" s="277"/>
      <c r="Q1344" s="277"/>
      <c r="R1344" s="277"/>
      <c r="S1344" s="291">
        <v>42900</v>
      </c>
      <c r="T1344" s="279">
        <v>1261</v>
      </c>
      <c r="U1344" s="277"/>
      <c r="V1344" s="277"/>
      <c r="W1344" s="277"/>
      <c r="X1344" s="277"/>
      <c r="Y1344" s="277"/>
      <c r="Z1344" s="277"/>
      <c r="AA1344" s="277"/>
      <c r="AB1344" s="277"/>
      <c r="AC1344" s="277"/>
      <c r="AD1344" s="277"/>
      <c r="AE1344" s="277"/>
      <c r="AF1344" s="277"/>
      <c r="AG1344" s="277"/>
      <c r="AH1344" s="277"/>
    </row>
    <row r="1345" spans="16:34" s="185" customFormat="1">
      <c r="P1345" s="277"/>
      <c r="Q1345" s="277"/>
      <c r="R1345" s="277"/>
      <c r="S1345" s="291">
        <v>42901</v>
      </c>
      <c r="T1345" s="279">
        <v>1262</v>
      </c>
      <c r="U1345" s="277"/>
      <c r="V1345" s="277"/>
      <c r="W1345" s="277"/>
      <c r="X1345" s="277"/>
      <c r="Y1345" s="277"/>
      <c r="Z1345" s="277"/>
      <c r="AA1345" s="277"/>
      <c r="AB1345" s="277"/>
      <c r="AC1345" s="277"/>
      <c r="AD1345" s="277"/>
      <c r="AE1345" s="277"/>
      <c r="AF1345" s="277"/>
      <c r="AG1345" s="277"/>
      <c r="AH1345" s="277"/>
    </row>
    <row r="1346" spans="16:34" s="185" customFormat="1">
      <c r="P1346" s="277"/>
      <c r="Q1346" s="277"/>
      <c r="R1346" s="277"/>
      <c r="S1346" s="291">
        <v>42902</v>
      </c>
      <c r="T1346" s="279">
        <v>1263</v>
      </c>
      <c r="U1346" s="277"/>
      <c r="V1346" s="277"/>
      <c r="W1346" s="277"/>
      <c r="X1346" s="277"/>
      <c r="Y1346" s="277"/>
      <c r="Z1346" s="277"/>
      <c r="AA1346" s="277"/>
      <c r="AB1346" s="277"/>
      <c r="AC1346" s="277"/>
      <c r="AD1346" s="277"/>
      <c r="AE1346" s="277"/>
      <c r="AF1346" s="277"/>
      <c r="AG1346" s="277"/>
      <c r="AH1346" s="277"/>
    </row>
    <row r="1347" spans="16:34" s="185" customFormat="1">
      <c r="P1347" s="277"/>
      <c r="Q1347" s="277"/>
      <c r="R1347" s="277"/>
      <c r="S1347" s="291">
        <v>42903</v>
      </c>
      <c r="T1347" s="279">
        <v>1264</v>
      </c>
      <c r="U1347" s="277"/>
      <c r="V1347" s="277"/>
      <c r="W1347" s="277"/>
      <c r="X1347" s="277"/>
      <c r="Y1347" s="277"/>
      <c r="Z1347" s="277"/>
      <c r="AA1347" s="277"/>
      <c r="AB1347" s="277"/>
      <c r="AC1347" s="277"/>
      <c r="AD1347" s="277"/>
      <c r="AE1347" s="277"/>
      <c r="AF1347" s="277"/>
      <c r="AG1347" s="277"/>
      <c r="AH1347" s="277"/>
    </row>
    <row r="1348" spans="16:34" s="185" customFormat="1">
      <c r="P1348" s="277"/>
      <c r="Q1348" s="277"/>
      <c r="R1348" s="277"/>
      <c r="S1348" s="291">
        <v>42904</v>
      </c>
      <c r="T1348" s="279">
        <v>1265</v>
      </c>
      <c r="U1348" s="277"/>
      <c r="V1348" s="277"/>
      <c r="W1348" s="277"/>
      <c r="X1348" s="277"/>
      <c r="Y1348" s="277"/>
      <c r="Z1348" s="277"/>
      <c r="AA1348" s="277"/>
      <c r="AB1348" s="277"/>
      <c r="AC1348" s="277"/>
      <c r="AD1348" s="277"/>
      <c r="AE1348" s="277"/>
      <c r="AF1348" s="277"/>
      <c r="AG1348" s="277"/>
      <c r="AH1348" s="277"/>
    </row>
    <row r="1349" spans="16:34" s="185" customFormat="1">
      <c r="P1349" s="277"/>
      <c r="Q1349" s="277"/>
      <c r="R1349" s="277"/>
      <c r="S1349" s="291">
        <v>42905</v>
      </c>
      <c r="T1349" s="279">
        <v>1266</v>
      </c>
      <c r="U1349" s="277"/>
      <c r="V1349" s="277"/>
      <c r="W1349" s="277"/>
      <c r="X1349" s="277"/>
      <c r="Y1349" s="277"/>
      <c r="Z1349" s="277"/>
      <c r="AA1349" s="277"/>
      <c r="AB1349" s="277"/>
      <c r="AC1349" s="277"/>
      <c r="AD1349" s="277"/>
      <c r="AE1349" s="277"/>
      <c r="AF1349" s="277"/>
      <c r="AG1349" s="277"/>
      <c r="AH1349" s="277"/>
    </row>
    <row r="1350" spans="16:34" s="185" customFormat="1">
      <c r="P1350" s="277"/>
      <c r="Q1350" s="277"/>
      <c r="R1350" s="277"/>
      <c r="S1350" s="291">
        <v>42906</v>
      </c>
      <c r="T1350" s="279">
        <v>1267</v>
      </c>
      <c r="U1350" s="277"/>
      <c r="V1350" s="277"/>
      <c r="W1350" s="277"/>
      <c r="X1350" s="277"/>
      <c r="Y1350" s="277"/>
      <c r="Z1350" s="277"/>
      <c r="AA1350" s="277"/>
      <c r="AB1350" s="277"/>
      <c r="AC1350" s="277"/>
      <c r="AD1350" s="277"/>
      <c r="AE1350" s="277"/>
      <c r="AF1350" s="277"/>
      <c r="AG1350" s="277"/>
      <c r="AH1350" s="277"/>
    </row>
    <row r="1351" spans="16:34" s="185" customFormat="1">
      <c r="P1351" s="277"/>
      <c r="Q1351" s="277"/>
      <c r="R1351" s="277"/>
      <c r="S1351" s="291">
        <v>42907</v>
      </c>
      <c r="T1351" s="279">
        <v>1268</v>
      </c>
      <c r="U1351" s="277"/>
      <c r="V1351" s="277"/>
      <c r="W1351" s="277"/>
      <c r="X1351" s="277"/>
      <c r="Y1351" s="277"/>
      <c r="Z1351" s="277"/>
      <c r="AA1351" s="277"/>
      <c r="AB1351" s="277"/>
      <c r="AC1351" s="277"/>
      <c r="AD1351" s="277"/>
      <c r="AE1351" s="277"/>
      <c r="AF1351" s="277"/>
      <c r="AG1351" s="277"/>
      <c r="AH1351" s="277"/>
    </row>
    <row r="1352" spans="16:34" s="185" customFormat="1">
      <c r="P1352" s="277"/>
      <c r="Q1352" s="277"/>
      <c r="R1352" s="277"/>
      <c r="S1352" s="291">
        <v>42908</v>
      </c>
      <c r="T1352" s="279">
        <v>1269</v>
      </c>
      <c r="U1352" s="277"/>
      <c r="V1352" s="277"/>
      <c r="W1352" s="277"/>
      <c r="X1352" s="277"/>
      <c r="Y1352" s="277"/>
      <c r="Z1352" s="277"/>
      <c r="AA1352" s="277"/>
      <c r="AB1352" s="277"/>
      <c r="AC1352" s="277"/>
      <c r="AD1352" s="277"/>
      <c r="AE1352" s="277"/>
      <c r="AF1352" s="277"/>
      <c r="AG1352" s="277"/>
      <c r="AH1352" s="277"/>
    </row>
    <row r="1353" spans="16:34" s="185" customFormat="1">
      <c r="P1353" s="277"/>
      <c r="Q1353" s="277"/>
      <c r="R1353" s="277"/>
      <c r="S1353" s="291">
        <v>42909</v>
      </c>
      <c r="T1353" s="279">
        <v>1270</v>
      </c>
      <c r="U1353" s="277"/>
      <c r="V1353" s="277"/>
      <c r="W1353" s="277"/>
      <c r="X1353" s="277"/>
      <c r="Y1353" s="277"/>
      <c r="Z1353" s="277"/>
      <c r="AA1353" s="277"/>
      <c r="AB1353" s="277"/>
      <c r="AC1353" s="277"/>
      <c r="AD1353" s="277"/>
      <c r="AE1353" s="277"/>
      <c r="AF1353" s="277"/>
      <c r="AG1353" s="277"/>
      <c r="AH1353" s="277"/>
    </row>
    <row r="1354" spans="16:34" s="185" customFormat="1">
      <c r="P1354" s="277"/>
      <c r="Q1354" s="277"/>
      <c r="R1354" s="277"/>
      <c r="S1354" s="291">
        <v>42910</v>
      </c>
      <c r="T1354" s="279">
        <v>1271</v>
      </c>
      <c r="U1354" s="277"/>
      <c r="V1354" s="277"/>
      <c r="W1354" s="277"/>
      <c r="X1354" s="277"/>
      <c r="Y1354" s="277"/>
      <c r="Z1354" s="277"/>
      <c r="AA1354" s="277"/>
      <c r="AB1354" s="277"/>
      <c r="AC1354" s="277"/>
      <c r="AD1354" s="277"/>
      <c r="AE1354" s="277"/>
      <c r="AF1354" s="277"/>
      <c r="AG1354" s="277"/>
      <c r="AH1354" s="277"/>
    </row>
    <row r="1355" spans="16:34" s="185" customFormat="1">
      <c r="P1355" s="277"/>
      <c r="Q1355" s="277"/>
      <c r="R1355" s="277"/>
      <c r="S1355" s="291">
        <v>42911</v>
      </c>
      <c r="T1355" s="279">
        <v>1272</v>
      </c>
      <c r="U1355" s="277"/>
      <c r="V1355" s="277"/>
      <c r="W1355" s="277"/>
      <c r="X1355" s="277"/>
      <c r="Y1355" s="277"/>
      <c r="Z1355" s="277"/>
      <c r="AA1355" s="277"/>
      <c r="AB1355" s="277"/>
      <c r="AC1355" s="277"/>
      <c r="AD1355" s="277"/>
      <c r="AE1355" s="277"/>
      <c r="AF1355" s="277"/>
      <c r="AG1355" s="277"/>
      <c r="AH1355" s="277"/>
    </row>
    <row r="1356" spans="16:34" s="185" customFormat="1">
      <c r="P1356" s="277"/>
      <c r="Q1356" s="277"/>
      <c r="R1356" s="277"/>
      <c r="S1356" s="291">
        <v>42912</v>
      </c>
      <c r="T1356" s="279">
        <v>1273</v>
      </c>
      <c r="U1356" s="277"/>
      <c r="V1356" s="277"/>
      <c r="W1356" s="277"/>
      <c r="X1356" s="277"/>
      <c r="Y1356" s="277"/>
      <c r="Z1356" s="277"/>
      <c r="AA1356" s="277"/>
      <c r="AB1356" s="277"/>
      <c r="AC1356" s="277"/>
      <c r="AD1356" s="277"/>
      <c r="AE1356" s="277"/>
      <c r="AF1356" s="277"/>
      <c r="AG1356" s="277"/>
      <c r="AH1356" s="277"/>
    </row>
    <row r="1357" spans="16:34" s="185" customFormat="1">
      <c r="P1357" s="277"/>
      <c r="Q1357" s="277"/>
      <c r="R1357" s="277"/>
      <c r="S1357" s="291">
        <v>42913</v>
      </c>
      <c r="T1357" s="279">
        <v>1274</v>
      </c>
      <c r="U1357" s="277"/>
      <c r="V1357" s="277"/>
      <c r="W1357" s="277"/>
      <c r="X1357" s="277"/>
      <c r="Y1357" s="277"/>
      <c r="Z1357" s="277"/>
      <c r="AA1357" s="277"/>
      <c r="AB1357" s="277"/>
      <c r="AC1357" s="277"/>
      <c r="AD1357" s="277"/>
      <c r="AE1357" s="277"/>
      <c r="AF1357" s="277"/>
      <c r="AG1357" s="277"/>
      <c r="AH1357" s="277"/>
    </row>
    <row r="1358" spans="16:34" s="185" customFormat="1">
      <c r="P1358" s="277"/>
      <c r="Q1358" s="277"/>
      <c r="R1358" s="277"/>
      <c r="S1358" s="291">
        <v>42914</v>
      </c>
      <c r="T1358" s="279">
        <v>1275</v>
      </c>
      <c r="U1358" s="277"/>
      <c r="V1358" s="277"/>
      <c r="W1358" s="277"/>
      <c r="X1358" s="277"/>
      <c r="Y1358" s="277"/>
      <c r="Z1358" s="277"/>
      <c r="AA1358" s="277"/>
      <c r="AB1358" s="277"/>
      <c r="AC1358" s="277"/>
      <c r="AD1358" s="277"/>
      <c r="AE1358" s="277"/>
      <c r="AF1358" s="277"/>
      <c r="AG1358" s="277"/>
      <c r="AH1358" s="277"/>
    </row>
    <row r="1359" spans="16:34" s="185" customFormat="1">
      <c r="P1359" s="277"/>
      <c r="Q1359" s="277"/>
      <c r="R1359" s="277"/>
      <c r="S1359" s="291">
        <v>42915</v>
      </c>
      <c r="T1359" s="279">
        <v>1276</v>
      </c>
      <c r="U1359" s="277"/>
      <c r="V1359" s="277"/>
      <c r="W1359" s="277"/>
      <c r="X1359" s="277"/>
      <c r="Y1359" s="277"/>
      <c r="Z1359" s="277"/>
      <c r="AA1359" s="277"/>
      <c r="AB1359" s="277"/>
      <c r="AC1359" s="277"/>
      <c r="AD1359" s="277"/>
      <c r="AE1359" s="277"/>
      <c r="AF1359" s="277"/>
      <c r="AG1359" s="277"/>
      <c r="AH1359" s="277"/>
    </row>
    <row r="1360" spans="16:34" s="185" customFormat="1">
      <c r="P1360" s="277"/>
      <c r="Q1360" s="277"/>
      <c r="R1360" s="277"/>
      <c r="S1360" s="291">
        <v>42916</v>
      </c>
      <c r="T1360" s="279">
        <v>1277</v>
      </c>
      <c r="U1360" s="277"/>
      <c r="V1360" s="277"/>
      <c r="W1360" s="277"/>
      <c r="X1360" s="277"/>
      <c r="Y1360" s="277"/>
      <c r="Z1360" s="277"/>
      <c r="AA1360" s="277"/>
      <c r="AB1360" s="277"/>
      <c r="AC1360" s="277"/>
      <c r="AD1360" s="277"/>
      <c r="AE1360" s="277"/>
      <c r="AF1360" s="277"/>
      <c r="AG1360" s="277"/>
      <c r="AH1360" s="277"/>
    </row>
    <row r="1361" spans="16:34" s="185" customFormat="1">
      <c r="P1361" s="277"/>
      <c r="Q1361" s="277"/>
      <c r="R1361" s="277"/>
      <c r="S1361" s="291">
        <v>42917</v>
      </c>
      <c r="T1361" s="279">
        <v>1278</v>
      </c>
      <c r="U1361" s="277"/>
      <c r="V1361" s="277"/>
      <c r="W1361" s="277"/>
      <c r="X1361" s="277"/>
      <c r="Y1361" s="277"/>
      <c r="Z1361" s="277"/>
      <c r="AA1361" s="277"/>
      <c r="AB1361" s="277"/>
      <c r="AC1361" s="277"/>
      <c r="AD1361" s="277"/>
      <c r="AE1361" s="277"/>
      <c r="AF1361" s="277"/>
      <c r="AG1361" s="277"/>
      <c r="AH1361" s="277"/>
    </row>
    <row r="1362" spans="16:34" s="185" customFormat="1">
      <c r="P1362" s="277"/>
      <c r="Q1362" s="277"/>
      <c r="R1362" s="277"/>
      <c r="S1362" s="291">
        <v>42918</v>
      </c>
      <c r="T1362" s="279">
        <v>1279</v>
      </c>
      <c r="U1362" s="277"/>
      <c r="V1362" s="277"/>
      <c r="W1362" s="277"/>
      <c r="X1362" s="277"/>
      <c r="Y1362" s="277"/>
      <c r="Z1362" s="277"/>
      <c r="AA1362" s="277"/>
      <c r="AB1362" s="277"/>
      <c r="AC1362" s="277"/>
      <c r="AD1362" s="277"/>
      <c r="AE1362" s="277"/>
      <c r="AF1362" s="277"/>
      <c r="AG1362" s="277"/>
      <c r="AH1362" s="277"/>
    </row>
    <row r="1363" spans="16:34" s="185" customFormat="1">
      <c r="P1363" s="277"/>
      <c r="Q1363" s="277"/>
      <c r="R1363" s="277"/>
      <c r="S1363" s="291">
        <v>42919</v>
      </c>
      <c r="T1363" s="279">
        <v>1280</v>
      </c>
      <c r="U1363" s="277"/>
      <c r="V1363" s="277"/>
      <c r="W1363" s="277"/>
      <c r="X1363" s="277"/>
      <c r="Y1363" s="277"/>
      <c r="Z1363" s="277"/>
      <c r="AA1363" s="277"/>
      <c r="AB1363" s="277"/>
      <c r="AC1363" s="277"/>
      <c r="AD1363" s="277"/>
      <c r="AE1363" s="277"/>
      <c r="AF1363" s="277"/>
      <c r="AG1363" s="277"/>
      <c r="AH1363" s="277"/>
    </row>
    <row r="1364" spans="16:34" s="185" customFormat="1">
      <c r="P1364" s="277"/>
      <c r="Q1364" s="277"/>
      <c r="R1364" s="277"/>
      <c r="S1364" s="291">
        <v>42920</v>
      </c>
      <c r="T1364" s="279">
        <v>1281</v>
      </c>
      <c r="U1364" s="277"/>
      <c r="V1364" s="277"/>
      <c r="W1364" s="277"/>
      <c r="X1364" s="277"/>
      <c r="Y1364" s="277"/>
      <c r="Z1364" s="277"/>
      <c r="AA1364" s="277"/>
      <c r="AB1364" s="277"/>
      <c r="AC1364" s="277"/>
      <c r="AD1364" s="277"/>
      <c r="AE1364" s="277"/>
      <c r="AF1364" s="277"/>
      <c r="AG1364" s="277"/>
      <c r="AH1364" s="277"/>
    </row>
    <row r="1365" spans="16:34" s="185" customFormat="1">
      <c r="P1365" s="277"/>
      <c r="Q1365" s="277"/>
      <c r="R1365" s="277"/>
      <c r="S1365" s="291">
        <v>42921</v>
      </c>
      <c r="T1365" s="279">
        <v>1282</v>
      </c>
      <c r="U1365" s="277"/>
      <c r="V1365" s="277"/>
      <c r="W1365" s="277"/>
      <c r="X1365" s="277"/>
      <c r="Y1365" s="277"/>
      <c r="Z1365" s="277"/>
      <c r="AA1365" s="277"/>
      <c r="AB1365" s="277"/>
      <c r="AC1365" s="277"/>
      <c r="AD1365" s="277"/>
      <c r="AE1365" s="277"/>
      <c r="AF1365" s="277"/>
      <c r="AG1365" s="277"/>
      <c r="AH1365" s="277"/>
    </row>
    <row r="1366" spans="16:34" s="185" customFormat="1">
      <c r="P1366" s="277"/>
      <c r="Q1366" s="277"/>
      <c r="R1366" s="277"/>
      <c r="S1366" s="291">
        <v>42922</v>
      </c>
      <c r="T1366" s="279">
        <v>1283</v>
      </c>
      <c r="U1366" s="277"/>
      <c r="V1366" s="277"/>
      <c r="W1366" s="277"/>
      <c r="X1366" s="277"/>
      <c r="Y1366" s="277"/>
      <c r="Z1366" s="277"/>
      <c r="AA1366" s="277"/>
      <c r="AB1366" s="277"/>
      <c r="AC1366" s="277"/>
      <c r="AD1366" s="277"/>
      <c r="AE1366" s="277"/>
      <c r="AF1366" s="277"/>
      <c r="AG1366" s="277"/>
      <c r="AH1366" s="277"/>
    </row>
    <row r="1367" spans="16:34" s="185" customFormat="1">
      <c r="P1367" s="277"/>
      <c r="Q1367" s="277"/>
      <c r="R1367" s="277"/>
      <c r="S1367" s="291">
        <v>42923</v>
      </c>
      <c r="T1367" s="279">
        <v>1284</v>
      </c>
      <c r="U1367" s="277"/>
      <c r="V1367" s="277"/>
      <c r="W1367" s="277"/>
      <c r="X1367" s="277"/>
      <c r="Y1367" s="277"/>
      <c r="Z1367" s="277"/>
      <c r="AA1367" s="277"/>
      <c r="AB1367" s="277"/>
      <c r="AC1367" s="277"/>
      <c r="AD1367" s="277"/>
      <c r="AE1367" s="277"/>
      <c r="AF1367" s="277"/>
      <c r="AG1367" s="277"/>
      <c r="AH1367" s="277"/>
    </row>
    <row r="1368" spans="16:34" s="185" customFormat="1">
      <c r="P1368" s="277"/>
      <c r="Q1368" s="277"/>
      <c r="R1368" s="277"/>
      <c r="S1368" s="291">
        <v>42924</v>
      </c>
      <c r="T1368" s="279">
        <v>1285</v>
      </c>
      <c r="U1368" s="277"/>
      <c r="V1368" s="277"/>
      <c r="W1368" s="277"/>
      <c r="X1368" s="277"/>
      <c r="Y1368" s="277"/>
      <c r="Z1368" s="277"/>
      <c r="AA1368" s="277"/>
      <c r="AB1368" s="277"/>
      <c r="AC1368" s="277"/>
      <c r="AD1368" s="277"/>
      <c r="AE1368" s="277"/>
      <c r="AF1368" s="277"/>
      <c r="AG1368" s="277"/>
      <c r="AH1368" s="277"/>
    </row>
    <row r="1369" spans="16:34" s="185" customFormat="1">
      <c r="P1369" s="277"/>
      <c r="Q1369" s="277"/>
      <c r="R1369" s="277"/>
      <c r="S1369" s="291">
        <v>42925</v>
      </c>
      <c r="T1369" s="279">
        <v>1286</v>
      </c>
      <c r="U1369" s="277"/>
      <c r="V1369" s="277"/>
      <c r="W1369" s="277"/>
      <c r="X1369" s="277"/>
      <c r="Y1369" s="277"/>
      <c r="Z1369" s="277"/>
      <c r="AA1369" s="277"/>
      <c r="AB1369" s="277"/>
      <c r="AC1369" s="277"/>
      <c r="AD1369" s="277"/>
      <c r="AE1369" s="277"/>
      <c r="AF1369" s="277"/>
      <c r="AG1369" s="277"/>
      <c r="AH1369" s="277"/>
    </row>
    <row r="1370" spans="16:34" s="185" customFormat="1">
      <c r="P1370" s="277"/>
      <c r="Q1370" s="277"/>
      <c r="R1370" s="277"/>
      <c r="S1370" s="291">
        <v>42926</v>
      </c>
      <c r="T1370" s="279">
        <v>1287</v>
      </c>
      <c r="U1370" s="277"/>
      <c r="V1370" s="277"/>
      <c r="W1370" s="277"/>
      <c r="X1370" s="277"/>
      <c r="Y1370" s="277"/>
      <c r="Z1370" s="277"/>
      <c r="AA1370" s="277"/>
      <c r="AB1370" s="277"/>
      <c r="AC1370" s="277"/>
      <c r="AD1370" s="277"/>
      <c r="AE1370" s="277"/>
      <c r="AF1370" s="277"/>
      <c r="AG1370" s="277"/>
      <c r="AH1370" s="277"/>
    </row>
    <row r="1371" spans="16:34" s="185" customFormat="1">
      <c r="P1371" s="277"/>
      <c r="Q1371" s="277"/>
      <c r="R1371" s="277"/>
      <c r="S1371" s="291">
        <v>42927</v>
      </c>
      <c r="T1371" s="279">
        <v>1288</v>
      </c>
      <c r="U1371" s="277"/>
      <c r="V1371" s="277"/>
      <c r="W1371" s="277"/>
      <c r="X1371" s="277"/>
      <c r="Y1371" s="277"/>
      <c r="Z1371" s="277"/>
      <c r="AA1371" s="277"/>
      <c r="AB1371" s="277"/>
      <c r="AC1371" s="277"/>
      <c r="AD1371" s="277"/>
      <c r="AE1371" s="277"/>
      <c r="AF1371" s="277"/>
      <c r="AG1371" s="277"/>
      <c r="AH1371" s="277"/>
    </row>
    <row r="1372" spans="16:34" s="185" customFormat="1">
      <c r="P1372" s="277"/>
      <c r="Q1372" s="277"/>
      <c r="R1372" s="277"/>
      <c r="S1372" s="291">
        <v>42928</v>
      </c>
      <c r="T1372" s="279">
        <v>1289</v>
      </c>
      <c r="U1372" s="277"/>
      <c r="V1372" s="277"/>
      <c r="W1372" s="277"/>
      <c r="X1372" s="277"/>
      <c r="Y1372" s="277"/>
      <c r="Z1372" s="277"/>
      <c r="AA1372" s="277"/>
      <c r="AB1372" s="277"/>
      <c r="AC1372" s="277"/>
      <c r="AD1372" s="277"/>
      <c r="AE1372" s="277"/>
      <c r="AF1372" s="277"/>
      <c r="AG1372" s="277"/>
      <c r="AH1372" s="277"/>
    </row>
    <row r="1373" spans="16:34" s="185" customFormat="1">
      <c r="P1373" s="277"/>
      <c r="Q1373" s="277"/>
      <c r="R1373" s="277"/>
      <c r="S1373" s="291">
        <v>42929</v>
      </c>
      <c r="T1373" s="279">
        <v>1290</v>
      </c>
      <c r="U1373" s="277"/>
      <c r="V1373" s="277"/>
      <c r="W1373" s="277"/>
      <c r="X1373" s="277"/>
      <c r="Y1373" s="277"/>
      <c r="Z1373" s="277"/>
      <c r="AA1373" s="277"/>
      <c r="AB1373" s="277"/>
      <c r="AC1373" s="277"/>
      <c r="AD1373" s="277"/>
      <c r="AE1373" s="277"/>
      <c r="AF1373" s="277"/>
      <c r="AG1373" s="277"/>
      <c r="AH1373" s="277"/>
    </row>
    <row r="1374" spans="16:34" s="185" customFormat="1">
      <c r="P1374" s="277"/>
      <c r="Q1374" s="277"/>
      <c r="R1374" s="277"/>
      <c r="S1374" s="291">
        <v>42930</v>
      </c>
      <c r="T1374" s="279">
        <v>1291</v>
      </c>
      <c r="U1374" s="277"/>
      <c r="V1374" s="277"/>
      <c r="W1374" s="277"/>
      <c r="X1374" s="277"/>
      <c r="Y1374" s="277"/>
      <c r="Z1374" s="277"/>
      <c r="AA1374" s="277"/>
      <c r="AB1374" s="277"/>
      <c r="AC1374" s="277"/>
      <c r="AD1374" s="277"/>
      <c r="AE1374" s="277"/>
      <c r="AF1374" s="277"/>
      <c r="AG1374" s="277"/>
      <c r="AH1374" s="277"/>
    </row>
    <row r="1375" spans="16:34" s="185" customFormat="1">
      <c r="P1375" s="277"/>
      <c r="Q1375" s="277"/>
      <c r="R1375" s="277"/>
      <c r="S1375" s="291">
        <v>42931</v>
      </c>
      <c r="T1375" s="279">
        <v>1292</v>
      </c>
      <c r="U1375" s="277"/>
      <c r="V1375" s="277"/>
      <c r="W1375" s="277"/>
      <c r="X1375" s="277"/>
      <c r="Y1375" s="277"/>
      <c r="Z1375" s="277"/>
      <c r="AA1375" s="277"/>
      <c r="AB1375" s="277"/>
      <c r="AC1375" s="277"/>
      <c r="AD1375" s="277"/>
      <c r="AE1375" s="277"/>
      <c r="AF1375" s="277"/>
      <c r="AG1375" s="277"/>
      <c r="AH1375" s="277"/>
    </row>
    <row r="1376" spans="16:34" s="185" customFormat="1">
      <c r="P1376" s="277"/>
      <c r="Q1376" s="277"/>
      <c r="R1376" s="277"/>
      <c r="S1376" s="291">
        <v>42932</v>
      </c>
      <c r="T1376" s="279">
        <v>1293</v>
      </c>
      <c r="U1376" s="277"/>
      <c r="V1376" s="277"/>
      <c r="W1376" s="277"/>
      <c r="X1376" s="277"/>
      <c r="Y1376" s="277"/>
      <c r="Z1376" s="277"/>
      <c r="AA1376" s="277"/>
      <c r="AB1376" s="277"/>
      <c r="AC1376" s="277"/>
      <c r="AD1376" s="277"/>
      <c r="AE1376" s="277"/>
      <c r="AF1376" s="277"/>
      <c r="AG1376" s="277"/>
      <c r="AH1376" s="277"/>
    </row>
    <row r="1377" spans="16:34" s="185" customFormat="1">
      <c r="P1377" s="277"/>
      <c r="Q1377" s="277"/>
      <c r="R1377" s="277"/>
      <c r="S1377" s="291">
        <v>42933</v>
      </c>
      <c r="T1377" s="279">
        <v>1294</v>
      </c>
      <c r="U1377" s="277"/>
      <c r="V1377" s="277"/>
      <c r="W1377" s="277"/>
      <c r="X1377" s="277"/>
      <c r="Y1377" s="277"/>
      <c r="Z1377" s="277"/>
      <c r="AA1377" s="277"/>
      <c r="AB1377" s="277"/>
      <c r="AC1377" s="277"/>
      <c r="AD1377" s="277"/>
      <c r="AE1377" s="277"/>
      <c r="AF1377" s="277"/>
      <c r="AG1377" s="277"/>
      <c r="AH1377" s="277"/>
    </row>
    <row r="1378" spans="16:34" s="185" customFormat="1">
      <c r="P1378" s="277"/>
      <c r="Q1378" s="277"/>
      <c r="R1378" s="277"/>
      <c r="S1378" s="291">
        <v>42934</v>
      </c>
      <c r="T1378" s="279">
        <v>1295</v>
      </c>
      <c r="U1378" s="277"/>
      <c r="V1378" s="277"/>
      <c r="W1378" s="277"/>
      <c r="X1378" s="277"/>
      <c r="Y1378" s="277"/>
      <c r="Z1378" s="277"/>
      <c r="AA1378" s="277"/>
      <c r="AB1378" s="277"/>
      <c r="AC1378" s="277"/>
      <c r="AD1378" s="277"/>
      <c r="AE1378" s="277"/>
      <c r="AF1378" s="277"/>
      <c r="AG1378" s="277"/>
      <c r="AH1378" s="277"/>
    </row>
    <row r="1379" spans="16:34" s="185" customFormat="1">
      <c r="P1379" s="277"/>
      <c r="Q1379" s="277"/>
      <c r="R1379" s="277"/>
      <c r="S1379" s="291">
        <v>42935</v>
      </c>
      <c r="T1379" s="279">
        <v>1296</v>
      </c>
      <c r="U1379" s="277"/>
      <c r="V1379" s="277"/>
      <c r="W1379" s="277"/>
      <c r="X1379" s="277"/>
      <c r="Y1379" s="277"/>
      <c r="Z1379" s="277"/>
      <c r="AA1379" s="277"/>
      <c r="AB1379" s="277"/>
      <c r="AC1379" s="277"/>
      <c r="AD1379" s="277"/>
      <c r="AE1379" s="277"/>
      <c r="AF1379" s="277"/>
      <c r="AG1379" s="277"/>
      <c r="AH1379" s="277"/>
    </row>
    <row r="1380" spans="16:34" s="185" customFormat="1">
      <c r="P1380" s="277"/>
      <c r="Q1380" s="277"/>
      <c r="R1380" s="277"/>
      <c r="S1380" s="291">
        <v>42936</v>
      </c>
      <c r="T1380" s="279">
        <v>1297</v>
      </c>
      <c r="U1380" s="277"/>
      <c r="V1380" s="277"/>
      <c r="W1380" s="277"/>
      <c r="X1380" s="277"/>
      <c r="Y1380" s="277"/>
      <c r="Z1380" s="277"/>
      <c r="AA1380" s="277"/>
      <c r="AB1380" s="277"/>
      <c r="AC1380" s="277"/>
      <c r="AD1380" s="277"/>
      <c r="AE1380" s="277"/>
      <c r="AF1380" s="277"/>
      <c r="AG1380" s="277"/>
      <c r="AH1380" s="277"/>
    </row>
    <row r="1381" spans="16:34" s="185" customFormat="1">
      <c r="P1381" s="277"/>
      <c r="Q1381" s="277"/>
      <c r="R1381" s="277"/>
      <c r="S1381" s="291">
        <v>42937</v>
      </c>
      <c r="T1381" s="279">
        <v>1298</v>
      </c>
      <c r="U1381" s="277"/>
      <c r="V1381" s="277"/>
      <c r="W1381" s="277"/>
      <c r="X1381" s="277"/>
      <c r="Y1381" s="277"/>
      <c r="Z1381" s="277"/>
      <c r="AA1381" s="277"/>
      <c r="AB1381" s="277"/>
      <c r="AC1381" s="277"/>
      <c r="AD1381" s="277"/>
      <c r="AE1381" s="277"/>
      <c r="AF1381" s="277"/>
      <c r="AG1381" s="277"/>
      <c r="AH1381" s="277"/>
    </row>
    <row r="1382" spans="16:34" s="185" customFormat="1">
      <c r="P1382" s="277"/>
      <c r="Q1382" s="277"/>
      <c r="R1382" s="277"/>
      <c r="S1382" s="291">
        <v>42938</v>
      </c>
      <c r="T1382" s="279">
        <v>1299</v>
      </c>
      <c r="U1382" s="277"/>
      <c r="V1382" s="277"/>
      <c r="W1382" s="277"/>
      <c r="X1382" s="277"/>
      <c r="Y1382" s="277"/>
      <c r="Z1382" s="277"/>
      <c r="AA1382" s="277"/>
      <c r="AB1382" s="277"/>
      <c r="AC1382" s="277"/>
      <c r="AD1382" s="277"/>
      <c r="AE1382" s="277"/>
      <c r="AF1382" s="277"/>
      <c r="AG1382" s="277"/>
      <c r="AH1382" s="277"/>
    </row>
    <row r="1383" spans="16:34" s="185" customFormat="1">
      <c r="P1383" s="277"/>
      <c r="Q1383" s="277"/>
      <c r="R1383" s="277"/>
      <c r="S1383" s="291">
        <v>42939</v>
      </c>
      <c r="T1383" s="279">
        <v>1300</v>
      </c>
      <c r="U1383" s="277"/>
      <c r="V1383" s="277"/>
      <c r="W1383" s="277"/>
      <c r="X1383" s="277"/>
      <c r="Y1383" s="277"/>
      <c r="Z1383" s="277"/>
      <c r="AA1383" s="277"/>
      <c r="AB1383" s="277"/>
      <c r="AC1383" s="277"/>
      <c r="AD1383" s="277"/>
      <c r="AE1383" s="277"/>
      <c r="AF1383" s="277"/>
      <c r="AG1383" s="277"/>
      <c r="AH1383" s="277"/>
    </row>
    <row r="1384" spans="16:34" s="185" customFormat="1">
      <c r="P1384" s="277"/>
      <c r="Q1384" s="277"/>
      <c r="R1384" s="277"/>
      <c r="S1384" s="291">
        <v>42940</v>
      </c>
      <c r="T1384" s="279">
        <v>1301</v>
      </c>
      <c r="U1384" s="277"/>
      <c r="V1384" s="277"/>
      <c r="W1384" s="277"/>
      <c r="X1384" s="277"/>
      <c r="Y1384" s="277"/>
      <c r="Z1384" s="277"/>
      <c r="AA1384" s="277"/>
      <c r="AB1384" s="277"/>
      <c r="AC1384" s="277"/>
      <c r="AD1384" s="277"/>
      <c r="AE1384" s="277"/>
      <c r="AF1384" s="277"/>
      <c r="AG1384" s="277"/>
      <c r="AH1384" s="277"/>
    </row>
    <row r="1385" spans="16:34" s="185" customFormat="1">
      <c r="P1385" s="277"/>
      <c r="Q1385" s="277"/>
      <c r="R1385" s="277"/>
      <c r="S1385" s="291">
        <v>42941</v>
      </c>
      <c r="T1385" s="279">
        <v>1302</v>
      </c>
      <c r="U1385" s="277"/>
      <c r="V1385" s="277"/>
      <c r="W1385" s="277"/>
      <c r="X1385" s="277"/>
      <c r="Y1385" s="277"/>
      <c r="Z1385" s="277"/>
      <c r="AA1385" s="277"/>
      <c r="AB1385" s="277"/>
      <c r="AC1385" s="277"/>
      <c r="AD1385" s="277"/>
      <c r="AE1385" s="277"/>
      <c r="AF1385" s="277"/>
      <c r="AG1385" s="277"/>
      <c r="AH1385" s="277"/>
    </row>
    <row r="1386" spans="16:34" s="185" customFormat="1">
      <c r="P1386" s="277"/>
      <c r="Q1386" s="277"/>
      <c r="R1386" s="277"/>
      <c r="S1386" s="291">
        <v>42942</v>
      </c>
      <c r="T1386" s="279">
        <v>1303</v>
      </c>
      <c r="U1386" s="277"/>
      <c r="V1386" s="277"/>
      <c r="W1386" s="277"/>
      <c r="X1386" s="277"/>
      <c r="Y1386" s="277"/>
      <c r="Z1386" s="277"/>
      <c r="AA1386" s="277"/>
      <c r="AB1386" s="277"/>
      <c r="AC1386" s="277"/>
      <c r="AD1386" s="277"/>
      <c r="AE1386" s="277"/>
      <c r="AF1386" s="277"/>
      <c r="AG1386" s="277"/>
      <c r="AH1386" s="277"/>
    </row>
    <row r="1387" spans="16:34" s="185" customFormat="1">
      <c r="P1387" s="277"/>
      <c r="Q1387" s="277"/>
      <c r="R1387" s="277"/>
      <c r="S1387" s="291">
        <v>42943</v>
      </c>
      <c r="T1387" s="279">
        <v>1304</v>
      </c>
      <c r="U1387" s="277"/>
      <c r="V1387" s="277"/>
      <c r="W1387" s="277"/>
      <c r="X1387" s="277"/>
      <c r="Y1387" s="277"/>
      <c r="Z1387" s="277"/>
      <c r="AA1387" s="277"/>
      <c r="AB1387" s="277"/>
      <c r="AC1387" s="277"/>
      <c r="AD1387" s="277"/>
      <c r="AE1387" s="277"/>
      <c r="AF1387" s="277"/>
      <c r="AG1387" s="277"/>
      <c r="AH1387" s="277"/>
    </row>
    <row r="1388" spans="16:34" s="185" customFormat="1">
      <c r="P1388" s="277"/>
      <c r="Q1388" s="277"/>
      <c r="R1388" s="277"/>
      <c r="S1388" s="291">
        <v>42944</v>
      </c>
      <c r="T1388" s="279">
        <v>1305</v>
      </c>
      <c r="U1388" s="277"/>
      <c r="V1388" s="277"/>
      <c r="W1388" s="277"/>
      <c r="X1388" s="277"/>
      <c r="Y1388" s="277"/>
      <c r="Z1388" s="277"/>
      <c r="AA1388" s="277"/>
      <c r="AB1388" s="277"/>
      <c r="AC1388" s="277"/>
      <c r="AD1388" s="277"/>
      <c r="AE1388" s="277"/>
      <c r="AF1388" s="277"/>
      <c r="AG1388" s="277"/>
      <c r="AH1388" s="277"/>
    </row>
    <row r="1389" spans="16:34" s="185" customFormat="1">
      <c r="P1389" s="277"/>
      <c r="Q1389" s="277"/>
      <c r="R1389" s="277"/>
      <c r="S1389" s="291">
        <v>42945</v>
      </c>
      <c r="T1389" s="279">
        <v>1306</v>
      </c>
      <c r="U1389" s="277"/>
      <c r="V1389" s="277"/>
      <c r="W1389" s="277"/>
      <c r="X1389" s="277"/>
      <c r="Y1389" s="277"/>
      <c r="Z1389" s="277"/>
      <c r="AA1389" s="277"/>
      <c r="AB1389" s="277"/>
      <c r="AC1389" s="277"/>
      <c r="AD1389" s="277"/>
      <c r="AE1389" s="277"/>
      <c r="AF1389" s="277"/>
      <c r="AG1389" s="277"/>
      <c r="AH1389" s="277"/>
    </row>
    <row r="1390" spans="16:34" s="185" customFormat="1">
      <c r="P1390" s="277"/>
      <c r="Q1390" s="277"/>
      <c r="R1390" s="277"/>
      <c r="S1390" s="291">
        <v>42946</v>
      </c>
      <c r="T1390" s="279">
        <v>1307</v>
      </c>
      <c r="U1390" s="277"/>
      <c r="V1390" s="277"/>
      <c r="W1390" s="277"/>
      <c r="X1390" s="277"/>
      <c r="Y1390" s="277"/>
      <c r="Z1390" s="277"/>
      <c r="AA1390" s="277"/>
      <c r="AB1390" s="277"/>
      <c r="AC1390" s="277"/>
      <c r="AD1390" s="277"/>
      <c r="AE1390" s="277"/>
      <c r="AF1390" s="277"/>
      <c r="AG1390" s="277"/>
      <c r="AH1390" s="277"/>
    </row>
    <row r="1391" spans="16:34" s="185" customFormat="1">
      <c r="P1391" s="277"/>
      <c r="Q1391" s="277"/>
      <c r="R1391" s="277"/>
      <c r="S1391" s="291">
        <v>42947</v>
      </c>
      <c r="T1391" s="279">
        <v>1308</v>
      </c>
      <c r="U1391" s="277"/>
      <c r="V1391" s="277"/>
      <c r="W1391" s="277"/>
      <c r="X1391" s="277"/>
      <c r="Y1391" s="277"/>
      <c r="Z1391" s="277"/>
      <c r="AA1391" s="277"/>
      <c r="AB1391" s="277"/>
      <c r="AC1391" s="277"/>
      <c r="AD1391" s="277"/>
      <c r="AE1391" s="277"/>
      <c r="AF1391" s="277"/>
      <c r="AG1391" s="277"/>
      <c r="AH1391" s="277"/>
    </row>
    <row r="1392" spans="16:34" s="185" customFormat="1">
      <c r="P1392" s="277"/>
      <c r="Q1392" s="277"/>
      <c r="R1392" s="277"/>
      <c r="S1392" s="291">
        <v>42948</v>
      </c>
      <c r="T1392" s="279">
        <v>1309</v>
      </c>
      <c r="U1392" s="277"/>
      <c r="V1392" s="277"/>
      <c r="W1392" s="277"/>
      <c r="X1392" s="277"/>
      <c r="Y1392" s="277"/>
      <c r="Z1392" s="277"/>
      <c r="AA1392" s="277"/>
      <c r="AB1392" s="277"/>
      <c r="AC1392" s="277"/>
      <c r="AD1392" s="277"/>
      <c r="AE1392" s="277"/>
      <c r="AF1392" s="277"/>
      <c r="AG1392" s="277"/>
      <c r="AH1392" s="277"/>
    </row>
    <row r="1393" spans="16:34" s="185" customFormat="1">
      <c r="P1393" s="277"/>
      <c r="Q1393" s="277"/>
      <c r="R1393" s="277"/>
      <c r="S1393" s="291">
        <v>42949</v>
      </c>
      <c r="T1393" s="279">
        <v>1310</v>
      </c>
      <c r="U1393" s="277"/>
      <c r="V1393" s="277"/>
      <c r="W1393" s="277"/>
      <c r="X1393" s="277"/>
      <c r="Y1393" s="277"/>
      <c r="Z1393" s="277"/>
      <c r="AA1393" s="277"/>
      <c r="AB1393" s="277"/>
      <c r="AC1393" s="277"/>
      <c r="AD1393" s="277"/>
      <c r="AE1393" s="277"/>
      <c r="AF1393" s="277"/>
      <c r="AG1393" s="277"/>
      <c r="AH1393" s="277"/>
    </row>
    <row r="1394" spans="16:34" s="185" customFormat="1">
      <c r="P1394" s="277"/>
      <c r="Q1394" s="277"/>
      <c r="R1394" s="277"/>
      <c r="S1394" s="291">
        <v>42950</v>
      </c>
      <c r="T1394" s="279">
        <v>1311</v>
      </c>
      <c r="U1394" s="277"/>
      <c r="V1394" s="277"/>
      <c r="W1394" s="277"/>
      <c r="X1394" s="277"/>
      <c r="Y1394" s="277"/>
      <c r="Z1394" s="277"/>
      <c r="AA1394" s="277"/>
      <c r="AB1394" s="277"/>
      <c r="AC1394" s="277"/>
      <c r="AD1394" s="277"/>
      <c r="AE1394" s="277"/>
      <c r="AF1394" s="277"/>
      <c r="AG1394" s="277"/>
      <c r="AH1394" s="277"/>
    </row>
    <row r="1395" spans="16:34" s="185" customFormat="1">
      <c r="P1395" s="277"/>
      <c r="Q1395" s="277"/>
      <c r="R1395" s="277"/>
      <c r="S1395" s="291">
        <v>42951</v>
      </c>
      <c r="T1395" s="279">
        <v>1312</v>
      </c>
      <c r="U1395" s="277"/>
      <c r="V1395" s="277"/>
      <c r="W1395" s="277"/>
      <c r="X1395" s="277"/>
      <c r="Y1395" s="277"/>
      <c r="Z1395" s="277"/>
      <c r="AA1395" s="277"/>
      <c r="AB1395" s="277"/>
      <c r="AC1395" s="277"/>
      <c r="AD1395" s="277"/>
      <c r="AE1395" s="277"/>
      <c r="AF1395" s="277"/>
      <c r="AG1395" s="277"/>
      <c r="AH1395" s="277"/>
    </row>
    <row r="1396" spans="16:34" s="185" customFormat="1">
      <c r="P1396" s="277"/>
      <c r="Q1396" s="277"/>
      <c r="R1396" s="277"/>
      <c r="S1396" s="291">
        <v>42952</v>
      </c>
      <c r="T1396" s="279">
        <v>1313</v>
      </c>
      <c r="U1396" s="277"/>
      <c r="V1396" s="277"/>
      <c r="W1396" s="277"/>
      <c r="X1396" s="277"/>
      <c r="Y1396" s="277"/>
      <c r="Z1396" s="277"/>
      <c r="AA1396" s="277"/>
      <c r="AB1396" s="277"/>
      <c r="AC1396" s="277"/>
      <c r="AD1396" s="277"/>
      <c r="AE1396" s="277"/>
      <c r="AF1396" s="277"/>
      <c r="AG1396" s="277"/>
      <c r="AH1396" s="277"/>
    </row>
    <row r="1397" spans="16:34" s="185" customFormat="1">
      <c r="P1397" s="277"/>
      <c r="Q1397" s="277"/>
      <c r="R1397" s="277"/>
      <c r="S1397" s="291">
        <v>42953</v>
      </c>
      <c r="T1397" s="279">
        <v>1314</v>
      </c>
      <c r="U1397" s="277"/>
      <c r="V1397" s="277"/>
      <c r="W1397" s="277"/>
      <c r="X1397" s="277"/>
      <c r="Y1397" s="277"/>
      <c r="Z1397" s="277"/>
      <c r="AA1397" s="277"/>
      <c r="AB1397" s="277"/>
      <c r="AC1397" s="277"/>
      <c r="AD1397" s="277"/>
      <c r="AE1397" s="277"/>
      <c r="AF1397" s="277"/>
      <c r="AG1397" s="277"/>
      <c r="AH1397" s="277"/>
    </row>
    <row r="1398" spans="16:34" s="185" customFormat="1">
      <c r="P1398" s="277"/>
      <c r="Q1398" s="277"/>
      <c r="R1398" s="277"/>
      <c r="S1398" s="291">
        <v>42954</v>
      </c>
      <c r="T1398" s="279">
        <v>1315</v>
      </c>
      <c r="U1398" s="277"/>
      <c r="V1398" s="277"/>
      <c r="W1398" s="277"/>
      <c r="X1398" s="277"/>
      <c r="Y1398" s="277"/>
      <c r="Z1398" s="277"/>
      <c r="AA1398" s="277"/>
      <c r="AB1398" s="277"/>
      <c r="AC1398" s="277"/>
      <c r="AD1398" s="277"/>
      <c r="AE1398" s="277"/>
      <c r="AF1398" s="277"/>
      <c r="AG1398" s="277"/>
      <c r="AH1398" s="277"/>
    </row>
    <row r="1399" spans="16:34" s="185" customFormat="1">
      <c r="P1399" s="277"/>
      <c r="Q1399" s="277"/>
      <c r="R1399" s="277"/>
      <c r="S1399" s="291">
        <v>42955</v>
      </c>
      <c r="T1399" s="279">
        <v>1316</v>
      </c>
      <c r="U1399" s="277"/>
      <c r="V1399" s="277"/>
      <c r="W1399" s="277"/>
      <c r="X1399" s="277"/>
      <c r="Y1399" s="277"/>
      <c r="Z1399" s="277"/>
      <c r="AA1399" s="277"/>
      <c r="AB1399" s="277"/>
      <c r="AC1399" s="277"/>
      <c r="AD1399" s="277"/>
      <c r="AE1399" s="277"/>
      <c r="AF1399" s="277"/>
      <c r="AG1399" s="277"/>
      <c r="AH1399" s="277"/>
    </row>
    <row r="1400" spans="16:34" s="185" customFormat="1">
      <c r="P1400" s="277"/>
      <c r="Q1400" s="277"/>
      <c r="R1400" s="277"/>
      <c r="S1400" s="291">
        <v>42956</v>
      </c>
      <c r="T1400" s="279">
        <v>1317</v>
      </c>
      <c r="U1400" s="277"/>
      <c r="V1400" s="277"/>
      <c r="W1400" s="277"/>
      <c r="X1400" s="277"/>
      <c r="Y1400" s="277"/>
      <c r="Z1400" s="277"/>
      <c r="AA1400" s="277"/>
      <c r="AB1400" s="277"/>
      <c r="AC1400" s="277"/>
      <c r="AD1400" s="277"/>
      <c r="AE1400" s="277"/>
      <c r="AF1400" s="277"/>
      <c r="AG1400" s="277"/>
      <c r="AH1400" s="277"/>
    </row>
    <row r="1401" spans="16:34" s="185" customFormat="1">
      <c r="P1401" s="277"/>
      <c r="Q1401" s="277"/>
      <c r="R1401" s="277"/>
      <c r="S1401" s="291">
        <v>42957</v>
      </c>
      <c r="T1401" s="279">
        <v>1318</v>
      </c>
      <c r="U1401" s="277"/>
      <c r="V1401" s="277"/>
      <c r="W1401" s="277"/>
      <c r="X1401" s="277"/>
      <c r="Y1401" s="277"/>
      <c r="Z1401" s="277"/>
      <c r="AA1401" s="277"/>
      <c r="AB1401" s="277"/>
      <c r="AC1401" s="277"/>
      <c r="AD1401" s="277"/>
      <c r="AE1401" s="277"/>
      <c r="AF1401" s="277"/>
      <c r="AG1401" s="277"/>
      <c r="AH1401" s="277"/>
    </row>
    <row r="1402" spans="16:34" s="185" customFormat="1">
      <c r="P1402" s="277"/>
      <c r="Q1402" s="277"/>
      <c r="R1402" s="277"/>
      <c r="S1402" s="291">
        <v>42958</v>
      </c>
      <c r="T1402" s="279">
        <v>1319</v>
      </c>
      <c r="U1402" s="277"/>
      <c r="V1402" s="277"/>
      <c r="W1402" s="277"/>
      <c r="X1402" s="277"/>
      <c r="Y1402" s="277"/>
      <c r="Z1402" s="277"/>
      <c r="AA1402" s="277"/>
      <c r="AB1402" s="277"/>
      <c r="AC1402" s="277"/>
      <c r="AD1402" s="277"/>
      <c r="AE1402" s="277"/>
      <c r="AF1402" s="277"/>
      <c r="AG1402" s="277"/>
      <c r="AH1402" s="277"/>
    </row>
    <row r="1403" spans="16:34" s="185" customFormat="1">
      <c r="P1403" s="277"/>
      <c r="Q1403" s="277"/>
      <c r="R1403" s="277"/>
      <c r="S1403" s="291">
        <v>42959</v>
      </c>
      <c r="T1403" s="279">
        <v>1320</v>
      </c>
      <c r="U1403" s="277"/>
      <c r="V1403" s="277"/>
      <c r="W1403" s="277"/>
      <c r="X1403" s="277"/>
      <c r="Y1403" s="277"/>
      <c r="Z1403" s="277"/>
      <c r="AA1403" s="277"/>
      <c r="AB1403" s="277"/>
      <c r="AC1403" s="277"/>
      <c r="AD1403" s="277"/>
      <c r="AE1403" s="277"/>
      <c r="AF1403" s="277"/>
      <c r="AG1403" s="277"/>
      <c r="AH1403" s="277"/>
    </row>
    <row r="1404" spans="16:34" s="185" customFormat="1">
      <c r="P1404" s="277"/>
      <c r="Q1404" s="277"/>
      <c r="R1404" s="277"/>
      <c r="S1404" s="291">
        <v>42960</v>
      </c>
      <c r="T1404" s="279">
        <v>1321</v>
      </c>
      <c r="U1404" s="277"/>
      <c r="V1404" s="277"/>
      <c r="W1404" s="277"/>
      <c r="X1404" s="277"/>
      <c r="Y1404" s="277"/>
      <c r="Z1404" s="277"/>
      <c r="AA1404" s="277"/>
      <c r="AB1404" s="277"/>
      <c r="AC1404" s="277"/>
      <c r="AD1404" s="277"/>
      <c r="AE1404" s="277"/>
      <c r="AF1404" s="277"/>
      <c r="AG1404" s="277"/>
      <c r="AH1404" s="277"/>
    </row>
    <row r="1405" spans="16:34" s="185" customFormat="1">
      <c r="P1405" s="277"/>
      <c r="Q1405" s="277"/>
      <c r="R1405" s="277"/>
      <c r="S1405" s="291">
        <v>42961</v>
      </c>
      <c r="T1405" s="279">
        <v>1322</v>
      </c>
      <c r="U1405" s="277"/>
      <c r="V1405" s="277"/>
      <c r="W1405" s="277"/>
      <c r="X1405" s="277"/>
      <c r="Y1405" s="277"/>
      <c r="Z1405" s="277"/>
      <c r="AA1405" s="277"/>
      <c r="AB1405" s="277"/>
      <c r="AC1405" s="277"/>
      <c r="AD1405" s="277"/>
      <c r="AE1405" s="277"/>
      <c r="AF1405" s="277"/>
      <c r="AG1405" s="277"/>
      <c r="AH1405" s="277"/>
    </row>
    <row r="1406" spans="16:34" s="185" customFormat="1">
      <c r="P1406" s="277"/>
      <c r="Q1406" s="277"/>
      <c r="R1406" s="277"/>
      <c r="S1406" s="291">
        <v>42962</v>
      </c>
      <c r="T1406" s="279">
        <v>1323</v>
      </c>
      <c r="U1406" s="277"/>
      <c r="V1406" s="277"/>
      <c r="W1406" s="277"/>
      <c r="X1406" s="277"/>
      <c r="Y1406" s="277"/>
      <c r="Z1406" s="277"/>
      <c r="AA1406" s="277"/>
      <c r="AB1406" s="277"/>
      <c r="AC1406" s="277"/>
      <c r="AD1406" s="277"/>
      <c r="AE1406" s="277"/>
      <c r="AF1406" s="277"/>
      <c r="AG1406" s="277"/>
      <c r="AH1406" s="277"/>
    </row>
    <row r="1407" spans="16:34" s="185" customFormat="1">
      <c r="P1407" s="277"/>
      <c r="Q1407" s="277"/>
      <c r="R1407" s="277"/>
      <c r="S1407" s="291">
        <v>42963</v>
      </c>
      <c r="T1407" s="279">
        <v>1324</v>
      </c>
      <c r="U1407" s="277"/>
      <c r="V1407" s="277"/>
      <c r="W1407" s="277"/>
      <c r="X1407" s="277"/>
      <c r="Y1407" s="277"/>
      <c r="Z1407" s="277"/>
      <c r="AA1407" s="277"/>
      <c r="AB1407" s="277"/>
      <c r="AC1407" s="277"/>
      <c r="AD1407" s="277"/>
      <c r="AE1407" s="277"/>
      <c r="AF1407" s="277"/>
      <c r="AG1407" s="277"/>
      <c r="AH1407" s="277"/>
    </row>
    <row r="1408" spans="16:34" s="185" customFormat="1">
      <c r="P1408" s="277"/>
      <c r="Q1408" s="277"/>
      <c r="R1408" s="277"/>
      <c r="S1408" s="291">
        <v>42964</v>
      </c>
      <c r="T1408" s="279">
        <v>1325</v>
      </c>
      <c r="U1408" s="277"/>
      <c r="V1408" s="277"/>
      <c r="W1408" s="277"/>
      <c r="X1408" s="277"/>
      <c r="Y1408" s="277"/>
      <c r="Z1408" s="277"/>
      <c r="AA1408" s="277"/>
      <c r="AB1408" s="277"/>
      <c r="AC1408" s="277"/>
      <c r="AD1408" s="277"/>
      <c r="AE1408" s="277"/>
      <c r="AF1408" s="277"/>
      <c r="AG1408" s="277"/>
      <c r="AH1408" s="277"/>
    </row>
    <row r="1409" spans="16:34" s="185" customFormat="1">
      <c r="P1409" s="277"/>
      <c r="Q1409" s="277"/>
      <c r="R1409" s="277"/>
      <c r="S1409" s="291">
        <v>42965</v>
      </c>
      <c r="T1409" s="279">
        <v>1326</v>
      </c>
      <c r="U1409" s="277"/>
      <c r="V1409" s="277"/>
      <c r="W1409" s="277"/>
      <c r="X1409" s="277"/>
      <c r="Y1409" s="277"/>
      <c r="Z1409" s="277"/>
      <c r="AA1409" s="277"/>
      <c r="AB1409" s="277"/>
      <c r="AC1409" s="277"/>
      <c r="AD1409" s="277"/>
      <c r="AE1409" s="277"/>
      <c r="AF1409" s="277"/>
      <c r="AG1409" s="277"/>
      <c r="AH1409" s="277"/>
    </row>
    <row r="1410" spans="16:34" s="185" customFormat="1">
      <c r="P1410" s="277"/>
      <c r="Q1410" s="277"/>
      <c r="R1410" s="277"/>
      <c r="S1410" s="291">
        <v>42966</v>
      </c>
      <c r="T1410" s="279">
        <v>1327</v>
      </c>
      <c r="U1410" s="277"/>
      <c r="V1410" s="277"/>
      <c r="W1410" s="277"/>
      <c r="X1410" s="277"/>
      <c r="Y1410" s="277"/>
      <c r="Z1410" s="277"/>
      <c r="AA1410" s="277"/>
      <c r="AB1410" s="277"/>
      <c r="AC1410" s="277"/>
      <c r="AD1410" s="277"/>
      <c r="AE1410" s="277"/>
      <c r="AF1410" s="277"/>
      <c r="AG1410" s="277"/>
      <c r="AH1410" s="277"/>
    </row>
    <row r="1411" spans="16:34" s="185" customFormat="1">
      <c r="P1411" s="277"/>
      <c r="Q1411" s="277"/>
      <c r="R1411" s="277"/>
      <c r="S1411" s="291">
        <v>42967</v>
      </c>
      <c r="T1411" s="279">
        <v>1328</v>
      </c>
      <c r="U1411" s="277"/>
      <c r="V1411" s="277"/>
      <c r="W1411" s="277"/>
      <c r="X1411" s="277"/>
      <c r="Y1411" s="277"/>
      <c r="Z1411" s="277"/>
      <c r="AA1411" s="277"/>
      <c r="AB1411" s="277"/>
      <c r="AC1411" s="277"/>
      <c r="AD1411" s="277"/>
      <c r="AE1411" s="277"/>
      <c r="AF1411" s="277"/>
      <c r="AG1411" s="277"/>
      <c r="AH1411" s="277"/>
    </row>
    <row r="1412" spans="16:34" s="185" customFormat="1">
      <c r="P1412" s="277"/>
      <c r="Q1412" s="277"/>
      <c r="R1412" s="277"/>
      <c r="S1412" s="291">
        <v>42968</v>
      </c>
      <c r="T1412" s="279">
        <v>1329</v>
      </c>
      <c r="U1412" s="277"/>
      <c r="V1412" s="277"/>
      <c r="W1412" s="277"/>
      <c r="X1412" s="277"/>
      <c r="Y1412" s="277"/>
      <c r="Z1412" s="277"/>
      <c r="AA1412" s="277"/>
      <c r="AB1412" s="277"/>
      <c r="AC1412" s="277"/>
      <c r="AD1412" s="277"/>
      <c r="AE1412" s="277"/>
      <c r="AF1412" s="277"/>
      <c r="AG1412" s="277"/>
      <c r="AH1412" s="277"/>
    </row>
    <row r="1413" spans="16:34" s="185" customFormat="1">
      <c r="P1413" s="277"/>
      <c r="Q1413" s="277"/>
      <c r="R1413" s="277"/>
      <c r="S1413" s="291">
        <v>42969</v>
      </c>
      <c r="T1413" s="279">
        <v>1330</v>
      </c>
      <c r="U1413" s="277"/>
      <c r="V1413" s="277"/>
      <c r="W1413" s="277"/>
      <c r="X1413" s="277"/>
      <c r="Y1413" s="277"/>
      <c r="Z1413" s="277"/>
      <c r="AA1413" s="277"/>
      <c r="AB1413" s="277"/>
      <c r="AC1413" s="277"/>
      <c r="AD1413" s="277"/>
      <c r="AE1413" s="277"/>
      <c r="AF1413" s="277"/>
      <c r="AG1413" s="277"/>
      <c r="AH1413" s="277"/>
    </row>
    <row r="1414" spans="16:34" s="185" customFormat="1">
      <c r="P1414" s="277"/>
      <c r="Q1414" s="277"/>
      <c r="R1414" s="277"/>
      <c r="S1414" s="291">
        <v>42970</v>
      </c>
      <c r="T1414" s="279">
        <v>1331</v>
      </c>
      <c r="U1414" s="277"/>
      <c r="V1414" s="277"/>
      <c r="W1414" s="277"/>
      <c r="X1414" s="277"/>
      <c r="Y1414" s="277"/>
      <c r="Z1414" s="277"/>
      <c r="AA1414" s="277"/>
      <c r="AB1414" s="277"/>
      <c r="AC1414" s="277"/>
      <c r="AD1414" s="277"/>
      <c r="AE1414" s="277"/>
      <c r="AF1414" s="277"/>
      <c r="AG1414" s="277"/>
      <c r="AH1414" s="277"/>
    </row>
    <row r="1415" spans="16:34" s="185" customFormat="1">
      <c r="P1415" s="277"/>
      <c r="Q1415" s="277"/>
      <c r="R1415" s="277"/>
      <c r="S1415" s="291">
        <v>42971</v>
      </c>
      <c r="T1415" s="279">
        <v>1332</v>
      </c>
      <c r="U1415" s="277"/>
      <c r="V1415" s="277"/>
      <c r="W1415" s="277"/>
      <c r="X1415" s="277"/>
      <c r="Y1415" s="277"/>
      <c r="Z1415" s="277"/>
      <c r="AA1415" s="277"/>
      <c r="AB1415" s="277"/>
      <c r="AC1415" s="277"/>
      <c r="AD1415" s="277"/>
      <c r="AE1415" s="277"/>
      <c r="AF1415" s="277"/>
      <c r="AG1415" s="277"/>
      <c r="AH1415" s="277"/>
    </row>
    <row r="1416" spans="16:34" s="185" customFormat="1">
      <c r="P1416" s="277"/>
      <c r="Q1416" s="277"/>
      <c r="R1416" s="277"/>
      <c r="S1416" s="291">
        <v>42972</v>
      </c>
      <c r="T1416" s="279">
        <v>1333</v>
      </c>
      <c r="U1416" s="277"/>
      <c r="V1416" s="277"/>
      <c r="W1416" s="277"/>
      <c r="X1416" s="277"/>
      <c r="Y1416" s="277"/>
      <c r="Z1416" s="277"/>
      <c r="AA1416" s="277"/>
      <c r="AB1416" s="277"/>
      <c r="AC1416" s="277"/>
      <c r="AD1416" s="277"/>
      <c r="AE1416" s="277"/>
      <c r="AF1416" s="277"/>
      <c r="AG1416" s="277"/>
      <c r="AH1416" s="277"/>
    </row>
    <row r="1417" spans="16:34" s="185" customFormat="1">
      <c r="P1417" s="277"/>
      <c r="Q1417" s="277"/>
      <c r="R1417" s="277"/>
      <c r="S1417" s="291">
        <v>42973</v>
      </c>
      <c r="T1417" s="279">
        <v>1334</v>
      </c>
      <c r="U1417" s="277"/>
      <c r="V1417" s="277"/>
      <c r="W1417" s="277"/>
      <c r="X1417" s="277"/>
      <c r="Y1417" s="277"/>
      <c r="Z1417" s="277"/>
      <c r="AA1417" s="277"/>
      <c r="AB1417" s="277"/>
      <c r="AC1417" s="277"/>
      <c r="AD1417" s="277"/>
      <c r="AE1417" s="277"/>
      <c r="AF1417" s="277"/>
      <c r="AG1417" s="277"/>
      <c r="AH1417" s="277"/>
    </row>
    <row r="1418" spans="16:34" s="185" customFormat="1">
      <c r="P1418" s="277"/>
      <c r="Q1418" s="277"/>
      <c r="R1418" s="277"/>
      <c r="S1418" s="291">
        <v>42974</v>
      </c>
      <c r="T1418" s="279">
        <v>1335</v>
      </c>
      <c r="U1418" s="277"/>
      <c r="V1418" s="277"/>
      <c r="W1418" s="277"/>
      <c r="X1418" s="277"/>
      <c r="Y1418" s="277"/>
      <c r="Z1418" s="277"/>
      <c r="AA1418" s="277"/>
      <c r="AB1418" s="277"/>
      <c r="AC1418" s="277"/>
      <c r="AD1418" s="277"/>
      <c r="AE1418" s="277"/>
      <c r="AF1418" s="277"/>
      <c r="AG1418" s="277"/>
      <c r="AH1418" s="277"/>
    </row>
    <row r="1419" spans="16:34" s="185" customFormat="1">
      <c r="P1419" s="277"/>
      <c r="Q1419" s="277"/>
      <c r="R1419" s="277"/>
      <c r="S1419" s="291">
        <v>42975</v>
      </c>
      <c r="T1419" s="279">
        <v>1336</v>
      </c>
      <c r="U1419" s="277"/>
      <c r="V1419" s="277"/>
      <c r="W1419" s="277"/>
      <c r="X1419" s="277"/>
      <c r="Y1419" s="277"/>
      <c r="Z1419" s="277"/>
      <c r="AA1419" s="277"/>
      <c r="AB1419" s="277"/>
      <c r="AC1419" s="277"/>
      <c r="AD1419" s="277"/>
      <c r="AE1419" s="277"/>
      <c r="AF1419" s="277"/>
      <c r="AG1419" s="277"/>
      <c r="AH1419" s="277"/>
    </row>
    <row r="1420" spans="16:34" s="185" customFormat="1">
      <c r="P1420" s="277"/>
      <c r="Q1420" s="277"/>
      <c r="R1420" s="277"/>
      <c r="S1420" s="291">
        <v>42976</v>
      </c>
      <c r="T1420" s="279">
        <v>1337</v>
      </c>
      <c r="U1420" s="277"/>
      <c r="V1420" s="277"/>
      <c r="W1420" s="277"/>
      <c r="X1420" s="277"/>
      <c r="Y1420" s="277"/>
      <c r="Z1420" s="277"/>
      <c r="AA1420" s="277"/>
      <c r="AB1420" s="277"/>
      <c r="AC1420" s="277"/>
      <c r="AD1420" s="277"/>
      <c r="AE1420" s="277"/>
      <c r="AF1420" s="277"/>
      <c r="AG1420" s="277"/>
      <c r="AH1420" s="277"/>
    </row>
    <row r="1421" spans="16:34" s="185" customFormat="1">
      <c r="P1421" s="277"/>
      <c r="Q1421" s="277"/>
      <c r="R1421" s="277"/>
      <c r="S1421" s="291">
        <v>42977</v>
      </c>
      <c r="T1421" s="279">
        <v>1338</v>
      </c>
      <c r="U1421" s="277"/>
      <c r="V1421" s="277"/>
      <c r="W1421" s="277"/>
      <c r="X1421" s="277"/>
      <c r="Y1421" s="277"/>
      <c r="Z1421" s="277"/>
      <c r="AA1421" s="277"/>
      <c r="AB1421" s="277"/>
      <c r="AC1421" s="277"/>
      <c r="AD1421" s="277"/>
      <c r="AE1421" s="277"/>
      <c r="AF1421" s="277"/>
      <c r="AG1421" s="277"/>
      <c r="AH1421" s="277"/>
    </row>
    <row r="1422" spans="16:34" s="185" customFormat="1">
      <c r="P1422" s="277"/>
      <c r="Q1422" s="277"/>
      <c r="R1422" s="277"/>
      <c r="S1422" s="291">
        <v>42978</v>
      </c>
      <c r="T1422" s="279">
        <v>1339</v>
      </c>
      <c r="U1422" s="277"/>
      <c r="V1422" s="277"/>
      <c r="W1422" s="277"/>
      <c r="X1422" s="277"/>
      <c r="Y1422" s="277"/>
      <c r="Z1422" s="277"/>
      <c r="AA1422" s="277"/>
      <c r="AB1422" s="277"/>
      <c r="AC1422" s="277"/>
      <c r="AD1422" s="277"/>
      <c r="AE1422" s="277"/>
      <c r="AF1422" s="277"/>
      <c r="AG1422" s="277"/>
      <c r="AH1422" s="277"/>
    </row>
    <row r="1423" spans="16:34" s="185" customFormat="1">
      <c r="P1423" s="277"/>
      <c r="Q1423" s="277"/>
      <c r="R1423" s="277"/>
      <c r="S1423" s="291">
        <v>42979</v>
      </c>
      <c r="T1423" s="279">
        <v>1340</v>
      </c>
      <c r="U1423" s="277"/>
      <c r="V1423" s="277"/>
      <c r="W1423" s="277"/>
      <c r="X1423" s="277"/>
      <c r="Y1423" s="277"/>
      <c r="Z1423" s="277"/>
      <c r="AA1423" s="277"/>
      <c r="AB1423" s="277"/>
      <c r="AC1423" s="277"/>
      <c r="AD1423" s="277"/>
      <c r="AE1423" s="277"/>
      <c r="AF1423" s="277"/>
      <c r="AG1423" s="277"/>
      <c r="AH1423" s="277"/>
    </row>
    <row r="1424" spans="16:34" s="185" customFormat="1">
      <c r="P1424" s="277"/>
      <c r="Q1424" s="277"/>
      <c r="R1424" s="277"/>
      <c r="S1424" s="291">
        <v>42980</v>
      </c>
      <c r="T1424" s="279">
        <v>1341</v>
      </c>
      <c r="U1424" s="277"/>
      <c r="V1424" s="277"/>
      <c r="W1424" s="277"/>
      <c r="X1424" s="277"/>
      <c r="Y1424" s="277"/>
      <c r="Z1424" s="277"/>
      <c r="AA1424" s="277"/>
      <c r="AB1424" s="277"/>
      <c r="AC1424" s="277"/>
      <c r="AD1424" s="277"/>
      <c r="AE1424" s="277"/>
      <c r="AF1424" s="277"/>
      <c r="AG1424" s="277"/>
      <c r="AH1424" s="277"/>
    </row>
    <row r="1425" spans="16:34" s="185" customFormat="1">
      <c r="P1425" s="277"/>
      <c r="Q1425" s="277"/>
      <c r="R1425" s="277"/>
      <c r="S1425" s="291">
        <v>42981</v>
      </c>
      <c r="T1425" s="279">
        <v>1342</v>
      </c>
      <c r="U1425" s="277"/>
      <c r="V1425" s="277"/>
      <c r="W1425" s="277"/>
      <c r="X1425" s="277"/>
      <c r="Y1425" s="277"/>
      <c r="Z1425" s="277"/>
      <c r="AA1425" s="277"/>
      <c r="AB1425" s="277"/>
      <c r="AC1425" s="277"/>
      <c r="AD1425" s="277"/>
      <c r="AE1425" s="277"/>
      <c r="AF1425" s="277"/>
      <c r="AG1425" s="277"/>
      <c r="AH1425" s="277"/>
    </row>
    <row r="1426" spans="16:34" s="185" customFormat="1">
      <c r="P1426" s="277"/>
      <c r="Q1426" s="277"/>
      <c r="R1426" s="277"/>
      <c r="S1426" s="291">
        <v>42982</v>
      </c>
      <c r="T1426" s="279">
        <v>1343</v>
      </c>
      <c r="U1426" s="277"/>
      <c r="V1426" s="277"/>
      <c r="W1426" s="277"/>
      <c r="X1426" s="277"/>
      <c r="Y1426" s="277"/>
      <c r="Z1426" s="277"/>
      <c r="AA1426" s="277"/>
      <c r="AB1426" s="277"/>
      <c r="AC1426" s="277"/>
      <c r="AD1426" s="277"/>
      <c r="AE1426" s="277"/>
      <c r="AF1426" s="277"/>
      <c r="AG1426" s="277"/>
      <c r="AH1426" s="277"/>
    </row>
    <row r="1427" spans="16:34" s="185" customFormat="1">
      <c r="P1427" s="277"/>
      <c r="Q1427" s="277"/>
      <c r="R1427" s="277"/>
      <c r="S1427" s="291">
        <v>42983</v>
      </c>
      <c r="T1427" s="279">
        <v>1344</v>
      </c>
      <c r="U1427" s="277"/>
      <c r="V1427" s="277"/>
      <c r="W1427" s="277"/>
      <c r="X1427" s="277"/>
      <c r="Y1427" s="277"/>
      <c r="Z1427" s="277"/>
      <c r="AA1427" s="277"/>
      <c r="AB1427" s="277"/>
      <c r="AC1427" s="277"/>
      <c r="AD1427" s="277"/>
      <c r="AE1427" s="277"/>
      <c r="AF1427" s="277"/>
      <c r="AG1427" s="277"/>
      <c r="AH1427" s="277"/>
    </row>
    <row r="1428" spans="16:34" s="185" customFormat="1">
      <c r="P1428" s="277"/>
      <c r="Q1428" s="277"/>
      <c r="R1428" s="277"/>
      <c r="S1428" s="291">
        <v>42984</v>
      </c>
      <c r="T1428" s="279">
        <v>1345</v>
      </c>
      <c r="U1428" s="277"/>
      <c r="V1428" s="277"/>
      <c r="W1428" s="277"/>
      <c r="X1428" s="277"/>
      <c r="Y1428" s="277"/>
      <c r="Z1428" s="277"/>
      <c r="AA1428" s="277"/>
      <c r="AB1428" s="277"/>
      <c r="AC1428" s="277"/>
      <c r="AD1428" s="277"/>
      <c r="AE1428" s="277"/>
      <c r="AF1428" s="277"/>
      <c r="AG1428" s="277"/>
      <c r="AH1428" s="277"/>
    </row>
    <row r="1429" spans="16:34" s="185" customFormat="1">
      <c r="P1429" s="277"/>
      <c r="Q1429" s="277"/>
      <c r="R1429" s="277"/>
      <c r="S1429" s="291">
        <v>42985</v>
      </c>
      <c r="T1429" s="279">
        <v>1346</v>
      </c>
      <c r="U1429" s="277"/>
      <c r="V1429" s="277"/>
      <c r="W1429" s="277"/>
      <c r="X1429" s="277"/>
      <c r="Y1429" s="277"/>
      <c r="Z1429" s="277"/>
      <c r="AA1429" s="277"/>
      <c r="AB1429" s="277"/>
      <c r="AC1429" s="277"/>
      <c r="AD1429" s="277"/>
      <c r="AE1429" s="277"/>
      <c r="AF1429" s="277"/>
      <c r="AG1429" s="277"/>
      <c r="AH1429" s="277"/>
    </row>
    <row r="1430" spans="16:34" s="185" customFormat="1">
      <c r="P1430" s="277"/>
      <c r="Q1430" s="277"/>
      <c r="R1430" s="277"/>
      <c r="S1430" s="291">
        <v>42986</v>
      </c>
      <c r="T1430" s="279">
        <v>1347</v>
      </c>
      <c r="U1430" s="277"/>
      <c r="V1430" s="277"/>
      <c r="W1430" s="277"/>
      <c r="X1430" s="277"/>
      <c r="Y1430" s="277"/>
      <c r="Z1430" s="277"/>
      <c r="AA1430" s="277"/>
      <c r="AB1430" s="277"/>
      <c r="AC1430" s="277"/>
      <c r="AD1430" s="277"/>
      <c r="AE1430" s="277"/>
      <c r="AF1430" s="277"/>
      <c r="AG1430" s="277"/>
      <c r="AH1430" s="277"/>
    </row>
    <row r="1431" spans="16:34" s="185" customFormat="1">
      <c r="P1431" s="277"/>
      <c r="Q1431" s="277"/>
      <c r="R1431" s="277"/>
      <c r="S1431" s="291">
        <v>42987</v>
      </c>
      <c r="T1431" s="279">
        <v>1348</v>
      </c>
      <c r="U1431" s="277"/>
      <c r="V1431" s="277"/>
      <c r="W1431" s="277"/>
      <c r="X1431" s="277"/>
      <c r="Y1431" s="277"/>
      <c r="Z1431" s="277"/>
      <c r="AA1431" s="277"/>
      <c r="AB1431" s="277"/>
      <c r="AC1431" s="277"/>
      <c r="AD1431" s="277"/>
      <c r="AE1431" s="277"/>
      <c r="AF1431" s="277"/>
      <c r="AG1431" s="277"/>
      <c r="AH1431" s="277"/>
    </row>
    <row r="1432" spans="16:34" s="185" customFormat="1">
      <c r="P1432" s="277"/>
      <c r="Q1432" s="277"/>
      <c r="R1432" s="277"/>
      <c r="S1432" s="291">
        <v>42988</v>
      </c>
      <c r="T1432" s="279">
        <v>1349</v>
      </c>
      <c r="U1432" s="277"/>
      <c r="V1432" s="277"/>
      <c r="W1432" s="277"/>
      <c r="X1432" s="277"/>
      <c r="Y1432" s="277"/>
      <c r="Z1432" s="277"/>
      <c r="AA1432" s="277"/>
      <c r="AB1432" s="277"/>
      <c r="AC1432" s="277"/>
      <c r="AD1432" s="277"/>
      <c r="AE1432" s="277"/>
      <c r="AF1432" s="277"/>
      <c r="AG1432" s="277"/>
      <c r="AH1432" s="277"/>
    </row>
    <row r="1433" spans="16:34" s="185" customFormat="1">
      <c r="P1433" s="277"/>
      <c r="Q1433" s="277"/>
      <c r="R1433" s="277"/>
      <c r="S1433" s="291">
        <v>42989</v>
      </c>
      <c r="T1433" s="279">
        <v>1350</v>
      </c>
      <c r="U1433" s="277"/>
      <c r="V1433" s="277"/>
      <c r="W1433" s="277"/>
      <c r="X1433" s="277"/>
      <c r="Y1433" s="277"/>
      <c r="Z1433" s="277"/>
      <c r="AA1433" s="277"/>
      <c r="AB1433" s="277"/>
      <c r="AC1433" s="277"/>
      <c r="AD1433" s="277"/>
      <c r="AE1433" s="277"/>
      <c r="AF1433" s="277"/>
      <c r="AG1433" s="277"/>
      <c r="AH1433" s="277"/>
    </row>
    <row r="1434" spans="16:34" s="185" customFormat="1">
      <c r="P1434" s="277"/>
      <c r="Q1434" s="277"/>
      <c r="R1434" s="277"/>
      <c r="S1434" s="291">
        <v>42990</v>
      </c>
      <c r="T1434" s="279">
        <v>1351</v>
      </c>
      <c r="U1434" s="277"/>
      <c r="V1434" s="277"/>
      <c r="W1434" s="277"/>
      <c r="X1434" s="277"/>
      <c r="Y1434" s="277"/>
      <c r="Z1434" s="277"/>
      <c r="AA1434" s="277"/>
      <c r="AB1434" s="277"/>
      <c r="AC1434" s="277"/>
      <c r="AD1434" s="277"/>
      <c r="AE1434" s="277"/>
      <c r="AF1434" s="277"/>
      <c r="AG1434" s="277"/>
      <c r="AH1434" s="277"/>
    </row>
    <row r="1435" spans="16:34" s="185" customFormat="1">
      <c r="P1435" s="277"/>
      <c r="Q1435" s="277"/>
      <c r="R1435" s="277"/>
      <c r="S1435" s="291">
        <v>42991</v>
      </c>
      <c r="T1435" s="279">
        <v>1352</v>
      </c>
      <c r="U1435" s="277"/>
      <c r="V1435" s="277"/>
      <c r="W1435" s="277"/>
      <c r="X1435" s="277"/>
      <c r="Y1435" s="277"/>
      <c r="Z1435" s="277"/>
      <c r="AA1435" s="277"/>
      <c r="AB1435" s="277"/>
      <c r="AC1435" s="277"/>
      <c r="AD1435" s="277"/>
      <c r="AE1435" s="277"/>
      <c r="AF1435" s="277"/>
      <c r="AG1435" s="277"/>
      <c r="AH1435" s="277"/>
    </row>
    <row r="1436" spans="16:34" s="185" customFormat="1">
      <c r="P1436" s="277"/>
      <c r="Q1436" s="277"/>
      <c r="R1436" s="277"/>
      <c r="S1436" s="291">
        <v>42992</v>
      </c>
      <c r="T1436" s="279">
        <v>1353</v>
      </c>
      <c r="U1436" s="277"/>
      <c r="V1436" s="277"/>
      <c r="W1436" s="277"/>
      <c r="X1436" s="277"/>
      <c r="Y1436" s="277"/>
      <c r="Z1436" s="277"/>
      <c r="AA1436" s="277"/>
      <c r="AB1436" s="277"/>
      <c r="AC1436" s="277"/>
      <c r="AD1436" s="277"/>
      <c r="AE1436" s="277"/>
      <c r="AF1436" s="277"/>
      <c r="AG1436" s="277"/>
      <c r="AH1436" s="277"/>
    </row>
    <row r="1437" spans="16:34" s="185" customFormat="1">
      <c r="P1437" s="277"/>
      <c r="Q1437" s="277"/>
      <c r="R1437" s="277"/>
      <c r="S1437" s="291">
        <v>42993</v>
      </c>
      <c r="T1437" s="279">
        <v>1354</v>
      </c>
      <c r="U1437" s="277"/>
      <c r="V1437" s="277"/>
      <c r="W1437" s="277"/>
      <c r="X1437" s="277"/>
      <c r="Y1437" s="277"/>
      <c r="Z1437" s="277"/>
      <c r="AA1437" s="277"/>
      <c r="AB1437" s="277"/>
      <c r="AC1437" s="277"/>
      <c r="AD1437" s="277"/>
      <c r="AE1437" s="277"/>
      <c r="AF1437" s="277"/>
      <c r="AG1437" s="277"/>
      <c r="AH1437" s="277"/>
    </row>
    <row r="1438" spans="16:34" s="185" customFormat="1">
      <c r="P1438" s="277"/>
      <c r="Q1438" s="277"/>
      <c r="R1438" s="277"/>
      <c r="S1438" s="291">
        <v>42994</v>
      </c>
      <c r="T1438" s="279">
        <v>1355</v>
      </c>
      <c r="U1438" s="277"/>
      <c r="V1438" s="277"/>
      <c r="W1438" s="277"/>
      <c r="X1438" s="277"/>
      <c r="Y1438" s="277"/>
      <c r="Z1438" s="277"/>
      <c r="AA1438" s="277"/>
      <c r="AB1438" s="277"/>
      <c r="AC1438" s="277"/>
      <c r="AD1438" s="277"/>
      <c r="AE1438" s="277"/>
      <c r="AF1438" s="277"/>
      <c r="AG1438" s="277"/>
      <c r="AH1438" s="277"/>
    </row>
    <row r="1439" spans="16:34" s="185" customFormat="1">
      <c r="P1439" s="277"/>
      <c r="Q1439" s="277"/>
      <c r="R1439" s="277"/>
      <c r="S1439" s="291">
        <v>42995</v>
      </c>
      <c r="T1439" s="279">
        <v>1356</v>
      </c>
      <c r="U1439" s="277"/>
      <c r="V1439" s="277"/>
      <c r="W1439" s="277"/>
      <c r="X1439" s="277"/>
      <c r="Y1439" s="277"/>
      <c r="Z1439" s="277"/>
      <c r="AA1439" s="277"/>
      <c r="AB1439" s="277"/>
      <c r="AC1439" s="277"/>
      <c r="AD1439" s="277"/>
      <c r="AE1439" s="277"/>
      <c r="AF1439" s="277"/>
      <c r="AG1439" s="277"/>
      <c r="AH1439" s="277"/>
    </row>
    <row r="1440" spans="16:34" s="185" customFormat="1">
      <c r="P1440" s="277"/>
      <c r="Q1440" s="277"/>
      <c r="R1440" s="277"/>
      <c r="S1440" s="291">
        <v>42996</v>
      </c>
      <c r="T1440" s="279">
        <v>1357</v>
      </c>
      <c r="U1440" s="277"/>
      <c r="V1440" s="277"/>
      <c r="W1440" s="277"/>
      <c r="X1440" s="277"/>
      <c r="Y1440" s="277"/>
      <c r="Z1440" s="277"/>
      <c r="AA1440" s="277"/>
      <c r="AB1440" s="277"/>
      <c r="AC1440" s="277"/>
      <c r="AD1440" s="277"/>
      <c r="AE1440" s="277"/>
      <c r="AF1440" s="277"/>
      <c r="AG1440" s="277"/>
      <c r="AH1440" s="277"/>
    </row>
    <row r="1441" spans="16:34" s="185" customFormat="1">
      <c r="P1441" s="277"/>
      <c r="Q1441" s="277"/>
      <c r="R1441" s="277"/>
      <c r="S1441" s="291">
        <v>42997</v>
      </c>
      <c r="T1441" s="279">
        <v>1358</v>
      </c>
      <c r="U1441" s="277"/>
      <c r="V1441" s="277"/>
      <c r="W1441" s="277"/>
      <c r="X1441" s="277"/>
      <c r="Y1441" s="277"/>
      <c r="Z1441" s="277"/>
      <c r="AA1441" s="277"/>
      <c r="AB1441" s="277"/>
      <c r="AC1441" s="277"/>
      <c r="AD1441" s="277"/>
      <c r="AE1441" s="277"/>
      <c r="AF1441" s="277"/>
      <c r="AG1441" s="277"/>
      <c r="AH1441" s="277"/>
    </row>
    <row r="1442" spans="16:34" s="185" customFormat="1">
      <c r="P1442" s="277"/>
      <c r="Q1442" s="277"/>
      <c r="R1442" s="277"/>
      <c r="S1442" s="291">
        <v>42998</v>
      </c>
      <c r="T1442" s="279">
        <v>1359</v>
      </c>
      <c r="U1442" s="277"/>
      <c r="V1442" s="277"/>
      <c r="W1442" s="277"/>
      <c r="X1442" s="277"/>
      <c r="Y1442" s="277"/>
      <c r="Z1442" s="277"/>
      <c r="AA1442" s="277"/>
      <c r="AB1442" s="277"/>
      <c r="AC1442" s="277"/>
      <c r="AD1442" s="277"/>
      <c r="AE1442" s="277"/>
      <c r="AF1442" s="277"/>
      <c r="AG1442" s="277"/>
      <c r="AH1442" s="277"/>
    </row>
    <row r="1443" spans="16:34" s="185" customFormat="1">
      <c r="P1443" s="277"/>
      <c r="Q1443" s="277"/>
      <c r="R1443" s="277"/>
      <c r="S1443" s="291">
        <v>42999</v>
      </c>
      <c r="T1443" s="279">
        <v>1360</v>
      </c>
      <c r="U1443" s="277"/>
      <c r="V1443" s="277"/>
      <c r="W1443" s="277"/>
      <c r="X1443" s="277"/>
      <c r="Y1443" s="277"/>
      <c r="Z1443" s="277"/>
      <c r="AA1443" s="277"/>
      <c r="AB1443" s="277"/>
      <c r="AC1443" s="277"/>
      <c r="AD1443" s="277"/>
      <c r="AE1443" s="277"/>
      <c r="AF1443" s="277"/>
      <c r="AG1443" s="277"/>
      <c r="AH1443" s="277"/>
    </row>
    <row r="1444" spans="16:34" s="185" customFormat="1">
      <c r="P1444" s="277"/>
      <c r="Q1444" s="277"/>
      <c r="R1444" s="277"/>
      <c r="S1444" s="291">
        <v>43000</v>
      </c>
      <c r="T1444" s="279">
        <v>1361</v>
      </c>
      <c r="U1444" s="277"/>
      <c r="V1444" s="277"/>
      <c r="W1444" s="277"/>
      <c r="X1444" s="277"/>
      <c r="Y1444" s="277"/>
      <c r="Z1444" s="277"/>
      <c r="AA1444" s="277"/>
      <c r="AB1444" s="277"/>
      <c r="AC1444" s="277"/>
      <c r="AD1444" s="277"/>
      <c r="AE1444" s="277"/>
      <c r="AF1444" s="277"/>
      <c r="AG1444" s="277"/>
      <c r="AH1444" s="277"/>
    </row>
    <row r="1445" spans="16:34" s="185" customFormat="1">
      <c r="P1445" s="277"/>
      <c r="Q1445" s="277"/>
      <c r="R1445" s="277"/>
      <c r="S1445" s="291">
        <v>43001</v>
      </c>
      <c r="T1445" s="279">
        <v>1362</v>
      </c>
      <c r="U1445" s="277"/>
      <c r="V1445" s="277"/>
      <c r="W1445" s="277"/>
      <c r="X1445" s="277"/>
      <c r="Y1445" s="277"/>
      <c r="Z1445" s="277"/>
      <c r="AA1445" s="277"/>
      <c r="AB1445" s="277"/>
      <c r="AC1445" s="277"/>
      <c r="AD1445" s="277"/>
      <c r="AE1445" s="277"/>
      <c r="AF1445" s="277"/>
      <c r="AG1445" s="277"/>
      <c r="AH1445" s="277"/>
    </row>
    <row r="1446" spans="16:34" s="185" customFormat="1">
      <c r="P1446" s="277"/>
      <c r="Q1446" s="277"/>
      <c r="R1446" s="277"/>
      <c r="S1446" s="291">
        <v>43002</v>
      </c>
      <c r="T1446" s="279">
        <v>1363</v>
      </c>
      <c r="U1446" s="277"/>
      <c r="V1446" s="277"/>
      <c r="W1446" s="277"/>
      <c r="X1446" s="277"/>
      <c r="Y1446" s="277"/>
      <c r="Z1446" s="277"/>
      <c r="AA1446" s="277"/>
      <c r="AB1446" s="277"/>
      <c r="AC1446" s="277"/>
      <c r="AD1446" s="277"/>
      <c r="AE1446" s="277"/>
      <c r="AF1446" s="277"/>
      <c r="AG1446" s="277"/>
      <c r="AH1446" s="277"/>
    </row>
    <row r="1447" spans="16:34" s="185" customFormat="1">
      <c r="P1447" s="277"/>
      <c r="Q1447" s="277"/>
      <c r="R1447" s="277"/>
      <c r="S1447" s="291">
        <v>43003</v>
      </c>
      <c r="T1447" s="279">
        <v>1364</v>
      </c>
      <c r="U1447" s="277"/>
      <c r="V1447" s="277"/>
      <c r="W1447" s="277"/>
      <c r="X1447" s="277"/>
      <c r="Y1447" s="277"/>
      <c r="Z1447" s="277"/>
      <c r="AA1447" s="277"/>
      <c r="AB1447" s="277"/>
      <c r="AC1447" s="277"/>
      <c r="AD1447" s="277"/>
      <c r="AE1447" s="277"/>
      <c r="AF1447" s="277"/>
      <c r="AG1447" s="277"/>
      <c r="AH1447" s="277"/>
    </row>
    <row r="1448" spans="16:34" s="185" customFormat="1">
      <c r="P1448" s="277"/>
      <c r="Q1448" s="277"/>
      <c r="R1448" s="277"/>
      <c r="S1448" s="291">
        <v>43004</v>
      </c>
      <c r="T1448" s="279">
        <v>1365</v>
      </c>
      <c r="U1448" s="277"/>
      <c r="V1448" s="277"/>
      <c r="W1448" s="277"/>
      <c r="X1448" s="277"/>
      <c r="Y1448" s="277"/>
      <c r="Z1448" s="277"/>
      <c r="AA1448" s="277"/>
      <c r="AB1448" s="277"/>
      <c r="AC1448" s="277"/>
      <c r="AD1448" s="277"/>
      <c r="AE1448" s="277"/>
      <c r="AF1448" s="277"/>
      <c r="AG1448" s="277"/>
      <c r="AH1448" s="277"/>
    </row>
    <row r="1449" spans="16:34" s="185" customFormat="1">
      <c r="P1449" s="277"/>
      <c r="Q1449" s="277"/>
      <c r="R1449" s="277"/>
      <c r="S1449" s="291">
        <v>43005</v>
      </c>
      <c r="T1449" s="279">
        <v>1366</v>
      </c>
      <c r="U1449" s="277"/>
      <c r="V1449" s="277"/>
      <c r="W1449" s="277"/>
      <c r="X1449" s="277"/>
      <c r="Y1449" s="277"/>
      <c r="Z1449" s="277"/>
      <c r="AA1449" s="277"/>
      <c r="AB1449" s="277"/>
      <c r="AC1449" s="277"/>
      <c r="AD1449" s="277"/>
      <c r="AE1449" s="277"/>
      <c r="AF1449" s="277"/>
      <c r="AG1449" s="277"/>
      <c r="AH1449" s="277"/>
    </row>
    <row r="1450" spans="16:34" s="185" customFormat="1">
      <c r="P1450" s="277"/>
      <c r="Q1450" s="277"/>
      <c r="R1450" s="277"/>
      <c r="S1450" s="291">
        <v>43006</v>
      </c>
      <c r="T1450" s="279">
        <v>1367</v>
      </c>
      <c r="U1450" s="277"/>
      <c r="V1450" s="277"/>
      <c r="W1450" s="277"/>
      <c r="X1450" s="277"/>
      <c r="Y1450" s="277"/>
      <c r="Z1450" s="277"/>
      <c r="AA1450" s="277"/>
      <c r="AB1450" s="277"/>
      <c r="AC1450" s="277"/>
      <c r="AD1450" s="277"/>
      <c r="AE1450" s="277"/>
      <c r="AF1450" s="277"/>
      <c r="AG1450" s="277"/>
      <c r="AH1450" s="277"/>
    </row>
    <row r="1451" spans="16:34" s="185" customFormat="1">
      <c r="P1451" s="277"/>
      <c r="Q1451" s="277"/>
      <c r="R1451" s="277"/>
      <c r="S1451" s="291">
        <v>43007</v>
      </c>
      <c r="T1451" s="279">
        <v>1368</v>
      </c>
      <c r="U1451" s="277"/>
      <c r="V1451" s="277"/>
      <c r="W1451" s="277"/>
      <c r="X1451" s="277"/>
      <c r="Y1451" s="277"/>
      <c r="Z1451" s="277"/>
      <c r="AA1451" s="277"/>
      <c r="AB1451" s="277"/>
      <c r="AC1451" s="277"/>
      <c r="AD1451" s="277"/>
      <c r="AE1451" s="277"/>
      <c r="AF1451" s="277"/>
      <c r="AG1451" s="277"/>
      <c r="AH1451" s="277"/>
    </row>
    <row r="1452" spans="16:34" s="185" customFormat="1">
      <c r="P1452" s="277"/>
      <c r="Q1452" s="277"/>
      <c r="R1452" s="277"/>
      <c r="S1452" s="291">
        <v>43008</v>
      </c>
      <c r="T1452" s="279">
        <v>1369</v>
      </c>
      <c r="U1452" s="277"/>
      <c r="V1452" s="277"/>
      <c r="W1452" s="277"/>
      <c r="X1452" s="277"/>
      <c r="Y1452" s="277"/>
      <c r="Z1452" s="277"/>
      <c r="AA1452" s="277"/>
      <c r="AB1452" s="277"/>
      <c r="AC1452" s="277"/>
      <c r="AD1452" s="277"/>
      <c r="AE1452" s="277"/>
      <c r="AF1452" s="277"/>
      <c r="AG1452" s="277"/>
      <c r="AH1452" s="277"/>
    </row>
    <row r="1453" spans="16:34" s="185" customFormat="1">
      <c r="P1453" s="277"/>
      <c r="Q1453" s="277"/>
      <c r="R1453" s="277"/>
      <c r="S1453" s="291">
        <v>43009</v>
      </c>
      <c r="T1453" s="279">
        <v>1370</v>
      </c>
      <c r="U1453" s="277"/>
      <c r="V1453" s="277"/>
      <c r="W1453" s="277"/>
      <c r="X1453" s="277"/>
      <c r="Y1453" s="277"/>
      <c r="Z1453" s="277"/>
      <c r="AA1453" s="277"/>
      <c r="AB1453" s="277"/>
      <c r="AC1453" s="277"/>
      <c r="AD1453" s="277"/>
      <c r="AE1453" s="277"/>
      <c r="AF1453" s="277"/>
      <c r="AG1453" s="277"/>
      <c r="AH1453" s="277"/>
    </row>
    <row r="1454" spans="16:34" s="185" customFormat="1">
      <c r="P1454" s="277"/>
      <c r="Q1454" s="277"/>
      <c r="R1454" s="277"/>
      <c r="S1454" s="291">
        <v>43010</v>
      </c>
      <c r="T1454" s="279">
        <v>1371</v>
      </c>
      <c r="U1454" s="277"/>
      <c r="V1454" s="277"/>
      <c r="W1454" s="277"/>
      <c r="X1454" s="277"/>
      <c r="Y1454" s="277"/>
      <c r="Z1454" s="277"/>
      <c r="AA1454" s="277"/>
      <c r="AB1454" s="277"/>
      <c r="AC1454" s="277"/>
      <c r="AD1454" s="277"/>
      <c r="AE1454" s="277"/>
      <c r="AF1454" s="277"/>
      <c r="AG1454" s="277"/>
      <c r="AH1454" s="277"/>
    </row>
    <row r="1455" spans="16:34" s="185" customFormat="1">
      <c r="P1455" s="277"/>
      <c r="Q1455" s="277"/>
      <c r="R1455" s="277"/>
      <c r="S1455" s="291">
        <v>43011</v>
      </c>
      <c r="T1455" s="279">
        <v>1372</v>
      </c>
      <c r="U1455" s="277"/>
      <c r="V1455" s="277"/>
      <c r="W1455" s="277"/>
      <c r="X1455" s="277"/>
      <c r="Y1455" s="277"/>
      <c r="Z1455" s="277"/>
      <c r="AA1455" s="277"/>
      <c r="AB1455" s="277"/>
      <c r="AC1455" s="277"/>
      <c r="AD1455" s="277"/>
      <c r="AE1455" s="277"/>
      <c r="AF1455" s="277"/>
      <c r="AG1455" s="277"/>
      <c r="AH1455" s="277"/>
    </row>
    <row r="1456" spans="16:34" s="185" customFormat="1">
      <c r="P1456" s="277"/>
      <c r="Q1456" s="277"/>
      <c r="R1456" s="277"/>
      <c r="S1456" s="291">
        <v>43012</v>
      </c>
      <c r="T1456" s="279">
        <v>1373</v>
      </c>
      <c r="U1456" s="277"/>
      <c r="V1456" s="277"/>
      <c r="W1456" s="277"/>
      <c r="X1456" s="277"/>
      <c r="Y1456" s="277"/>
      <c r="Z1456" s="277"/>
      <c r="AA1456" s="277"/>
      <c r="AB1456" s="277"/>
      <c r="AC1456" s="277"/>
      <c r="AD1456" s="277"/>
      <c r="AE1456" s="277"/>
      <c r="AF1456" s="277"/>
      <c r="AG1456" s="277"/>
      <c r="AH1456" s="277"/>
    </row>
    <row r="1457" spans="16:34" s="185" customFormat="1">
      <c r="P1457" s="277"/>
      <c r="Q1457" s="277"/>
      <c r="R1457" s="277"/>
      <c r="S1457" s="291">
        <v>43013</v>
      </c>
      <c r="T1457" s="279">
        <v>1374</v>
      </c>
      <c r="U1457" s="277"/>
      <c r="V1457" s="277"/>
      <c r="W1457" s="277"/>
      <c r="X1457" s="277"/>
      <c r="Y1457" s="277"/>
      <c r="Z1457" s="277"/>
      <c r="AA1457" s="277"/>
      <c r="AB1457" s="277"/>
      <c r="AC1457" s="277"/>
      <c r="AD1457" s="277"/>
      <c r="AE1457" s="277"/>
      <c r="AF1457" s="277"/>
      <c r="AG1457" s="277"/>
      <c r="AH1457" s="277"/>
    </row>
    <row r="1458" spans="16:34" s="185" customFormat="1">
      <c r="P1458" s="277"/>
      <c r="Q1458" s="277"/>
      <c r="R1458" s="277"/>
      <c r="S1458" s="291">
        <v>43014</v>
      </c>
      <c r="T1458" s="279">
        <v>1375</v>
      </c>
      <c r="U1458" s="277"/>
      <c r="V1458" s="277"/>
      <c r="W1458" s="277"/>
      <c r="X1458" s="277"/>
      <c r="Y1458" s="277"/>
      <c r="Z1458" s="277"/>
      <c r="AA1458" s="277"/>
      <c r="AB1458" s="277"/>
      <c r="AC1458" s="277"/>
      <c r="AD1458" s="277"/>
      <c r="AE1458" s="277"/>
      <c r="AF1458" s="277"/>
      <c r="AG1458" s="277"/>
      <c r="AH1458" s="277"/>
    </row>
    <row r="1459" spans="16:34" s="185" customFormat="1">
      <c r="P1459" s="277"/>
      <c r="Q1459" s="277"/>
      <c r="R1459" s="277"/>
      <c r="S1459" s="291">
        <v>43015</v>
      </c>
      <c r="T1459" s="279">
        <v>1376</v>
      </c>
      <c r="U1459" s="277"/>
      <c r="V1459" s="277"/>
      <c r="W1459" s="277"/>
      <c r="X1459" s="277"/>
      <c r="Y1459" s="277"/>
      <c r="Z1459" s="277"/>
      <c r="AA1459" s="277"/>
      <c r="AB1459" s="277"/>
      <c r="AC1459" s="277"/>
      <c r="AD1459" s="277"/>
      <c r="AE1459" s="277"/>
      <c r="AF1459" s="277"/>
      <c r="AG1459" s="277"/>
      <c r="AH1459" s="277"/>
    </row>
    <row r="1460" spans="16:34" s="185" customFormat="1">
      <c r="P1460" s="277"/>
      <c r="Q1460" s="277"/>
      <c r="R1460" s="277"/>
      <c r="S1460" s="291">
        <v>43016</v>
      </c>
      <c r="T1460" s="279">
        <v>1377</v>
      </c>
      <c r="U1460" s="277"/>
      <c r="V1460" s="277"/>
      <c r="W1460" s="277"/>
      <c r="X1460" s="277"/>
      <c r="Y1460" s="277"/>
      <c r="Z1460" s="277"/>
      <c r="AA1460" s="277"/>
      <c r="AB1460" s="277"/>
      <c r="AC1460" s="277"/>
      <c r="AD1460" s="277"/>
      <c r="AE1460" s="277"/>
      <c r="AF1460" s="277"/>
      <c r="AG1460" s="277"/>
      <c r="AH1460" s="277"/>
    </row>
    <row r="1461" spans="16:34" s="185" customFormat="1">
      <c r="P1461" s="277"/>
      <c r="Q1461" s="277"/>
      <c r="R1461" s="277"/>
      <c r="S1461" s="291">
        <v>43017</v>
      </c>
      <c r="T1461" s="279">
        <v>1378</v>
      </c>
      <c r="U1461" s="277"/>
      <c r="V1461" s="277"/>
      <c r="W1461" s="277"/>
      <c r="X1461" s="277"/>
      <c r="Y1461" s="277"/>
      <c r="Z1461" s="277"/>
      <c r="AA1461" s="277"/>
      <c r="AB1461" s="277"/>
      <c r="AC1461" s="277"/>
      <c r="AD1461" s="277"/>
      <c r="AE1461" s="277"/>
      <c r="AF1461" s="277"/>
      <c r="AG1461" s="277"/>
      <c r="AH1461" s="277"/>
    </row>
    <row r="1462" spans="16:34" s="185" customFormat="1">
      <c r="P1462" s="277"/>
      <c r="Q1462" s="277"/>
      <c r="R1462" s="277"/>
      <c r="S1462" s="291">
        <v>43018</v>
      </c>
      <c r="T1462" s="279">
        <v>1379</v>
      </c>
      <c r="U1462" s="277"/>
      <c r="V1462" s="277"/>
      <c r="W1462" s="277"/>
      <c r="X1462" s="277"/>
      <c r="Y1462" s="277"/>
      <c r="Z1462" s="277"/>
      <c r="AA1462" s="277"/>
      <c r="AB1462" s="277"/>
      <c r="AC1462" s="277"/>
      <c r="AD1462" s="277"/>
      <c r="AE1462" s="277"/>
      <c r="AF1462" s="277"/>
      <c r="AG1462" s="277"/>
      <c r="AH1462" s="277"/>
    </row>
    <row r="1463" spans="16:34" s="185" customFormat="1">
      <c r="P1463" s="277"/>
      <c r="Q1463" s="277"/>
      <c r="R1463" s="277"/>
      <c r="S1463" s="291">
        <v>43019</v>
      </c>
      <c r="T1463" s="279">
        <v>1380</v>
      </c>
      <c r="U1463" s="277"/>
      <c r="V1463" s="277"/>
      <c r="W1463" s="277"/>
      <c r="X1463" s="277"/>
      <c r="Y1463" s="277"/>
      <c r="Z1463" s="277"/>
      <c r="AA1463" s="277"/>
      <c r="AB1463" s="277"/>
      <c r="AC1463" s="277"/>
      <c r="AD1463" s="277"/>
      <c r="AE1463" s="277"/>
      <c r="AF1463" s="277"/>
      <c r="AG1463" s="277"/>
      <c r="AH1463" s="277"/>
    </row>
    <row r="1464" spans="16:34" s="185" customFormat="1">
      <c r="P1464" s="277"/>
      <c r="Q1464" s="277"/>
      <c r="R1464" s="277"/>
      <c r="S1464" s="291">
        <v>43020</v>
      </c>
      <c r="T1464" s="279">
        <v>1381</v>
      </c>
      <c r="U1464" s="277"/>
      <c r="V1464" s="277"/>
      <c r="W1464" s="277"/>
      <c r="X1464" s="277"/>
      <c r="Y1464" s="277"/>
      <c r="Z1464" s="277"/>
      <c r="AA1464" s="277"/>
      <c r="AB1464" s="277"/>
      <c r="AC1464" s="277"/>
      <c r="AD1464" s="277"/>
      <c r="AE1464" s="277"/>
      <c r="AF1464" s="277"/>
      <c r="AG1464" s="277"/>
      <c r="AH1464" s="277"/>
    </row>
    <row r="1465" spans="16:34" s="185" customFormat="1">
      <c r="P1465" s="277"/>
      <c r="Q1465" s="277"/>
      <c r="R1465" s="277"/>
      <c r="S1465" s="291">
        <v>43021</v>
      </c>
      <c r="T1465" s="279">
        <v>1382</v>
      </c>
      <c r="U1465" s="277"/>
      <c r="V1465" s="277"/>
      <c r="W1465" s="277"/>
      <c r="X1465" s="277"/>
      <c r="Y1465" s="277"/>
      <c r="Z1465" s="277"/>
      <c r="AA1465" s="277"/>
      <c r="AB1465" s="277"/>
      <c r="AC1465" s="277"/>
      <c r="AD1465" s="277"/>
      <c r="AE1465" s="277"/>
      <c r="AF1465" s="277"/>
      <c r="AG1465" s="277"/>
      <c r="AH1465" s="277"/>
    </row>
    <row r="1466" spans="16:34" s="185" customFormat="1">
      <c r="P1466" s="277"/>
      <c r="Q1466" s="277"/>
      <c r="R1466" s="277"/>
      <c r="S1466" s="291">
        <v>43022</v>
      </c>
      <c r="T1466" s="279">
        <v>1383</v>
      </c>
      <c r="U1466" s="277"/>
      <c r="V1466" s="277"/>
      <c r="W1466" s="277"/>
      <c r="X1466" s="277"/>
      <c r="Y1466" s="277"/>
      <c r="Z1466" s="277"/>
      <c r="AA1466" s="277"/>
      <c r="AB1466" s="277"/>
      <c r="AC1466" s="277"/>
      <c r="AD1466" s="277"/>
      <c r="AE1466" s="277"/>
      <c r="AF1466" s="277"/>
      <c r="AG1466" s="277"/>
      <c r="AH1466" s="277"/>
    </row>
    <row r="1467" spans="16:34" s="185" customFormat="1">
      <c r="P1467" s="277"/>
      <c r="Q1467" s="277"/>
      <c r="R1467" s="277"/>
      <c r="S1467" s="291">
        <v>43023</v>
      </c>
      <c r="T1467" s="279">
        <v>1384</v>
      </c>
      <c r="U1467" s="277"/>
      <c r="V1467" s="277"/>
      <c r="W1467" s="277"/>
      <c r="X1467" s="277"/>
      <c r="Y1467" s="277"/>
      <c r="Z1467" s="277"/>
      <c r="AA1467" s="277"/>
      <c r="AB1467" s="277"/>
      <c r="AC1467" s="277"/>
      <c r="AD1467" s="277"/>
      <c r="AE1467" s="277"/>
      <c r="AF1467" s="277"/>
      <c r="AG1467" s="277"/>
      <c r="AH1467" s="277"/>
    </row>
    <row r="1468" spans="16:34" s="185" customFormat="1">
      <c r="P1468" s="277"/>
      <c r="Q1468" s="277"/>
      <c r="R1468" s="277"/>
      <c r="S1468" s="291">
        <v>43024</v>
      </c>
      <c r="T1468" s="279">
        <v>1385</v>
      </c>
      <c r="U1468" s="277"/>
      <c r="V1468" s="277"/>
      <c r="W1468" s="277"/>
      <c r="X1468" s="277"/>
      <c r="Y1468" s="277"/>
      <c r="Z1468" s="277"/>
      <c r="AA1468" s="277"/>
      <c r="AB1468" s="277"/>
      <c r="AC1468" s="277"/>
      <c r="AD1468" s="277"/>
      <c r="AE1468" s="277"/>
      <c r="AF1468" s="277"/>
      <c r="AG1468" s="277"/>
      <c r="AH1468" s="277"/>
    </row>
    <row r="1469" spans="16:34" s="185" customFormat="1">
      <c r="P1469" s="277"/>
      <c r="Q1469" s="277"/>
      <c r="R1469" s="277"/>
      <c r="S1469" s="291">
        <v>43025</v>
      </c>
      <c r="T1469" s="279">
        <v>1386</v>
      </c>
      <c r="U1469" s="277"/>
      <c r="V1469" s="277"/>
      <c r="W1469" s="277"/>
      <c r="X1469" s="277"/>
      <c r="Y1469" s="277"/>
      <c r="Z1469" s="277"/>
      <c r="AA1469" s="277"/>
      <c r="AB1469" s="277"/>
      <c r="AC1469" s="277"/>
      <c r="AD1469" s="277"/>
      <c r="AE1469" s="277"/>
      <c r="AF1469" s="277"/>
      <c r="AG1469" s="277"/>
      <c r="AH1469" s="277"/>
    </row>
    <row r="1470" spans="16:34" s="185" customFormat="1">
      <c r="P1470" s="277"/>
      <c r="Q1470" s="277"/>
      <c r="R1470" s="277"/>
      <c r="S1470" s="291">
        <v>43026</v>
      </c>
      <c r="T1470" s="279">
        <v>1387</v>
      </c>
      <c r="U1470" s="277"/>
      <c r="V1470" s="277"/>
      <c r="W1470" s="277"/>
      <c r="X1470" s="277"/>
      <c r="Y1470" s="277"/>
      <c r="Z1470" s="277"/>
      <c r="AA1470" s="277"/>
      <c r="AB1470" s="277"/>
      <c r="AC1470" s="277"/>
      <c r="AD1470" s="277"/>
      <c r="AE1470" s="277"/>
      <c r="AF1470" s="277"/>
      <c r="AG1470" s="277"/>
      <c r="AH1470" s="277"/>
    </row>
    <row r="1471" spans="16:34" s="185" customFormat="1">
      <c r="P1471" s="277"/>
      <c r="Q1471" s="277"/>
      <c r="R1471" s="277"/>
      <c r="S1471" s="291">
        <v>43027</v>
      </c>
      <c r="T1471" s="279">
        <v>1388</v>
      </c>
      <c r="U1471" s="277"/>
      <c r="V1471" s="277"/>
      <c r="W1471" s="277"/>
      <c r="X1471" s="277"/>
      <c r="Y1471" s="277"/>
      <c r="Z1471" s="277"/>
      <c r="AA1471" s="277"/>
      <c r="AB1471" s="277"/>
      <c r="AC1471" s="277"/>
      <c r="AD1471" s="277"/>
      <c r="AE1471" s="277"/>
      <c r="AF1471" s="277"/>
      <c r="AG1471" s="277"/>
      <c r="AH1471" s="277"/>
    </row>
    <row r="1472" spans="16:34" s="185" customFormat="1">
      <c r="P1472" s="277"/>
      <c r="Q1472" s="277"/>
      <c r="R1472" s="277"/>
      <c r="S1472" s="291">
        <v>43028</v>
      </c>
      <c r="T1472" s="279">
        <v>1389</v>
      </c>
      <c r="U1472" s="277"/>
      <c r="V1472" s="277"/>
      <c r="W1472" s="277"/>
      <c r="X1472" s="277"/>
      <c r="Y1472" s="277"/>
      <c r="Z1472" s="277"/>
      <c r="AA1472" s="277"/>
      <c r="AB1472" s="277"/>
      <c r="AC1472" s="277"/>
      <c r="AD1472" s="277"/>
      <c r="AE1472" s="277"/>
      <c r="AF1472" s="277"/>
      <c r="AG1472" s="277"/>
      <c r="AH1472" s="277"/>
    </row>
    <row r="1473" spans="16:34" s="185" customFormat="1">
      <c r="P1473" s="277"/>
      <c r="Q1473" s="277"/>
      <c r="R1473" s="277"/>
      <c r="S1473" s="291">
        <v>43029</v>
      </c>
      <c r="T1473" s="279">
        <v>1390</v>
      </c>
      <c r="U1473" s="277"/>
      <c r="V1473" s="277"/>
      <c r="W1473" s="277"/>
      <c r="X1473" s="277"/>
      <c r="Y1473" s="277"/>
      <c r="Z1473" s="277"/>
      <c r="AA1473" s="277"/>
      <c r="AB1473" s="277"/>
      <c r="AC1473" s="277"/>
      <c r="AD1473" s="277"/>
      <c r="AE1473" s="277"/>
      <c r="AF1473" s="277"/>
      <c r="AG1473" s="277"/>
      <c r="AH1473" s="277"/>
    </row>
    <row r="1474" spans="16:34" s="185" customFormat="1">
      <c r="P1474" s="277"/>
      <c r="Q1474" s="277"/>
      <c r="R1474" s="277"/>
      <c r="S1474" s="291">
        <v>43030</v>
      </c>
      <c r="T1474" s="279">
        <v>1391</v>
      </c>
      <c r="U1474" s="277"/>
      <c r="V1474" s="277"/>
      <c r="W1474" s="277"/>
      <c r="X1474" s="277"/>
      <c r="Y1474" s="277"/>
      <c r="Z1474" s="277"/>
      <c r="AA1474" s="277"/>
      <c r="AB1474" s="277"/>
      <c r="AC1474" s="277"/>
      <c r="AD1474" s="277"/>
      <c r="AE1474" s="277"/>
      <c r="AF1474" s="277"/>
      <c r="AG1474" s="277"/>
      <c r="AH1474" s="277"/>
    </row>
    <row r="1475" spans="16:34" s="185" customFormat="1">
      <c r="P1475" s="277"/>
      <c r="Q1475" s="277"/>
      <c r="R1475" s="277"/>
      <c r="S1475" s="291">
        <v>43031</v>
      </c>
      <c r="T1475" s="279">
        <v>1392</v>
      </c>
      <c r="U1475" s="277"/>
      <c r="V1475" s="277"/>
      <c r="W1475" s="277"/>
      <c r="X1475" s="277"/>
      <c r="Y1475" s="277"/>
      <c r="Z1475" s="277"/>
      <c r="AA1475" s="277"/>
      <c r="AB1475" s="277"/>
      <c r="AC1475" s="277"/>
      <c r="AD1475" s="277"/>
      <c r="AE1475" s="277"/>
      <c r="AF1475" s="277"/>
      <c r="AG1475" s="277"/>
      <c r="AH1475" s="277"/>
    </row>
    <row r="1476" spans="16:34" s="185" customFormat="1">
      <c r="P1476" s="277"/>
      <c r="Q1476" s="277"/>
      <c r="R1476" s="277"/>
      <c r="S1476" s="291">
        <v>43032</v>
      </c>
      <c r="T1476" s="279">
        <v>1393</v>
      </c>
      <c r="U1476" s="277"/>
      <c r="V1476" s="277"/>
      <c r="W1476" s="277"/>
      <c r="X1476" s="277"/>
      <c r="Y1476" s="277"/>
      <c r="Z1476" s="277"/>
      <c r="AA1476" s="277"/>
      <c r="AB1476" s="277"/>
      <c r="AC1476" s="277"/>
      <c r="AD1476" s="277"/>
      <c r="AE1476" s="277"/>
      <c r="AF1476" s="277"/>
      <c r="AG1476" s="277"/>
      <c r="AH1476" s="277"/>
    </row>
    <row r="1477" spans="16:34" s="185" customFormat="1">
      <c r="P1477" s="277"/>
      <c r="Q1477" s="277"/>
      <c r="R1477" s="277"/>
      <c r="S1477" s="291">
        <v>43033</v>
      </c>
      <c r="T1477" s="279">
        <v>1394</v>
      </c>
      <c r="U1477" s="277"/>
      <c r="V1477" s="277"/>
      <c r="W1477" s="277"/>
      <c r="X1477" s="277"/>
      <c r="Y1477" s="277"/>
      <c r="Z1477" s="277"/>
      <c r="AA1477" s="277"/>
      <c r="AB1477" s="277"/>
      <c r="AC1477" s="277"/>
      <c r="AD1477" s="277"/>
      <c r="AE1477" s="277"/>
      <c r="AF1477" s="277"/>
      <c r="AG1477" s="277"/>
      <c r="AH1477" s="277"/>
    </row>
    <row r="1478" spans="16:34" s="185" customFormat="1">
      <c r="P1478" s="277"/>
      <c r="Q1478" s="277"/>
      <c r="R1478" s="277"/>
      <c r="S1478" s="291">
        <v>43034</v>
      </c>
      <c r="T1478" s="279">
        <v>1395</v>
      </c>
      <c r="U1478" s="277"/>
      <c r="V1478" s="277"/>
      <c r="W1478" s="277"/>
      <c r="X1478" s="277"/>
      <c r="Y1478" s="277"/>
      <c r="Z1478" s="277"/>
      <c r="AA1478" s="277"/>
      <c r="AB1478" s="277"/>
      <c r="AC1478" s="277"/>
      <c r="AD1478" s="277"/>
      <c r="AE1478" s="277"/>
      <c r="AF1478" s="277"/>
      <c r="AG1478" s="277"/>
      <c r="AH1478" s="277"/>
    </row>
    <row r="1479" spans="16:34" s="185" customFormat="1">
      <c r="P1479" s="277"/>
      <c r="Q1479" s="277"/>
      <c r="R1479" s="277"/>
      <c r="S1479" s="291">
        <v>43035</v>
      </c>
      <c r="T1479" s="279">
        <v>1396</v>
      </c>
      <c r="U1479" s="277"/>
      <c r="V1479" s="277"/>
      <c r="W1479" s="277"/>
      <c r="X1479" s="277"/>
      <c r="Y1479" s="277"/>
      <c r="Z1479" s="277"/>
      <c r="AA1479" s="277"/>
      <c r="AB1479" s="277"/>
      <c r="AC1479" s="277"/>
      <c r="AD1479" s="277"/>
      <c r="AE1479" s="277"/>
      <c r="AF1479" s="277"/>
      <c r="AG1479" s="277"/>
      <c r="AH1479" s="277"/>
    </row>
    <row r="1480" spans="16:34" s="185" customFormat="1">
      <c r="P1480" s="277"/>
      <c r="Q1480" s="277"/>
      <c r="R1480" s="277"/>
      <c r="S1480" s="291">
        <v>43036</v>
      </c>
      <c r="T1480" s="279">
        <v>1397</v>
      </c>
      <c r="U1480" s="277"/>
      <c r="V1480" s="277"/>
      <c r="W1480" s="277"/>
      <c r="X1480" s="277"/>
      <c r="Y1480" s="277"/>
      <c r="Z1480" s="277"/>
      <c r="AA1480" s="277"/>
      <c r="AB1480" s="277"/>
      <c r="AC1480" s="277"/>
      <c r="AD1480" s="277"/>
      <c r="AE1480" s="277"/>
      <c r="AF1480" s="277"/>
      <c r="AG1480" s="277"/>
      <c r="AH1480" s="277"/>
    </row>
    <row r="1481" spans="16:34" s="185" customFormat="1">
      <c r="P1481" s="277"/>
      <c r="Q1481" s="277"/>
      <c r="R1481" s="277"/>
      <c r="S1481" s="291">
        <v>43037</v>
      </c>
      <c r="T1481" s="279">
        <v>1398</v>
      </c>
      <c r="U1481" s="277"/>
      <c r="V1481" s="277"/>
      <c r="W1481" s="277"/>
      <c r="X1481" s="277"/>
      <c r="Y1481" s="277"/>
      <c r="Z1481" s="277"/>
      <c r="AA1481" s="277"/>
      <c r="AB1481" s="277"/>
      <c r="AC1481" s="277"/>
      <c r="AD1481" s="277"/>
      <c r="AE1481" s="277"/>
      <c r="AF1481" s="277"/>
      <c r="AG1481" s="277"/>
      <c r="AH1481" s="277"/>
    </row>
    <row r="1482" spans="16:34" s="185" customFormat="1">
      <c r="P1482" s="277"/>
      <c r="Q1482" s="277"/>
      <c r="R1482" s="277"/>
      <c r="S1482" s="291">
        <v>43038</v>
      </c>
      <c r="T1482" s="279">
        <v>1399</v>
      </c>
      <c r="U1482" s="277"/>
      <c r="V1482" s="277"/>
      <c r="W1482" s="277"/>
      <c r="X1482" s="277"/>
      <c r="Y1482" s="277"/>
      <c r="Z1482" s="277"/>
      <c r="AA1482" s="277"/>
      <c r="AB1482" s="277"/>
      <c r="AC1482" s="277"/>
      <c r="AD1482" s="277"/>
      <c r="AE1482" s="277"/>
      <c r="AF1482" s="277"/>
      <c r="AG1482" s="277"/>
      <c r="AH1482" s="277"/>
    </row>
    <row r="1483" spans="16:34" s="185" customFormat="1">
      <c r="P1483" s="277"/>
      <c r="Q1483" s="277"/>
      <c r="R1483" s="277"/>
      <c r="S1483" s="291">
        <v>43039</v>
      </c>
      <c r="T1483" s="279">
        <v>1400</v>
      </c>
      <c r="U1483" s="277"/>
      <c r="V1483" s="277"/>
      <c r="W1483" s="277"/>
      <c r="X1483" s="277"/>
      <c r="Y1483" s="277"/>
      <c r="Z1483" s="277"/>
      <c r="AA1483" s="277"/>
      <c r="AB1483" s="277"/>
      <c r="AC1483" s="277"/>
      <c r="AD1483" s="277"/>
      <c r="AE1483" s="277"/>
      <c r="AF1483" s="277"/>
      <c r="AG1483" s="277"/>
      <c r="AH1483" s="277"/>
    </row>
    <row r="1484" spans="16:34" s="185" customFormat="1">
      <c r="P1484" s="277"/>
      <c r="Q1484" s="277"/>
      <c r="R1484" s="277"/>
      <c r="S1484" s="291">
        <v>43040</v>
      </c>
      <c r="T1484" s="279">
        <v>1401</v>
      </c>
      <c r="U1484" s="277"/>
      <c r="V1484" s="277"/>
      <c r="W1484" s="277"/>
      <c r="X1484" s="277"/>
      <c r="Y1484" s="277"/>
      <c r="Z1484" s="277"/>
      <c r="AA1484" s="277"/>
      <c r="AB1484" s="277"/>
      <c r="AC1484" s="277"/>
      <c r="AD1484" s="277"/>
      <c r="AE1484" s="277"/>
      <c r="AF1484" s="277"/>
      <c r="AG1484" s="277"/>
      <c r="AH1484" s="277"/>
    </row>
    <row r="1485" spans="16:34" s="185" customFormat="1">
      <c r="P1485" s="277"/>
      <c r="Q1485" s="277"/>
      <c r="R1485" s="277"/>
      <c r="S1485" s="291">
        <v>43041</v>
      </c>
      <c r="T1485" s="279">
        <v>1402</v>
      </c>
      <c r="U1485" s="277"/>
      <c r="V1485" s="277"/>
      <c r="W1485" s="277"/>
      <c r="X1485" s="277"/>
      <c r="Y1485" s="277"/>
      <c r="Z1485" s="277"/>
      <c r="AA1485" s="277"/>
      <c r="AB1485" s="277"/>
      <c r="AC1485" s="277"/>
      <c r="AD1485" s="277"/>
      <c r="AE1485" s="277"/>
      <c r="AF1485" s="277"/>
      <c r="AG1485" s="277"/>
      <c r="AH1485" s="277"/>
    </row>
    <row r="1486" spans="16:34" s="185" customFormat="1">
      <c r="P1486" s="277"/>
      <c r="Q1486" s="277"/>
      <c r="R1486" s="277"/>
      <c r="S1486" s="291">
        <v>43042</v>
      </c>
      <c r="T1486" s="279">
        <v>1403</v>
      </c>
      <c r="U1486" s="277"/>
      <c r="V1486" s="277"/>
      <c r="W1486" s="277"/>
      <c r="X1486" s="277"/>
      <c r="Y1486" s="277"/>
      <c r="Z1486" s="277"/>
      <c r="AA1486" s="277"/>
      <c r="AB1486" s="277"/>
      <c r="AC1486" s="277"/>
      <c r="AD1486" s="277"/>
      <c r="AE1486" s="277"/>
      <c r="AF1486" s="277"/>
      <c r="AG1486" s="277"/>
      <c r="AH1486" s="277"/>
    </row>
    <row r="1487" spans="16:34" s="185" customFormat="1">
      <c r="P1487" s="277"/>
      <c r="Q1487" s="277"/>
      <c r="R1487" s="277"/>
      <c r="S1487" s="291">
        <v>43043</v>
      </c>
      <c r="T1487" s="279">
        <v>1404</v>
      </c>
      <c r="U1487" s="277"/>
      <c r="V1487" s="277"/>
      <c r="W1487" s="277"/>
      <c r="X1487" s="277"/>
      <c r="Y1487" s="277"/>
      <c r="Z1487" s="277"/>
      <c r="AA1487" s="277"/>
      <c r="AB1487" s="277"/>
      <c r="AC1487" s="277"/>
      <c r="AD1487" s="277"/>
      <c r="AE1487" s="277"/>
      <c r="AF1487" s="277"/>
      <c r="AG1487" s="277"/>
      <c r="AH1487" s="277"/>
    </row>
    <row r="1488" spans="16:34" s="185" customFormat="1">
      <c r="P1488" s="277"/>
      <c r="Q1488" s="277"/>
      <c r="R1488" s="277"/>
      <c r="S1488" s="291">
        <v>43044</v>
      </c>
      <c r="T1488" s="279">
        <v>1405</v>
      </c>
      <c r="U1488" s="277"/>
      <c r="V1488" s="277"/>
      <c r="W1488" s="277"/>
      <c r="X1488" s="277"/>
      <c r="Y1488" s="277"/>
      <c r="Z1488" s="277"/>
      <c r="AA1488" s="277"/>
      <c r="AB1488" s="277"/>
      <c r="AC1488" s="277"/>
      <c r="AD1488" s="277"/>
      <c r="AE1488" s="277"/>
      <c r="AF1488" s="277"/>
      <c r="AG1488" s="277"/>
      <c r="AH1488" s="277"/>
    </row>
    <row r="1489" spans="16:34" s="185" customFormat="1">
      <c r="P1489" s="277"/>
      <c r="Q1489" s="277"/>
      <c r="R1489" s="277"/>
      <c r="S1489" s="291">
        <v>43045</v>
      </c>
      <c r="T1489" s="279">
        <v>1406</v>
      </c>
      <c r="U1489" s="277"/>
      <c r="V1489" s="277"/>
      <c r="W1489" s="277"/>
      <c r="X1489" s="277"/>
      <c r="Y1489" s="277"/>
      <c r="Z1489" s="277"/>
      <c r="AA1489" s="277"/>
      <c r="AB1489" s="277"/>
      <c r="AC1489" s="277"/>
      <c r="AD1489" s="277"/>
      <c r="AE1489" s="277"/>
      <c r="AF1489" s="277"/>
      <c r="AG1489" s="277"/>
      <c r="AH1489" s="277"/>
    </row>
    <row r="1490" spans="16:34" s="185" customFormat="1">
      <c r="P1490" s="277"/>
      <c r="Q1490" s="277"/>
      <c r="R1490" s="277"/>
      <c r="S1490" s="291">
        <v>43046</v>
      </c>
      <c r="T1490" s="279">
        <v>1407</v>
      </c>
      <c r="U1490" s="277"/>
      <c r="V1490" s="277"/>
      <c r="W1490" s="277"/>
      <c r="X1490" s="277"/>
      <c r="Y1490" s="277"/>
      <c r="Z1490" s="277"/>
      <c r="AA1490" s="277"/>
      <c r="AB1490" s="277"/>
      <c r="AC1490" s="277"/>
      <c r="AD1490" s="277"/>
      <c r="AE1490" s="277"/>
      <c r="AF1490" s="277"/>
      <c r="AG1490" s="277"/>
      <c r="AH1490" s="277"/>
    </row>
    <row r="1491" spans="16:34" s="185" customFormat="1">
      <c r="P1491" s="277"/>
      <c r="Q1491" s="277"/>
      <c r="R1491" s="277"/>
      <c r="S1491" s="291">
        <v>43047</v>
      </c>
      <c r="T1491" s="279">
        <v>1408</v>
      </c>
      <c r="U1491" s="277"/>
      <c r="V1491" s="277"/>
      <c r="W1491" s="277"/>
      <c r="X1491" s="277"/>
      <c r="Y1491" s="277"/>
      <c r="Z1491" s="277"/>
      <c r="AA1491" s="277"/>
      <c r="AB1491" s="277"/>
      <c r="AC1491" s="277"/>
      <c r="AD1491" s="277"/>
      <c r="AE1491" s="277"/>
      <c r="AF1491" s="277"/>
      <c r="AG1491" s="277"/>
      <c r="AH1491" s="277"/>
    </row>
    <row r="1492" spans="16:34" s="185" customFormat="1">
      <c r="P1492" s="277"/>
      <c r="Q1492" s="277"/>
      <c r="R1492" s="277"/>
      <c r="S1492" s="291">
        <v>43048</v>
      </c>
      <c r="T1492" s="279">
        <v>1409</v>
      </c>
      <c r="U1492" s="277"/>
      <c r="V1492" s="277"/>
      <c r="W1492" s="277"/>
      <c r="X1492" s="277"/>
      <c r="Y1492" s="277"/>
      <c r="Z1492" s="277"/>
      <c r="AA1492" s="277"/>
      <c r="AB1492" s="277"/>
      <c r="AC1492" s="277"/>
      <c r="AD1492" s="277"/>
      <c r="AE1492" s="277"/>
      <c r="AF1492" s="277"/>
      <c r="AG1492" s="277"/>
      <c r="AH1492" s="277"/>
    </row>
    <row r="1493" spans="16:34" s="185" customFormat="1">
      <c r="P1493" s="277"/>
      <c r="Q1493" s="277"/>
      <c r="R1493" s="277"/>
      <c r="S1493" s="291">
        <v>43049</v>
      </c>
      <c r="T1493" s="279">
        <v>1410</v>
      </c>
      <c r="U1493" s="277"/>
      <c r="V1493" s="277"/>
      <c r="W1493" s="277"/>
      <c r="X1493" s="277"/>
      <c r="Y1493" s="277"/>
      <c r="Z1493" s="277"/>
      <c r="AA1493" s="277"/>
      <c r="AB1493" s="277"/>
      <c r="AC1493" s="277"/>
      <c r="AD1493" s="277"/>
      <c r="AE1493" s="277"/>
      <c r="AF1493" s="277"/>
      <c r="AG1493" s="277"/>
      <c r="AH1493" s="277"/>
    </row>
    <row r="1494" spans="16:34" s="185" customFormat="1">
      <c r="P1494" s="277"/>
      <c r="Q1494" s="277"/>
      <c r="R1494" s="277"/>
      <c r="S1494" s="291">
        <v>43050</v>
      </c>
      <c r="T1494" s="279">
        <v>1411</v>
      </c>
      <c r="U1494" s="277"/>
      <c r="V1494" s="277"/>
      <c r="W1494" s="277"/>
      <c r="X1494" s="277"/>
      <c r="Y1494" s="277"/>
      <c r="Z1494" s="277"/>
      <c r="AA1494" s="277"/>
      <c r="AB1494" s="277"/>
      <c r="AC1494" s="277"/>
      <c r="AD1494" s="277"/>
      <c r="AE1494" s="277"/>
      <c r="AF1494" s="277"/>
      <c r="AG1494" s="277"/>
      <c r="AH1494" s="277"/>
    </row>
    <row r="1495" spans="16:34" s="185" customFormat="1">
      <c r="P1495" s="277"/>
      <c r="Q1495" s="277"/>
      <c r="R1495" s="277"/>
      <c r="S1495" s="291">
        <v>43051</v>
      </c>
      <c r="T1495" s="279">
        <v>1412</v>
      </c>
      <c r="U1495" s="277"/>
      <c r="V1495" s="277"/>
      <c r="W1495" s="277"/>
      <c r="X1495" s="277"/>
      <c r="Y1495" s="277"/>
      <c r="Z1495" s="277"/>
      <c r="AA1495" s="277"/>
      <c r="AB1495" s="277"/>
      <c r="AC1495" s="277"/>
      <c r="AD1495" s="277"/>
      <c r="AE1495" s="277"/>
      <c r="AF1495" s="277"/>
      <c r="AG1495" s="277"/>
      <c r="AH1495" s="277"/>
    </row>
    <row r="1496" spans="16:34" s="185" customFormat="1">
      <c r="P1496" s="277"/>
      <c r="Q1496" s="277"/>
      <c r="R1496" s="277"/>
      <c r="S1496" s="291">
        <v>43052</v>
      </c>
      <c r="T1496" s="279">
        <v>1413</v>
      </c>
      <c r="U1496" s="277"/>
      <c r="V1496" s="277"/>
      <c r="W1496" s="277"/>
      <c r="X1496" s="277"/>
      <c r="Y1496" s="277"/>
      <c r="Z1496" s="277"/>
      <c r="AA1496" s="277"/>
      <c r="AB1496" s="277"/>
      <c r="AC1496" s="277"/>
      <c r="AD1496" s="277"/>
      <c r="AE1496" s="277"/>
      <c r="AF1496" s="277"/>
      <c r="AG1496" s="277"/>
      <c r="AH1496" s="277"/>
    </row>
    <row r="1497" spans="16:34" s="185" customFormat="1">
      <c r="P1497" s="277"/>
      <c r="Q1497" s="277"/>
      <c r="R1497" s="277"/>
      <c r="S1497" s="291">
        <v>43053</v>
      </c>
      <c r="T1497" s="279">
        <v>1414</v>
      </c>
      <c r="U1497" s="277"/>
      <c r="V1497" s="277"/>
      <c r="W1497" s="277"/>
      <c r="X1497" s="277"/>
      <c r="Y1497" s="277"/>
      <c r="Z1497" s="277"/>
      <c r="AA1497" s="277"/>
      <c r="AB1497" s="277"/>
      <c r="AC1497" s="277"/>
      <c r="AD1497" s="277"/>
      <c r="AE1497" s="277"/>
      <c r="AF1497" s="277"/>
      <c r="AG1497" s="277"/>
      <c r="AH1497" s="277"/>
    </row>
    <row r="1498" spans="16:34" s="185" customFormat="1">
      <c r="P1498" s="277"/>
      <c r="Q1498" s="277"/>
      <c r="R1498" s="277"/>
      <c r="S1498" s="291">
        <v>43054</v>
      </c>
      <c r="T1498" s="279">
        <v>1415</v>
      </c>
      <c r="U1498" s="277"/>
      <c r="V1498" s="277"/>
      <c r="W1498" s="277"/>
      <c r="X1498" s="277"/>
      <c r="Y1498" s="277"/>
      <c r="Z1498" s="277"/>
      <c r="AA1498" s="277"/>
      <c r="AB1498" s="277"/>
      <c r="AC1498" s="277"/>
      <c r="AD1498" s="277"/>
      <c r="AE1498" s="277"/>
      <c r="AF1498" s="277"/>
      <c r="AG1498" s="277"/>
      <c r="AH1498" s="277"/>
    </row>
    <row r="1499" spans="16:34" s="185" customFormat="1">
      <c r="P1499" s="277"/>
      <c r="Q1499" s="277"/>
      <c r="R1499" s="277"/>
      <c r="S1499" s="291">
        <v>43055</v>
      </c>
      <c r="T1499" s="279">
        <v>1416</v>
      </c>
      <c r="U1499" s="277"/>
      <c r="V1499" s="277"/>
      <c r="W1499" s="277"/>
      <c r="X1499" s="277"/>
      <c r="Y1499" s="277"/>
      <c r="Z1499" s="277"/>
      <c r="AA1499" s="277"/>
      <c r="AB1499" s="277"/>
      <c r="AC1499" s="277"/>
      <c r="AD1499" s="277"/>
      <c r="AE1499" s="277"/>
      <c r="AF1499" s="277"/>
      <c r="AG1499" s="277"/>
      <c r="AH1499" s="277"/>
    </row>
    <row r="1500" spans="16:34" s="185" customFormat="1">
      <c r="P1500" s="277"/>
      <c r="Q1500" s="277"/>
      <c r="R1500" s="277"/>
      <c r="S1500" s="291">
        <v>43056</v>
      </c>
      <c r="T1500" s="279">
        <v>1417</v>
      </c>
      <c r="U1500" s="277"/>
      <c r="V1500" s="277"/>
      <c r="W1500" s="277"/>
      <c r="X1500" s="277"/>
      <c r="Y1500" s="277"/>
      <c r="Z1500" s="277"/>
      <c r="AA1500" s="277"/>
      <c r="AB1500" s="277"/>
      <c r="AC1500" s="277"/>
      <c r="AD1500" s="277"/>
      <c r="AE1500" s="277"/>
      <c r="AF1500" s="277"/>
      <c r="AG1500" s="277"/>
      <c r="AH1500" s="277"/>
    </row>
    <row r="1501" spans="16:34" s="185" customFormat="1">
      <c r="P1501" s="277"/>
      <c r="Q1501" s="277"/>
      <c r="R1501" s="277"/>
      <c r="S1501" s="291">
        <v>43057</v>
      </c>
      <c r="T1501" s="279">
        <v>1418</v>
      </c>
      <c r="U1501" s="277"/>
      <c r="V1501" s="277"/>
      <c r="W1501" s="277"/>
      <c r="X1501" s="277"/>
      <c r="Y1501" s="277"/>
      <c r="Z1501" s="277"/>
      <c r="AA1501" s="277"/>
      <c r="AB1501" s="277"/>
      <c r="AC1501" s="277"/>
      <c r="AD1501" s="277"/>
      <c r="AE1501" s="277"/>
      <c r="AF1501" s="277"/>
      <c r="AG1501" s="277"/>
      <c r="AH1501" s="277"/>
    </row>
    <row r="1502" spans="16:34" s="185" customFormat="1">
      <c r="P1502" s="277"/>
      <c r="Q1502" s="277"/>
      <c r="R1502" s="277"/>
      <c r="S1502" s="291">
        <v>43058</v>
      </c>
      <c r="T1502" s="279">
        <v>1419</v>
      </c>
      <c r="U1502" s="277"/>
      <c r="V1502" s="277"/>
      <c r="W1502" s="277"/>
      <c r="X1502" s="277"/>
      <c r="Y1502" s="277"/>
      <c r="Z1502" s="277"/>
      <c r="AA1502" s="277"/>
      <c r="AB1502" s="277"/>
      <c r="AC1502" s="277"/>
      <c r="AD1502" s="277"/>
      <c r="AE1502" s="277"/>
      <c r="AF1502" s="277"/>
      <c r="AG1502" s="277"/>
      <c r="AH1502" s="277"/>
    </row>
    <row r="1503" spans="16:34" s="185" customFormat="1">
      <c r="P1503" s="277"/>
      <c r="Q1503" s="277"/>
      <c r="R1503" s="277"/>
      <c r="S1503" s="291">
        <v>43059</v>
      </c>
      <c r="T1503" s="279">
        <v>1420</v>
      </c>
      <c r="U1503" s="277"/>
      <c r="V1503" s="277"/>
      <c r="W1503" s="277"/>
      <c r="X1503" s="277"/>
      <c r="Y1503" s="277"/>
      <c r="Z1503" s="277"/>
      <c r="AA1503" s="277"/>
      <c r="AB1503" s="277"/>
      <c r="AC1503" s="277"/>
      <c r="AD1503" s="277"/>
      <c r="AE1503" s="277"/>
      <c r="AF1503" s="277"/>
      <c r="AG1503" s="277"/>
      <c r="AH1503" s="277"/>
    </row>
    <row r="1504" spans="16:34" s="185" customFormat="1">
      <c r="P1504" s="277"/>
      <c r="Q1504" s="277"/>
      <c r="R1504" s="277"/>
      <c r="S1504" s="291">
        <v>43060</v>
      </c>
      <c r="T1504" s="279">
        <v>1421</v>
      </c>
      <c r="U1504" s="277"/>
      <c r="V1504" s="277"/>
      <c r="W1504" s="277"/>
      <c r="X1504" s="277"/>
      <c r="Y1504" s="277"/>
      <c r="Z1504" s="277"/>
      <c r="AA1504" s="277"/>
      <c r="AB1504" s="277"/>
      <c r="AC1504" s="277"/>
      <c r="AD1504" s="277"/>
      <c r="AE1504" s="277"/>
      <c r="AF1504" s="277"/>
      <c r="AG1504" s="277"/>
      <c r="AH1504" s="277"/>
    </row>
    <row r="1505" spans="16:34" s="185" customFormat="1">
      <c r="P1505" s="277"/>
      <c r="Q1505" s="277"/>
      <c r="R1505" s="277"/>
      <c r="S1505" s="291">
        <v>43061</v>
      </c>
      <c r="T1505" s="279">
        <v>1422</v>
      </c>
      <c r="U1505" s="277"/>
      <c r="V1505" s="277"/>
      <c r="W1505" s="277"/>
      <c r="X1505" s="277"/>
      <c r="Y1505" s="277"/>
      <c r="Z1505" s="277"/>
      <c r="AA1505" s="277"/>
      <c r="AB1505" s="277"/>
      <c r="AC1505" s="277"/>
      <c r="AD1505" s="277"/>
      <c r="AE1505" s="277"/>
      <c r="AF1505" s="277"/>
      <c r="AG1505" s="277"/>
      <c r="AH1505" s="277"/>
    </row>
    <row r="1506" spans="16:34" s="185" customFormat="1">
      <c r="P1506" s="277"/>
      <c r="Q1506" s="277"/>
      <c r="R1506" s="277"/>
      <c r="S1506" s="291">
        <v>43062</v>
      </c>
      <c r="T1506" s="279">
        <v>1423</v>
      </c>
      <c r="U1506" s="277"/>
      <c r="V1506" s="277"/>
      <c r="W1506" s="277"/>
      <c r="X1506" s="277"/>
      <c r="Y1506" s="277"/>
      <c r="Z1506" s="277"/>
      <c r="AA1506" s="277"/>
      <c r="AB1506" s="277"/>
      <c r="AC1506" s="277"/>
      <c r="AD1506" s="277"/>
      <c r="AE1506" s="277"/>
      <c r="AF1506" s="277"/>
      <c r="AG1506" s="277"/>
      <c r="AH1506" s="277"/>
    </row>
    <row r="1507" spans="16:34" s="185" customFormat="1">
      <c r="P1507" s="277"/>
      <c r="Q1507" s="277"/>
      <c r="R1507" s="277"/>
      <c r="S1507" s="291">
        <v>43063</v>
      </c>
      <c r="T1507" s="279">
        <v>1424</v>
      </c>
      <c r="U1507" s="277"/>
      <c r="V1507" s="277"/>
      <c r="W1507" s="277"/>
      <c r="X1507" s="277"/>
      <c r="Y1507" s="277"/>
      <c r="Z1507" s="277"/>
      <c r="AA1507" s="277"/>
      <c r="AB1507" s="277"/>
      <c r="AC1507" s="277"/>
      <c r="AD1507" s="277"/>
      <c r="AE1507" s="277"/>
      <c r="AF1507" s="277"/>
      <c r="AG1507" s="277"/>
      <c r="AH1507" s="277"/>
    </row>
    <row r="1508" spans="16:34" s="185" customFormat="1">
      <c r="P1508" s="277"/>
      <c r="Q1508" s="277"/>
      <c r="R1508" s="277"/>
      <c r="S1508" s="291">
        <v>43064</v>
      </c>
      <c r="T1508" s="279">
        <v>1425</v>
      </c>
      <c r="U1508" s="277"/>
      <c r="V1508" s="277"/>
      <c r="W1508" s="277"/>
      <c r="X1508" s="277"/>
      <c r="Y1508" s="277"/>
      <c r="Z1508" s="277"/>
      <c r="AA1508" s="277"/>
      <c r="AB1508" s="277"/>
      <c r="AC1508" s="277"/>
      <c r="AD1508" s="277"/>
      <c r="AE1508" s="277"/>
      <c r="AF1508" s="277"/>
      <c r="AG1508" s="277"/>
      <c r="AH1508" s="277"/>
    </row>
    <row r="1509" spans="16:34" s="185" customFormat="1">
      <c r="P1509" s="277"/>
      <c r="Q1509" s="277"/>
      <c r="R1509" s="277"/>
      <c r="S1509" s="291">
        <v>43065</v>
      </c>
      <c r="T1509" s="279">
        <v>1426</v>
      </c>
      <c r="U1509" s="277"/>
      <c r="V1509" s="277"/>
      <c r="W1509" s="277"/>
      <c r="X1509" s="277"/>
      <c r="Y1509" s="277"/>
      <c r="Z1509" s="277"/>
      <c r="AA1509" s="277"/>
      <c r="AB1509" s="277"/>
      <c r="AC1509" s="277"/>
      <c r="AD1509" s="277"/>
      <c r="AE1509" s="277"/>
      <c r="AF1509" s="277"/>
      <c r="AG1509" s="277"/>
      <c r="AH1509" s="277"/>
    </row>
    <row r="1510" spans="16:34" s="185" customFormat="1">
      <c r="P1510" s="277"/>
      <c r="Q1510" s="277"/>
      <c r="R1510" s="277"/>
      <c r="S1510" s="291">
        <v>43066</v>
      </c>
      <c r="T1510" s="279">
        <v>1427</v>
      </c>
      <c r="U1510" s="277"/>
      <c r="V1510" s="277"/>
      <c r="W1510" s="277"/>
      <c r="X1510" s="277"/>
      <c r="Y1510" s="277"/>
      <c r="Z1510" s="277"/>
      <c r="AA1510" s="277"/>
      <c r="AB1510" s="277"/>
      <c r="AC1510" s="277"/>
      <c r="AD1510" s="277"/>
      <c r="AE1510" s="277"/>
      <c r="AF1510" s="277"/>
      <c r="AG1510" s="277"/>
      <c r="AH1510" s="277"/>
    </row>
    <row r="1511" spans="16:34" s="185" customFormat="1">
      <c r="P1511" s="277"/>
      <c r="Q1511" s="277"/>
      <c r="R1511" s="277"/>
      <c r="S1511" s="291">
        <v>43067</v>
      </c>
      <c r="T1511" s="279">
        <v>1428</v>
      </c>
      <c r="U1511" s="277"/>
      <c r="V1511" s="277"/>
      <c r="W1511" s="277"/>
      <c r="X1511" s="277"/>
      <c r="Y1511" s="277"/>
      <c r="Z1511" s="277"/>
      <c r="AA1511" s="277"/>
      <c r="AB1511" s="277"/>
      <c r="AC1511" s="277"/>
      <c r="AD1511" s="277"/>
      <c r="AE1511" s="277"/>
      <c r="AF1511" s="277"/>
      <c r="AG1511" s="277"/>
      <c r="AH1511" s="277"/>
    </row>
    <row r="1512" spans="16:34" s="185" customFormat="1">
      <c r="P1512" s="277"/>
      <c r="Q1512" s="277"/>
      <c r="R1512" s="277"/>
      <c r="S1512" s="291">
        <v>43068</v>
      </c>
      <c r="T1512" s="279">
        <v>1429</v>
      </c>
      <c r="U1512" s="277"/>
      <c r="V1512" s="277"/>
      <c r="W1512" s="277"/>
      <c r="X1512" s="277"/>
      <c r="Y1512" s="277"/>
      <c r="Z1512" s="277"/>
      <c r="AA1512" s="277"/>
      <c r="AB1512" s="277"/>
      <c r="AC1512" s="277"/>
      <c r="AD1512" s="277"/>
      <c r="AE1512" s="277"/>
      <c r="AF1512" s="277"/>
      <c r="AG1512" s="277"/>
      <c r="AH1512" s="277"/>
    </row>
    <row r="1513" spans="16:34" s="185" customFormat="1">
      <c r="P1513" s="277"/>
      <c r="Q1513" s="277"/>
      <c r="R1513" s="277"/>
      <c r="S1513" s="291">
        <v>43069</v>
      </c>
      <c r="T1513" s="279">
        <v>1430</v>
      </c>
      <c r="U1513" s="277"/>
      <c r="V1513" s="277"/>
      <c r="W1513" s="277"/>
      <c r="X1513" s="277"/>
      <c r="Y1513" s="277"/>
      <c r="Z1513" s="277"/>
      <c r="AA1513" s="277"/>
      <c r="AB1513" s="277"/>
      <c r="AC1513" s="277"/>
      <c r="AD1513" s="277"/>
      <c r="AE1513" s="277"/>
      <c r="AF1513" s="277"/>
      <c r="AG1513" s="277"/>
      <c r="AH1513" s="277"/>
    </row>
    <row r="1514" spans="16:34" s="185" customFormat="1">
      <c r="P1514" s="277"/>
      <c r="Q1514" s="277"/>
      <c r="R1514" s="277"/>
      <c r="S1514" s="291">
        <v>43070</v>
      </c>
      <c r="T1514" s="279">
        <v>1431</v>
      </c>
      <c r="U1514" s="277"/>
      <c r="V1514" s="277"/>
      <c r="W1514" s="277"/>
      <c r="X1514" s="277"/>
      <c r="Y1514" s="277"/>
      <c r="Z1514" s="277"/>
      <c r="AA1514" s="277"/>
      <c r="AB1514" s="277"/>
      <c r="AC1514" s="277"/>
      <c r="AD1514" s="277"/>
      <c r="AE1514" s="277"/>
      <c r="AF1514" s="277"/>
      <c r="AG1514" s="277"/>
      <c r="AH1514" s="277"/>
    </row>
    <row r="1515" spans="16:34" s="185" customFormat="1">
      <c r="P1515" s="277"/>
      <c r="Q1515" s="277"/>
      <c r="R1515" s="277"/>
      <c r="S1515" s="291">
        <v>43071</v>
      </c>
      <c r="T1515" s="279">
        <v>1432</v>
      </c>
      <c r="U1515" s="277"/>
      <c r="V1515" s="277"/>
      <c r="W1515" s="277"/>
      <c r="X1515" s="277"/>
      <c r="Y1515" s="277"/>
      <c r="Z1515" s="277"/>
      <c r="AA1515" s="277"/>
      <c r="AB1515" s="277"/>
      <c r="AC1515" s="277"/>
      <c r="AD1515" s="277"/>
      <c r="AE1515" s="277"/>
      <c r="AF1515" s="277"/>
      <c r="AG1515" s="277"/>
      <c r="AH1515" s="277"/>
    </row>
    <row r="1516" spans="16:34" s="185" customFormat="1">
      <c r="P1516" s="277"/>
      <c r="Q1516" s="277"/>
      <c r="R1516" s="277"/>
      <c r="S1516" s="291">
        <v>43072</v>
      </c>
      <c r="T1516" s="279">
        <v>1433</v>
      </c>
      <c r="U1516" s="277"/>
      <c r="V1516" s="277"/>
      <c r="W1516" s="277"/>
      <c r="X1516" s="277"/>
      <c r="Y1516" s="277"/>
      <c r="Z1516" s="277"/>
      <c r="AA1516" s="277"/>
      <c r="AB1516" s="277"/>
      <c r="AC1516" s="277"/>
      <c r="AD1516" s="277"/>
      <c r="AE1516" s="277"/>
      <c r="AF1516" s="277"/>
      <c r="AG1516" s="277"/>
      <c r="AH1516" s="277"/>
    </row>
    <row r="1517" spans="16:34" s="185" customFormat="1">
      <c r="P1517" s="277"/>
      <c r="Q1517" s="277"/>
      <c r="R1517" s="277"/>
      <c r="S1517" s="291">
        <v>43073</v>
      </c>
      <c r="T1517" s="279">
        <v>1434</v>
      </c>
      <c r="U1517" s="277"/>
      <c r="V1517" s="277"/>
      <c r="W1517" s="277"/>
      <c r="X1517" s="277"/>
      <c r="Y1517" s="277"/>
      <c r="Z1517" s="277"/>
      <c r="AA1517" s="277"/>
      <c r="AB1517" s="277"/>
      <c r="AC1517" s="277"/>
      <c r="AD1517" s="277"/>
      <c r="AE1517" s="277"/>
      <c r="AF1517" s="277"/>
      <c r="AG1517" s="277"/>
      <c r="AH1517" s="277"/>
    </row>
    <row r="1518" spans="16:34" s="185" customFormat="1">
      <c r="P1518" s="277"/>
      <c r="Q1518" s="277"/>
      <c r="R1518" s="277"/>
      <c r="S1518" s="291">
        <v>43074</v>
      </c>
      <c r="T1518" s="279">
        <v>1435</v>
      </c>
      <c r="U1518" s="277"/>
      <c r="V1518" s="277"/>
      <c r="W1518" s="277"/>
      <c r="X1518" s="277"/>
      <c r="Y1518" s="277"/>
      <c r="Z1518" s="277"/>
      <c r="AA1518" s="277"/>
      <c r="AB1518" s="277"/>
      <c r="AC1518" s="277"/>
      <c r="AD1518" s="277"/>
      <c r="AE1518" s="277"/>
      <c r="AF1518" s="277"/>
      <c r="AG1518" s="277"/>
      <c r="AH1518" s="277"/>
    </row>
    <row r="1519" spans="16:34" s="185" customFormat="1">
      <c r="P1519" s="277"/>
      <c r="Q1519" s="277"/>
      <c r="R1519" s="277"/>
      <c r="S1519" s="291">
        <v>43075</v>
      </c>
      <c r="T1519" s="279">
        <v>1436</v>
      </c>
      <c r="U1519" s="277"/>
      <c r="V1519" s="277"/>
      <c r="W1519" s="277"/>
      <c r="X1519" s="277"/>
      <c r="Y1519" s="277"/>
      <c r="Z1519" s="277"/>
      <c r="AA1519" s="277"/>
      <c r="AB1519" s="277"/>
      <c r="AC1519" s="277"/>
      <c r="AD1519" s="277"/>
      <c r="AE1519" s="277"/>
      <c r="AF1519" s="277"/>
      <c r="AG1519" s="277"/>
      <c r="AH1519" s="277"/>
    </row>
    <row r="1520" spans="16:34" s="185" customFormat="1">
      <c r="P1520" s="277"/>
      <c r="Q1520" s="277"/>
      <c r="R1520" s="277"/>
      <c r="S1520" s="291">
        <v>43076</v>
      </c>
      <c r="T1520" s="279">
        <v>1437</v>
      </c>
      <c r="U1520" s="277"/>
      <c r="V1520" s="277"/>
      <c r="W1520" s="277"/>
      <c r="X1520" s="277"/>
      <c r="Y1520" s="277"/>
      <c r="Z1520" s="277"/>
      <c r="AA1520" s="277"/>
      <c r="AB1520" s="277"/>
      <c r="AC1520" s="277"/>
      <c r="AD1520" s="277"/>
      <c r="AE1520" s="277"/>
      <c r="AF1520" s="277"/>
      <c r="AG1520" s="277"/>
      <c r="AH1520" s="277"/>
    </row>
    <row r="1521" spans="16:34" s="185" customFormat="1">
      <c r="P1521" s="277"/>
      <c r="Q1521" s="277"/>
      <c r="R1521" s="277"/>
      <c r="S1521" s="291">
        <v>43077</v>
      </c>
      <c r="T1521" s="279">
        <v>1438</v>
      </c>
      <c r="U1521" s="277"/>
      <c r="V1521" s="277"/>
      <c r="W1521" s="277"/>
      <c r="X1521" s="277"/>
      <c r="Y1521" s="277"/>
      <c r="Z1521" s="277"/>
      <c r="AA1521" s="277"/>
      <c r="AB1521" s="277"/>
      <c r="AC1521" s="277"/>
      <c r="AD1521" s="277"/>
      <c r="AE1521" s="277"/>
      <c r="AF1521" s="277"/>
      <c r="AG1521" s="277"/>
      <c r="AH1521" s="277"/>
    </row>
    <row r="1522" spans="16:34" s="185" customFormat="1">
      <c r="P1522" s="277"/>
      <c r="Q1522" s="277"/>
      <c r="R1522" s="277"/>
      <c r="S1522" s="291">
        <v>43078</v>
      </c>
      <c r="T1522" s="279">
        <v>1439</v>
      </c>
      <c r="U1522" s="277"/>
      <c r="V1522" s="277"/>
      <c r="W1522" s="277"/>
      <c r="X1522" s="277"/>
      <c r="Y1522" s="277"/>
      <c r="Z1522" s="277"/>
      <c r="AA1522" s="277"/>
      <c r="AB1522" s="277"/>
      <c r="AC1522" s="277"/>
      <c r="AD1522" s="277"/>
      <c r="AE1522" s="277"/>
      <c r="AF1522" s="277"/>
      <c r="AG1522" s="277"/>
      <c r="AH1522" s="277"/>
    </row>
    <row r="1523" spans="16:34" s="185" customFormat="1">
      <c r="P1523" s="277"/>
      <c r="Q1523" s="277"/>
      <c r="R1523" s="277"/>
      <c r="S1523" s="291">
        <v>43079</v>
      </c>
      <c r="T1523" s="279">
        <v>1440</v>
      </c>
      <c r="U1523" s="277"/>
      <c r="V1523" s="277"/>
      <c r="W1523" s="277"/>
      <c r="X1523" s="277"/>
      <c r="Y1523" s="277"/>
      <c r="Z1523" s="277"/>
      <c r="AA1523" s="277"/>
      <c r="AB1523" s="277"/>
      <c r="AC1523" s="277"/>
      <c r="AD1523" s="277"/>
      <c r="AE1523" s="277"/>
      <c r="AF1523" s="277"/>
      <c r="AG1523" s="277"/>
      <c r="AH1523" s="277"/>
    </row>
    <row r="1524" spans="16:34" s="185" customFormat="1">
      <c r="P1524" s="277"/>
      <c r="Q1524" s="277"/>
      <c r="R1524" s="277"/>
      <c r="S1524" s="291">
        <v>43080</v>
      </c>
      <c r="T1524" s="279">
        <v>1441</v>
      </c>
      <c r="U1524" s="277"/>
      <c r="V1524" s="277"/>
      <c r="W1524" s="277"/>
      <c r="X1524" s="277"/>
      <c r="Y1524" s="277"/>
      <c r="Z1524" s="277"/>
      <c r="AA1524" s="277"/>
      <c r="AB1524" s="277"/>
      <c r="AC1524" s="277"/>
      <c r="AD1524" s="277"/>
      <c r="AE1524" s="277"/>
      <c r="AF1524" s="277"/>
      <c r="AG1524" s="277"/>
      <c r="AH1524" s="277"/>
    </row>
    <row r="1525" spans="16:34" s="185" customFormat="1">
      <c r="P1525" s="277"/>
      <c r="Q1525" s="277"/>
      <c r="R1525" s="277"/>
      <c r="S1525" s="291">
        <v>43081</v>
      </c>
      <c r="T1525" s="279">
        <v>1442</v>
      </c>
      <c r="U1525" s="277"/>
      <c r="V1525" s="277"/>
      <c r="W1525" s="277"/>
      <c r="X1525" s="277"/>
      <c r="Y1525" s="277"/>
      <c r="Z1525" s="277"/>
      <c r="AA1525" s="277"/>
      <c r="AB1525" s="277"/>
      <c r="AC1525" s="277"/>
      <c r="AD1525" s="277"/>
      <c r="AE1525" s="277"/>
      <c r="AF1525" s="277"/>
      <c r="AG1525" s="277"/>
      <c r="AH1525" s="277"/>
    </row>
    <row r="1526" spans="16:34" s="185" customFormat="1">
      <c r="P1526" s="277"/>
      <c r="Q1526" s="277"/>
      <c r="R1526" s="277"/>
      <c r="S1526" s="291">
        <v>43082</v>
      </c>
      <c r="T1526" s="279">
        <v>1443</v>
      </c>
      <c r="U1526" s="277"/>
      <c r="V1526" s="277"/>
      <c r="W1526" s="277"/>
      <c r="X1526" s="277"/>
      <c r="Y1526" s="277"/>
      <c r="Z1526" s="277"/>
      <c r="AA1526" s="277"/>
      <c r="AB1526" s="277"/>
      <c r="AC1526" s="277"/>
      <c r="AD1526" s="277"/>
      <c r="AE1526" s="277"/>
      <c r="AF1526" s="277"/>
      <c r="AG1526" s="277"/>
      <c r="AH1526" s="277"/>
    </row>
    <row r="1527" spans="16:34" s="185" customFormat="1">
      <c r="P1527" s="277"/>
      <c r="Q1527" s="277"/>
      <c r="R1527" s="277"/>
      <c r="S1527" s="291">
        <v>43083</v>
      </c>
      <c r="T1527" s="279">
        <v>1444</v>
      </c>
      <c r="U1527" s="277"/>
      <c r="V1527" s="277"/>
      <c r="W1527" s="277"/>
      <c r="X1527" s="277"/>
      <c r="Y1527" s="277"/>
      <c r="Z1527" s="277"/>
      <c r="AA1527" s="277"/>
      <c r="AB1527" s="277"/>
      <c r="AC1527" s="277"/>
      <c r="AD1527" s="277"/>
      <c r="AE1527" s="277"/>
      <c r="AF1527" s="277"/>
      <c r="AG1527" s="277"/>
      <c r="AH1527" s="277"/>
    </row>
    <row r="1528" spans="16:34" s="185" customFormat="1">
      <c r="P1528" s="277"/>
      <c r="Q1528" s="277"/>
      <c r="R1528" s="277"/>
      <c r="S1528" s="291">
        <v>43084</v>
      </c>
      <c r="T1528" s="279">
        <v>1445</v>
      </c>
      <c r="U1528" s="277"/>
      <c r="V1528" s="277"/>
      <c r="W1528" s="277"/>
      <c r="X1528" s="277"/>
      <c r="Y1528" s="277"/>
      <c r="Z1528" s="277"/>
      <c r="AA1528" s="277"/>
      <c r="AB1528" s="277"/>
      <c r="AC1528" s="277"/>
      <c r="AD1528" s="277"/>
      <c r="AE1528" s="277"/>
      <c r="AF1528" s="277"/>
      <c r="AG1528" s="277"/>
      <c r="AH1528" s="277"/>
    </row>
    <row r="1529" spans="16:34" s="185" customFormat="1">
      <c r="P1529" s="277"/>
      <c r="Q1529" s="277"/>
      <c r="R1529" s="277"/>
      <c r="S1529" s="291">
        <v>43085</v>
      </c>
      <c r="T1529" s="279">
        <v>1446</v>
      </c>
      <c r="U1529" s="277"/>
      <c r="V1529" s="277"/>
      <c r="W1529" s="277"/>
      <c r="X1529" s="277"/>
      <c r="Y1529" s="277"/>
      <c r="Z1529" s="277"/>
      <c r="AA1529" s="277"/>
      <c r="AB1529" s="277"/>
      <c r="AC1529" s="277"/>
      <c r="AD1529" s="277"/>
      <c r="AE1529" s="277"/>
      <c r="AF1529" s="277"/>
      <c r="AG1529" s="277"/>
      <c r="AH1529" s="277"/>
    </row>
    <row r="1530" spans="16:34" s="185" customFormat="1">
      <c r="P1530" s="277"/>
      <c r="Q1530" s="277"/>
      <c r="R1530" s="277"/>
      <c r="S1530" s="291">
        <v>43086</v>
      </c>
      <c r="T1530" s="279">
        <v>1447</v>
      </c>
      <c r="U1530" s="277"/>
      <c r="V1530" s="277"/>
      <c r="W1530" s="277"/>
      <c r="X1530" s="277"/>
      <c r="Y1530" s="277"/>
      <c r="Z1530" s="277"/>
      <c r="AA1530" s="277"/>
      <c r="AB1530" s="277"/>
      <c r="AC1530" s="277"/>
      <c r="AD1530" s="277"/>
      <c r="AE1530" s="277"/>
      <c r="AF1530" s="277"/>
      <c r="AG1530" s="277"/>
      <c r="AH1530" s="277"/>
    </row>
    <row r="1531" spans="16:34" s="185" customFormat="1">
      <c r="P1531" s="277"/>
      <c r="Q1531" s="277"/>
      <c r="R1531" s="277"/>
      <c r="S1531" s="291">
        <v>43087</v>
      </c>
      <c r="T1531" s="279">
        <v>1448</v>
      </c>
      <c r="U1531" s="277"/>
      <c r="V1531" s="277"/>
      <c r="W1531" s="277"/>
      <c r="X1531" s="277"/>
      <c r="Y1531" s="277"/>
      <c r="Z1531" s="277"/>
      <c r="AA1531" s="277"/>
      <c r="AB1531" s="277"/>
      <c r="AC1531" s="277"/>
      <c r="AD1531" s="277"/>
      <c r="AE1531" s="277"/>
      <c r="AF1531" s="277"/>
      <c r="AG1531" s="277"/>
      <c r="AH1531" s="277"/>
    </row>
    <row r="1532" spans="16:34" s="185" customFormat="1">
      <c r="P1532" s="277"/>
      <c r="Q1532" s="277"/>
      <c r="R1532" s="277"/>
      <c r="S1532" s="291">
        <v>43088</v>
      </c>
      <c r="T1532" s="279">
        <v>1449</v>
      </c>
      <c r="U1532" s="277"/>
      <c r="V1532" s="277"/>
      <c r="W1532" s="277"/>
      <c r="X1532" s="277"/>
      <c r="Y1532" s="277"/>
      <c r="Z1532" s="277"/>
      <c r="AA1532" s="277"/>
      <c r="AB1532" s="277"/>
      <c r="AC1532" s="277"/>
      <c r="AD1532" s="277"/>
      <c r="AE1532" s="277"/>
      <c r="AF1532" s="277"/>
      <c r="AG1532" s="277"/>
      <c r="AH1532" s="277"/>
    </row>
    <row r="1533" spans="16:34" s="185" customFormat="1">
      <c r="P1533" s="277"/>
      <c r="Q1533" s="277"/>
      <c r="R1533" s="277"/>
      <c r="S1533" s="291">
        <v>43089</v>
      </c>
      <c r="T1533" s="279">
        <v>1450</v>
      </c>
      <c r="U1533" s="277"/>
      <c r="V1533" s="277"/>
      <c r="W1533" s="277"/>
      <c r="X1533" s="277"/>
      <c r="Y1533" s="277"/>
      <c r="Z1533" s="277"/>
      <c r="AA1533" s="277"/>
      <c r="AB1533" s="277"/>
      <c r="AC1533" s="277"/>
      <c r="AD1533" s="277"/>
      <c r="AE1533" s="277"/>
      <c r="AF1533" s="277"/>
      <c r="AG1533" s="277"/>
      <c r="AH1533" s="277"/>
    </row>
    <row r="1534" spans="16:34" s="185" customFormat="1">
      <c r="P1534" s="277"/>
      <c r="Q1534" s="277"/>
      <c r="R1534" s="277"/>
      <c r="S1534" s="291">
        <v>43090</v>
      </c>
      <c r="T1534" s="279">
        <v>1451</v>
      </c>
      <c r="U1534" s="277"/>
      <c r="V1534" s="277"/>
      <c r="W1534" s="277"/>
      <c r="X1534" s="277"/>
      <c r="Y1534" s="277"/>
      <c r="Z1534" s="277"/>
      <c r="AA1534" s="277"/>
      <c r="AB1534" s="277"/>
      <c r="AC1534" s="277"/>
      <c r="AD1534" s="277"/>
      <c r="AE1534" s="277"/>
      <c r="AF1534" s="277"/>
      <c r="AG1534" s="277"/>
      <c r="AH1534" s="277"/>
    </row>
    <row r="1535" spans="16:34" s="185" customFormat="1">
      <c r="P1535" s="277"/>
      <c r="Q1535" s="277"/>
      <c r="R1535" s="277"/>
      <c r="S1535" s="291">
        <v>43091</v>
      </c>
      <c r="T1535" s="279">
        <v>1452</v>
      </c>
      <c r="U1535" s="277"/>
      <c r="V1535" s="277"/>
      <c r="W1535" s="277"/>
      <c r="X1535" s="277"/>
      <c r="Y1535" s="277"/>
      <c r="Z1535" s="277"/>
      <c r="AA1535" s="277"/>
      <c r="AB1535" s="277"/>
      <c r="AC1535" s="277"/>
      <c r="AD1535" s="277"/>
      <c r="AE1535" s="277"/>
      <c r="AF1535" s="277"/>
      <c r="AG1535" s="277"/>
      <c r="AH1535" s="277"/>
    </row>
    <row r="1536" spans="16:34" s="185" customFormat="1">
      <c r="P1536" s="277"/>
      <c r="Q1536" s="277"/>
      <c r="R1536" s="277"/>
      <c r="S1536" s="291">
        <v>43092</v>
      </c>
      <c r="T1536" s="279">
        <v>1453</v>
      </c>
      <c r="U1536" s="277"/>
      <c r="V1536" s="277"/>
      <c r="W1536" s="277"/>
      <c r="X1536" s="277"/>
      <c r="Y1536" s="277"/>
      <c r="Z1536" s="277"/>
      <c r="AA1536" s="277"/>
      <c r="AB1536" s="277"/>
      <c r="AC1536" s="277"/>
      <c r="AD1536" s="277"/>
      <c r="AE1536" s="277"/>
      <c r="AF1536" s="277"/>
      <c r="AG1536" s="277"/>
      <c r="AH1536" s="277"/>
    </row>
    <row r="1537" spans="16:34" s="185" customFormat="1">
      <c r="P1537" s="277"/>
      <c r="Q1537" s="277"/>
      <c r="R1537" s="277"/>
      <c r="S1537" s="291">
        <v>43093</v>
      </c>
      <c r="T1537" s="279">
        <v>1454</v>
      </c>
      <c r="U1537" s="277"/>
      <c r="V1537" s="277"/>
      <c r="W1537" s="277"/>
      <c r="X1537" s="277"/>
      <c r="Y1537" s="277"/>
      <c r="Z1537" s="277"/>
      <c r="AA1537" s="277"/>
      <c r="AB1537" s="277"/>
      <c r="AC1537" s="277"/>
      <c r="AD1537" s="277"/>
      <c r="AE1537" s="277"/>
      <c r="AF1537" s="277"/>
      <c r="AG1537" s="277"/>
      <c r="AH1537" s="277"/>
    </row>
    <row r="1538" spans="16:34" s="185" customFormat="1">
      <c r="P1538" s="277"/>
      <c r="Q1538" s="277"/>
      <c r="R1538" s="277"/>
      <c r="S1538" s="291">
        <v>43094</v>
      </c>
      <c r="T1538" s="279">
        <v>1455</v>
      </c>
      <c r="U1538" s="277"/>
      <c r="V1538" s="277"/>
      <c r="W1538" s="277"/>
      <c r="X1538" s="277"/>
      <c r="Y1538" s="277"/>
      <c r="Z1538" s="277"/>
      <c r="AA1538" s="277"/>
      <c r="AB1538" s="277"/>
      <c r="AC1538" s="277"/>
      <c r="AD1538" s="277"/>
      <c r="AE1538" s="277"/>
      <c r="AF1538" s="277"/>
      <c r="AG1538" s="277"/>
      <c r="AH1538" s="277"/>
    </row>
    <row r="1539" spans="16:34" s="185" customFormat="1">
      <c r="P1539" s="277"/>
      <c r="Q1539" s="277"/>
      <c r="R1539" s="277"/>
      <c r="S1539" s="291">
        <v>43095</v>
      </c>
      <c r="T1539" s="279">
        <v>1456</v>
      </c>
      <c r="U1539" s="277"/>
      <c r="V1539" s="277"/>
      <c r="W1539" s="277"/>
      <c r="X1539" s="277"/>
      <c r="Y1539" s="277"/>
      <c r="Z1539" s="277"/>
      <c r="AA1539" s="277"/>
      <c r="AB1539" s="277"/>
      <c r="AC1539" s="277"/>
      <c r="AD1539" s="277"/>
      <c r="AE1539" s="277"/>
      <c r="AF1539" s="277"/>
      <c r="AG1539" s="277"/>
      <c r="AH1539" s="277"/>
    </row>
    <row r="1540" spans="16:34" s="185" customFormat="1">
      <c r="P1540" s="277"/>
      <c r="Q1540" s="277"/>
      <c r="R1540" s="277"/>
      <c r="S1540" s="291">
        <v>43096</v>
      </c>
      <c r="T1540" s="279">
        <v>1457</v>
      </c>
      <c r="U1540" s="277"/>
      <c r="V1540" s="277"/>
      <c r="W1540" s="277"/>
      <c r="X1540" s="277"/>
      <c r="Y1540" s="277"/>
      <c r="Z1540" s="277"/>
      <c r="AA1540" s="277"/>
      <c r="AB1540" s="277"/>
      <c r="AC1540" s="277"/>
      <c r="AD1540" s="277"/>
      <c r="AE1540" s="277"/>
      <c r="AF1540" s="277"/>
      <c r="AG1540" s="277"/>
      <c r="AH1540" s="277"/>
    </row>
    <row r="1541" spans="16:34" s="185" customFormat="1">
      <c r="P1541" s="277"/>
      <c r="Q1541" s="277"/>
      <c r="R1541" s="277"/>
      <c r="S1541" s="291">
        <v>43097</v>
      </c>
      <c r="T1541" s="279">
        <v>1458</v>
      </c>
      <c r="U1541" s="277"/>
      <c r="V1541" s="277"/>
      <c r="W1541" s="277"/>
      <c r="X1541" s="277"/>
      <c r="Y1541" s="277"/>
      <c r="Z1541" s="277"/>
      <c r="AA1541" s="277"/>
      <c r="AB1541" s="277"/>
      <c r="AC1541" s="277"/>
      <c r="AD1541" s="277"/>
      <c r="AE1541" s="277"/>
      <c r="AF1541" s="277"/>
      <c r="AG1541" s="277"/>
      <c r="AH1541" s="277"/>
    </row>
    <row r="1542" spans="16:34" s="185" customFormat="1">
      <c r="P1542" s="277"/>
      <c r="Q1542" s="277"/>
      <c r="R1542" s="277"/>
      <c r="S1542" s="291">
        <v>43098</v>
      </c>
      <c r="T1542" s="279">
        <v>1459</v>
      </c>
      <c r="U1542" s="277"/>
      <c r="V1542" s="277"/>
      <c r="W1542" s="277"/>
      <c r="X1542" s="277"/>
      <c r="Y1542" s="277"/>
      <c r="Z1542" s="277"/>
      <c r="AA1542" s="277"/>
      <c r="AB1542" s="277"/>
      <c r="AC1542" s="277"/>
      <c r="AD1542" s="277"/>
      <c r="AE1542" s="277"/>
      <c r="AF1542" s="277"/>
      <c r="AG1542" s="277"/>
      <c r="AH1542" s="277"/>
    </row>
    <row r="1543" spans="16:34" s="185" customFormat="1">
      <c r="P1543" s="277"/>
      <c r="Q1543" s="277"/>
      <c r="R1543" s="277"/>
      <c r="S1543" s="291">
        <v>43099</v>
      </c>
      <c r="T1543" s="279">
        <v>1460</v>
      </c>
      <c r="U1543" s="277"/>
      <c r="V1543" s="277"/>
      <c r="W1543" s="277"/>
      <c r="X1543" s="277"/>
      <c r="Y1543" s="277"/>
      <c r="Z1543" s="277"/>
      <c r="AA1543" s="277"/>
      <c r="AB1543" s="277"/>
      <c r="AC1543" s="277"/>
      <c r="AD1543" s="277"/>
      <c r="AE1543" s="277"/>
      <c r="AF1543" s="277"/>
      <c r="AG1543" s="277"/>
      <c r="AH1543" s="277"/>
    </row>
    <row r="1544" spans="16:34" s="185" customFormat="1">
      <c r="P1544" s="277"/>
      <c r="Q1544" s="277"/>
      <c r="R1544" s="277"/>
      <c r="S1544" s="291">
        <v>43100</v>
      </c>
      <c r="T1544" s="279">
        <v>1461</v>
      </c>
      <c r="U1544" s="277"/>
      <c r="V1544" s="277"/>
      <c r="W1544" s="277"/>
      <c r="X1544" s="277"/>
      <c r="Y1544" s="277"/>
      <c r="Z1544" s="277"/>
      <c r="AA1544" s="277"/>
      <c r="AB1544" s="277"/>
      <c r="AC1544" s="277"/>
      <c r="AD1544" s="277"/>
      <c r="AE1544" s="277"/>
      <c r="AF1544" s="277"/>
      <c r="AG1544" s="277"/>
      <c r="AH1544" s="277"/>
    </row>
    <row r="1545" spans="16:34" s="185" customFormat="1">
      <c r="P1545" s="277"/>
      <c r="Q1545" s="277"/>
      <c r="R1545" s="277"/>
      <c r="S1545" s="291">
        <v>43101</v>
      </c>
      <c r="T1545" s="279">
        <v>1462</v>
      </c>
      <c r="U1545" s="277"/>
      <c r="V1545" s="277"/>
      <c r="W1545" s="277"/>
      <c r="X1545" s="277"/>
      <c r="Y1545" s="277"/>
      <c r="Z1545" s="277"/>
      <c r="AA1545" s="277"/>
      <c r="AB1545" s="277"/>
      <c r="AC1545" s="277"/>
      <c r="AD1545" s="277"/>
      <c r="AE1545" s="277"/>
      <c r="AF1545" s="277"/>
      <c r="AG1545" s="277"/>
      <c r="AH1545" s="277"/>
    </row>
    <row r="1546" spans="16:34" s="185" customFormat="1">
      <c r="P1546" s="277"/>
      <c r="Q1546" s="277"/>
      <c r="R1546" s="277"/>
      <c r="S1546" s="291">
        <v>43102</v>
      </c>
      <c r="T1546" s="279">
        <v>1463</v>
      </c>
      <c r="U1546" s="277"/>
      <c r="V1546" s="277"/>
      <c r="W1546" s="277"/>
      <c r="X1546" s="277"/>
      <c r="Y1546" s="277"/>
      <c r="Z1546" s="277"/>
      <c r="AA1546" s="277"/>
      <c r="AB1546" s="277"/>
      <c r="AC1546" s="277"/>
      <c r="AD1546" s="277"/>
      <c r="AE1546" s="277"/>
      <c r="AF1546" s="277"/>
      <c r="AG1546" s="277"/>
      <c r="AH1546" s="277"/>
    </row>
    <row r="1547" spans="16:34" s="185" customFormat="1">
      <c r="P1547" s="277"/>
      <c r="Q1547" s="277"/>
      <c r="R1547" s="277"/>
      <c r="S1547" s="291">
        <v>43103</v>
      </c>
      <c r="T1547" s="279">
        <v>1464</v>
      </c>
      <c r="U1547" s="277"/>
      <c r="V1547" s="277"/>
      <c r="W1547" s="277"/>
      <c r="X1547" s="277"/>
      <c r="Y1547" s="277"/>
      <c r="Z1547" s="277"/>
      <c r="AA1547" s="277"/>
      <c r="AB1547" s="277"/>
      <c r="AC1547" s="277"/>
      <c r="AD1547" s="277"/>
      <c r="AE1547" s="277"/>
      <c r="AF1547" s="277"/>
      <c r="AG1547" s="277"/>
      <c r="AH1547" s="277"/>
    </row>
    <row r="1548" spans="16:34" s="185" customFormat="1">
      <c r="P1548" s="277"/>
      <c r="Q1548" s="277"/>
      <c r="R1548" s="277"/>
      <c r="S1548" s="291">
        <v>43104</v>
      </c>
      <c r="T1548" s="279">
        <v>1465</v>
      </c>
      <c r="U1548" s="277"/>
      <c r="V1548" s="277"/>
      <c r="W1548" s="277"/>
      <c r="X1548" s="277"/>
      <c r="Y1548" s="277"/>
      <c r="Z1548" s="277"/>
      <c r="AA1548" s="277"/>
      <c r="AB1548" s="277"/>
      <c r="AC1548" s="277"/>
      <c r="AD1548" s="277"/>
      <c r="AE1548" s="277"/>
      <c r="AF1548" s="277"/>
      <c r="AG1548" s="277"/>
      <c r="AH1548" s="277"/>
    </row>
    <row r="1549" spans="16:34" s="185" customFormat="1">
      <c r="P1549" s="277"/>
      <c r="Q1549" s="277"/>
      <c r="R1549" s="277"/>
      <c r="S1549" s="291">
        <v>43105</v>
      </c>
      <c r="T1549" s="279">
        <v>1466</v>
      </c>
      <c r="U1549" s="277"/>
      <c r="V1549" s="277"/>
      <c r="W1549" s="277"/>
      <c r="X1549" s="277"/>
      <c r="Y1549" s="277"/>
      <c r="Z1549" s="277"/>
      <c r="AA1549" s="277"/>
      <c r="AB1549" s="277"/>
      <c r="AC1549" s="277"/>
      <c r="AD1549" s="277"/>
      <c r="AE1549" s="277"/>
      <c r="AF1549" s="277"/>
      <c r="AG1549" s="277"/>
      <c r="AH1549" s="277"/>
    </row>
    <row r="1550" spans="16:34" s="185" customFormat="1">
      <c r="P1550" s="277"/>
      <c r="Q1550" s="277"/>
      <c r="R1550" s="277"/>
      <c r="S1550" s="291">
        <v>43106</v>
      </c>
      <c r="T1550" s="279">
        <v>1467</v>
      </c>
      <c r="U1550" s="277"/>
      <c r="V1550" s="277"/>
      <c r="W1550" s="277"/>
      <c r="X1550" s="277"/>
      <c r="Y1550" s="277"/>
      <c r="Z1550" s="277"/>
      <c r="AA1550" s="277"/>
      <c r="AB1550" s="277"/>
      <c r="AC1550" s="277"/>
      <c r="AD1550" s="277"/>
      <c r="AE1550" s="277"/>
      <c r="AF1550" s="277"/>
      <c r="AG1550" s="277"/>
      <c r="AH1550" s="277"/>
    </row>
    <row r="1551" spans="16:34" s="185" customFormat="1">
      <c r="P1551" s="277"/>
      <c r="Q1551" s="277"/>
      <c r="R1551" s="277"/>
      <c r="S1551" s="291">
        <v>43107</v>
      </c>
      <c r="T1551" s="279">
        <v>1468</v>
      </c>
      <c r="U1551" s="277"/>
      <c r="V1551" s="277"/>
      <c r="W1551" s="277"/>
      <c r="X1551" s="277"/>
      <c r="Y1551" s="277"/>
      <c r="Z1551" s="277"/>
      <c r="AA1551" s="277"/>
      <c r="AB1551" s="277"/>
      <c r="AC1551" s="277"/>
      <c r="AD1551" s="277"/>
      <c r="AE1551" s="277"/>
      <c r="AF1551" s="277"/>
      <c r="AG1551" s="277"/>
      <c r="AH1551" s="277"/>
    </row>
    <row r="1552" spans="16:34" s="185" customFormat="1">
      <c r="P1552" s="277"/>
      <c r="Q1552" s="277"/>
      <c r="R1552" s="277"/>
      <c r="S1552" s="291">
        <v>43108</v>
      </c>
      <c r="T1552" s="279">
        <v>1469</v>
      </c>
      <c r="U1552" s="277"/>
      <c r="V1552" s="277"/>
      <c r="W1552" s="277"/>
      <c r="X1552" s="277"/>
      <c r="Y1552" s="277"/>
      <c r="Z1552" s="277"/>
      <c r="AA1552" s="277"/>
      <c r="AB1552" s="277"/>
      <c r="AC1552" s="277"/>
      <c r="AD1552" s="277"/>
      <c r="AE1552" s="277"/>
      <c r="AF1552" s="277"/>
      <c r="AG1552" s="277"/>
      <c r="AH1552" s="277"/>
    </row>
    <row r="1553" spans="16:34" s="185" customFormat="1">
      <c r="P1553" s="277"/>
      <c r="Q1553" s="277"/>
      <c r="R1553" s="277"/>
      <c r="S1553" s="291">
        <v>43109</v>
      </c>
      <c r="T1553" s="279">
        <v>1470</v>
      </c>
      <c r="U1553" s="277"/>
      <c r="V1553" s="277"/>
      <c r="W1553" s="277"/>
      <c r="X1553" s="277"/>
      <c r="Y1553" s="277"/>
      <c r="Z1553" s="277"/>
      <c r="AA1553" s="277"/>
      <c r="AB1553" s="277"/>
      <c r="AC1553" s="277"/>
      <c r="AD1553" s="277"/>
      <c r="AE1553" s="277"/>
      <c r="AF1553" s="277"/>
      <c r="AG1553" s="277"/>
      <c r="AH1553" s="277"/>
    </row>
    <row r="1554" spans="16:34" s="185" customFormat="1">
      <c r="P1554" s="277"/>
      <c r="Q1554" s="277"/>
      <c r="R1554" s="277"/>
      <c r="S1554" s="291">
        <v>43110</v>
      </c>
      <c r="T1554" s="279">
        <v>1471</v>
      </c>
      <c r="U1554" s="277"/>
      <c r="V1554" s="277"/>
      <c r="W1554" s="277"/>
      <c r="X1554" s="277"/>
      <c r="Y1554" s="277"/>
      <c r="Z1554" s="277"/>
      <c r="AA1554" s="277"/>
      <c r="AB1554" s="277"/>
      <c r="AC1554" s="277"/>
      <c r="AD1554" s="277"/>
      <c r="AE1554" s="277"/>
      <c r="AF1554" s="277"/>
      <c r="AG1554" s="277"/>
      <c r="AH1554" s="277"/>
    </row>
    <row r="1555" spans="16:34" s="185" customFormat="1">
      <c r="P1555" s="277"/>
      <c r="Q1555" s="277"/>
      <c r="R1555" s="277"/>
      <c r="S1555" s="291">
        <v>43111</v>
      </c>
      <c r="T1555" s="279">
        <v>1472</v>
      </c>
      <c r="U1555" s="277"/>
      <c r="V1555" s="277"/>
      <c r="W1555" s="277"/>
      <c r="X1555" s="277"/>
      <c r="Y1555" s="277"/>
      <c r="Z1555" s="277"/>
      <c r="AA1555" s="277"/>
      <c r="AB1555" s="277"/>
      <c r="AC1555" s="277"/>
      <c r="AD1555" s="277"/>
      <c r="AE1555" s="277"/>
      <c r="AF1555" s="277"/>
      <c r="AG1555" s="277"/>
      <c r="AH1555" s="277"/>
    </row>
    <row r="1556" spans="16:34" s="185" customFormat="1">
      <c r="P1556" s="277"/>
      <c r="Q1556" s="277"/>
      <c r="R1556" s="277"/>
      <c r="S1556" s="291">
        <v>43112</v>
      </c>
      <c r="T1556" s="279">
        <v>1473</v>
      </c>
      <c r="U1556" s="277"/>
      <c r="V1556" s="277"/>
      <c r="W1556" s="277"/>
      <c r="X1556" s="277"/>
      <c r="Y1556" s="277"/>
      <c r="Z1556" s="277"/>
      <c r="AA1556" s="277"/>
      <c r="AB1556" s="277"/>
      <c r="AC1556" s="277"/>
      <c r="AD1556" s="277"/>
      <c r="AE1556" s="277"/>
      <c r="AF1556" s="277"/>
      <c r="AG1556" s="277"/>
      <c r="AH1556" s="277"/>
    </row>
    <row r="1557" spans="16:34" s="185" customFormat="1">
      <c r="P1557" s="277"/>
      <c r="Q1557" s="277"/>
      <c r="R1557" s="277"/>
      <c r="S1557" s="291">
        <v>43113</v>
      </c>
      <c r="T1557" s="279">
        <v>1474</v>
      </c>
      <c r="U1557" s="277"/>
      <c r="V1557" s="277"/>
      <c r="W1557" s="277"/>
      <c r="X1557" s="277"/>
      <c r="Y1557" s="277"/>
      <c r="Z1557" s="277"/>
      <c r="AA1557" s="277"/>
      <c r="AB1557" s="277"/>
      <c r="AC1557" s="277"/>
      <c r="AD1557" s="277"/>
      <c r="AE1557" s="277"/>
      <c r="AF1557" s="277"/>
      <c r="AG1557" s="277"/>
      <c r="AH1557" s="277"/>
    </row>
    <row r="1558" spans="16:34" s="185" customFormat="1">
      <c r="P1558" s="277"/>
      <c r="Q1558" s="277"/>
      <c r="R1558" s="277"/>
      <c r="S1558" s="291">
        <v>43114</v>
      </c>
      <c r="T1558" s="279">
        <v>1475</v>
      </c>
      <c r="U1558" s="277"/>
      <c r="V1558" s="277"/>
      <c r="W1558" s="277"/>
      <c r="X1558" s="277"/>
      <c r="Y1558" s="277"/>
      <c r="Z1558" s="277"/>
      <c r="AA1558" s="277"/>
      <c r="AB1558" s="277"/>
      <c r="AC1558" s="277"/>
      <c r="AD1558" s="277"/>
      <c r="AE1558" s="277"/>
      <c r="AF1558" s="277"/>
      <c r="AG1558" s="277"/>
      <c r="AH1558" s="277"/>
    </row>
    <row r="1559" spans="16:34" s="185" customFormat="1">
      <c r="P1559" s="277"/>
      <c r="Q1559" s="277"/>
      <c r="R1559" s="277"/>
      <c r="S1559" s="291">
        <v>43115</v>
      </c>
      <c r="T1559" s="279">
        <v>1476</v>
      </c>
      <c r="U1559" s="277"/>
      <c r="V1559" s="277"/>
      <c r="W1559" s="277"/>
      <c r="X1559" s="277"/>
      <c r="Y1559" s="277"/>
      <c r="Z1559" s="277"/>
      <c r="AA1559" s="277"/>
      <c r="AB1559" s="277"/>
      <c r="AC1559" s="277"/>
      <c r="AD1559" s="277"/>
      <c r="AE1559" s="277"/>
      <c r="AF1559" s="277"/>
      <c r="AG1559" s="277"/>
      <c r="AH1559" s="277"/>
    </row>
    <row r="1560" spans="16:34" s="185" customFormat="1">
      <c r="P1560" s="277"/>
      <c r="Q1560" s="277"/>
      <c r="R1560" s="277"/>
      <c r="S1560" s="291">
        <v>43116</v>
      </c>
      <c r="T1560" s="279">
        <v>1477</v>
      </c>
      <c r="U1560" s="277"/>
      <c r="V1560" s="277"/>
      <c r="W1560" s="277"/>
      <c r="X1560" s="277"/>
      <c r="Y1560" s="277"/>
      <c r="Z1560" s="277"/>
      <c r="AA1560" s="277"/>
      <c r="AB1560" s="277"/>
      <c r="AC1560" s="277"/>
      <c r="AD1560" s="277"/>
      <c r="AE1560" s="277"/>
      <c r="AF1560" s="277"/>
      <c r="AG1560" s="277"/>
      <c r="AH1560" s="277"/>
    </row>
    <row r="1561" spans="16:34" s="185" customFormat="1">
      <c r="P1561" s="277"/>
      <c r="Q1561" s="277"/>
      <c r="R1561" s="277"/>
      <c r="S1561" s="291">
        <v>43117</v>
      </c>
      <c r="T1561" s="279">
        <v>1478</v>
      </c>
      <c r="U1561" s="277"/>
      <c r="V1561" s="277"/>
      <c r="W1561" s="277"/>
      <c r="X1561" s="277"/>
      <c r="Y1561" s="277"/>
      <c r="Z1561" s="277"/>
      <c r="AA1561" s="277"/>
      <c r="AB1561" s="277"/>
      <c r="AC1561" s="277"/>
      <c r="AD1561" s="277"/>
      <c r="AE1561" s="277"/>
      <c r="AF1561" s="277"/>
      <c r="AG1561" s="277"/>
      <c r="AH1561" s="277"/>
    </row>
    <row r="1562" spans="16:34" s="185" customFormat="1">
      <c r="P1562" s="277"/>
      <c r="Q1562" s="277"/>
      <c r="R1562" s="277"/>
      <c r="S1562" s="291">
        <v>43118</v>
      </c>
      <c r="T1562" s="279">
        <v>1479</v>
      </c>
      <c r="U1562" s="277"/>
      <c r="V1562" s="277"/>
      <c r="W1562" s="277"/>
      <c r="X1562" s="277"/>
      <c r="Y1562" s="277"/>
      <c r="Z1562" s="277"/>
      <c r="AA1562" s="277"/>
      <c r="AB1562" s="277"/>
      <c r="AC1562" s="277"/>
      <c r="AD1562" s="277"/>
      <c r="AE1562" s="277"/>
      <c r="AF1562" s="277"/>
      <c r="AG1562" s="277"/>
      <c r="AH1562" s="277"/>
    </row>
    <row r="1563" spans="16:34" s="185" customFormat="1">
      <c r="P1563" s="277"/>
      <c r="Q1563" s="277"/>
      <c r="R1563" s="277"/>
      <c r="S1563" s="291">
        <v>43119</v>
      </c>
      <c r="T1563" s="279">
        <v>1480</v>
      </c>
      <c r="U1563" s="277"/>
      <c r="V1563" s="277"/>
      <c r="W1563" s="277"/>
      <c r="X1563" s="277"/>
      <c r="Y1563" s="277"/>
      <c r="Z1563" s="277"/>
      <c r="AA1563" s="277"/>
      <c r="AB1563" s="277"/>
      <c r="AC1563" s="277"/>
      <c r="AD1563" s="277"/>
      <c r="AE1563" s="277"/>
      <c r="AF1563" s="277"/>
      <c r="AG1563" s="277"/>
      <c r="AH1563" s="277"/>
    </row>
    <row r="1564" spans="16:34" s="185" customFormat="1">
      <c r="P1564" s="277"/>
      <c r="Q1564" s="277"/>
      <c r="R1564" s="277"/>
      <c r="S1564" s="291">
        <v>43120</v>
      </c>
      <c r="T1564" s="279">
        <v>1481</v>
      </c>
      <c r="U1564" s="277"/>
      <c r="V1564" s="277"/>
      <c r="W1564" s="277"/>
      <c r="X1564" s="277"/>
      <c r="Y1564" s="277"/>
      <c r="Z1564" s="277"/>
      <c r="AA1564" s="277"/>
      <c r="AB1564" s="277"/>
      <c r="AC1564" s="277"/>
      <c r="AD1564" s="277"/>
      <c r="AE1564" s="277"/>
      <c r="AF1564" s="277"/>
      <c r="AG1564" s="277"/>
      <c r="AH1564" s="277"/>
    </row>
    <row r="1565" spans="16:34" s="185" customFormat="1">
      <c r="P1565" s="277"/>
      <c r="Q1565" s="277"/>
      <c r="R1565" s="277"/>
      <c r="S1565" s="291">
        <v>43121</v>
      </c>
      <c r="T1565" s="279">
        <v>1482</v>
      </c>
      <c r="U1565" s="277"/>
      <c r="V1565" s="277"/>
      <c r="W1565" s="277"/>
      <c r="X1565" s="277"/>
      <c r="Y1565" s="277"/>
      <c r="Z1565" s="277"/>
      <c r="AA1565" s="277"/>
      <c r="AB1565" s="277"/>
      <c r="AC1565" s="277"/>
      <c r="AD1565" s="277"/>
      <c r="AE1565" s="277"/>
      <c r="AF1565" s="277"/>
      <c r="AG1565" s="277"/>
      <c r="AH1565" s="277"/>
    </row>
    <row r="1566" spans="16:34" s="185" customFormat="1">
      <c r="P1566" s="277"/>
      <c r="Q1566" s="277"/>
      <c r="R1566" s="277"/>
      <c r="S1566" s="291">
        <v>43122</v>
      </c>
      <c r="T1566" s="279">
        <v>1483</v>
      </c>
      <c r="U1566" s="277"/>
      <c r="V1566" s="277"/>
      <c r="W1566" s="277"/>
      <c r="X1566" s="277"/>
      <c r="Y1566" s="277"/>
      <c r="Z1566" s="277"/>
      <c r="AA1566" s="277"/>
      <c r="AB1566" s="277"/>
      <c r="AC1566" s="277"/>
      <c r="AD1566" s="277"/>
      <c r="AE1566" s="277"/>
      <c r="AF1566" s="277"/>
      <c r="AG1566" s="277"/>
      <c r="AH1566" s="277"/>
    </row>
    <row r="1567" spans="16:34" s="185" customFormat="1">
      <c r="P1567" s="277"/>
      <c r="Q1567" s="277"/>
      <c r="R1567" s="277"/>
      <c r="S1567" s="291">
        <v>43123</v>
      </c>
      <c r="T1567" s="279">
        <v>1484</v>
      </c>
      <c r="U1567" s="277"/>
      <c r="V1567" s="277"/>
      <c r="W1567" s="277"/>
      <c r="X1567" s="277"/>
      <c r="Y1567" s="277"/>
      <c r="Z1567" s="277"/>
      <c r="AA1567" s="277"/>
      <c r="AB1567" s="277"/>
      <c r="AC1567" s="277"/>
      <c r="AD1567" s="277"/>
      <c r="AE1567" s="277"/>
      <c r="AF1567" s="277"/>
      <c r="AG1567" s="277"/>
      <c r="AH1567" s="277"/>
    </row>
    <row r="1568" spans="16:34" s="185" customFormat="1">
      <c r="P1568" s="277"/>
      <c r="Q1568" s="277"/>
      <c r="R1568" s="277"/>
      <c r="S1568" s="291">
        <v>43124</v>
      </c>
      <c r="T1568" s="279">
        <v>1485</v>
      </c>
      <c r="U1568" s="277"/>
      <c r="V1568" s="277"/>
      <c r="W1568" s="277"/>
      <c r="X1568" s="277"/>
      <c r="Y1568" s="277"/>
      <c r="Z1568" s="277"/>
      <c r="AA1568" s="277"/>
      <c r="AB1568" s="277"/>
      <c r="AC1568" s="277"/>
      <c r="AD1568" s="277"/>
      <c r="AE1568" s="277"/>
      <c r="AF1568" s="277"/>
      <c r="AG1568" s="277"/>
      <c r="AH1568" s="277"/>
    </row>
    <row r="1569" spans="16:34" s="185" customFormat="1">
      <c r="P1569" s="277"/>
      <c r="Q1569" s="277"/>
      <c r="R1569" s="277"/>
      <c r="S1569" s="291">
        <v>43125</v>
      </c>
      <c r="T1569" s="279">
        <v>1486</v>
      </c>
      <c r="U1569" s="277"/>
      <c r="V1569" s="277"/>
      <c r="W1569" s="277"/>
      <c r="X1569" s="277"/>
      <c r="Y1569" s="277"/>
      <c r="Z1569" s="277"/>
      <c r="AA1569" s="277"/>
      <c r="AB1569" s="277"/>
      <c r="AC1569" s="277"/>
      <c r="AD1569" s="277"/>
      <c r="AE1569" s="277"/>
      <c r="AF1569" s="277"/>
      <c r="AG1569" s="277"/>
      <c r="AH1569" s="277"/>
    </row>
    <row r="1570" spans="16:34" s="185" customFormat="1">
      <c r="P1570" s="277"/>
      <c r="Q1570" s="277"/>
      <c r="R1570" s="277"/>
      <c r="S1570" s="291">
        <v>43126</v>
      </c>
      <c r="T1570" s="279">
        <v>1487</v>
      </c>
      <c r="U1570" s="277"/>
      <c r="V1570" s="277"/>
      <c r="W1570" s="277"/>
      <c r="X1570" s="277"/>
      <c r="Y1570" s="277"/>
      <c r="Z1570" s="277"/>
      <c r="AA1570" s="277"/>
      <c r="AB1570" s="277"/>
      <c r="AC1570" s="277"/>
      <c r="AD1570" s="277"/>
      <c r="AE1570" s="277"/>
      <c r="AF1570" s="277"/>
      <c r="AG1570" s="277"/>
      <c r="AH1570" s="277"/>
    </row>
    <row r="1571" spans="16:34" s="185" customFormat="1">
      <c r="P1571" s="277"/>
      <c r="Q1571" s="277"/>
      <c r="R1571" s="277"/>
      <c r="S1571" s="291">
        <v>43127</v>
      </c>
      <c r="T1571" s="279">
        <v>1488</v>
      </c>
      <c r="U1571" s="277"/>
      <c r="V1571" s="277"/>
      <c r="W1571" s="277"/>
      <c r="X1571" s="277"/>
      <c r="Y1571" s="277"/>
      <c r="Z1571" s="277"/>
      <c r="AA1571" s="277"/>
      <c r="AB1571" s="277"/>
      <c r="AC1571" s="277"/>
      <c r="AD1571" s="277"/>
      <c r="AE1571" s="277"/>
      <c r="AF1571" s="277"/>
      <c r="AG1571" s="277"/>
      <c r="AH1571" s="277"/>
    </row>
    <row r="1572" spans="16:34" s="185" customFormat="1">
      <c r="P1572" s="277"/>
      <c r="Q1572" s="277"/>
      <c r="R1572" s="277"/>
      <c r="S1572" s="291">
        <v>43128</v>
      </c>
      <c r="T1572" s="279">
        <v>1489</v>
      </c>
      <c r="U1572" s="277"/>
      <c r="V1572" s="277"/>
      <c r="W1572" s="277"/>
      <c r="X1572" s="277"/>
      <c r="Y1572" s="277"/>
      <c r="Z1572" s="277"/>
      <c r="AA1572" s="277"/>
      <c r="AB1572" s="277"/>
      <c r="AC1572" s="277"/>
      <c r="AD1572" s="277"/>
      <c r="AE1572" s="277"/>
      <c r="AF1572" s="277"/>
      <c r="AG1572" s="277"/>
      <c r="AH1572" s="277"/>
    </row>
    <row r="1573" spans="16:34" s="185" customFormat="1">
      <c r="P1573" s="277"/>
      <c r="Q1573" s="277"/>
      <c r="R1573" s="277"/>
      <c r="S1573" s="291">
        <v>43129</v>
      </c>
      <c r="T1573" s="279">
        <v>1490</v>
      </c>
      <c r="U1573" s="277"/>
      <c r="V1573" s="277"/>
      <c r="W1573" s="277"/>
      <c r="X1573" s="277"/>
      <c r="Y1573" s="277"/>
      <c r="Z1573" s="277"/>
      <c r="AA1573" s="277"/>
      <c r="AB1573" s="277"/>
      <c r="AC1573" s="277"/>
      <c r="AD1573" s="277"/>
      <c r="AE1573" s="277"/>
      <c r="AF1573" s="277"/>
      <c r="AG1573" s="277"/>
      <c r="AH1573" s="277"/>
    </row>
    <row r="1574" spans="16:34" s="185" customFormat="1">
      <c r="P1574" s="277"/>
      <c r="Q1574" s="277"/>
      <c r="R1574" s="277"/>
      <c r="S1574" s="291">
        <v>43130</v>
      </c>
      <c r="T1574" s="279">
        <v>1491</v>
      </c>
      <c r="U1574" s="277"/>
      <c r="V1574" s="277"/>
      <c r="W1574" s="277"/>
      <c r="X1574" s="277"/>
      <c r="Y1574" s="277"/>
      <c r="Z1574" s="277"/>
      <c r="AA1574" s="277"/>
      <c r="AB1574" s="277"/>
      <c r="AC1574" s="277"/>
      <c r="AD1574" s="277"/>
      <c r="AE1574" s="277"/>
      <c r="AF1574" s="277"/>
      <c r="AG1574" s="277"/>
      <c r="AH1574" s="277"/>
    </row>
    <row r="1575" spans="16:34" s="185" customFormat="1">
      <c r="P1575" s="277"/>
      <c r="Q1575" s="277"/>
      <c r="R1575" s="277"/>
      <c r="S1575" s="291">
        <v>43131</v>
      </c>
      <c r="T1575" s="279">
        <v>1492</v>
      </c>
      <c r="U1575" s="277"/>
      <c r="V1575" s="277"/>
      <c r="W1575" s="277"/>
      <c r="X1575" s="277"/>
      <c r="Y1575" s="277"/>
      <c r="Z1575" s="277"/>
      <c r="AA1575" s="277"/>
      <c r="AB1575" s="277"/>
      <c r="AC1575" s="277"/>
      <c r="AD1575" s="277"/>
      <c r="AE1575" s="277"/>
      <c r="AF1575" s="277"/>
      <c r="AG1575" s="277"/>
      <c r="AH1575" s="277"/>
    </row>
    <row r="1576" spans="16:34" s="185" customFormat="1">
      <c r="P1576" s="277"/>
      <c r="Q1576" s="277"/>
      <c r="R1576" s="277"/>
      <c r="S1576" s="291">
        <v>43132</v>
      </c>
      <c r="T1576" s="279">
        <v>1493</v>
      </c>
      <c r="U1576" s="277"/>
      <c r="V1576" s="277"/>
      <c r="W1576" s="277"/>
      <c r="X1576" s="277"/>
      <c r="Y1576" s="277"/>
      <c r="Z1576" s="277"/>
      <c r="AA1576" s="277"/>
      <c r="AB1576" s="277"/>
      <c r="AC1576" s="277"/>
      <c r="AD1576" s="277"/>
      <c r="AE1576" s="277"/>
      <c r="AF1576" s="277"/>
      <c r="AG1576" s="277"/>
      <c r="AH1576" s="277"/>
    </row>
    <row r="1577" spans="16:34" s="185" customFormat="1">
      <c r="P1577" s="277"/>
      <c r="Q1577" s="277"/>
      <c r="R1577" s="277"/>
      <c r="S1577" s="291">
        <v>43133</v>
      </c>
      <c r="T1577" s="279">
        <v>1494</v>
      </c>
      <c r="U1577" s="277"/>
      <c r="V1577" s="277"/>
      <c r="W1577" s="277"/>
      <c r="X1577" s="277"/>
      <c r="Y1577" s="277"/>
      <c r="Z1577" s="277"/>
      <c r="AA1577" s="277"/>
      <c r="AB1577" s="277"/>
      <c r="AC1577" s="277"/>
      <c r="AD1577" s="277"/>
      <c r="AE1577" s="277"/>
      <c r="AF1577" s="277"/>
      <c r="AG1577" s="277"/>
      <c r="AH1577" s="277"/>
    </row>
    <row r="1578" spans="16:34" s="185" customFormat="1">
      <c r="P1578" s="277"/>
      <c r="Q1578" s="277"/>
      <c r="R1578" s="277"/>
      <c r="S1578" s="291">
        <v>43134</v>
      </c>
      <c r="T1578" s="279">
        <v>1495</v>
      </c>
      <c r="U1578" s="277"/>
      <c r="V1578" s="277"/>
      <c r="W1578" s="277"/>
      <c r="X1578" s="277"/>
      <c r="Y1578" s="277"/>
      <c r="Z1578" s="277"/>
      <c r="AA1578" s="277"/>
      <c r="AB1578" s="277"/>
      <c r="AC1578" s="277"/>
      <c r="AD1578" s="277"/>
      <c r="AE1578" s="277"/>
      <c r="AF1578" s="277"/>
      <c r="AG1578" s="277"/>
      <c r="AH1578" s="277"/>
    </row>
    <row r="1579" spans="16:34" s="185" customFormat="1">
      <c r="P1579" s="277"/>
      <c r="Q1579" s="277"/>
      <c r="R1579" s="277"/>
      <c r="S1579" s="291">
        <v>43135</v>
      </c>
      <c r="T1579" s="279">
        <v>1496</v>
      </c>
      <c r="U1579" s="277"/>
      <c r="V1579" s="277"/>
      <c r="W1579" s="277"/>
      <c r="X1579" s="277"/>
      <c r="Y1579" s="277"/>
      <c r="Z1579" s="277"/>
      <c r="AA1579" s="277"/>
      <c r="AB1579" s="277"/>
      <c r="AC1579" s="277"/>
      <c r="AD1579" s="277"/>
      <c r="AE1579" s="277"/>
      <c r="AF1579" s="277"/>
      <c r="AG1579" s="277"/>
      <c r="AH1579" s="277"/>
    </row>
    <row r="1580" spans="16:34" s="185" customFormat="1">
      <c r="P1580" s="277"/>
      <c r="Q1580" s="277"/>
      <c r="R1580" s="277"/>
      <c r="S1580" s="291">
        <v>43136</v>
      </c>
      <c r="T1580" s="279">
        <v>1497</v>
      </c>
      <c r="U1580" s="277"/>
      <c r="V1580" s="277"/>
      <c r="W1580" s="277"/>
      <c r="X1580" s="277"/>
      <c r="Y1580" s="277"/>
      <c r="Z1580" s="277"/>
      <c r="AA1580" s="277"/>
      <c r="AB1580" s="277"/>
      <c r="AC1580" s="277"/>
      <c r="AD1580" s="277"/>
      <c r="AE1580" s="277"/>
      <c r="AF1580" s="277"/>
      <c r="AG1580" s="277"/>
      <c r="AH1580" s="277"/>
    </row>
    <row r="1581" spans="16:34" s="185" customFormat="1">
      <c r="P1581" s="277"/>
      <c r="Q1581" s="277"/>
      <c r="R1581" s="277"/>
      <c r="S1581" s="291">
        <v>43137</v>
      </c>
      <c r="T1581" s="279">
        <v>1498</v>
      </c>
      <c r="U1581" s="277"/>
      <c r="V1581" s="277"/>
      <c r="W1581" s="277"/>
      <c r="X1581" s="277"/>
      <c r="Y1581" s="277"/>
      <c r="Z1581" s="277"/>
      <c r="AA1581" s="277"/>
      <c r="AB1581" s="277"/>
      <c r="AC1581" s="277"/>
      <c r="AD1581" s="277"/>
      <c r="AE1581" s="277"/>
      <c r="AF1581" s="277"/>
      <c r="AG1581" s="277"/>
      <c r="AH1581" s="277"/>
    </row>
    <row r="1582" spans="16:34" s="185" customFormat="1">
      <c r="P1582" s="277"/>
      <c r="Q1582" s="277"/>
      <c r="R1582" s="277"/>
      <c r="S1582" s="291">
        <v>43138</v>
      </c>
      <c r="T1582" s="279">
        <v>1499</v>
      </c>
      <c r="U1582" s="277"/>
      <c r="V1582" s="277"/>
      <c r="W1582" s="277"/>
      <c r="X1582" s="277"/>
      <c r="Y1582" s="277"/>
      <c r="Z1582" s="277"/>
      <c r="AA1582" s="277"/>
      <c r="AB1582" s="277"/>
      <c r="AC1582" s="277"/>
      <c r="AD1582" s="277"/>
      <c r="AE1582" s="277"/>
      <c r="AF1582" s="277"/>
      <c r="AG1582" s="277"/>
      <c r="AH1582" s="277"/>
    </row>
    <row r="1583" spans="16:34" s="185" customFormat="1">
      <c r="P1583" s="277"/>
      <c r="Q1583" s="277"/>
      <c r="R1583" s="277"/>
      <c r="S1583" s="291">
        <v>43139</v>
      </c>
      <c r="T1583" s="279">
        <v>1500</v>
      </c>
      <c r="U1583" s="277"/>
      <c r="V1583" s="277"/>
      <c r="W1583" s="277"/>
      <c r="X1583" s="277"/>
      <c r="Y1583" s="277"/>
      <c r="Z1583" s="277"/>
      <c r="AA1583" s="277"/>
      <c r="AB1583" s="277"/>
      <c r="AC1583" s="277"/>
      <c r="AD1583" s="277"/>
      <c r="AE1583" s="277"/>
      <c r="AF1583" s="277"/>
      <c r="AG1583" s="277"/>
      <c r="AH1583" s="277"/>
    </row>
    <row r="1584" spans="16:34" s="185" customFormat="1">
      <c r="P1584" s="277"/>
      <c r="Q1584" s="277"/>
      <c r="R1584" s="277"/>
      <c r="S1584" s="291">
        <v>43140</v>
      </c>
      <c r="T1584" s="279">
        <v>1501</v>
      </c>
      <c r="U1584" s="277"/>
      <c r="V1584" s="277"/>
      <c r="W1584" s="277"/>
      <c r="X1584" s="277"/>
      <c r="Y1584" s="277"/>
      <c r="Z1584" s="277"/>
      <c r="AA1584" s="277"/>
      <c r="AB1584" s="277"/>
      <c r="AC1584" s="277"/>
      <c r="AD1584" s="277"/>
      <c r="AE1584" s="277"/>
      <c r="AF1584" s="277"/>
      <c r="AG1584" s="277"/>
      <c r="AH1584" s="277"/>
    </row>
    <row r="1585" spans="16:34" s="185" customFormat="1">
      <c r="P1585" s="277"/>
      <c r="Q1585" s="277"/>
      <c r="R1585" s="277"/>
      <c r="S1585" s="291">
        <v>43141</v>
      </c>
      <c r="T1585" s="279">
        <v>1502</v>
      </c>
      <c r="U1585" s="277"/>
      <c r="V1585" s="277"/>
      <c r="W1585" s="277"/>
      <c r="X1585" s="277"/>
      <c r="Y1585" s="277"/>
      <c r="Z1585" s="277"/>
      <c r="AA1585" s="277"/>
      <c r="AB1585" s="277"/>
      <c r="AC1585" s="277"/>
      <c r="AD1585" s="277"/>
      <c r="AE1585" s="277"/>
      <c r="AF1585" s="277"/>
      <c r="AG1585" s="277"/>
      <c r="AH1585" s="277"/>
    </row>
    <row r="1586" spans="16:34" s="185" customFormat="1">
      <c r="P1586" s="277"/>
      <c r="Q1586" s="277"/>
      <c r="R1586" s="277"/>
      <c r="S1586" s="291">
        <v>43142</v>
      </c>
      <c r="T1586" s="279">
        <v>1503</v>
      </c>
      <c r="U1586" s="277"/>
      <c r="V1586" s="277"/>
      <c r="W1586" s="277"/>
      <c r="X1586" s="277"/>
      <c r="Y1586" s="277"/>
      <c r="Z1586" s="277"/>
      <c r="AA1586" s="277"/>
      <c r="AB1586" s="277"/>
      <c r="AC1586" s="277"/>
      <c r="AD1586" s="277"/>
      <c r="AE1586" s="277"/>
      <c r="AF1586" s="277"/>
      <c r="AG1586" s="277"/>
      <c r="AH1586" s="277"/>
    </row>
    <row r="1587" spans="16:34" s="185" customFormat="1">
      <c r="P1587" s="277"/>
      <c r="Q1587" s="277"/>
      <c r="R1587" s="277"/>
      <c r="S1587" s="291">
        <v>43143</v>
      </c>
      <c r="T1587" s="279">
        <v>1504</v>
      </c>
      <c r="U1587" s="277"/>
      <c r="V1587" s="277"/>
      <c r="W1587" s="277"/>
      <c r="X1587" s="277"/>
      <c r="Y1587" s="277"/>
      <c r="Z1587" s="277"/>
      <c r="AA1587" s="277"/>
      <c r="AB1587" s="277"/>
      <c r="AC1587" s="277"/>
      <c r="AD1587" s="277"/>
      <c r="AE1587" s="277"/>
      <c r="AF1587" s="277"/>
      <c r="AG1587" s="277"/>
      <c r="AH1587" s="277"/>
    </row>
    <row r="1588" spans="16:34" s="185" customFormat="1">
      <c r="P1588" s="277"/>
      <c r="Q1588" s="277"/>
      <c r="R1588" s="277"/>
      <c r="S1588" s="291">
        <v>43144</v>
      </c>
      <c r="T1588" s="279">
        <v>1505</v>
      </c>
      <c r="U1588" s="277"/>
      <c r="V1588" s="277"/>
      <c r="W1588" s="277"/>
      <c r="X1588" s="277"/>
      <c r="Y1588" s="277"/>
      <c r="Z1588" s="277"/>
      <c r="AA1588" s="277"/>
      <c r="AB1588" s="277"/>
      <c r="AC1588" s="277"/>
      <c r="AD1588" s="277"/>
      <c r="AE1588" s="277"/>
      <c r="AF1588" s="277"/>
      <c r="AG1588" s="277"/>
      <c r="AH1588" s="277"/>
    </row>
    <row r="1589" spans="16:34" s="185" customFormat="1">
      <c r="P1589" s="277"/>
      <c r="Q1589" s="277"/>
      <c r="R1589" s="277"/>
      <c r="S1589" s="291">
        <v>43145</v>
      </c>
      <c r="T1589" s="279">
        <v>1506</v>
      </c>
      <c r="U1589" s="277"/>
      <c r="V1589" s="277"/>
      <c r="W1589" s="277"/>
      <c r="X1589" s="277"/>
      <c r="Y1589" s="277"/>
      <c r="Z1589" s="277"/>
      <c r="AA1589" s="277"/>
      <c r="AB1589" s="277"/>
      <c r="AC1589" s="277"/>
      <c r="AD1589" s="277"/>
      <c r="AE1589" s="277"/>
      <c r="AF1589" s="277"/>
      <c r="AG1589" s="277"/>
      <c r="AH1589" s="277"/>
    </row>
    <row r="1590" spans="16:34" s="185" customFormat="1">
      <c r="P1590" s="277"/>
      <c r="Q1590" s="277"/>
      <c r="R1590" s="277"/>
      <c r="S1590" s="291">
        <v>43146</v>
      </c>
      <c r="T1590" s="279">
        <v>1507</v>
      </c>
      <c r="U1590" s="277"/>
      <c r="V1590" s="277"/>
      <c r="W1590" s="277"/>
      <c r="X1590" s="277"/>
      <c r="Y1590" s="277"/>
      <c r="Z1590" s="277"/>
      <c r="AA1590" s="277"/>
      <c r="AB1590" s="277"/>
      <c r="AC1590" s="277"/>
      <c r="AD1590" s="277"/>
      <c r="AE1590" s="277"/>
      <c r="AF1590" s="277"/>
      <c r="AG1590" s="277"/>
      <c r="AH1590" s="277"/>
    </row>
    <row r="1591" spans="16:34" s="185" customFormat="1">
      <c r="P1591" s="277"/>
      <c r="Q1591" s="277"/>
      <c r="R1591" s="277"/>
      <c r="S1591" s="291">
        <v>43147</v>
      </c>
      <c r="T1591" s="279">
        <v>1508</v>
      </c>
      <c r="U1591" s="277"/>
      <c r="V1591" s="277"/>
      <c r="W1591" s="277"/>
      <c r="X1591" s="277"/>
      <c r="Y1591" s="277"/>
      <c r="Z1591" s="277"/>
      <c r="AA1591" s="277"/>
      <c r="AB1591" s="277"/>
      <c r="AC1591" s="277"/>
      <c r="AD1591" s="277"/>
      <c r="AE1591" s="277"/>
      <c r="AF1591" s="277"/>
      <c r="AG1591" s="277"/>
      <c r="AH1591" s="277"/>
    </row>
    <row r="1592" spans="16:34" s="185" customFormat="1">
      <c r="P1592" s="277"/>
      <c r="Q1592" s="277"/>
      <c r="R1592" s="277"/>
      <c r="S1592" s="291">
        <v>43148</v>
      </c>
      <c r="T1592" s="279">
        <v>1509</v>
      </c>
      <c r="U1592" s="277"/>
      <c r="V1592" s="277"/>
      <c r="W1592" s="277"/>
      <c r="X1592" s="277"/>
      <c r="Y1592" s="277"/>
      <c r="Z1592" s="277"/>
      <c r="AA1592" s="277"/>
      <c r="AB1592" s="277"/>
      <c r="AC1592" s="277"/>
      <c r="AD1592" s="277"/>
      <c r="AE1592" s="277"/>
      <c r="AF1592" s="277"/>
      <c r="AG1592" s="277"/>
      <c r="AH1592" s="277"/>
    </row>
    <row r="1593" spans="16:34" s="185" customFormat="1">
      <c r="P1593" s="277"/>
      <c r="Q1593" s="277"/>
      <c r="R1593" s="277"/>
      <c r="S1593" s="291">
        <v>43149</v>
      </c>
      <c r="T1593" s="279">
        <v>1510</v>
      </c>
      <c r="U1593" s="277"/>
      <c r="V1593" s="277"/>
      <c r="W1593" s="277"/>
      <c r="X1593" s="277"/>
      <c r="Y1593" s="277"/>
      <c r="Z1593" s="277"/>
      <c r="AA1593" s="277"/>
      <c r="AB1593" s="277"/>
      <c r="AC1593" s="277"/>
      <c r="AD1593" s="277"/>
      <c r="AE1593" s="277"/>
      <c r="AF1593" s="277"/>
      <c r="AG1593" s="277"/>
      <c r="AH1593" s="277"/>
    </row>
    <row r="1594" spans="16:34" s="185" customFormat="1">
      <c r="P1594" s="277"/>
      <c r="Q1594" s="277"/>
      <c r="R1594" s="277"/>
      <c r="S1594" s="291">
        <v>43150</v>
      </c>
      <c r="T1594" s="279">
        <v>1511</v>
      </c>
      <c r="U1594" s="277"/>
      <c r="V1594" s="277"/>
      <c r="W1594" s="277"/>
      <c r="X1594" s="277"/>
      <c r="Y1594" s="277"/>
      <c r="Z1594" s="277"/>
      <c r="AA1594" s="277"/>
      <c r="AB1594" s="277"/>
      <c r="AC1594" s="277"/>
      <c r="AD1594" s="277"/>
      <c r="AE1594" s="277"/>
      <c r="AF1594" s="277"/>
      <c r="AG1594" s="277"/>
      <c r="AH1594" s="277"/>
    </row>
    <row r="1595" spans="16:34" s="185" customFormat="1">
      <c r="P1595" s="277"/>
      <c r="Q1595" s="277"/>
      <c r="R1595" s="277"/>
      <c r="S1595" s="291">
        <v>43151</v>
      </c>
      <c r="T1595" s="279">
        <v>1512</v>
      </c>
      <c r="U1595" s="277"/>
      <c r="V1595" s="277"/>
      <c r="W1595" s="277"/>
      <c r="X1595" s="277"/>
      <c r="Y1595" s="277"/>
      <c r="Z1595" s="277"/>
      <c r="AA1595" s="277"/>
      <c r="AB1595" s="277"/>
      <c r="AC1595" s="277"/>
      <c r="AD1595" s="277"/>
      <c r="AE1595" s="277"/>
      <c r="AF1595" s="277"/>
      <c r="AG1595" s="277"/>
      <c r="AH1595" s="277"/>
    </row>
    <row r="1596" spans="16:34" s="185" customFormat="1">
      <c r="P1596" s="277"/>
      <c r="Q1596" s="277"/>
      <c r="R1596" s="277"/>
      <c r="S1596" s="291">
        <v>43152</v>
      </c>
      <c r="T1596" s="279">
        <v>1513</v>
      </c>
      <c r="U1596" s="277"/>
      <c r="V1596" s="277"/>
      <c r="W1596" s="277"/>
      <c r="X1596" s="277"/>
      <c r="Y1596" s="277"/>
      <c r="Z1596" s="277"/>
      <c r="AA1596" s="277"/>
      <c r="AB1596" s="277"/>
      <c r="AC1596" s="277"/>
      <c r="AD1596" s="277"/>
      <c r="AE1596" s="277"/>
      <c r="AF1596" s="277"/>
      <c r="AG1596" s="277"/>
      <c r="AH1596" s="277"/>
    </row>
    <row r="1597" spans="16:34" s="185" customFormat="1">
      <c r="P1597" s="277"/>
      <c r="Q1597" s="277"/>
      <c r="R1597" s="277"/>
      <c r="S1597" s="291">
        <v>43153</v>
      </c>
      <c r="T1597" s="279">
        <v>1514</v>
      </c>
      <c r="U1597" s="277"/>
      <c r="V1597" s="277"/>
      <c r="W1597" s="277"/>
      <c r="X1597" s="277"/>
      <c r="Y1597" s="277"/>
      <c r="Z1597" s="277"/>
      <c r="AA1597" s="277"/>
      <c r="AB1597" s="277"/>
      <c r="AC1597" s="277"/>
      <c r="AD1597" s="277"/>
      <c r="AE1597" s="277"/>
      <c r="AF1597" s="277"/>
      <c r="AG1597" s="277"/>
      <c r="AH1597" s="277"/>
    </row>
    <row r="1598" spans="16:34" s="185" customFormat="1">
      <c r="P1598" s="277"/>
      <c r="Q1598" s="277"/>
      <c r="R1598" s="277"/>
      <c r="S1598" s="291">
        <v>43154</v>
      </c>
      <c r="T1598" s="279">
        <v>1515</v>
      </c>
      <c r="U1598" s="277"/>
      <c r="V1598" s="277"/>
      <c r="W1598" s="277"/>
      <c r="X1598" s="277"/>
      <c r="Y1598" s="277"/>
      <c r="Z1598" s="277"/>
      <c r="AA1598" s="277"/>
      <c r="AB1598" s="277"/>
      <c r="AC1598" s="277"/>
      <c r="AD1598" s="277"/>
      <c r="AE1598" s="277"/>
      <c r="AF1598" s="277"/>
      <c r="AG1598" s="277"/>
      <c r="AH1598" s="277"/>
    </row>
    <row r="1599" spans="16:34" s="185" customFormat="1">
      <c r="P1599" s="277"/>
      <c r="Q1599" s="277"/>
      <c r="R1599" s="277"/>
      <c r="S1599" s="291">
        <v>43155</v>
      </c>
      <c r="T1599" s="279">
        <v>1516</v>
      </c>
      <c r="U1599" s="277"/>
      <c r="V1599" s="277"/>
      <c r="W1599" s="277"/>
      <c r="X1599" s="277"/>
      <c r="Y1599" s="277"/>
      <c r="Z1599" s="277"/>
      <c r="AA1599" s="277"/>
      <c r="AB1599" s="277"/>
      <c r="AC1599" s="277"/>
      <c r="AD1599" s="277"/>
      <c r="AE1599" s="277"/>
      <c r="AF1599" s="277"/>
      <c r="AG1599" s="277"/>
      <c r="AH1599" s="277"/>
    </row>
    <row r="1600" spans="16:34" s="185" customFormat="1">
      <c r="P1600" s="277"/>
      <c r="Q1600" s="277"/>
      <c r="R1600" s="277"/>
      <c r="S1600" s="291">
        <v>43156</v>
      </c>
      <c r="T1600" s="279">
        <v>1517</v>
      </c>
      <c r="U1600" s="277"/>
      <c r="V1600" s="277"/>
      <c r="W1600" s="277"/>
      <c r="X1600" s="277"/>
      <c r="Y1600" s="277"/>
      <c r="Z1600" s="277"/>
      <c r="AA1600" s="277"/>
      <c r="AB1600" s="277"/>
      <c r="AC1600" s="277"/>
      <c r="AD1600" s="277"/>
      <c r="AE1600" s="277"/>
      <c r="AF1600" s="277"/>
      <c r="AG1600" s="277"/>
      <c r="AH1600" s="277"/>
    </row>
    <row r="1601" spans="16:34" s="185" customFormat="1">
      <c r="P1601" s="277"/>
      <c r="Q1601" s="277"/>
      <c r="R1601" s="277"/>
      <c r="S1601" s="291">
        <v>43157</v>
      </c>
      <c r="T1601" s="279">
        <v>1518</v>
      </c>
      <c r="U1601" s="277"/>
      <c r="V1601" s="277"/>
      <c r="W1601" s="277"/>
      <c r="X1601" s="277"/>
      <c r="Y1601" s="277"/>
      <c r="Z1601" s="277"/>
      <c r="AA1601" s="277"/>
      <c r="AB1601" s="277"/>
      <c r="AC1601" s="277"/>
      <c r="AD1601" s="277"/>
      <c r="AE1601" s="277"/>
      <c r="AF1601" s="277"/>
      <c r="AG1601" s="277"/>
      <c r="AH1601" s="277"/>
    </row>
    <row r="1602" spans="16:34" s="185" customFormat="1">
      <c r="P1602" s="277"/>
      <c r="Q1602" s="277"/>
      <c r="R1602" s="277"/>
      <c r="S1602" s="291">
        <v>43158</v>
      </c>
      <c r="T1602" s="279">
        <v>1519</v>
      </c>
      <c r="U1602" s="277"/>
      <c r="V1602" s="277"/>
      <c r="W1602" s="277"/>
      <c r="X1602" s="277"/>
      <c r="Y1602" s="277"/>
      <c r="Z1602" s="277"/>
      <c r="AA1602" s="277"/>
      <c r="AB1602" s="277"/>
      <c r="AC1602" s="277"/>
      <c r="AD1602" s="277"/>
      <c r="AE1602" s="277"/>
      <c r="AF1602" s="277"/>
      <c r="AG1602" s="277"/>
      <c r="AH1602" s="277"/>
    </row>
    <row r="1603" spans="16:34" s="185" customFormat="1">
      <c r="P1603" s="277"/>
      <c r="Q1603" s="277"/>
      <c r="R1603" s="277"/>
      <c r="S1603" s="291">
        <v>43159</v>
      </c>
      <c r="T1603" s="279">
        <v>1520</v>
      </c>
      <c r="U1603" s="277"/>
      <c r="V1603" s="277"/>
      <c r="W1603" s="277"/>
      <c r="X1603" s="277"/>
      <c r="Y1603" s="277"/>
      <c r="Z1603" s="277"/>
      <c r="AA1603" s="277"/>
      <c r="AB1603" s="277"/>
      <c r="AC1603" s="277"/>
      <c r="AD1603" s="277"/>
      <c r="AE1603" s="277"/>
      <c r="AF1603" s="277"/>
      <c r="AG1603" s="277"/>
      <c r="AH1603" s="277"/>
    </row>
    <row r="1604" spans="16:34" s="185" customFormat="1">
      <c r="P1604" s="277"/>
      <c r="Q1604" s="277"/>
      <c r="R1604" s="277"/>
      <c r="S1604" s="291">
        <v>43160</v>
      </c>
      <c r="T1604" s="279">
        <v>1521</v>
      </c>
      <c r="U1604" s="277"/>
      <c r="V1604" s="277"/>
      <c r="W1604" s="277"/>
      <c r="X1604" s="277"/>
      <c r="Y1604" s="277"/>
      <c r="Z1604" s="277"/>
      <c r="AA1604" s="277"/>
      <c r="AB1604" s="277"/>
      <c r="AC1604" s="277"/>
      <c r="AD1604" s="277"/>
      <c r="AE1604" s="277"/>
      <c r="AF1604" s="277"/>
      <c r="AG1604" s="277"/>
      <c r="AH1604" s="277"/>
    </row>
    <row r="1605" spans="16:34" s="185" customFormat="1">
      <c r="P1605" s="277"/>
      <c r="Q1605" s="277"/>
      <c r="R1605" s="277"/>
      <c r="S1605" s="291">
        <v>43161</v>
      </c>
      <c r="T1605" s="279">
        <v>1522</v>
      </c>
      <c r="U1605" s="277"/>
      <c r="V1605" s="277"/>
      <c r="W1605" s="277"/>
      <c r="X1605" s="277"/>
      <c r="Y1605" s="277"/>
      <c r="Z1605" s="277"/>
      <c r="AA1605" s="277"/>
      <c r="AB1605" s="277"/>
      <c r="AC1605" s="277"/>
      <c r="AD1605" s="277"/>
      <c r="AE1605" s="277"/>
      <c r="AF1605" s="277"/>
      <c r="AG1605" s="277"/>
      <c r="AH1605" s="277"/>
    </row>
    <row r="1606" spans="16:34" s="185" customFormat="1">
      <c r="P1606" s="277"/>
      <c r="Q1606" s="277"/>
      <c r="R1606" s="277"/>
      <c r="S1606" s="291">
        <v>43162</v>
      </c>
      <c r="T1606" s="279">
        <v>1523</v>
      </c>
      <c r="U1606" s="277"/>
      <c r="V1606" s="277"/>
      <c r="W1606" s="277"/>
      <c r="X1606" s="277"/>
      <c r="Y1606" s="277"/>
      <c r="Z1606" s="277"/>
      <c r="AA1606" s="277"/>
      <c r="AB1606" s="277"/>
      <c r="AC1606" s="277"/>
      <c r="AD1606" s="277"/>
      <c r="AE1606" s="277"/>
      <c r="AF1606" s="277"/>
      <c r="AG1606" s="277"/>
      <c r="AH1606" s="277"/>
    </row>
    <row r="1607" spans="16:34" s="185" customFormat="1">
      <c r="P1607" s="277"/>
      <c r="Q1607" s="277"/>
      <c r="R1607" s="277"/>
      <c r="S1607" s="291">
        <v>43163</v>
      </c>
      <c r="T1607" s="279">
        <v>1524</v>
      </c>
      <c r="U1607" s="277"/>
      <c r="V1607" s="277"/>
      <c r="W1607" s="277"/>
      <c r="X1607" s="277"/>
      <c r="Y1607" s="277"/>
      <c r="Z1607" s="277"/>
      <c r="AA1607" s="277"/>
      <c r="AB1607" s="277"/>
      <c r="AC1607" s="277"/>
      <c r="AD1607" s="277"/>
      <c r="AE1607" s="277"/>
      <c r="AF1607" s="277"/>
      <c r="AG1607" s="277"/>
      <c r="AH1607" s="277"/>
    </row>
    <row r="1608" spans="16:34" s="185" customFormat="1">
      <c r="P1608" s="277"/>
      <c r="Q1608" s="277"/>
      <c r="R1608" s="277"/>
      <c r="S1608" s="291">
        <v>43164</v>
      </c>
      <c r="T1608" s="279">
        <v>1525</v>
      </c>
      <c r="U1608" s="277"/>
      <c r="V1608" s="277"/>
      <c r="W1608" s="277"/>
      <c r="X1608" s="277"/>
      <c r="Y1608" s="277"/>
      <c r="Z1608" s="277"/>
      <c r="AA1608" s="277"/>
      <c r="AB1608" s="277"/>
      <c r="AC1608" s="277"/>
      <c r="AD1608" s="277"/>
      <c r="AE1608" s="277"/>
      <c r="AF1608" s="277"/>
      <c r="AG1608" s="277"/>
      <c r="AH1608" s="277"/>
    </row>
    <row r="1609" spans="16:34" s="185" customFormat="1">
      <c r="P1609" s="277"/>
      <c r="Q1609" s="277"/>
      <c r="R1609" s="277"/>
      <c r="S1609" s="291">
        <v>43165</v>
      </c>
      <c r="T1609" s="279">
        <v>1526</v>
      </c>
      <c r="U1609" s="277"/>
      <c r="V1609" s="277"/>
      <c r="W1609" s="277"/>
      <c r="X1609" s="277"/>
      <c r="Y1609" s="277"/>
      <c r="Z1609" s="277"/>
      <c r="AA1609" s="277"/>
      <c r="AB1609" s="277"/>
      <c r="AC1609" s="277"/>
      <c r="AD1609" s="277"/>
      <c r="AE1609" s="277"/>
      <c r="AF1609" s="277"/>
      <c r="AG1609" s="277"/>
      <c r="AH1609" s="277"/>
    </row>
    <row r="1610" spans="16:34" s="185" customFormat="1">
      <c r="P1610" s="277"/>
      <c r="Q1610" s="277"/>
      <c r="R1610" s="277"/>
      <c r="S1610" s="291">
        <v>43166</v>
      </c>
      <c r="T1610" s="279">
        <v>1527</v>
      </c>
      <c r="U1610" s="277"/>
      <c r="V1610" s="277"/>
      <c r="W1610" s="277"/>
      <c r="X1610" s="277"/>
      <c r="Y1610" s="277"/>
      <c r="Z1610" s="277"/>
      <c r="AA1610" s="277"/>
      <c r="AB1610" s="277"/>
      <c r="AC1610" s="277"/>
      <c r="AD1610" s="277"/>
      <c r="AE1610" s="277"/>
      <c r="AF1610" s="277"/>
      <c r="AG1610" s="277"/>
      <c r="AH1610" s="277"/>
    </row>
    <row r="1611" spans="16:34" s="185" customFormat="1">
      <c r="P1611" s="277"/>
      <c r="Q1611" s="277"/>
      <c r="R1611" s="277"/>
      <c r="S1611" s="291">
        <v>43167</v>
      </c>
      <c r="T1611" s="279">
        <v>1528</v>
      </c>
      <c r="U1611" s="277"/>
      <c r="V1611" s="277"/>
      <c r="W1611" s="277"/>
      <c r="X1611" s="277"/>
      <c r="Y1611" s="277"/>
      <c r="Z1611" s="277"/>
      <c r="AA1611" s="277"/>
      <c r="AB1611" s="277"/>
      <c r="AC1611" s="277"/>
      <c r="AD1611" s="277"/>
      <c r="AE1611" s="277"/>
      <c r="AF1611" s="277"/>
      <c r="AG1611" s="277"/>
      <c r="AH1611" s="277"/>
    </row>
    <row r="1612" spans="16:34" s="185" customFormat="1">
      <c r="P1612" s="277"/>
      <c r="Q1612" s="277"/>
      <c r="R1612" s="277"/>
      <c r="S1612" s="291">
        <v>43168</v>
      </c>
      <c r="T1612" s="279">
        <v>1529</v>
      </c>
      <c r="U1612" s="277"/>
      <c r="V1612" s="277"/>
      <c r="W1612" s="277"/>
      <c r="X1612" s="277"/>
      <c r="Y1612" s="277"/>
      <c r="Z1612" s="277"/>
      <c r="AA1612" s="277"/>
      <c r="AB1612" s="277"/>
      <c r="AC1612" s="277"/>
      <c r="AD1612" s="277"/>
      <c r="AE1612" s="277"/>
      <c r="AF1612" s="277"/>
      <c r="AG1612" s="277"/>
      <c r="AH1612" s="277"/>
    </row>
    <row r="1613" spans="16:34" s="185" customFormat="1">
      <c r="P1613" s="277"/>
      <c r="Q1613" s="277"/>
      <c r="R1613" s="277"/>
      <c r="S1613" s="291">
        <v>43169</v>
      </c>
      <c r="T1613" s="279">
        <v>1530</v>
      </c>
      <c r="U1613" s="277"/>
      <c r="V1613" s="277"/>
      <c r="W1613" s="277"/>
      <c r="X1613" s="277"/>
      <c r="Y1613" s="277"/>
      <c r="Z1613" s="277"/>
      <c r="AA1613" s="277"/>
      <c r="AB1613" s="277"/>
      <c r="AC1613" s="277"/>
      <c r="AD1613" s="277"/>
      <c r="AE1613" s="277"/>
      <c r="AF1613" s="277"/>
      <c r="AG1613" s="277"/>
      <c r="AH1613" s="277"/>
    </row>
    <row r="1614" spans="16:34" s="185" customFormat="1">
      <c r="P1614" s="277"/>
      <c r="Q1614" s="277"/>
      <c r="R1614" s="277"/>
      <c r="S1614" s="291">
        <v>43170</v>
      </c>
      <c r="T1614" s="279">
        <v>1531</v>
      </c>
      <c r="U1614" s="277"/>
      <c r="V1614" s="277"/>
      <c r="W1614" s="277"/>
      <c r="X1614" s="277"/>
      <c r="Y1614" s="277"/>
      <c r="Z1614" s="277"/>
      <c r="AA1614" s="277"/>
      <c r="AB1614" s="277"/>
      <c r="AC1614" s="277"/>
      <c r="AD1614" s="277"/>
      <c r="AE1614" s="277"/>
      <c r="AF1614" s="277"/>
      <c r="AG1614" s="277"/>
      <c r="AH1614" s="277"/>
    </row>
    <row r="1615" spans="16:34" s="185" customFormat="1">
      <c r="P1615" s="277"/>
      <c r="Q1615" s="277"/>
      <c r="R1615" s="277"/>
      <c r="S1615" s="291">
        <v>43171</v>
      </c>
      <c r="T1615" s="279">
        <v>1532</v>
      </c>
      <c r="U1615" s="277"/>
      <c r="V1615" s="277"/>
      <c r="W1615" s="277"/>
      <c r="X1615" s="277"/>
      <c r="Y1615" s="277"/>
      <c r="Z1615" s="277"/>
      <c r="AA1615" s="277"/>
      <c r="AB1615" s="277"/>
      <c r="AC1615" s="277"/>
      <c r="AD1615" s="277"/>
      <c r="AE1615" s="277"/>
      <c r="AF1615" s="277"/>
      <c r="AG1615" s="277"/>
      <c r="AH1615" s="277"/>
    </row>
    <row r="1616" spans="16:34" s="185" customFormat="1">
      <c r="P1616" s="277"/>
      <c r="Q1616" s="277"/>
      <c r="R1616" s="277"/>
      <c r="S1616" s="291">
        <v>43172</v>
      </c>
      <c r="T1616" s="279">
        <v>1533</v>
      </c>
      <c r="U1616" s="277"/>
      <c r="V1616" s="277"/>
      <c r="W1616" s="277"/>
      <c r="X1616" s="277"/>
      <c r="Y1616" s="277"/>
      <c r="Z1616" s="277"/>
      <c r="AA1616" s="277"/>
      <c r="AB1616" s="277"/>
      <c r="AC1616" s="277"/>
      <c r="AD1616" s="277"/>
      <c r="AE1616" s="277"/>
      <c r="AF1616" s="277"/>
      <c r="AG1616" s="277"/>
      <c r="AH1616" s="277"/>
    </row>
    <row r="1617" spans="16:34" s="185" customFormat="1">
      <c r="P1617" s="277"/>
      <c r="Q1617" s="277"/>
      <c r="R1617" s="277"/>
      <c r="S1617" s="291">
        <v>43173</v>
      </c>
      <c r="T1617" s="279">
        <v>1534</v>
      </c>
      <c r="U1617" s="277"/>
      <c r="V1617" s="277"/>
      <c r="W1617" s="277"/>
      <c r="X1617" s="277"/>
      <c r="Y1617" s="277"/>
      <c r="Z1617" s="277"/>
      <c r="AA1617" s="277"/>
      <c r="AB1617" s="277"/>
      <c r="AC1617" s="277"/>
      <c r="AD1617" s="277"/>
      <c r="AE1617" s="277"/>
      <c r="AF1617" s="277"/>
      <c r="AG1617" s="277"/>
      <c r="AH1617" s="277"/>
    </row>
    <row r="1618" spans="16:34" s="185" customFormat="1">
      <c r="P1618" s="277"/>
      <c r="Q1618" s="277"/>
      <c r="R1618" s="277"/>
      <c r="S1618" s="291">
        <v>43174</v>
      </c>
      <c r="T1618" s="279">
        <v>1535</v>
      </c>
      <c r="U1618" s="277"/>
      <c r="V1618" s="277"/>
      <c r="W1618" s="277"/>
      <c r="X1618" s="277"/>
      <c r="Y1618" s="277"/>
      <c r="Z1618" s="277"/>
      <c r="AA1618" s="277"/>
      <c r="AB1618" s="277"/>
      <c r="AC1618" s="277"/>
      <c r="AD1618" s="277"/>
      <c r="AE1618" s="277"/>
      <c r="AF1618" s="277"/>
      <c r="AG1618" s="277"/>
      <c r="AH1618" s="277"/>
    </row>
    <row r="1619" spans="16:34" s="185" customFormat="1">
      <c r="P1619" s="277"/>
      <c r="Q1619" s="277"/>
      <c r="R1619" s="277"/>
      <c r="S1619" s="291">
        <v>43175</v>
      </c>
      <c r="T1619" s="279">
        <v>1536</v>
      </c>
      <c r="U1619" s="277"/>
      <c r="V1619" s="277"/>
      <c r="W1619" s="277"/>
      <c r="X1619" s="277"/>
      <c r="Y1619" s="277"/>
      <c r="Z1619" s="277"/>
      <c r="AA1619" s="277"/>
      <c r="AB1619" s="277"/>
      <c r="AC1619" s="277"/>
      <c r="AD1619" s="277"/>
      <c r="AE1619" s="277"/>
      <c r="AF1619" s="277"/>
      <c r="AG1619" s="277"/>
      <c r="AH1619" s="277"/>
    </row>
    <row r="1620" spans="16:34" s="185" customFormat="1">
      <c r="P1620" s="277"/>
      <c r="Q1620" s="277"/>
      <c r="R1620" s="277"/>
      <c r="S1620" s="291">
        <v>43176</v>
      </c>
      <c r="T1620" s="279">
        <v>1537</v>
      </c>
      <c r="U1620" s="277"/>
      <c r="V1620" s="277"/>
      <c r="W1620" s="277"/>
      <c r="X1620" s="277"/>
      <c r="Y1620" s="277"/>
      <c r="Z1620" s="277"/>
      <c r="AA1620" s="277"/>
      <c r="AB1620" s="277"/>
      <c r="AC1620" s="277"/>
      <c r="AD1620" s="277"/>
      <c r="AE1620" s="277"/>
      <c r="AF1620" s="277"/>
      <c r="AG1620" s="277"/>
      <c r="AH1620" s="277"/>
    </row>
    <row r="1621" spans="16:34" s="185" customFormat="1">
      <c r="P1621" s="277"/>
      <c r="Q1621" s="277"/>
      <c r="R1621" s="277"/>
      <c r="S1621" s="291">
        <v>43177</v>
      </c>
      <c r="T1621" s="279">
        <v>1538</v>
      </c>
      <c r="U1621" s="277"/>
      <c r="V1621" s="277"/>
      <c r="W1621" s="277"/>
      <c r="X1621" s="277"/>
      <c r="Y1621" s="277"/>
      <c r="Z1621" s="277"/>
      <c r="AA1621" s="277"/>
      <c r="AB1621" s="277"/>
      <c r="AC1621" s="277"/>
      <c r="AD1621" s="277"/>
      <c r="AE1621" s="277"/>
      <c r="AF1621" s="277"/>
      <c r="AG1621" s="277"/>
      <c r="AH1621" s="277"/>
    </row>
    <row r="1622" spans="16:34" s="185" customFormat="1">
      <c r="P1622" s="277"/>
      <c r="Q1622" s="277"/>
      <c r="R1622" s="277"/>
      <c r="S1622" s="291">
        <v>43178</v>
      </c>
      <c r="T1622" s="279">
        <v>1539</v>
      </c>
      <c r="U1622" s="277"/>
      <c r="V1622" s="277"/>
      <c r="W1622" s="277"/>
      <c r="X1622" s="277"/>
      <c r="Y1622" s="277"/>
      <c r="Z1622" s="277"/>
      <c r="AA1622" s="277"/>
      <c r="AB1622" s="277"/>
      <c r="AC1622" s="277"/>
      <c r="AD1622" s="277"/>
      <c r="AE1622" s="277"/>
      <c r="AF1622" s="277"/>
      <c r="AG1622" s="277"/>
      <c r="AH1622" s="277"/>
    </row>
    <row r="1623" spans="16:34" s="185" customFormat="1">
      <c r="P1623" s="277"/>
      <c r="Q1623" s="277"/>
      <c r="R1623" s="277"/>
      <c r="S1623" s="291">
        <v>43179</v>
      </c>
      <c r="T1623" s="279">
        <v>1540</v>
      </c>
      <c r="U1623" s="277"/>
      <c r="V1623" s="277"/>
      <c r="W1623" s="277"/>
      <c r="X1623" s="277"/>
      <c r="Y1623" s="277"/>
      <c r="Z1623" s="277"/>
      <c r="AA1623" s="277"/>
      <c r="AB1623" s="277"/>
      <c r="AC1623" s="277"/>
      <c r="AD1623" s="277"/>
      <c r="AE1623" s="277"/>
      <c r="AF1623" s="277"/>
      <c r="AG1623" s="277"/>
      <c r="AH1623" s="277"/>
    </row>
    <row r="1624" spans="16:34" s="185" customFormat="1">
      <c r="P1624" s="277"/>
      <c r="Q1624" s="277"/>
      <c r="R1624" s="277"/>
      <c r="S1624" s="291">
        <v>43180</v>
      </c>
      <c r="T1624" s="279">
        <v>1541</v>
      </c>
      <c r="U1624" s="277"/>
      <c r="V1624" s="277"/>
      <c r="W1624" s="277"/>
      <c r="X1624" s="277"/>
      <c r="Y1624" s="277"/>
      <c r="Z1624" s="277"/>
      <c r="AA1624" s="277"/>
      <c r="AB1624" s="277"/>
      <c r="AC1624" s="277"/>
      <c r="AD1624" s="277"/>
      <c r="AE1624" s="277"/>
      <c r="AF1624" s="277"/>
      <c r="AG1624" s="277"/>
      <c r="AH1624" s="277"/>
    </row>
    <row r="1625" spans="16:34" s="185" customFormat="1">
      <c r="P1625" s="277"/>
      <c r="Q1625" s="277"/>
      <c r="R1625" s="277"/>
      <c r="S1625" s="291">
        <v>43181</v>
      </c>
      <c r="T1625" s="279">
        <v>1542</v>
      </c>
      <c r="U1625" s="277"/>
      <c r="V1625" s="277"/>
      <c r="W1625" s="277"/>
      <c r="X1625" s="277"/>
      <c r="Y1625" s="277"/>
      <c r="Z1625" s="277"/>
      <c r="AA1625" s="277"/>
      <c r="AB1625" s="277"/>
      <c r="AC1625" s="277"/>
      <c r="AD1625" s="277"/>
      <c r="AE1625" s="277"/>
      <c r="AF1625" s="277"/>
      <c r="AG1625" s="277"/>
      <c r="AH1625" s="277"/>
    </row>
    <row r="1626" spans="16:34" s="185" customFormat="1">
      <c r="P1626" s="277"/>
      <c r="Q1626" s="277"/>
      <c r="R1626" s="277"/>
      <c r="S1626" s="291">
        <v>43182</v>
      </c>
      <c r="T1626" s="279">
        <v>1543</v>
      </c>
      <c r="U1626" s="277"/>
      <c r="V1626" s="277"/>
      <c r="W1626" s="277"/>
      <c r="X1626" s="277"/>
      <c r="Y1626" s="277"/>
      <c r="Z1626" s="277"/>
      <c r="AA1626" s="277"/>
      <c r="AB1626" s="277"/>
      <c r="AC1626" s="277"/>
      <c r="AD1626" s="277"/>
      <c r="AE1626" s="277"/>
      <c r="AF1626" s="277"/>
      <c r="AG1626" s="277"/>
      <c r="AH1626" s="277"/>
    </row>
    <row r="1627" spans="16:34" s="185" customFormat="1">
      <c r="P1627" s="277"/>
      <c r="Q1627" s="277"/>
      <c r="R1627" s="277"/>
      <c r="S1627" s="291">
        <v>43183</v>
      </c>
      <c r="T1627" s="279">
        <v>1544</v>
      </c>
      <c r="U1627" s="277"/>
      <c r="V1627" s="277"/>
      <c r="W1627" s="277"/>
      <c r="X1627" s="277"/>
      <c r="Y1627" s="277"/>
      <c r="Z1627" s="277"/>
      <c r="AA1627" s="277"/>
      <c r="AB1627" s="277"/>
      <c r="AC1627" s="277"/>
      <c r="AD1627" s="277"/>
      <c r="AE1627" s="277"/>
      <c r="AF1627" s="277"/>
      <c r="AG1627" s="277"/>
      <c r="AH1627" s="277"/>
    </row>
    <row r="1628" spans="16:34" s="185" customFormat="1">
      <c r="P1628" s="277"/>
      <c r="Q1628" s="277"/>
      <c r="R1628" s="277"/>
      <c r="S1628" s="291">
        <v>43184</v>
      </c>
      <c r="T1628" s="279">
        <v>1545</v>
      </c>
      <c r="U1628" s="277"/>
      <c r="V1628" s="277"/>
      <c r="W1628" s="277"/>
      <c r="X1628" s="277"/>
      <c r="Y1628" s="277"/>
      <c r="Z1628" s="277"/>
      <c r="AA1628" s="277"/>
      <c r="AB1628" s="277"/>
      <c r="AC1628" s="277"/>
      <c r="AD1628" s="277"/>
      <c r="AE1628" s="277"/>
      <c r="AF1628" s="277"/>
      <c r="AG1628" s="277"/>
      <c r="AH1628" s="277"/>
    </row>
    <row r="1629" spans="16:34" s="185" customFormat="1">
      <c r="P1629" s="277"/>
      <c r="Q1629" s="277"/>
      <c r="R1629" s="277"/>
      <c r="S1629" s="291">
        <v>43185</v>
      </c>
      <c r="T1629" s="279">
        <v>1546</v>
      </c>
      <c r="U1629" s="277"/>
      <c r="V1629" s="277"/>
      <c r="W1629" s="277"/>
      <c r="X1629" s="277"/>
      <c r="Y1629" s="277"/>
      <c r="Z1629" s="277"/>
      <c r="AA1629" s="277"/>
      <c r="AB1629" s="277"/>
      <c r="AC1629" s="277"/>
      <c r="AD1629" s="277"/>
      <c r="AE1629" s="277"/>
      <c r="AF1629" s="277"/>
      <c r="AG1629" s="277"/>
      <c r="AH1629" s="277"/>
    </row>
    <row r="1630" spans="16:34" s="185" customFormat="1">
      <c r="P1630" s="277"/>
      <c r="Q1630" s="277"/>
      <c r="R1630" s="277"/>
      <c r="S1630" s="291">
        <v>43186</v>
      </c>
      <c r="T1630" s="279">
        <v>1547</v>
      </c>
      <c r="U1630" s="277"/>
      <c r="V1630" s="277"/>
      <c r="W1630" s="277"/>
      <c r="X1630" s="277"/>
      <c r="Y1630" s="277"/>
      <c r="Z1630" s="277"/>
      <c r="AA1630" s="277"/>
      <c r="AB1630" s="277"/>
      <c r="AC1630" s="277"/>
      <c r="AD1630" s="277"/>
      <c r="AE1630" s="277"/>
      <c r="AF1630" s="277"/>
      <c r="AG1630" s="277"/>
      <c r="AH1630" s="277"/>
    </row>
    <row r="1631" spans="16:34" s="185" customFormat="1">
      <c r="P1631" s="277"/>
      <c r="Q1631" s="277"/>
      <c r="R1631" s="277"/>
      <c r="S1631" s="291">
        <v>43187</v>
      </c>
      <c r="T1631" s="279">
        <v>1548</v>
      </c>
      <c r="U1631" s="277"/>
      <c r="V1631" s="277"/>
      <c r="W1631" s="277"/>
      <c r="X1631" s="277"/>
      <c r="Y1631" s="277"/>
      <c r="Z1631" s="277"/>
      <c r="AA1631" s="277"/>
      <c r="AB1631" s="277"/>
      <c r="AC1631" s="277"/>
      <c r="AD1631" s="277"/>
      <c r="AE1631" s="277"/>
      <c r="AF1631" s="277"/>
      <c r="AG1631" s="277"/>
      <c r="AH1631" s="277"/>
    </row>
    <row r="1632" spans="16:34" s="185" customFormat="1">
      <c r="P1632" s="277"/>
      <c r="Q1632" s="277"/>
      <c r="R1632" s="277"/>
      <c r="S1632" s="291">
        <v>43188</v>
      </c>
      <c r="T1632" s="279">
        <v>1549</v>
      </c>
      <c r="U1632" s="277"/>
      <c r="V1632" s="277"/>
      <c r="W1632" s="277"/>
      <c r="X1632" s="277"/>
      <c r="Y1632" s="277"/>
      <c r="Z1632" s="277"/>
      <c r="AA1632" s="277"/>
      <c r="AB1632" s="277"/>
      <c r="AC1632" s="277"/>
      <c r="AD1632" s="277"/>
      <c r="AE1632" s="277"/>
      <c r="AF1632" s="277"/>
      <c r="AG1632" s="277"/>
      <c r="AH1632" s="277"/>
    </row>
    <row r="1633" spans="16:34" s="185" customFormat="1">
      <c r="P1633" s="277"/>
      <c r="Q1633" s="277"/>
      <c r="R1633" s="277"/>
      <c r="S1633" s="291">
        <v>43189</v>
      </c>
      <c r="T1633" s="279">
        <v>1550</v>
      </c>
      <c r="U1633" s="277"/>
      <c r="V1633" s="277"/>
      <c r="W1633" s="277"/>
      <c r="X1633" s="277"/>
      <c r="Y1633" s="277"/>
      <c r="Z1633" s="277"/>
      <c r="AA1633" s="277"/>
      <c r="AB1633" s="277"/>
      <c r="AC1633" s="277"/>
      <c r="AD1633" s="277"/>
      <c r="AE1633" s="277"/>
      <c r="AF1633" s="277"/>
      <c r="AG1633" s="277"/>
      <c r="AH1633" s="277"/>
    </row>
    <row r="1634" spans="16:34" s="185" customFormat="1">
      <c r="P1634" s="277"/>
      <c r="Q1634" s="277"/>
      <c r="R1634" s="277"/>
      <c r="S1634" s="291">
        <v>43190</v>
      </c>
      <c r="T1634" s="279">
        <v>1551</v>
      </c>
      <c r="U1634" s="277"/>
      <c r="V1634" s="277"/>
      <c r="W1634" s="277"/>
      <c r="X1634" s="277"/>
      <c r="Y1634" s="277"/>
      <c r="Z1634" s="277"/>
      <c r="AA1634" s="277"/>
      <c r="AB1634" s="277"/>
      <c r="AC1634" s="277"/>
      <c r="AD1634" s="277"/>
      <c r="AE1634" s="277"/>
      <c r="AF1634" s="277"/>
      <c r="AG1634" s="277"/>
      <c r="AH1634" s="277"/>
    </row>
    <row r="1635" spans="16:34" s="185" customFormat="1">
      <c r="P1635" s="277"/>
      <c r="Q1635" s="277"/>
      <c r="R1635" s="277"/>
      <c r="S1635" s="291">
        <v>43191</v>
      </c>
      <c r="T1635" s="279">
        <v>1552</v>
      </c>
      <c r="U1635" s="277"/>
      <c r="V1635" s="277"/>
      <c r="W1635" s="277"/>
      <c r="X1635" s="277"/>
      <c r="Y1635" s="277"/>
      <c r="Z1635" s="277"/>
      <c r="AA1635" s="277"/>
      <c r="AB1635" s="277"/>
      <c r="AC1635" s="277"/>
      <c r="AD1635" s="277"/>
      <c r="AE1635" s="277"/>
      <c r="AF1635" s="277"/>
      <c r="AG1635" s="277"/>
      <c r="AH1635" s="277"/>
    </row>
    <row r="1636" spans="16:34" s="185" customFormat="1">
      <c r="P1636" s="277"/>
      <c r="Q1636" s="277"/>
      <c r="R1636" s="277"/>
      <c r="S1636" s="291">
        <v>43192</v>
      </c>
      <c r="T1636" s="279">
        <v>1553</v>
      </c>
      <c r="U1636" s="277"/>
      <c r="V1636" s="277"/>
      <c r="W1636" s="277"/>
      <c r="X1636" s="277"/>
      <c r="Y1636" s="277"/>
      <c r="Z1636" s="277"/>
      <c r="AA1636" s="277"/>
      <c r="AB1636" s="277"/>
      <c r="AC1636" s="277"/>
      <c r="AD1636" s="277"/>
      <c r="AE1636" s="277"/>
      <c r="AF1636" s="277"/>
      <c r="AG1636" s="277"/>
      <c r="AH1636" s="277"/>
    </row>
    <row r="1637" spans="16:34" s="185" customFormat="1">
      <c r="P1637" s="277"/>
      <c r="Q1637" s="277"/>
      <c r="R1637" s="277"/>
      <c r="S1637" s="291">
        <v>43193</v>
      </c>
      <c r="T1637" s="279">
        <v>1554</v>
      </c>
      <c r="U1637" s="277"/>
      <c r="V1637" s="277"/>
      <c r="W1637" s="277"/>
      <c r="X1637" s="277"/>
      <c r="Y1637" s="277"/>
      <c r="Z1637" s="277"/>
      <c r="AA1637" s="277"/>
      <c r="AB1637" s="277"/>
      <c r="AC1637" s="277"/>
      <c r="AD1637" s="277"/>
      <c r="AE1637" s="277"/>
      <c r="AF1637" s="277"/>
      <c r="AG1637" s="277"/>
      <c r="AH1637" s="277"/>
    </row>
    <row r="1638" spans="16:34" s="185" customFormat="1">
      <c r="P1638" s="277"/>
      <c r="Q1638" s="277"/>
      <c r="R1638" s="277"/>
      <c r="S1638" s="291">
        <v>43194</v>
      </c>
      <c r="T1638" s="279">
        <v>1555</v>
      </c>
      <c r="U1638" s="277"/>
      <c r="V1638" s="277"/>
      <c r="W1638" s="277"/>
      <c r="X1638" s="277"/>
      <c r="Y1638" s="277"/>
      <c r="Z1638" s="277"/>
      <c r="AA1638" s="277"/>
      <c r="AB1638" s="277"/>
      <c r="AC1638" s="277"/>
      <c r="AD1638" s="277"/>
      <c r="AE1638" s="277"/>
      <c r="AF1638" s="277"/>
      <c r="AG1638" s="277"/>
      <c r="AH1638" s="277"/>
    </row>
    <row r="1639" spans="16:34" s="185" customFormat="1">
      <c r="P1639" s="277"/>
      <c r="Q1639" s="277"/>
      <c r="R1639" s="277"/>
      <c r="S1639" s="291">
        <v>43195</v>
      </c>
      <c r="T1639" s="279">
        <v>1556</v>
      </c>
      <c r="U1639" s="277"/>
      <c r="V1639" s="277"/>
      <c r="W1639" s="277"/>
      <c r="X1639" s="277"/>
      <c r="Y1639" s="277"/>
      <c r="Z1639" s="277"/>
      <c r="AA1639" s="277"/>
      <c r="AB1639" s="277"/>
      <c r="AC1639" s="277"/>
      <c r="AD1639" s="277"/>
      <c r="AE1639" s="277"/>
      <c r="AF1639" s="277"/>
      <c r="AG1639" s="277"/>
      <c r="AH1639" s="277"/>
    </row>
    <row r="1640" spans="16:34" s="185" customFormat="1">
      <c r="P1640" s="277"/>
      <c r="Q1640" s="277"/>
      <c r="R1640" s="277"/>
      <c r="S1640" s="291">
        <v>43196</v>
      </c>
      <c r="T1640" s="279">
        <v>1557</v>
      </c>
      <c r="U1640" s="277"/>
      <c r="V1640" s="277"/>
      <c r="W1640" s="277"/>
      <c r="X1640" s="277"/>
      <c r="Y1640" s="277"/>
      <c r="Z1640" s="277"/>
      <c r="AA1640" s="277"/>
      <c r="AB1640" s="277"/>
      <c r="AC1640" s="277"/>
      <c r="AD1640" s="277"/>
      <c r="AE1640" s="277"/>
      <c r="AF1640" s="277"/>
      <c r="AG1640" s="277"/>
      <c r="AH1640" s="277"/>
    </row>
    <row r="1641" spans="16:34" s="185" customFormat="1">
      <c r="P1641" s="277"/>
      <c r="Q1641" s="277"/>
      <c r="R1641" s="277"/>
      <c r="S1641" s="291">
        <v>43197</v>
      </c>
      <c r="T1641" s="279">
        <v>1558</v>
      </c>
      <c r="U1641" s="277"/>
      <c r="V1641" s="277"/>
      <c r="W1641" s="277"/>
      <c r="X1641" s="277"/>
      <c r="Y1641" s="277"/>
      <c r="Z1641" s="277"/>
      <c r="AA1641" s="277"/>
      <c r="AB1641" s="277"/>
      <c r="AC1641" s="277"/>
      <c r="AD1641" s="277"/>
      <c r="AE1641" s="277"/>
      <c r="AF1641" s="277"/>
      <c r="AG1641" s="277"/>
      <c r="AH1641" s="277"/>
    </row>
    <row r="1642" spans="16:34" s="185" customFormat="1">
      <c r="P1642" s="277"/>
      <c r="Q1642" s="277"/>
      <c r="R1642" s="277"/>
      <c r="S1642" s="291">
        <v>43198</v>
      </c>
      <c r="T1642" s="279">
        <v>1559</v>
      </c>
      <c r="U1642" s="277"/>
      <c r="V1642" s="277"/>
      <c r="W1642" s="277"/>
      <c r="X1642" s="277"/>
      <c r="Y1642" s="277"/>
      <c r="Z1642" s="277"/>
      <c r="AA1642" s="277"/>
      <c r="AB1642" s="277"/>
      <c r="AC1642" s="277"/>
      <c r="AD1642" s="277"/>
      <c r="AE1642" s="277"/>
      <c r="AF1642" s="277"/>
      <c r="AG1642" s="277"/>
      <c r="AH1642" s="277"/>
    </row>
    <row r="1643" spans="16:34" s="185" customFormat="1">
      <c r="P1643" s="277"/>
      <c r="Q1643" s="277"/>
      <c r="R1643" s="277"/>
      <c r="S1643" s="291">
        <v>43199</v>
      </c>
      <c r="T1643" s="279">
        <v>1560</v>
      </c>
      <c r="U1643" s="277"/>
      <c r="V1643" s="277"/>
      <c r="W1643" s="277"/>
      <c r="X1643" s="277"/>
      <c r="Y1643" s="277"/>
      <c r="Z1643" s="277"/>
      <c r="AA1643" s="277"/>
      <c r="AB1643" s="277"/>
      <c r="AC1643" s="277"/>
      <c r="AD1643" s="277"/>
      <c r="AE1643" s="277"/>
      <c r="AF1643" s="277"/>
      <c r="AG1643" s="277"/>
      <c r="AH1643" s="277"/>
    </row>
    <row r="1644" spans="16:34" s="185" customFormat="1">
      <c r="P1644" s="277"/>
      <c r="Q1644" s="277"/>
      <c r="R1644" s="277"/>
      <c r="S1644" s="291">
        <v>43200</v>
      </c>
      <c r="T1644" s="279">
        <v>1561</v>
      </c>
      <c r="U1644" s="277"/>
      <c r="V1644" s="277"/>
      <c r="W1644" s="277"/>
      <c r="X1644" s="277"/>
      <c r="Y1644" s="277"/>
      <c r="Z1644" s="277"/>
      <c r="AA1644" s="277"/>
      <c r="AB1644" s="277"/>
      <c r="AC1644" s="277"/>
      <c r="AD1644" s="277"/>
      <c r="AE1644" s="277"/>
      <c r="AF1644" s="277"/>
      <c r="AG1644" s="277"/>
      <c r="AH1644" s="277"/>
    </row>
    <row r="1645" spans="16:34" s="185" customFormat="1">
      <c r="P1645" s="277"/>
      <c r="Q1645" s="277"/>
      <c r="R1645" s="277"/>
      <c r="S1645" s="291">
        <v>43201</v>
      </c>
      <c r="T1645" s="279">
        <v>1562</v>
      </c>
      <c r="U1645" s="277"/>
      <c r="V1645" s="277"/>
      <c r="W1645" s="277"/>
      <c r="X1645" s="277"/>
      <c r="Y1645" s="277"/>
      <c r="Z1645" s="277"/>
      <c r="AA1645" s="277"/>
      <c r="AB1645" s="277"/>
      <c r="AC1645" s="277"/>
      <c r="AD1645" s="277"/>
      <c r="AE1645" s="277"/>
      <c r="AF1645" s="277"/>
      <c r="AG1645" s="277"/>
      <c r="AH1645" s="277"/>
    </row>
    <row r="1646" spans="16:34" s="185" customFormat="1">
      <c r="P1646" s="277"/>
      <c r="Q1646" s="277"/>
      <c r="R1646" s="277"/>
      <c r="S1646" s="291">
        <v>43202</v>
      </c>
      <c r="T1646" s="279">
        <v>1563</v>
      </c>
      <c r="U1646" s="277"/>
      <c r="V1646" s="277"/>
      <c r="W1646" s="277"/>
      <c r="X1646" s="277"/>
      <c r="Y1646" s="277"/>
      <c r="Z1646" s="277"/>
      <c r="AA1646" s="277"/>
      <c r="AB1646" s="277"/>
      <c r="AC1646" s="277"/>
      <c r="AD1646" s="277"/>
      <c r="AE1646" s="277"/>
      <c r="AF1646" s="277"/>
      <c r="AG1646" s="277"/>
      <c r="AH1646" s="277"/>
    </row>
    <row r="1647" spans="16:34" s="185" customFormat="1">
      <c r="P1647" s="277"/>
      <c r="Q1647" s="277"/>
      <c r="R1647" s="277"/>
      <c r="S1647" s="291">
        <v>43203</v>
      </c>
      <c r="T1647" s="279">
        <v>1564</v>
      </c>
      <c r="U1647" s="277"/>
      <c r="V1647" s="277"/>
      <c r="W1647" s="277"/>
      <c r="X1647" s="277"/>
      <c r="Y1647" s="277"/>
      <c r="Z1647" s="277"/>
      <c r="AA1647" s="277"/>
      <c r="AB1647" s="277"/>
      <c r="AC1647" s="277"/>
      <c r="AD1647" s="277"/>
      <c r="AE1647" s="277"/>
      <c r="AF1647" s="277"/>
      <c r="AG1647" s="277"/>
      <c r="AH1647" s="277"/>
    </row>
    <row r="1648" spans="16:34" s="185" customFormat="1">
      <c r="P1648" s="277"/>
      <c r="Q1648" s="277"/>
      <c r="R1648" s="277"/>
      <c r="S1648" s="291">
        <v>43204</v>
      </c>
      <c r="T1648" s="279">
        <v>1565</v>
      </c>
      <c r="U1648" s="277"/>
      <c r="V1648" s="277"/>
      <c r="W1648" s="277"/>
      <c r="X1648" s="277"/>
      <c r="Y1648" s="277"/>
      <c r="Z1648" s="277"/>
      <c r="AA1648" s="277"/>
      <c r="AB1648" s="277"/>
      <c r="AC1648" s="277"/>
      <c r="AD1648" s="277"/>
      <c r="AE1648" s="277"/>
      <c r="AF1648" s="277"/>
      <c r="AG1648" s="277"/>
      <c r="AH1648" s="277"/>
    </row>
    <row r="1649" spans="16:34" s="185" customFormat="1">
      <c r="P1649" s="277"/>
      <c r="Q1649" s="277"/>
      <c r="R1649" s="277"/>
      <c r="S1649" s="291">
        <v>43205</v>
      </c>
      <c r="T1649" s="279">
        <v>1566</v>
      </c>
      <c r="U1649" s="277"/>
      <c r="V1649" s="277"/>
      <c r="W1649" s="277"/>
      <c r="X1649" s="277"/>
      <c r="Y1649" s="277"/>
      <c r="Z1649" s="277"/>
      <c r="AA1649" s="277"/>
      <c r="AB1649" s="277"/>
      <c r="AC1649" s="277"/>
      <c r="AD1649" s="277"/>
      <c r="AE1649" s="277"/>
      <c r="AF1649" s="277"/>
      <c r="AG1649" s="277"/>
      <c r="AH1649" s="277"/>
    </row>
    <row r="1650" spans="16:34" s="185" customFormat="1">
      <c r="P1650" s="277"/>
      <c r="Q1650" s="277"/>
      <c r="R1650" s="277"/>
      <c r="S1650" s="291">
        <v>43206</v>
      </c>
      <c r="T1650" s="279">
        <v>1567</v>
      </c>
      <c r="U1650" s="277"/>
      <c r="V1650" s="277"/>
      <c r="W1650" s="277"/>
      <c r="X1650" s="277"/>
      <c r="Y1650" s="277"/>
      <c r="Z1650" s="277"/>
      <c r="AA1650" s="277"/>
      <c r="AB1650" s="277"/>
      <c r="AC1650" s="277"/>
      <c r="AD1650" s="277"/>
      <c r="AE1650" s="277"/>
      <c r="AF1650" s="277"/>
      <c r="AG1650" s="277"/>
      <c r="AH1650" s="277"/>
    </row>
    <row r="1651" spans="16:34" s="185" customFormat="1">
      <c r="P1651" s="277"/>
      <c r="Q1651" s="277"/>
      <c r="R1651" s="277"/>
      <c r="S1651" s="291">
        <v>43207</v>
      </c>
      <c r="T1651" s="279">
        <v>1568</v>
      </c>
      <c r="U1651" s="277"/>
      <c r="V1651" s="277"/>
      <c r="W1651" s="277"/>
      <c r="X1651" s="277"/>
      <c r="Y1651" s="277"/>
      <c r="Z1651" s="277"/>
      <c r="AA1651" s="277"/>
      <c r="AB1651" s="277"/>
      <c r="AC1651" s="277"/>
      <c r="AD1651" s="277"/>
      <c r="AE1651" s="277"/>
      <c r="AF1651" s="277"/>
      <c r="AG1651" s="277"/>
      <c r="AH1651" s="277"/>
    </row>
    <row r="1652" spans="16:34" s="185" customFormat="1">
      <c r="P1652" s="277"/>
      <c r="Q1652" s="277"/>
      <c r="R1652" s="277"/>
      <c r="S1652" s="291">
        <v>43208</v>
      </c>
      <c r="T1652" s="279">
        <v>1569</v>
      </c>
      <c r="U1652" s="277"/>
      <c r="V1652" s="277"/>
      <c r="W1652" s="277"/>
      <c r="X1652" s="277"/>
      <c r="Y1652" s="277"/>
      <c r="Z1652" s="277"/>
      <c r="AA1652" s="277"/>
      <c r="AB1652" s="277"/>
      <c r="AC1652" s="277"/>
      <c r="AD1652" s="277"/>
      <c r="AE1652" s="277"/>
      <c r="AF1652" s="277"/>
      <c r="AG1652" s="277"/>
      <c r="AH1652" s="277"/>
    </row>
    <row r="1653" spans="16:34" s="185" customFormat="1">
      <c r="P1653" s="277"/>
      <c r="Q1653" s="277"/>
      <c r="R1653" s="277"/>
      <c r="S1653" s="291">
        <v>43209</v>
      </c>
      <c r="T1653" s="279">
        <v>1570</v>
      </c>
      <c r="U1653" s="277"/>
      <c r="V1653" s="277"/>
      <c r="W1653" s="277"/>
      <c r="X1653" s="277"/>
      <c r="Y1653" s="277"/>
      <c r="Z1653" s="277"/>
      <c r="AA1653" s="277"/>
      <c r="AB1653" s="277"/>
      <c r="AC1653" s="277"/>
      <c r="AD1653" s="277"/>
      <c r="AE1653" s="277"/>
      <c r="AF1653" s="277"/>
      <c r="AG1653" s="277"/>
      <c r="AH1653" s="277"/>
    </row>
    <row r="1654" spans="16:34" s="185" customFormat="1">
      <c r="P1654" s="277"/>
      <c r="Q1654" s="277"/>
      <c r="R1654" s="277"/>
      <c r="S1654" s="291">
        <v>43210</v>
      </c>
      <c r="T1654" s="279">
        <v>1571</v>
      </c>
      <c r="U1654" s="277"/>
      <c r="V1654" s="277"/>
      <c r="W1654" s="277"/>
      <c r="X1654" s="277"/>
      <c r="Y1654" s="277"/>
      <c r="Z1654" s="277"/>
      <c r="AA1654" s="277"/>
      <c r="AB1654" s="277"/>
      <c r="AC1654" s="277"/>
      <c r="AD1654" s="277"/>
      <c r="AE1654" s="277"/>
      <c r="AF1654" s="277"/>
      <c r="AG1654" s="277"/>
      <c r="AH1654" s="277"/>
    </row>
    <row r="1655" spans="16:34" s="185" customFormat="1">
      <c r="P1655" s="277"/>
      <c r="Q1655" s="277"/>
      <c r="R1655" s="277"/>
      <c r="S1655" s="291">
        <v>43211</v>
      </c>
      <c r="T1655" s="279">
        <v>1572</v>
      </c>
      <c r="U1655" s="277"/>
      <c r="V1655" s="277"/>
      <c r="W1655" s="277"/>
      <c r="X1655" s="277"/>
      <c r="Y1655" s="277"/>
      <c r="Z1655" s="277"/>
      <c r="AA1655" s="277"/>
      <c r="AB1655" s="277"/>
      <c r="AC1655" s="277"/>
      <c r="AD1655" s="277"/>
      <c r="AE1655" s="277"/>
      <c r="AF1655" s="277"/>
      <c r="AG1655" s="277"/>
      <c r="AH1655" s="277"/>
    </row>
    <row r="1656" spans="16:34" s="185" customFormat="1">
      <c r="P1656" s="277"/>
      <c r="Q1656" s="277"/>
      <c r="R1656" s="277"/>
      <c r="S1656" s="291">
        <v>43212</v>
      </c>
      <c r="T1656" s="279">
        <v>1573</v>
      </c>
      <c r="U1656" s="277"/>
      <c r="V1656" s="277"/>
      <c r="W1656" s="277"/>
      <c r="X1656" s="277"/>
      <c r="Y1656" s="277"/>
      <c r="Z1656" s="277"/>
      <c r="AA1656" s="277"/>
      <c r="AB1656" s="277"/>
      <c r="AC1656" s="277"/>
      <c r="AD1656" s="277"/>
      <c r="AE1656" s="277"/>
      <c r="AF1656" s="277"/>
      <c r="AG1656" s="277"/>
      <c r="AH1656" s="277"/>
    </row>
    <row r="1657" spans="16:34" s="185" customFormat="1">
      <c r="P1657" s="277"/>
      <c r="Q1657" s="277"/>
      <c r="R1657" s="277"/>
      <c r="S1657" s="291">
        <v>43213</v>
      </c>
      <c r="T1657" s="279">
        <v>1574</v>
      </c>
      <c r="U1657" s="277"/>
      <c r="V1657" s="277"/>
      <c r="W1657" s="277"/>
      <c r="X1657" s="277"/>
      <c r="Y1657" s="277"/>
      <c r="Z1657" s="277"/>
      <c r="AA1657" s="277"/>
      <c r="AB1657" s="277"/>
      <c r="AC1657" s="277"/>
      <c r="AD1657" s="277"/>
      <c r="AE1657" s="277"/>
      <c r="AF1657" s="277"/>
      <c r="AG1657" s="277"/>
      <c r="AH1657" s="277"/>
    </row>
    <row r="1658" spans="16:34" s="185" customFormat="1">
      <c r="P1658" s="277"/>
      <c r="Q1658" s="277"/>
      <c r="R1658" s="277"/>
      <c r="S1658" s="291">
        <v>43214</v>
      </c>
      <c r="T1658" s="279">
        <v>1575</v>
      </c>
      <c r="U1658" s="277"/>
      <c r="V1658" s="277"/>
      <c r="W1658" s="277"/>
      <c r="X1658" s="277"/>
      <c r="Y1658" s="277"/>
      <c r="Z1658" s="277"/>
      <c r="AA1658" s="277"/>
      <c r="AB1658" s="277"/>
      <c r="AC1658" s="277"/>
      <c r="AD1658" s="277"/>
      <c r="AE1658" s="277"/>
      <c r="AF1658" s="277"/>
      <c r="AG1658" s="277"/>
      <c r="AH1658" s="277"/>
    </row>
    <row r="1659" spans="16:34" s="185" customFormat="1">
      <c r="P1659" s="277"/>
      <c r="Q1659" s="277"/>
      <c r="R1659" s="277"/>
      <c r="S1659" s="291">
        <v>43215</v>
      </c>
      <c r="T1659" s="279">
        <v>1576</v>
      </c>
      <c r="U1659" s="277"/>
      <c r="V1659" s="277"/>
      <c r="W1659" s="277"/>
      <c r="X1659" s="277"/>
      <c r="Y1659" s="277"/>
      <c r="Z1659" s="277"/>
      <c r="AA1659" s="277"/>
      <c r="AB1659" s="277"/>
      <c r="AC1659" s="277"/>
      <c r="AD1659" s="277"/>
      <c r="AE1659" s="277"/>
      <c r="AF1659" s="277"/>
      <c r="AG1659" s="277"/>
      <c r="AH1659" s="277"/>
    </row>
    <row r="1660" spans="16:34" s="185" customFormat="1">
      <c r="P1660" s="277"/>
      <c r="Q1660" s="277"/>
      <c r="R1660" s="277"/>
      <c r="S1660" s="291">
        <v>43216</v>
      </c>
      <c r="T1660" s="279">
        <v>1577</v>
      </c>
      <c r="U1660" s="277"/>
      <c r="V1660" s="277"/>
      <c r="W1660" s="277"/>
      <c r="X1660" s="277"/>
      <c r="Y1660" s="277"/>
      <c r="Z1660" s="277"/>
      <c r="AA1660" s="277"/>
      <c r="AB1660" s="277"/>
      <c r="AC1660" s="277"/>
      <c r="AD1660" s="277"/>
      <c r="AE1660" s="277"/>
      <c r="AF1660" s="277"/>
      <c r="AG1660" s="277"/>
      <c r="AH1660" s="277"/>
    </row>
    <row r="1661" spans="16:34" s="185" customFormat="1">
      <c r="P1661" s="277"/>
      <c r="Q1661" s="277"/>
      <c r="R1661" s="277"/>
      <c r="S1661" s="291">
        <v>43217</v>
      </c>
      <c r="T1661" s="279">
        <v>1578</v>
      </c>
      <c r="U1661" s="277"/>
      <c r="V1661" s="277"/>
      <c r="W1661" s="277"/>
      <c r="X1661" s="277"/>
      <c r="Y1661" s="277"/>
      <c r="Z1661" s="277"/>
      <c r="AA1661" s="277"/>
      <c r="AB1661" s="277"/>
      <c r="AC1661" s="277"/>
      <c r="AD1661" s="277"/>
      <c r="AE1661" s="277"/>
      <c r="AF1661" s="277"/>
      <c r="AG1661" s="277"/>
      <c r="AH1661" s="277"/>
    </row>
    <row r="1662" spans="16:34" s="185" customFormat="1">
      <c r="P1662" s="277"/>
      <c r="Q1662" s="277"/>
      <c r="R1662" s="277"/>
      <c r="S1662" s="291">
        <v>43218</v>
      </c>
      <c r="T1662" s="279">
        <v>1579</v>
      </c>
      <c r="U1662" s="277"/>
      <c r="V1662" s="277"/>
      <c r="W1662" s="277"/>
      <c r="X1662" s="277"/>
      <c r="Y1662" s="277"/>
      <c r="Z1662" s="277"/>
      <c r="AA1662" s="277"/>
      <c r="AB1662" s="277"/>
      <c r="AC1662" s="277"/>
      <c r="AD1662" s="277"/>
      <c r="AE1662" s="277"/>
      <c r="AF1662" s="277"/>
      <c r="AG1662" s="277"/>
      <c r="AH1662" s="277"/>
    </row>
    <row r="1663" spans="16:34" s="185" customFormat="1">
      <c r="P1663" s="277"/>
      <c r="Q1663" s="277"/>
      <c r="R1663" s="277"/>
      <c r="S1663" s="291">
        <v>43219</v>
      </c>
      <c r="T1663" s="279">
        <v>1580</v>
      </c>
      <c r="U1663" s="277"/>
      <c r="V1663" s="277"/>
      <c r="W1663" s="277"/>
      <c r="X1663" s="277"/>
      <c r="Y1663" s="277"/>
      <c r="Z1663" s="277"/>
      <c r="AA1663" s="277"/>
      <c r="AB1663" s="277"/>
      <c r="AC1663" s="277"/>
      <c r="AD1663" s="277"/>
      <c r="AE1663" s="277"/>
      <c r="AF1663" s="277"/>
      <c r="AG1663" s="277"/>
      <c r="AH1663" s="277"/>
    </row>
    <row r="1664" spans="16:34" s="185" customFormat="1">
      <c r="P1664" s="277"/>
      <c r="Q1664" s="277"/>
      <c r="R1664" s="277"/>
      <c r="S1664" s="291">
        <v>43220</v>
      </c>
      <c r="T1664" s="279">
        <v>1581</v>
      </c>
      <c r="U1664" s="277"/>
      <c r="V1664" s="277"/>
      <c r="W1664" s="277"/>
      <c r="X1664" s="277"/>
      <c r="Y1664" s="277"/>
      <c r="Z1664" s="277"/>
      <c r="AA1664" s="277"/>
      <c r="AB1664" s="277"/>
      <c r="AC1664" s="277"/>
      <c r="AD1664" s="277"/>
      <c r="AE1664" s="277"/>
      <c r="AF1664" s="277"/>
      <c r="AG1664" s="277"/>
      <c r="AH1664" s="277"/>
    </row>
    <row r="1665" spans="16:34" s="185" customFormat="1">
      <c r="P1665" s="277"/>
      <c r="Q1665" s="277"/>
      <c r="R1665" s="277"/>
      <c r="S1665" s="291">
        <v>43221</v>
      </c>
      <c r="T1665" s="279">
        <v>1582</v>
      </c>
      <c r="U1665" s="277"/>
      <c r="V1665" s="277"/>
      <c r="W1665" s="277"/>
      <c r="X1665" s="277"/>
      <c r="Y1665" s="277"/>
      <c r="Z1665" s="277"/>
      <c r="AA1665" s="277"/>
      <c r="AB1665" s="277"/>
      <c r="AC1665" s="277"/>
      <c r="AD1665" s="277"/>
      <c r="AE1665" s="277"/>
      <c r="AF1665" s="277"/>
      <c r="AG1665" s="277"/>
      <c r="AH1665" s="277"/>
    </row>
    <row r="1666" spans="16:34" s="185" customFormat="1">
      <c r="P1666" s="277"/>
      <c r="Q1666" s="277"/>
      <c r="R1666" s="277"/>
      <c r="S1666" s="291">
        <v>43222</v>
      </c>
      <c r="T1666" s="279">
        <v>1583</v>
      </c>
      <c r="U1666" s="277"/>
      <c r="V1666" s="277"/>
      <c r="W1666" s="277"/>
      <c r="X1666" s="277"/>
      <c r="Y1666" s="277"/>
      <c r="Z1666" s="277"/>
      <c r="AA1666" s="277"/>
      <c r="AB1666" s="277"/>
      <c r="AC1666" s="277"/>
      <c r="AD1666" s="277"/>
      <c r="AE1666" s="277"/>
      <c r="AF1666" s="277"/>
      <c r="AG1666" s="277"/>
      <c r="AH1666" s="277"/>
    </row>
    <row r="1667" spans="16:34" s="185" customFormat="1">
      <c r="P1667" s="277"/>
      <c r="Q1667" s="277"/>
      <c r="R1667" s="277"/>
      <c r="S1667" s="291">
        <v>43223</v>
      </c>
      <c r="T1667" s="279">
        <v>1584</v>
      </c>
      <c r="U1667" s="277"/>
      <c r="V1667" s="277"/>
      <c r="W1667" s="277"/>
      <c r="X1667" s="277"/>
      <c r="Y1667" s="277"/>
      <c r="Z1667" s="277"/>
      <c r="AA1667" s="277"/>
      <c r="AB1667" s="277"/>
      <c r="AC1667" s="277"/>
      <c r="AD1667" s="277"/>
      <c r="AE1667" s="277"/>
      <c r="AF1667" s="277"/>
      <c r="AG1667" s="277"/>
      <c r="AH1667" s="277"/>
    </row>
    <row r="1668" spans="16:34" s="185" customFormat="1">
      <c r="P1668" s="277"/>
      <c r="Q1668" s="277"/>
      <c r="R1668" s="277"/>
      <c r="S1668" s="291">
        <v>43224</v>
      </c>
      <c r="T1668" s="279">
        <v>1585</v>
      </c>
      <c r="U1668" s="277"/>
      <c r="V1668" s="277"/>
      <c r="W1668" s="277"/>
      <c r="X1668" s="277"/>
      <c r="Y1668" s="277"/>
      <c r="Z1668" s="277"/>
      <c r="AA1668" s="277"/>
      <c r="AB1668" s="277"/>
      <c r="AC1668" s="277"/>
      <c r="AD1668" s="277"/>
      <c r="AE1668" s="277"/>
      <c r="AF1668" s="277"/>
      <c r="AG1668" s="277"/>
      <c r="AH1668" s="277"/>
    </row>
    <row r="1669" spans="16:34" s="185" customFormat="1">
      <c r="P1669" s="277"/>
      <c r="Q1669" s="277"/>
      <c r="R1669" s="277"/>
      <c r="S1669" s="291">
        <v>43225</v>
      </c>
      <c r="T1669" s="279">
        <v>1586</v>
      </c>
      <c r="U1669" s="277"/>
      <c r="V1669" s="277"/>
      <c r="W1669" s="277"/>
      <c r="X1669" s="277"/>
      <c r="Y1669" s="277"/>
      <c r="Z1669" s="277"/>
      <c r="AA1669" s="277"/>
      <c r="AB1669" s="277"/>
      <c r="AC1669" s="277"/>
      <c r="AD1669" s="277"/>
      <c r="AE1669" s="277"/>
      <c r="AF1669" s="277"/>
      <c r="AG1669" s="277"/>
      <c r="AH1669" s="277"/>
    </row>
    <row r="1670" spans="16:34" s="185" customFormat="1">
      <c r="P1670" s="277"/>
      <c r="Q1670" s="277"/>
      <c r="R1670" s="277"/>
      <c r="S1670" s="291">
        <v>43226</v>
      </c>
      <c r="T1670" s="279">
        <v>1587</v>
      </c>
      <c r="U1670" s="277"/>
      <c r="V1670" s="277"/>
      <c r="W1670" s="277"/>
      <c r="X1670" s="277"/>
      <c r="Y1670" s="277"/>
      <c r="Z1670" s="277"/>
      <c r="AA1670" s="277"/>
      <c r="AB1670" s="277"/>
      <c r="AC1670" s="277"/>
      <c r="AD1670" s="277"/>
      <c r="AE1670" s="277"/>
      <c r="AF1670" s="277"/>
      <c r="AG1670" s="277"/>
      <c r="AH1670" s="277"/>
    </row>
    <row r="1671" spans="16:34" s="185" customFormat="1">
      <c r="P1671" s="277"/>
      <c r="Q1671" s="277"/>
      <c r="R1671" s="277"/>
      <c r="S1671" s="291">
        <v>43227</v>
      </c>
      <c r="T1671" s="279">
        <v>1588</v>
      </c>
      <c r="U1671" s="277"/>
      <c r="V1671" s="277"/>
      <c r="W1671" s="277"/>
      <c r="X1671" s="277"/>
      <c r="Y1671" s="277"/>
      <c r="Z1671" s="277"/>
      <c r="AA1671" s="277"/>
      <c r="AB1671" s="277"/>
      <c r="AC1671" s="277"/>
      <c r="AD1671" s="277"/>
      <c r="AE1671" s="277"/>
      <c r="AF1671" s="277"/>
      <c r="AG1671" s="277"/>
      <c r="AH1671" s="277"/>
    </row>
    <row r="1672" spans="16:34" s="185" customFormat="1">
      <c r="P1672" s="277"/>
      <c r="Q1672" s="277"/>
      <c r="R1672" s="277"/>
      <c r="S1672" s="291">
        <v>43228</v>
      </c>
      <c r="T1672" s="279">
        <v>1589</v>
      </c>
      <c r="U1672" s="277"/>
      <c r="V1672" s="277"/>
      <c r="W1672" s="277"/>
      <c r="X1672" s="277"/>
      <c r="Y1672" s="277"/>
      <c r="Z1672" s="277"/>
      <c r="AA1672" s="277"/>
      <c r="AB1672" s="277"/>
      <c r="AC1672" s="277"/>
      <c r="AD1672" s="277"/>
      <c r="AE1672" s="277"/>
      <c r="AF1672" s="277"/>
      <c r="AG1672" s="277"/>
      <c r="AH1672" s="277"/>
    </row>
    <row r="1673" spans="16:34" s="185" customFormat="1">
      <c r="P1673" s="277"/>
      <c r="Q1673" s="277"/>
      <c r="R1673" s="277"/>
      <c r="S1673" s="291">
        <v>43229</v>
      </c>
      <c r="T1673" s="279">
        <v>1590</v>
      </c>
      <c r="U1673" s="277"/>
      <c r="V1673" s="277"/>
      <c r="W1673" s="277"/>
      <c r="X1673" s="277"/>
      <c r="Y1673" s="277"/>
      <c r="Z1673" s="277"/>
      <c r="AA1673" s="277"/>
      <c r="AB1673" s="277"/>
      <c r="AC1673" s="277"/>
      <c r="AD1673" s="277"/>
      <c r="AE1673" s="277"/>
      <c r="AF1673" s="277"/>
      <c r="AG1673" s="277"/>
      <c r="AH1673" s="277"/>
    </row>
    <row r="1674" spans="16:34" s="185" customFormat="1">
      <c r="P1674" s="277"/>
      <c r="Q1674" s="277"/>
      <c r="R1674" s="277"/>
      <c r="S1674" s="291">
        <v>43230</v>
      </c>
      <c r="T1674" s="279">
        <v>1591</v>
      </c>
      <c r="U1674" s="277"/>
      <c r="V1674" s="277"/>
      <c r="W1674" s="277"/>
      <c r="X1674" s="277"/>
      <c r="Y1674" s="277"/>
      <c r="Z1674" s="277"/>
      <c r="AA1674" s="277"/>
      <c r="AB1674" s="277"/>
      <c r="AC1674" s="277"/>
      <c r="AD1674" s="277"/>
      <c r="AE1674" s="277"/>
      <c r="AF1674" s="277"/>
      <c r="AG1674" s="277"/>
      <c r="AH1674" s="277"/>
    </row>
    <row r="1675" spans="16:34" s="185" customFormat="1">
      <c r="P1675" s="277"/>
      <c r="Q1675" s="277"/>
      <c r="R1675" s="277"/>
      <c r="S1675" s="291">
        <v>43231</v>
      </c>
      <c r="T1675" s="279">
        <v>1592</v>
      </c>
      <c r="U1675" s="277"/>
      <c r="V1675" s="277"/>
      <c r="W1675" s="277"/>
      <c r="X1675" s="277"/>
      <c r="Y1675" s="277"/>
      <c r="Z1675" s="277"/>
      <c r="AA1675" s="277"/>
      <c r="AB1675" s="277"/>
      <c r="AC1675" s="277"/>
      <c r="AD1675" s="277"/>
      <c r="AE1675" s="277"/>
      <c r="AF1675" s="277"/>
      <c r="AG1675" s="277"/>
      <c r="AH1675" s="277"/>
    </row>
    <row r="1676" spans="16:34" s="185" customFormat="1">
      <c r="P1676" s="277"/>
      <c r="Q1676" s="277"/>
      <c r="R1676" s="277"/>
      <c r="S1676" s="291">
        <v>43232</v>
      </c>
      <c r="T1676" s="279">
        <v>1593</v>
      </c>
      <c r="U1676" s="277"/>
      <c r="V1676" s="277"/>
      <c r="W1676" s="277"/>
      <c r="X1676" s="277"/>
      <c r="Y1676" s="277"/>
      <c r="Z1676" s="277"/>
      <c r="AA1676" s="277"/>
      <c r="AB1676" s="277"/>
      <c r="AC1676" s="277"/>
      <c r="AD1676" s="277"/>
      <c r="AE1676" s="277"/>
      <c r="AF1676" s="277"/>
      <c r="AG1676" s="277"/>
      <c r="AH1676" s="277"/>
    </row>
    <row r="1677" spans="16:34" s="185" customFormat="1">
      <c r="P1677" s="277"/>
      <c r="Q1677" s="277"/>
      <c r="R1677" s="277"/>
      <c r="S1677" s="291">
        <v>43233</v>
      </c>
      <c r="T1677" s="279">
        <v>1594</v>
      </c>
      <c r="U1677" s="277"/>
      <c r="V1677" s="277"/>
      <c r="W1677" s="277"/>
      <c r="X1677" s="277"/>
      <c r="Y1677" s="277"/>
      <c r="Z1677" s="277"/>
      <c r="AA1677" s="277"/>
      <c r="AB1677" s="277"/>
      <c r="AC1677" s="277"/>
      <c r="AD1677" s="277"/>
      <c r="AE1677" s="277"/>
      <c r="AF1677" s="277"/>
      <c r="AG1677" s="277"/>
      <c r="AH1677" s="277"/>
    </row>
    <row r="1678" spans="16:34" s="185" customFormat="1">
      <c r="P1678" s="277"/>
      <c r="Q1678" s="277"/>
      <c r="R1678" s="277"/>
      <c r="S1678" s="291">
        <v>43234</v>
      </c>
      <c r="T1678" s="279">
        <v>1595</v>
      </c>
      <c r="U1678" s="277"/>
      <c r="V1678" s="277"/>
      <c r="W1678" s="277"/>
      <c r="X1678" s="277"/>
      <c r="Y1678" s="277"/>
      <c r="Z1678" s="277"/>
      <c r="AA1678" s="277"/>
      <c r="AB1678" s="277"/>
      <c r="AC1678" s="277"/>
      <c r="AD1678" s="277"/>
      <c r="AE1678" s="277"/>
      <c r="AF1678" s="277"/>
      <c r="AG1678" s="277"/>
      <c r="AH1678" s="277"/>
    </row>
    <row r="1679" spans="16:34" s="185" customFormat="1">
      <c r="P1679" s="277"/>
      <c r="Q1679" s="277"/>
      <c r="R1679" s="277"/>
      <c r="S1679" s="291">
        <v>43235</v>
      </c>
      <c r="T1679" s="279">
        <v>1596</v>
      </c>
      <c r="U1679" s="277"/>
      <c r="V1679" s="277"/>
      <c r="W1679" s="277"/>
      <c r="X1679" s="277"/>
      <c r="Y1679" s="277"/>
      <c r="Z1679" s="277"/>
      <c r="AA1679" s="277"/>
      <c r="AB1679" s="277"/>
      <c r="AC1679" s="277"/>
      <c r="AD1679" s="277"/>
      <c r="AE1679" s="277"/>
      <c r="AF1679" s="277"/>
      <c r="AG1679" s="277"/>
      <c r="AH1679" s="277"/>
    </row>
    <row r="1680" spans="16:34" s="185" customFormat="1">
      <c r="P1680" s="277"/>
      <c r="Q1680" s="277"/>
      <c r="R1680" s="277"/>
      <c r="S1680" s="291">
        <v>43236</v>
      </c>
      <c r="T1680" s="279">
        <v>1597</v>
      </c>
      <c r="U1680" s="277"/>
      <c r="V1680" s="277"/>
      <c r="W1680" s="277"/>
      <c r="X1680" s="277"/>
      <c r="Y1680" s="277"/>
      <c r="Z1680" s="277"/>
      <c r="AA1680" s="277"/>
      <c r="AB1680" s="277"/>
      <c r="AC1680" s="277"/>
      <c r="AD1680" s="277"/>
      <c r="AE1680" s="277"/>
      <c r="AF1680" s="277"/>
      <c r="AG1680" s="277"/>
      <c r="AH1680" s="277"/>
    </row>
    <row r="1681" spans="16:34" s="185" customFormat="1">
      <c r="P1681" s="277"/>
      <c r="Q1681" s="277"/>
      <c r="R1681" s="277"/>
      <c r="S1681" s="291">
        <v>43237</v>
      </c>
      <c r="T1681" s="279">
        <v>1598</v>
      </c>
      <c r="U1681" s="277"/>
      <c r="V1681" s="277"/>
      <c r="W1681" s="277"/>
      <c r="X1681" s="277"/>
      <c r="Y1681" s="277"/>
      <c r="Z1681" s="277"/>
      <c r="AA1681" s="277"/>
      <c r="AB1681" s="277"/>
      <c r="AC1681" s="277"/>
      <c r="AD1681" s="277"/>
      <c r="AE1681" s="277"/>
      <c r="AF1681" s="277"/>
      <c r="AG1681" s="277"/>
      <c r="AH1681" s="277"/>
    </row>
    <row r="1682" spans="16:34" s="185" customFormat="1">
      <c r="P1682" s="277"/>
      <c r="Q1682" s="277"/>
      <c r="R1682" s="277"/>
      <c r="S1682" s="291">
        <v>43238</v>
      </c>
      <c r="T1682" s="279">
        <v>1599</v>
      </c>
      <c r="U1682" s="277"/>
      <c r="V1682" s="277"/>
      <c r="W1682" s="277"/>
      <c r="X1682" s="277"/>
      <c r="Y1682" s="277"/>
      <c r="Z1682" s="277"/>
      <c r="AA1682" s="277"/>
      <c r="AB1682" s="277"/>
      <c r="AC1682" s="277"/>
      <c r="AD1682" s="277"/>
      <c r="AE1682" s="277"/>
      <c r="AF1682" s="277"/>
      <c r="AG1682" s="277"/>
      <c r="AH1682" s="277"/>
    </row>
    <row r="1683" spans="16:34" s="185" customFormat="1">
      <c r="P1683" s="277"/>
      <c r="Q1683" s="277"/>
      <c r="R1683" s="277"/>
      <c r="S1683" s="291">
        <v>43239</v>
      </c>
      <c r="T1683" s="279">
        <v>1600</v>
      </c>
      <c r="U1683" s="277"/>
      <c r="V1683" s="277"/>
      <c r="W1683" s="277"/>
      <c r="X1683" s="277"/>
      <c r="Y1683" s="277"/>
      <c r="Z1683" s="277"/>
      <c r="AA1683" s="277"/>
      <c r="AB1683" s="277"/>
      <c r="AC1683" s="277"/>
      <c r="AD1683" s="277"/>
      <c r="AE1683" s="277"/>
      <c r="AF1683" s="277"/>
      <c r="AG1683" s="277"/>
      <c r="AH1683" s="277"/>
    </row>
    <row r="1684" spans="16:34" s="185" customFormat="1">
      <c r="P1684" s="277"/>
      <c r="Q1684" s="277"/>
      <c r="R1684" s="277"/>
      <c r="S1684" s="291">
        <v>43240</v>
      </c>
      <c r="T1684" s="279">
        <v>1601</v>
      </c>
      <c r="U1684" s="277"/>
      <c r="V1684" s="277"/>
      <c r="W1684" s="277"/>
      <c r="X1684" s="277"/>
      <c r="Y1684" s="277"/>
      <c r="Z1684" s="277"/>
      <c r="AA1684" s="277"/>
      <c r="AB1684" s="277"/>
      <c r="AC1684" s="277"/>
      <c r="AD1684" s="277"/>
      <c r="AE1684" s="277"/>
      <c r="AF1684" s="277"/>
      <c r="AG1684" s="277"/>
      <c r="AH1684" s="277"/>
    </row>
    <row r="1685" spans="16:34" s="185" customFormat="1">
      <c r="P1685" s="277"/>
      <c r="Q1685" s="277"/>
      <c r="R1685" s="277"/>
      <c r="S1685" s="291">
        <v>43241</v>
      </c>
      <c r="T1685" s="279">
        <v>1602</v>
      </c>
      <c r="U1685" s="277"/>
      <c r="V1685" s="277"/>
      <c r="W1685" s="277"/>
      <c r="X1685" s="277"/>
      <c r="Y1685" s="277"/>
      <c r="Z1685" s="277"/>
      <c r="AA1685" s="277"/>
      <c r="AB1685" s="277"/>
      <c r="AC1685" s="277"/>
      <c r="AD1685" s="277"/>
      <c r="AE1685" s="277"/>
      <c r="AF1685" s="277"/>
      <c r="AG1685" s="277"/>
      <c r="AH1685" s="277"/>
    </row>
    <row r="1686" spans="16:34" s="185" customFormat="1">
      <c r="P1686" s="277"/>
      <c r="Q1686" s="277"/>
      <c r="R1686" s="277"/>
      <c r="S1686" s="291">
        <v>43242</v>
      </c>
      <c r="T1686" s="279">
        <v>1603</v>
      </c>
      <c r="U1686" s="277"/>
      <c r="V1686" s="277"/>
      <c r="W1686" s="277"/>
      <c r="X1686" s="277"/>
      <c r="Y1686" s="277"/>
      <c r="Z1686" s="277"/>
      <c r="AA1686" s="277"/>
      <c r="AB1686" s="277"/>
      <c r="AC1686" s="277"/>
      <c r="AD1686" s="277"/>
      <c r="AE1686" s="277"/>
      <c r="AF1686" s="277"/>
      <c r="AG1686" s="277"/>
      <c r="AH1686" s="277"/>
    </row>
    <row r="1687" spans="16:34" s="185" customFormat="1">
      <c r="P1687" s="277"/>
      <c r="Q1687" s="277"/>
      <c r="R1687" s="277"/>
      <c r="S1687" s="291">
        <v>43243</v>
      </c>
      <c r="T1687" s="279">
        <v>1604</v>
      </c>
      <c r="U1687" s="277"/>
      <c r="V1687" s="277"/>
      <c r="W1687" s="277"/>
      <c r="X1687" s="277"/>
      <c r="Y1687" s="277"/>
      <c r="Z1687" s="277"/>
      <c r="AA1687" s="277"/>
      <c r="AB1687" s="277"/>
      <c r="AC1687" s="277"/>
      <c r="AD1687" s="277"/>
      <c r="AE1687" s="277"/>
      <c r="AF1687" s="277"/>
      <c r="AG1687" s="277"/>
      <c r="AH1687" s="277"/>
    </row>
    <row r="1688" spans="16:34" s="185" customFormat="1">
      <c r="P1688" s="277"/>
      <c r="Q1688" s="277"/>
      <c r="R1688" s="277"/>
      <c r="S1688" s="291">
        <v>43244</v>
      </c>
      <c r="T1688" s="279">
        <v>1605</v>
      </c>
      <c r="U1688" s="277"/>
      <c r="V1688" s="277"/>
      <c r="W1688" s="277"/>
      <c r="X1688" s="277"/>
      <c r="Y1688" s="277"/>
      <c r="Z1688" s="277"/>
      <c r="AA1688" s="277"/>
      <c r="AB1688" s="277"/>
      <c r="AC1688" s="277"/>
      <c r="AD1688" s="277"/>
      <c r="AE1688" s="277"/>
      <c r="AF1688" s="277"/>
      <c r="AG1688" s="277"/>
      <c r="AH1688" s="277"/>
    </row>
    <row r="1689" spans="16:34" s="185" customFormat="1">
      <c r="P1689" s="277"/>
      <c r="Q1689" s="277"/>
      <c r="R1689" s="277"/>
      <c r="S1689" s="291">
        <v>43245</v>
      </c>
      <c r="T1689" s="279">
        <v>1606</v>
      </c>
      <c r="U1689" s="277"/>
      <c r="V1689" s="277"/>
      <c r="W1689" s="277"/>
      <c r="X1689" s="277"/>
      <c r="Y1689" s="277"/>
      <c r="Z1689" s="277"/>
      <c r="AA1689" s="277"/>
      <c r="AB1689" s="277"/>
      <c r="AC1689" s="277"/>
      <c r="AD1689" s="277"/>
      <c r="AE1689" s="277"/>
      <c r="AF1689" s="277"/>
      <c r="AG1689" s="277"/>
      <c r="AH1689" s="277"/>
    </row>
    <row r="1690" spans="16:34" s="185" customFormat="1">
      <c r="P1690" s="277"/>
      <c r="Q1690" s="277"/>
      <c r="R1690" s="277"/>
      <c r="S1690" s="291">
        <v>43246</v>
      </c>
      <c r="T1690" s="279">
        <v>1607</v>
      </c>
      <c r="U1690" s="277"/>
      <c r="V1690" s="277"/>
      <c r="W1690" s="277"/>
      <c r="X1690" s="277"/>
      <c r="Y1690" s="277"/>
      <c r="Z1690" s="277"/>
      <c r="AA1690" s="277"/>
      <c r="AB1690" s="277"/>
      <c r="AC1690" s="277"/>
      <c r="AD1690" s="277"/>
      <c r="AE1690" s="277"/>
      <c r="AF1690" s="277"/>
      <c r="AG1690" s="277"/>
      <c r="AH1690" s="277"/>
    </row>
    <row r="1691" spans="16:34" s="185" customFormat="1">
      <c r="P1691" s="277"/>
      <c r="Q1691" s="277"/>
      <c r="R1691" s="277"/>
      <c r="S1691" s="291">
        <v>43247</v>
      </c>
      <c r="T1691" s="279">
        <v>1608</v>
      </c>
      <c r="U1691" s="277"/>
      <c r="V1691" s="277"/>
      <c r="W1691" s="277"/>
      <c r="X1691" s="277"/>
      <c r="Y1691" s="277"/>
      <c r="Z1691" s="277"/>
      <c r="AA1691" s="277"/>
      <c r="AB1691" s="277"/>
      <c r="AC1691" s="277"/>
      <c r="AD1691" s="277"/>
      <c r="AE1691" s="277"/>
      <c r="AF1691" s="277"/>
      <c r="AG1691" s="277"/>
      <c r="AH1691" s="277"/>
    </row>
    <row r="1692" spans="16:34" s="185" customFormat="1">
      <c r="P1692" s="277"/>
      <c r="Q1692" s="277"/>
      <c r="R1692" s="277"/>
      <c r="S1692" s="291">
        <v>43248</v>
      </c>
      <c r="T1692" s="279">
        <v>1609</v>
      </c>
      <c r="U1692" s="277"/>
      <c r="V1692" s="277"/>
      <c r="W1692" s="277"/>
      <c r="X1692" s="277"/>
      <c r="Y1692" s="277"/>
      <c r="Z1692" s="277"/>
      <c r="AA1692" s="277"/>
      <c r="AB1692" s="277"/>
      <c r="AC1692" s="277"/>
      <c r="AD1692" s="277"/>
      <c r="AE1692" s="277"/>
      <c r="AF1692" s="277"/>
      <c r="AG1692" s="277"/>
      <c r="AH1692" s="277"/>
    </row>
    <row r="1693" spans="16:34" s="185" customFormat="1">
      <c r="P1693" s="277"/>
      <c r="Q1693" s="277"/>
      <c r="R1693" s="277"/>
      <c r="S1693" s="291">
        <v>43249</v>
      </c>
      <c r="T1693" s="279">
        <v>1610</v>
      </c>
      <c r="U1693" s="277"/>
      <c r="V1693" s="277"/>
      <c r="W1693" s="277"/>
      <c r="X1693" s="277"/>
      <c r="Y1693" s="277"/>
      <c r="Z1693" s="277"/>
      <c r="AA1693" s="277"/>
      <c r="AB1693" s="277"/>
      <c r="AC1693" s="277"/>
      <c r="AD1693" s="277"/>
      <c r="AE1693" s="277"/>
      <c r="AF1693" s="277"/>
      <c r="AG1693" s="277"/>
      <c r="AH1693" s="277"/>
    </row>
    <row r="1694" spans="16:34" s="185" customFormat="1">
      <c r="P1694" s="277"/>
      <c r="Q1694" s="277"/>
      <c r="R1694" s="277"/>
      <c r="S1694" s="291">
        <v>43250</v>
      </c>
      <c r="T1694" s="279">
        <v>1611</v>
      </c>
      <c r="U1694" s="277"/>
      <c r="V1694" s="277"/>
      <c r="W1694" s="277"/>
      <c r="X1694" s="277"/>
      <c r="Y1694" s="277"/>
      <c r="Z1694" s="277"/>
      <c r="AA1694" s="277"/>
      <c r="AB1694" s="277"/>
      <c r="AC1694" s="277"/>
      <c r="AD1694" s="277"/>
      <c r="AE1694" s="277"/>
      <c r="AF1694" s="277"/>
      <c r="AG1694" s="277"/>
      <c r="AH1694" s="277"/>
    </row>
    <row r="1695" spans="16:34" s="185" customFormat="1">
      <c r="P1695" s="277"/>
      <c r="Q1695" s="277"/>
      <c r="R1695" s="277"/>
      <c r="S1695" s="291">
        <v>43251</v>
      </c>
      <c r="T1695" s="279">
        <v>1612</v>
      </c>
      <c r="U1695" s="277"/>
      <c r="V1695" s="277"/>
      <c r="W1695" s="277"/>
      <c r="X1695" s="277"/>
      <c r="Y1695" s="277"/>
      <c r="Z1695" s="277"/>
      <c r="AA1695" s="277"/>
      <c r="AB1695" s="277"/>
      <c r="AC1695" s="277"/>
      <c r="AD1695" s="277"/>
      <c r="AE1695" s="277"/>
      <c r="AF1695" s="277"/>
      <c r="AG1695" s="277"/>
      <c r="AH1695" s="277"/>
    </row>
    <row r="1696" spans="16:34" s="185" customFormat="1">
      <c r="P1696" s="277"/>
      <c r="Q1696" s="277"/>
      <c r="R1696" s="277"/>
      <c r="S1696" s="291">
        <v>43252</v>
      </c>
      <c r="T1696" s="279">
        <v>1613</v>
      </c>
      <c r="U1696" s="277"/>
      <c r="V1696" s="277"/>
      <c r="W1696" s="277"/>
      <c r="X1696" s="277"/>
      <c r="Y1696" s="277"/>
      <c r="Z1696" s="277"/>
      <c r="AA1696" s="277"/>
      <c r="AB1696" s="277"/>
      <c r="AC1696" s="277"/>
      <c r="AD1696" s="277"/>
      <c r="AE1696" s="277"/>
      <c r="AF1696" s="277"/>
      <c r="AG1696" s="277"/>
      <c r="AH1696" s="277"/>
    </row>
    <row r="1697" spans="16:34" s="185" customFormat="1">
      <c r="P1697" s="277"/>
      <c r="Q1697" s="277"/>
      <c r="R1697" s="277"/>
      <c r="S1697" s="291">
        <v>43253</v>
      </c>
      <c r="T1697" s="279">
        <v>1614</v>
      </c>
      <c r="U1697" s="277"/>
      <c r="V1697" s="277"/>
      <c r="W1697" s="277"/>
      <c r="X1697" s="277"/>
      <c r="Y1697" s="277"/>
      <c r="Z1697" s="277"/>
      <c r="AA1697" s="277"/>
      <c r="AB1697" s="277"/>
      <c r="AC1697" s="277"/>
      <c r="AD1697" s="277"/>
      <c r="AE1697" s="277"/>
      <c r="AF1697" s="277"/>
      <c r="AG1697" s="277"/>
      <c r="AH1697" s="277"/>
    </row>
    <row r="1698" spans="16:34" s="185" customFormat="1">
      <c r="P1698" s="277"/>
      <c r="Q1698" s="277"/>
      <c r="R1698" s="277"/>
      <c r="S1698" s="291">
        <v>43254</v>
      </c>
      <c r="T1698" s="279">
        <v>1615</v>
      </c>
      <c r="U1698" s="277"/>
      <c r="V1698" s="277"/>
      <c r="W1698" s="277"/>
      <c r="X1698" s="277"/>
      <c r="Y1698" s="277"/>
      <c r="Z1698" s="277"/>
      <c r="AA1698" s="277"/>
      <c r="AB1698" s="277"/>
      <c r="AC1698" s="277"/>
      <c r="AD1698" s="277"/>
      <c r="AE1698" s="277"/>
      <c r="AF1698" s="277"/>
      <c r="AG1698" s="277"/>
      <c r="AH1698" s="277"/>
    </row>
    <row r="1699" spans="16:34" s="185" customFormat="1">
      <c r="P1699" s="277"/>
      <c r="Q1699" s="277"/>
      <c r="R1699" s="277"/>
      <c r="S1699" s="291">
        <v>43255</v>
      </c>
      <c r="T1699" s="279">
        <v>1616</v>
      </c>
      <c r="U1699" s="277"/>
      <c r="V1699" s="277"/>
      <c r="W1699" s="277"/>
      <c r="X1699" s="277"/>
      <c r="Y1699" s="277"/>
      <c r="Z1699" s="277"/>
      <c r="AA1699" s="277"/>
      <c r="AB1699" s="277"/>
      <c r="AC1699" s="277"/>
      <c r="AD1699" s="277"/>
      <c r="AE1699" s="277"/>
      <c r="AF1699" s="277"/>
      <c r="AG1699" s="277"/>
      <c r="AH1699" s="277"/>
    </row>
    <row r="1700" spans="16:34" s="185" customFormat="1">
      <c r="P1700" s="277"/>
      <c r="Q1700" s="277"/>
      <c r="R1700" s="277"/>
      <c r="S1700" s="291">
        <v>43256</v>
      </c>
      <c r="T1700" s="279">
        <v>1617</v>
      </c>
      <c r="U1700" s="277"/>
      <c r="V1700" s="277"/>
      <c r="W1700" s="277"/>
      <c r="X1700" s="277"/>
      <c r="Y1700" s="277"/>
      <c r="Z1700" s="277"/>
      <c r="AA1700" s="277"/>
      <c r="AB1700" s="277"/>
      <c r="AC1700" s="277"/>
      <c r="AD1700" s="277"/>
      <c r="AE1700" s="277"/>
      <c r="AF1700" s="277"/>
      <c r="AG1700" s="277"/>
      <c r="AH1700" s="277"/>
    </row>
    <row r="1701" spans="16:34" s="185" customFormat="1">
      <c r="P1701" s="277"/>
      <c r="Q1701" s="277"/>
      <c r="R1701" s="277"/>
      <c r="S1701" s="291">
        <v>43257</v>
      </c>
      <c r="T1701" s="279">
        <v>1618</v>
      </c>
      <c r="U1701" s="277"/>
      <c r="V1701" s="277"/>
      <c r="W1701" s="277"/>
      <c r="X1701" s="277"/>
      <c r="Y1701" s="277"/>
      <c r="Z1701" s="277"/>
      <c r="AA1701" s="277"/>
      <c r="AB1701" s="277"/>
      <c r="AC1701" s="277"/>
      <c r="AD1701" s="277"/>
      <c r="AE1701" s="277"/>
      <c r="AF1701" s="277"/>
      <c r="AG1701" s="277"/>
      <c r="AH1701" s="277"/>
    </row>
    <row r="1702" spans="16:34" s="185" customFormat="1">
      <c r="P1702" s="277"/>
      <c r="Q1702" s="277"/>
      <c r="R1702" s="277"/>
      <c r="S1702" s="291">
        <v>43258</v>
      </c>
      <c r="T1702" s="279">
        <v>1619</v>
      </c>
      <c r="U1702" s="277"/>
      <c r="V1702" s="277"/>
      <c r="W1702" s="277"/>
      <c r="X1702" s="277"/>
      <c r="Y1702" s="277"/>
      <c r="Z1702" s="277"/>
      <c r="AA1702" s="277"/>
      <c r="AB1702" s="277"/>
      <c r="AC1702" s="277"/>
      <c r="AD1702" s="277"/>
      <c r="AE1702" s="277"/>
      <c r="AF1702" s="277"/>
      <c r="AG1702" s="277"/>
      <c r="AH1702" s="277"/>
    </row>
    <row r="1703" spans="16:34" s="185" customFormat="1">
      <c r="P1703" s="277"/>
      <c r="Q1703" s="277"/>
      <c r="R1703" s="277"/>
      <c r="S1703" s="291">
        <v>43259</v>
      </c>
      <c r="T1703" s="279">
        <v>1620</v>
      </c>
      <c r="U1703" s="277"/>
      <c r="V1703" s="277"/>
      <c r="W1703" s="277"/>
      <c r="X1703" s="277"/>
      <c r="Y1703" s="277"/>
      <c r="Z1703" s="277"/>
      <c r="AA1703" s="277"/>
      <c r="AB1703" s="277"/>
      <c r="AC1703" s="277"/>
      <c r="AD1703" s="277"/>
      <c r="AE1703" s="277"/>
      <c r="AF1703" s="277"/>
      <c r="AG1703" s="277"/>
      <c r="AH1703" s="277"/>
    </row>
    <row r="1704" spans="16:34" s="185" customFormat="1">
      <c r="P1704" s="277"/>
      <c r="Q1704" s="277"/>
      <c r="R1704" s="277"/>
      <c r="S1704" s="291">
        <v>43260</v>
      </c>
      <c r="T1704" s="279">
        <v>1621</v>
      </c>
      <c r="U1704" s="277"/>
      <c r="V1704" s="277"/>
      <c r="W1704" s="277"/>
      <c r="X1704" s="277"/>
      <c r="Y1704" s="277"/>
      <c r="Z1704" s="277"/>
      <c r="AA1704" s="277"/>
      <c r="AB1704" s="277"/>
      <c r="AC1704" s="277"/>
      <c r="AD1704" s="277"/>
      <c r="AE1704" s="277"/>
      <c r="AF1704" s="277"/>
      <c r="AG1704" s="277"/>
      <c r="AH1704" s="277"/>
    </row>
    <row r="1705" spans="16:34" s="185" customFormat="1">
      <c r="P1705" s="277"/>
      <c r="Q1705" s="277"/>
      <c r="R1705" s="277"/>
      <c r="S1705" s="291">
        <v>43261</v>
      </c>
      <c r="T1705" s="279">
        <v>1622</v>
      </c>
      <c r="U1705" s="277"/>
      <c r="V1705" s="277"/>
      <c r="W1705" s="277"/>
      <c r="X1705" s="277"/>
      <c r="Y1705" s="277"/>
      <c r="Z1705" s="277"/>
      <c r="AA1705" s="277"/>
      <c r="AB1705" s="277"/>
      <c r="AC1705" s="277"/>
      <c r="AD1705" s="277"/>
      <c r="AE1705" s="277"/>
      <c r="AF1705" s="277"/>
      <c r="AG1705" s="277"/>
      <c r="AH1705" s="277"/>
    </row>
    <row r="1706" spans="16:34" s="185" customFormat="1">
      <c r="P1706" s="277"/>
      <c r="Q1706" s="277"/>
      <c r="R1706" s="277"/>
      <c r="S1706" s="291">
        <v>43262</v>
      </c>
      <c r="T1706" s="279">
        <v>1623</v>
      </c>
      <c r="U1706" s="277"/>
      <c r="V1706" s="277"/>
      <c r="W1706" s="277"/>
      <c r="X1706" s="277"/>
      <c r="Y1706" s="277"/>
      <c r="Z1706" s="277"/>
      <c r="AA1706" s="277"/>
      <c r="AB1706" s="277"/>
      <c r="AC1706" s="277"/>
      <c r="AD1706" s="277"/>
      <c r="AE1706" s="277"/>
      <c r="AF1706" s="277"/>
      <c r="AG1706" s="277"/>
      <c r="AH1706" s="277"/>
    </row>
    <row r="1707" spans="16:34" s="185" customFormat="1">
      <c r="P1707" s="277"/>
      <c r="Q1707" s="277"/>
      <c r="R1707" s="277"/>
      <c r="S1707" s="291">
        <v>43263</v>
      </c>
      <c r="T1707" s="279">
        <v>1624</v>
      </c>
      <c r="U1707" s="277"/>
      <c r="V1707" s="277"/>
      <c r="W1707" s="277"/>
      <c r="X1707" s="277"/>
      <c r="Y1707" s="277"/>
      <c r="Z1707" s="277"/>
      <c r="AA1707" s="277"/>
      <c r="AB1707" s="277"/>
      <c r="AC1707" s="277"/>
      <c r="AD1707" s="277"/>
      <c r="AE1707" s="277"/>
      <c r="AF1707" s="277"/>
      <c r="AG1707" s="277"/>
      <c r="AH1707" s="277"/>
    </row>
    <row r="1708" spans="16:34" s="185" customFormat="1">
      <c r="P1708" s="277"/>
      <c r="Q1708" s="277"/>
      <c r="R1708" s="277"/>
      <c r="S1708" s="291">
        <v>43264</v>
      </c>
      <c r="T1708" s="279">
        <v>1625</v>
      </c>
      <c r="U1708" s="277"/>
      <c r="V1708" s="277"/>
      <c r="W1708" s="277"/>
      <c r="X1708" s="277"/>
      <c r="Y1708" s="277"/>
      <c r="Z1708" s="277"/>
      <c r="AA1708" s="277"/>
      <c r="AB1708" s="277"/>
      <c r="AC1708" s="277"/>
      <c r="AD1708" s="277"/>
      <c r="AE1708" s="277"/>
      <c r="AF1708" s="277"/>
      <c r="AG1708" s="277"/>
      <c r="AH1708" s="277"/>
    </row>
    <row r="1709" spans="16:34" s="185" customFormat="1">
      <c r="P1709" s="277"/>
      <c r="Q1709" s="277"/>
      <c r="R1709" s="277"/>
      <c r="S1709" s="291">
        <v>43265</v>
      </c>
      <c r="T1709" s="279">
        <v>1626</v>
      </c>
      <c r="U1709" s="277"/>
      <c r="V1709" s="277"/>
      <c r="W1709" s="277"/>
      <c r="X1709" s="277"/>
      <c r="Y1709" s="277"/>
      <c r="Z1709" s="277"/>
      <c r="AA1709" s="277"/>
      <c r="AB1709" s="277"/>
      <c r="AC1709" s="277"/>
      <c r="AD1709" s="277"/>
      <c r="AE1709" s="277"/>
      <c r="AF1709" s="277"/>
      <c r="AG1709" s="277"/>
      <c r="AH1709" s="277"/>
    </row>
    <row r="1710" spans="16:34" s="185" customFormat="1">
      <c r="P1710" s="277"/>
      <c r="Q1710" s="277"/>
      <c r="R1710" s="277"/>
      <c r="S1710" s="291">
        <v>43266</v>
      </c>
      <c r="T1710" s="279">
        <v>1627</v>
      </c>
      <c r="U1710" s="277"/>
      <c r="V1710" s="277"/>
      <c r="W1710" s="277"/>
      <c r="X1710" s="277"/>
      <c r="Y1710" s="277"/>
      <c r="Z1710" s="277"/>
      <c r="AA1710" s="277"/>
      <c r="AB1710" s="277"/>
      <c r="AC1710" s="277"/>
      <c r="AD1710" s="277"/>
      <c r="AE1710" s="277"/>
      <c r="AF1710" s="277"/>
      <c r="AG1710" s="277"/>
      <c r="AH1710" s="277"/>
    </row>
    <row r="1711" spans="16:34" s="185" customFormat="1">
      <c r="P1711" s="277"/>
      <c r="Q1711" s="277"/>
      <c r="R1711" s="277"/>
      <c r="S1711" s="291">
        <v>43267</v>
      </c>
      <c r="T1711" s="279">
        <v>1628</v>
      </c>
      <c r="U1711" s="277"/>
      <c r="V1711" s="277"/>
      <c r="W1711" s="277"/>
      <c r="X1711" s="277"/>
      <c r="Y1711" s="277"/>
      <c r="Z1711" s="277"/>
      <c r="AA1711" s="277"/>
      <c r="AB1711" s="277"/>
      <c r="AC1711" s="277"/>
      <c r="AD1711" s="277"/>
      <c r="AE1711" s="277"/>
      <c r="AF1711" s="277"/>
      <c r="AG1711" s="277"/>
      <c r="AH1711" s="277"/>
    </row>
    <row r="1712" spans="16:34" s="185" customFormat="1">
      <c r="P1712" s="277"/>
      <c r="Q1712" s="277"/>
      <c r="R1712" s="277"/>
      <c r="S1712" s="291">
        <v>43268</v>
      </c>
      <c r="T1712" s="279">
        <v>1629</v>
      </c>
      <c r="U1712" s="277"/>
      <c r="V1712" s="277"/>
      <c r="W1712" s="277"/>
      <c r="X1712" s="277"/>
      <c r="Y1712" s="277"/>
      <c r="Z1712" s="277"/>
      <c r="AA1712" s="277"/>
      <c r="AB1712" s="277"/>
      <c r="AC1712" s="277"/>
      <c r="AD1712" s="277"/>
      <c r="AE1712" s="277"/>
      <c r="AF1712" s="277"/>
      <c r="AG1712" s="277"/>
      <c r="AH1712" s="277"/>
    </row>
    <row r="1713" spans="16:34" s="185" customFormat="1">
      <c r="P1713" s="277"/>
      <c r="Q1713" s="277"/>
      <c r="R1713" s="277"/>
      <c r="S1713" s="291">
        <v>43269</v>
      </c>
      <c r="T1713" s="279">
        <v>1630</v>
      </c>
      <c r="U1713" s="277"/>
      <c r="V1713" s="277"/>
      <c r="W1713" s="277"/>
      <c r="X1713" s="277"/>
      <c r="Y1713" s="277"/>
      <c r="Z1713" s="277"/>
      <c r="AA1713" s="277"/>
      <c r="AB1713" s="277"/>
      <c r="AC1713" s="277"/>
      <c r="AD1713" s="277"/>
      <c r="AE1713" s="277"/>
      <c r="AF1713" s="277"/>
      <c r="AG1713" s="277"/>
      <c r="AH1713" s="277"/>
    </row>
    <row r="1714" spans="16:34" s="185" customFormat="1">
      <c r="P1714" s="277"/>
      <c r="Q1714" s="277"/>
      <c r="R1714" s="277"/>
      <c r="S1714" s="291">
        <v>43270</v>
      </c>
      <c r="T1714" s="279">
        <v>1631</v>
      </c>
      <c r="U1714" s="277"/>
      <c r="V1714" s="277"/>
      <c r="W1714" s="277"/>
      <c r="X1714" s="277"/>
      <c r="Y1714" s="277"/>
      <c r="Z1714" s="277"/>
      <c r="AA1714" s="277"/>
      <c r="AB1714" s="277"/>
      <c r="AC1714" s="277"/>
      <c r="AD1714" s="277"/>
      <c r="AE1714" s="277"/>
      <c r="AF1714" s="277"/>
      <c r="AG1714" s="277"/>
      <c r="AH1714" s="277"/>
    </row>
    <row r="1715" spans="16:34" s="185" customFormat="1">
      <c r="P1715" s="277"/>
      <c r="Q1715" s="277"/>
      <c r="R1715" s="277"/>
      <c r="S1715" s="291">
        <v>43271</v>
      </c>
      <c r="T1715" s="279">
        <v>1632</v>
      </c>
      <c r="U1715" s="277"/>
      <c r="V1715" s="277"/>
      <c r="W1715" s="277"/>
      <c r="X1715" s="277"/>
      <c r="Y1715" s="277"/>
      <c r="Z1715" s="277"/>
      <c r="AA1715" s="277"/>
      <c r="AB1715" s="277"/>
      <c r="AC1715" s="277"/>
      <c r="AD1715" s="277"/>
      <c r="AE1715" s="277"/>
      <c r="AF1715" s="277"/>
      <c r="AG1715" s="277"/>
      <c r="AH1715" s="277"/>
    </row>
    <row r="1716" spans="16:34" s="185" customFormat="1">
      <c r="P1716" s="277"/>
      <c r="Q1716" s="277"/>
      <c r="R1716" s="277"/>
      <c r="S1716" s="291">
        <v>43272</v>
      </c>
      <c r="T1716" s="279">
        <v>1633</v>
      </c>
      <c r="U1716" s="277"/>
      <c r="V1716" s="277"/>
      <c r="W1716" s="277"/>
      <c r="X1716" s="277"/>
      <c r="Y1716" s="277"/>
      <c r="Z1716" s="277"/>
      <c r="AA1716" s="277"/>
      <c r="AB1716" s="277"/>
      <c r="AC1716" s="277"/>
      <c r="AD1716" s="277"/>
      <c r="AE1716" s="277"/>
      <c r="AF1716" s="277"/>
      <c r="AG1716" s="277"/>
      <c r="AH1716" s="277"/>
    </row>
    <row r="1717" spans="16:34" s="185" customFormat="1">
      <c r="P1717" s="277"/>
      <c r="Q1717" s="277"/>
      <c r="R1717" s="277"/>
      <c r="S1717" s="291">
        <v>43273</v>
      </c>
      <c r="T1717" s="279">
        <v>1634</v>
      </c>
      <c r="U1717" s="277"/>
      <c r="V1717" s="277"/>
      <c r="W1717" s="277"/>
      <c r="X1717" s="277"/>
      <c r="Y1717" s="277"/>
      <c r="Z1717" s="277"/>
      <c r="AA1717" s="277"/>
      <c r="AB1717" s="277"/>
      <c r="AC1717" s="277"/>
      <c r="AD1717" s="277"/>
      <c r="AE1717" s="277"/>
      <c r="AF1717" s="277"/>
      <c r="AG1717" s="277"/>
      <c r="AH1717" s="277"/>
    </row>
    <row r="1718" spans="16:34" s="185" customFormat="1">
      <c r="P1718" s="277"/>
      <c r="Q1718" s="277"/>
      <c r="R1718" s="277"/>
      <c r="S1718" s="291">
        <v>43274</v>
      </c>
      <c r="T1718" s="279">
        <v>1635</v>
      </c>
      <c r="U1718" s="277"/>
      <c r="V1718" s="277"/>
      <c r="W1718" s="277"/>
      <c r="X1718" s="277"/>
      <c r="Y1718" s="277"/>
      <c r="Z1718" s="277"/>
      <c r="AA1718" s="277"/>
      <c r="AB1718" s="277"/>
      <c r="AC1718" s="277"/>
      <c r="AD1718" s="277"/>
      <c r="AE1718" s="277"/>
      <c r="AF1718" s="277"/>
      <c r="AG1718" s="277"/>
      <c r="AH1718" s="277"/>
    </row>
    <row r="1719" spans="16:34" s="185" customFormat="1">
      <c r="P1719" s="277"/>
      <c r="Q1719" s="277"/>
      <c r="R1719" s="277"/>
      <c r="S1719" s="291">
        <v>43275</v>
      </c>
      <c r="T1719" s="279">
        <v>1636</v>
      </c>
      <c r="U1719" s="277"/>
      <c r="V1719" s="277"/>
      <c r="W1719" s="277"/>
      <c r="X1719" s="277"/>
      <c r="Y1719" s="277"/>
      <c r="Z1719" s="277"/>
      <c r="AA1719" s="277"/>
      <c r="AB1719" s="277"/>
      <c r="AC1719" s="277"/>
      <c r="AD1719" s="277"/>
      <c r="AE1719" s="277"/>
      <c r="AF1719" s="277"/>
      <c r="AG1719" s="277"/>
      <c r="AH1719" s="277"/>
    </row>
    <row r="1720" spans="16:34" s="185" customFormat="1">
      <c r="P1720" s="277"/>
      <c r="Q1720" s="277"/>
      <c r="R1720" s="277"/>
      <c r="S1720" s="291">
        <v>43276</v>
      </c>
      <c r="T1720" s="279">
        <v>1637</v>
      </c>
      <c r="U1720" s="277"/>
      <c r="V1720" s="277"/>
      <c r="W1720" s="277"/>
      <c r="X1720" s="277"/>
      <c r="Y1720" s="277"/>
      <c r="Z1720" s="277"/>
      <c r="AA1720" s="277"/>
      <c r="AB1720" s="277"/>
      <c r="AC1720" s="277"/>
      <c r="AD1720" s="277"/>
      <c r="AE1720" s="277"/>
      <c r="AF1720" s="277"/>
      <c r="AG1720" s="277"/>
      <c r="AH1720" s="277"/>
    </row>
    <row r="1721" spans="16:34" s="185" customFormat="1">
      <c r="P1721" s="277"/>
      <c r="Q1721" s="277"/>
      <c r="R1721" s="277"/>
      <c r="S1721" s="291">
        <v>43277</v>
      </c>
      <c r="T1721" s="279">
        <v>1638</v>
      </c>
      <c r="U1721" s="277"/>
      <c r="V1721" s="277"/>
      <c r="W1721" s="277"/>
      <c r="X1721" s="277"/>
      <c r="Y1721" s="277"/>
      <c r="Z1721" s="277"/>
      <c r="AA1721" s="277"/>
      <c r="AB1721" s="277"/>
      <c r="AC1721" s="277"/>
      <c r="AD1721" s="277"/>
      <c r="AE1721" s="277"/>
      <c r="AF1721" s="277"/>
      <c r="AG1721" s="277"/>
      <c r="AH1721" s="277"/>
    </row>
    <row r="1722" spans="16:34" s="185" customFormat="1">
      <c r="P1722" s="277"/>
      <c r="Q1722" s="277"/>
      <c r="R1722" s="277"/>
      <c r="S1722" s="291">
        <v>43278</v>
      </c>
      <c r="T1722" s="279">
        <v>1639</v>
      </c>
      <c r="U1722" s="277"/>
      <c r="V1722" s="277"/>
      <c r="W1722" s="277"/>
      <c r="X1722" s="277"/>
      <c r="Y1722" s="277"/>
      <c r="Z1722" s="277"/>
      <c r="AA1722" s="277"/>
      <c r="AB1722" s="277"/>
      <c r="AC1722" s="277"/>
      <c r="AD1722" s="277"/>
      <c r="AE1722" s="277"/>
      <c r="AF1722" s="277"/>
      <c r="AG1722" s="277"/>
      <c r="AH1722" s="277"/>
    </row>
    <row r="1723" spans="16:34" s="185" customFormat="1">
      <c r="P1723" s="277"/>
      <c r="Q1723" s="277"/>
      <c r="R1723" s="277"/>
      <c r="S1723" s="291">
        <v>43279</v>
      </c>
      <c r="T1723" s="279">
        <v>1640</v>
      </c>
      <c r="U1723" s="277"/>
      <c r="V1723" s="277"/>
      <c r="W1723" s="277"/>
      <c r="X1723" s="277"/>
      <c r="Y1723" s="277"/>
      <c r="Z1723" s="277"/>
      <c r="AA1723" s="277"/>
      <c r="AB1723" s="277"/>
      <c r="AC1723" s="277"/>
      <c r="AD1723" s="277"/>
      <c r="AE1723" s="277"/>
      <c r="AF1723" s="277"/>
      <c r="AG1723" s="277"/>
      <c r="AH1723" s="277"/>
    </row>
    <row r="1724" spans="16:34" s="185" customFormat="1">
      <c r="P1724" s="277"/>
      <c r="Q1724" s="277"/>
      <c r="R1724" s="277"/>
      <c r="S1724" s="291">
        <v>43280</v>
      </c>
      <c r="T1724" s="279">
        <v>1641</v>
      </c>
      <c r="U1724" s="277"/>
      <c r="V1724" s="277"/>
      <c r="W1724" s="277"/>
      <c r="X1724" s="277"/>
      <c r="Y1724" s="277"/>
      <c r="Z1724" s="277"/>
      <c r="AA1724" s="277"/>
      <c r="AB1724" s="277"/>
      <c r="AC1724" s="277"/>
      <c r="AD1724" s="277"/>
      <c r="AE1724" s="277"/>
      <c r="AF1724" s="277"/>
      <c r="AG1724" s="277"/>
      <c r="AH1724" s="277"/>
    </row>
    <row r="1725" spans="16:34" s="185" customFormat="1">
      <c r="P1725" s="277"/>
      <c r="Q1725" s="277"/>
      <c r="R1725" s="277"/>
      <c r="S1725" s="291">
        <v>43281</v>
      </c>
      <c r="T1725" s="279">
        <v>1642</v>
      </c>
      <c r="U1725" s="277"/>
      <c r="V1725" s="277"/>
      <c r="W1725" s="277"/>
      <c r="X1725" s="277"/>
      <c r="Y1725" s="277"/>
      <c r="Z1725" s="277"/>
      <c r="AA1725" s="277"/>
      <c r="AB1725" s="277"/>
      <c r="AC1725" s="277"/>
      <c r="AD1725" s="277"/>
      <c r="AE1725" s="277"/>
      <c r="AF1725" s="277"/>
      <c r="AG1725" s="277"/>
      <c r="AH1725" s="277"/>
    </row>
    <row r="1726" spans="16:34" s="185" customFormat="1">
      <c r="P1726" s="277"/>
      <c r="Q1726" s="277"/>
      <c r="R1726" s="277"/>
      <c r="S1726" s="291">
        <v>43282</v>
      </c>
      <c r="T1726" s="279">
        <v>1643</v>
      </c>
      <c r="U1726" s="277"/>
      <c r="V1726" s="277"/>
      <c r="W1726" s="277"/>
      <c r="X1726" s="277"/>
      <c r="Y1726" s="277"/>
      <c r="Z1726" s="277"/>
      <c r="AA1726" s="277"/>
      <c r="AB1726" s="277"/>
      <c r="AC1726" s="277"/>
      <c r="AD1726" s="277"/>
      <c r="AE1726" s="277"/>
      <c r="AF1726" s="277"/>
      <c r="AG1726" s="277"/>
      <c r="AH1726" s="277"/>
    </row>
    <row r="1727" spans="16:34" s="185" customFormat="1">
      <c r="P1727" s="277"/>
      <c r="Q1727" s="277"/>
      <c r="R1727" s="277"/>
      <c r="S1727" s="291">
        <v>43283</v>
      </c>
      <c r="T1727" s="279">
        <v>1644</v>
      </c>
      <c r="U1727" s="277"/>
      <c r="V1727" s="277"/>
      <c r="W1727" s="277"/>
      <c r="X1727" s="277"/>
      <c r="Y1727" s="277"/>
      <c r="Z1727" s="277"/>
      <c r="AA1727" s="277"/>
      <c r="AB1727" s="277"/>
      <c r="AC1727" s="277"/>
      <c r="AD1727" s="277"/>
      <c r="AE1727" s="277"/>
      <c r="AF1727" s="277"/>
      <c r="AG1727" s="277"/>
      <c r="AH1727" s="277"/>
    </row>
    <row r="1728" spans="16:34" s="185" customFormat="1">
      <c r="P1728" s="277"/>
      <c r="Q1728" s="277"/>
      <c r="R1728" s="277"/>
      <c r="S1728" s="291">
        <v>43284</v>
      </c>
      <c r="T1728" s="279">
        <v>1645</v>
      </c>
      <c r="U1728" s="277"/>
      <c r="V1728" s="277"/>
      <c r="W1728" s="277"/>
      <c r="X1728" s="277"/>
      <c r="Y1728" s="277"/>
      <c r="Z1728" s="277"/>
      <c r="AA1728" s="277"/>
      <c r="AB1728" s="277"/>
      <c r="AC1728" s="277"/>
      <c r="AD1728" s="277"/>
      <c r="AE1728" s="277"/>
      <c r="AF1728" s="277"/>
      <c r="AG1728" s="277"/>
      <c r="AH1728" s="277"/>
    </row>
    <row r="1729" spans="16:34" s="185" customFormat="1">
      <c r="P1729" s="277"/>
      <c r="Q1729" s="277"/>
      <c r="R1729" s="277"/>
      <c r="S1729" s="291">
        <v>43285</v>
      </c>
      <c r="T1729" s="279">
        <v>1646</v>
      </c>
      <c r="U1729" s="277"/>
      <c r="V1729" s="277"/>
      <c r="W1729" s="277"/>
      <c r="X1729" s="277"/>
      <c r="Y1729" s="277"/>
      <c r="Z1729" s="277"/>
      <c r="AA1729" s="277"/>
      <c r="AB1729" s="277"/>
      <c r="AC1729" s="277"/>
      <c r="AD1729" s="277"/>
      <c r="AE1729" s="277"/>
      <c r="AF1729" s="277"/>
      <c r="AG1729" s="277"/>
      <c r="AH1729" s="277"/>
    </row>
    <row r="1730" spans="16:34" s="185" customFormat="1">
      <c r="P1730" s="277"/>
      <c r="Q1730" s="277"/>
      <c r="R1730" s="277"/>
      <c r="S1730" s="291">
        <v>43286</v>
      </c>
      <c r="T1730" s="279">
        <v>1647</v>
      </c>
      <c r="U1730" s="277"/>
      <c r="V1730" s="277"/>
      <c r="W1730" s="277"/>
      <c r="X1730" s="277"/>
      <c r="Y1730" s="277"/>
      <c r="Z1730" s="277"/>
      <c r="AA1730" s="277"/>
      <c r="AB1730" s="277"/>
      <c r="AC1730" s="277"/>
      <c r="AD1730" s="277"/>
      <c r="AE1730" s="277"/>
      <c r="AF1730" s="277"/>
      <c r="AG1730" s="277"/>
      <c r="AH1730" s="277"/>
    </row>
    <row r="1731" spans="16:34" s="185" customFormat="1">
      <c r="P1731" s="277"/>
      <c r="Q1731" s="277"/>
      <c r="R1731" s="277"/>
      <c r="S1731" s="291">
        <v>43287</v>
      </c>
      <c r="T1731" s="279">
        <v>1648</v>
      </c>
      <c r="U1731" s="277"/>
      <c r="V1731" s="277"/>
      <c r="W1731" s="277"/>
      <c r="X1731" s="277"/>
      <c r="Y1731" s="277"/>
      <c r="Z1731" s="277"/>
      <c r="AA1731" s="277"/>
      <c r="AB1731" s="277"/>
      <c r="AC1731" s="277"/>
      <c r="AD1731" s="277"/>
      <c r="AE1731" s="277"/>
      <c r="AF1731" s="277"/>
      <c r="AG1731" s="277"/>
      <c r="AH1731" s="277"/>
    </row>
    <row r="1732" spans="16:34" s="185" customFormat="1">
      <c r="P1732" s="277"/>
      <c r="Q1732" s="277"/>
      <c r="R1732" s="277"/>
      <c r="S1732" s="291">
        <v>43288</v>
      </c>
      <c r="T1732" s="279">
        <v>1649</v>
      </c>
      <c r="U1732" s="277"/>
      <c r="V1732" s="277"/>
      <c r="W1732" s="277"/>
      <c r="X1732" s="277"/>
      <c r="Y1732" s="277"/>
      <c r="Z1732" s="277"/>
      <c r="AA1732" s="277"/>
      <c r="AB1732" s="277"/>
      <c r="AC1732" s="277"/>
      <c r="AD1732" s="277"/>
      <c r="AE1732" s="277"/>
      <c r="AF1732" s="277"/>
      <c r="AG1732" s="277"/>
      <c r="AH1732" s="277"/>
    </row>
    <row r="1733" spans="16:34" s="185" customFormat="1">
      <c r="P1733" s="277"/>
      <c r="Q1733" s="277"/>
      <c r="R1733" s="277"/>
      <c r="S1733" s="291">
        <v>43289</v>
      </c>
      <c r="T1733" s="279">
        <v>1650</v>
      </c>
      <c r="U1733" s="277"/>
      <c r="V1733" s="277"/>
      <c r="W1733" s="277"/>
      <c r="X1733" s="277"/>
      <c r="Y1733" s="277"/>
      <c r="Z1733" s="277"/>
      <c r="AA1733" s="277"/>
      <c r="AB1733" s="277"/>
      <c r="AC1733" s="277"/>
      <c r="AD1733" s="277"/>
      <c r="AE1733" s="277"/>
      <c r="AF1733" s="277"/>
      <c r="AG1733" s="277"/>
      <c r="AH1733" s="277"/>
    </row>
    <row r="1734" spans="16:34" s="185" customFormat="1">
      <c r="P1734" s="277"/>
      <c r="Q1734" s="277"/>
      <c r="R1734" s="277"/>
      <c r="S1734" s="291">
        <v>43290</v>
      </c>
      <c r="T1734" s="279">
        <v>1651</v>
      </c>
      <c r="U1734" s="277"/>
      <c r="V1734" s="277"/>
      <c r="W1734" s="277"/>
      <c r="X1734" s="277"/>
      <c r="Y1734" s="277"/>
      <c r="Z1734" s="277"/>
      <c r="AA1734" s="277"/>
      <c r="AB1734" s="277"/>
      <c r="AC1734" s="277"/>
      <c r="AD1734" s="277"/>
      <c r="AE1734" s="277"/>
      <c r="AF1734" s="277"/>
      <c r="AG1734" s="277"/>
      <c r="AH1734" s="277"/>
    </row>
    <row r="1735" spans="16:34" s="185" customFormat="1">
      <c r="P1735" s="277"/>
      <c r="Q1735" s="277"/>
      <c r="R1735" s="277"/>
      <c r="S1735" s="291">
        <v>43291</v>
      </c>
      <c r="T1735" s="279">
        <v>1652</v>
      </c>
      <c r="U1735" s="277"/>
      <c r="V1735" s="277"/>
      <c r="W1735" s="277"/>
      <c r="X1735" s="277"/>
      <c r="Y1735" s="277"/>
      <c r="Z1735" s="277"/>
      <c r="AA1735" s="277"/>
      <c r="AB1735" s="277"/>
      <c r="AC1735" s="277"/>
      <c r="AD1735" s="277"/>
      <c r="AE1735" s="277"/>
      <c r="AF1735" s="277"/>
      <c r="AG1735" s="277"/>
      <c r="AH1735" s="277"/>
    </row>
    <row r="1736" spans="16:34" s="185" customFormat="1">
      <c r="P1736" s="277"/>
      <c r="Q1736" s="277"/>
      <c r="R1736" s="277"/>
      <c r="S1736" s="291">
        <v>43292</v>
      </c>
      <c r="T1736" s="279">
        <v>1653</v>
      </c>
      <c r="U1736" s="277"/>
      <c r="V1736" s="277"/>
      <c r="W1736" s="277"/>
      <c r="X1736" s="277"/>
      <c r="Y1736" s="277"/>
      <c r="Z1736" s="277"/>
      <c r="AA1736" s="277"/>
      <c r="AB1736" s="277"/>
      <c r="AC1736" s="277"/>
      <c r="AD1736" s="277"/>
      <c r="AE1736" s="277"/>
      <c r="AF1736" s="277"/>
      <c r="AG1736" s="277"/>
      <c r="AH1736" s="277"/>
    </row>
    <row r="1737" spans="16:34" s="185" customFormat="1">
      <c r="P1737" s="277"/>
      <c r="Q1737" s="277"/>
      <c r="R1737" s="277"/>
      <c r="S1737" s="291">
        <v>43293</v>
      </c>
      <c r="T1737" s="279">
        <v>1654</v>
      </c>
      <c r="U1737" s="277"/>
      <c r="V1737" s="277"/>
      <c r="W1737" s="277"/>
      <c r="X1737" s="277"/>
      <c r="Y1737" s="277"/>
      <c r="Z1737" s="277"/>
      <c r="AA1737" s="277"/>
      <c r="AB1737" s="277"/>
      <c r="AC1737" s="277"/>
      <c r="AD1737" s="277"/>
      <c r="AE1737" s="277"/>
      <c r="AF1737" s="277"/>
      <c r="AG1737" s="277"/>
      <c r="AH1737" s="277"/>
    </row>
    <row r="1738" spans="16:34" s="185" customFormat="1">
      <c r="P1738" s="277"/>
      <c r="Q1738" s="277"/>
      <c r="R1738" s="277"/>
      <c r="S1738" s="291">
        <v>43294</v>
      </c>
      <c r="T1738" s="279">
        <v>1655</v>
      </c>
      <c r="U1738" s="277"/>
      <c r="V1738" s="277"/>
      <c r="W1738" s="277"/>
      <c r="X1738" s="277"/>
      <c r="Y1738" s="277"/>
      <c r="Z1738" s="277"/>
      <c r="AA1738" s="277"/>
      <c r="AB1738" s="277"/>
      <c r="AC1738" s="277"/>
      <c r="AD1738" s="277"/>
      <c r="AE1738" s="277"/>
      <c r="AF1738" s="277"/>
      <c r="AG1738" s="277"/>
      <c r="AH1738" s="277"/>
    </row>
    <row r="1739" spans="16:34" s="185" customFormat="1">
      <c r="P1739" s="277"/>
      <c r="Q1739" s="277"/>
      <c r="R1739" s="277"/>
      <c r="S1739" s="291">
        <v>43295</v>
      </c>
      <c r="T1739" s="279">
        <v>1656</v>
      </c>
      <c r="U1739" s="277"/>
      <c r="V1739" s="277"/>
      <c r="W1739" s="277"/>
      <c r="X1739" s="277"/>
      <c r="Y1739" s="277"/>
      <c r="Z1739" s="277"/>
      <c r="AA1739" s="277"/>
      <c r="AB1739" s="277"/>
      <c r="AC1739" s="277"/>
      <c r="AD1739" s="277"/>
      <c r="AE1739" s="277"/>
      <c r="AF1739" s="277"/>
      <c r="AG1739" s="277"/>
      <c r="AH1739" s="277"/>
    </row>
    <row r="1740" spans="16:34" s="185" customFormat="1">
      <c r="P1740" s="277"/>
      <c r="Q1740" s="277"/>
      <c r="R1740" s="277"/>
      <c r="S1740" s="291">
        <v>43296</v>
      </c>
      <c r="T1740" s="279">
        <v>1657</v>
      </c>
      <c r="U1740" s="277"/>
      <c r="V1740" s="277"/>
      <c r="W1740" s="277"/>
      <c r="X1740" s="277"/>
      <c r="Y1740" s="277"/>
      <c r="Z1740" s="277"/>
      <c r="AA1740" s="277"/>
      <c r="AB1740" s="277"/>
      <c r="AC1740" s="277"/>
      <c r="AD1740" s="277"/>
      <c r="AE1740" s="277"/>
      <c r="AF1740" s="277"/>
      <c r="AG1740" s="277"/>
      <c r="AH1740" s="277"/>
    </row>
    <row r="1741" spans="16:34" s="185" customFormat="1">
      <c r="P1741" s="277"/>
      <c r="Q1741" s="277"/>
      <c r="R1741" s="277"/>
      <c r="S1741" s="291">
        <v>43297</v>
      </c>
      <c r="T1741" s="279">
        <v>1658</v>
      </c>
      <c r="U1741" s="277"/>
      <c r="V1741" s="277"/>
      <c r="W1741" s="277"/>
      <c r="X1741" s="277"/>
      <c r="Y1741" s="277"/>
      <c r="Z1741" s="277"/>
      <c r="AA1741" s="277"/>
      <c r="AB1741" s="277"/>
      <c r="AC1741" s="277"/>
      <c r="AD1741" s="277"/>
      <c r="AE1741" s="277"/>
      <c r="AF1741" s="277"/>
      <c r="AG1741" s="277"/>
      <c r="AH1741" s="277"/>
    </row>
    <row r="1742" spans="16:34" s="185" customFormat="1">
      <c r="P1742" s="277"/>
      <c r="Q1742" s="277"/>
      <c r="R1742" s="277"/>
      <c r="S1742" s="291">
        <v>43298</v>
      </c>
      <c r="T1742" s="279">
        <v>1659</v>
      </c>
      <c r="U1742" s="277"/>
      <c r="V1742" s="277"/>
      <c r="W1742" s="277"/>
      <c r="X1742" s="277"/>
      <c r="Y1742" s="277"/>
      <c r="Z1742" s="277"/>
      <c r="AA1742" s="277"/>
      <c r="AB1742" s="277"/>
      <c r="AC1742" s="277"/>
      <c r="AD1742" s="277"/>
      <c r="AE1742" s="277"/>
      <c r="AF1742" s="277"/>
      <c r="AG1742" s="277"/>
      <c r="AH1742" s="277"/>
    </row>
    <row r="1743" spans="16:34" s="185" customFormat="1">
      <c r="P1743" s="277"/>
      <c r="Q1743" s="277"/>
      <c r="R1743" s="277"/>
      <c r="S1743" s="291">
        <v>43299</v>
      </c>
      <c r="T1743" s="279">
        <v>1660</v>
      </c>
      <c r="U1743" s="277"/>
      <c r="V1743" s="277"/>
      <c r="W1743" s="277"/>
      <c r="X1743" s="277"/>
      <c r="Y1743" s="277"/>
      <c r="Z1743" s="277"/>
      <c r="AA1743" s="277"/>
      <c r="AB1743" s="277"/>
      <c r="AC1743" s="277"/>
      <c r="AD1743" s="277"/>
      <c r="AE1743" s="277"/>
      <c r="AF1743" s="277"/>
      <c r="AG1743" s="277"/>
      <c r="AH1743" s="277"/>
    </row>
    <row r="1744" spans="16:34" s="185" customFormat="1">
      <c r="P1744" s="277"/>
      <c r="Q1744" s="277"/>
      <c r="R1744" s="277"/>
      <c r="S1744" s="291">
        <v>43300</v>
      </c>
      <c r="T1744" s="279">
        <v>1661</v>
      </c>
      <c r="U1744" s="277"/>
      <c r="V1744" s="277"/>
      <c r="W1744" s="277"/>
      <c r="X1744" s="277"/>
      <c r="Y1744" s="277"/>
      <c r="Z1744" s="277"/>
      <c r="AA1744" s="277"/>
      <c r="AB1744" s="277"/>
      <c r="AC1744" s="277"/>
      <c r="AD1744" s="277"/>
      <c r="AE1744" s="277"/>
      <c r="AF1744" s="277"/>
      <c r="AG1744" s="277"/>
      <c r="AH1744" s="277"/>
    </row>
    <row r="1745" spans="16:34" s="185" customFormat="1">
      <c r="P1745" s="277"/>
      <c r="Q1745" s="277"/>
      <c r="R1745" s="277"/>
      <c r="S1745" s="291">
        <v>43301</v>
      </c>
      <c r="T1745" s="279">
        <v>1662</v>
      </c>
      <c r="U1745" s="277"/>
      <c r="V1745" s="277"/>
      <c r="W1745" s="277"/>
      <c r="X1745" s="277"/>
      <c r="Y1745" s="277"/>
      <c r="Z1745" s="277"/>
      <c r="AA1745" s="277"/>
      <c r="AB1745" s="277"/>
      <c r="AC1745" s="277"/>
      <c r="AD1745" s="277"/>
      <c r="AE1745" s="277"/>
      <c r="AF1745" s="277"/>
      <c r="AG1745" s="277"/>
      <c r="AH1745" s="277"/>
    </row>
    <row r="1746" spans="16:34" s="185" customFormat="1">
      <c r="P1746" s="277"/>
      <c r="Q1746" s="277"/>
      <c r="R1746" s="277"/>
      <c r="S1746" s="291">
        <v>43302</v>
      </c>
      <c r="T1746" s="279">
        <v>1663</v>
      </c>
      <c r="U1746" s="277"/>
      <c r="V1746" s="277"/>
      <c r="W1746" s="277"/>
      <c r="X1746" s="277"/>
      <c r="Y1746" s="277"/>
      <c r="Z1746" s="277"/>
      <c r="AA1746" s="277"/>
      <c r="AB1746" s="277"/>
      <c r="AC1746" s="277"/>
      <c r="AD1746" s="277"/>
      <c r="AE1746" s="277"/>
      <c r="AF1746" s="277"/>
      <c r="AG1746" s="277"/>
      <c r="AH1746" s="277"/>
    </row>
    <row r="1747" spans="16:34" s="185" customFormat="1">
      <c r="P1747" s="277"/>
      <c r="Q1747" s="277"/>
      <c r="R1747" s="277"/>
      <c r="S1747" s="291">
        <v>43303</v>
      </c>
      <c r="T1747" s="279">
        <v>1664</v>
      </c>
      <c r="U1747" s="277"/>
      <c r="V1747" s="277"/>
      <c r="W1747" s="277"/>
      <c r="X1747" s="277"/>
      <c r="Y1747" s="277"/>
      <c r="Z1747" s="277"/>
      <c r="AA1747" s="277"/>
      <c r="AB1747" s="277"/>
      <c r="AC1747" s="277"/>
      <c r="AD1747" s="277"/>
      <c r="AE1747" s="277"/>
      <c r="AF1747" s="277"/>
      <c r="AG1747" s="277"/>
      <c r="AH1747" s="277"/>
    </row>
    <row r="1748" spans="16:34" s="185" customFormat="1">
      <c r="P1748" s="277"/>
      <c r="Q1748" s="277"/>
      <c r="R1748" s="277"/>
      <c r="S1748" s="291">
        <v>43304</v>
      </c>
      <c r="T1748" s="279">
        <v>1665</v>
      </c>
      <c r="U1748" s="277"/>
      <c r="V1748" s="277"/>
      <c r="W1748" s="277"/>
      <c r="X1748" s="277"/>
      <c r="Y1748" s="277"/>
      <c r="Z1748" s="277"/>
      <c r="AA1748" s="277"/>
      <c r="AB1748" s="277"/>
      <c r="AC1748" s="277"/>
      <c r="AD1748" s="277"/>
      <c r="AE1748" s="277"/>
      <c r="AF1748" s="277"/>
      <c r="AG1748" s="277"/>
      <c r="AH1748" s="277"/>
    </row>
    <row r="1749" spans="16:34" s="185" customFormat="1">
      <c r="P1749" s="277"/>
      <c r="Q1749" s="277"/>
      <c r="R1749" s="277"/>
      <c r="S1749" s="291">
        <v>43305</v>
      </c>
      <c r="T1749" s="279">
        <v>1666</v>
      </c>
      <c r="U1749" s="277"/>
      <c r="V1749" s="277"/>
      <c r="W1749" s="277"/>
      <c r="X1749" s="277"/>
      <c r="Y1749" s="277"/>
      <c r="Z1749" s="277"/>
      <c r="AA1749" s="277"/>
      <c r="AB1749" s="277"/>
      <c r="AC1749" s="277"/>
      <c r="AD1749" s="277"/>
      <c r="AE1749" s="277"/>
      <c r="AF1749" s="277"/>
      <c r="AG1749" s="277"/>
      <c r="AH1749" s="277"/>
    </row>
    <row r="1750" spans="16:34" s="185" customFormat="1">
      <c r="P1750" s="277"/>
      <c r="Q1750" s="277"/>
      <c r="R1750" s="277"/>
      <c r="S1750" s="291">
        <v>43306</v>
      </c>
      <c r="T1750" s="279">
        <v>1667</v>
      </c>
      <c r="U1750" s="277"/>
      <c r="V1750" s="277"/>
      <c r="W1750" s="277"/>
      <c r="X1750" s="277"/>
      <c r="Y1750" s="277"/>
      <c r="Z1750" s="277"/>
      <c r="AA1750" s="277"/>
      <c r="AB1750" s="277"/>
      <c r="AC1750" s="277"/>
      <c r="AD1750" s="277"/>
      <c r="AE1750" s="277"/>
      <c r="AF1750" s="277"/>
      <c r="AG1750" s="277"/>
      <c r="AH1750" s="277"/>
    </row>
    <row r="1751" spans="16:34" s="185" customFormat="1">
      <c r="P1751" s="277"/>
      <c r="Q1751" s="277"/>
      <c r="R1751" s="277"/>
      <c r="S1751" s="291">
        <v>43307</v>
      </c>
      <c r="T1751" s="279">
        <v>1668</v>
      </c>
      <c r="U1751" s="277"/>
      <c r="V1751" s="277"/>
      <c r="W1751" s="277"/>
      <c r="X1751" s="277"/>
      <c r="Y1751" s="277"/>
      <c r="Z1751" s="277"/>
      <c r="AA1751" s="277"/>
      <c r="AB1751" s="277"/>
      <c r="AC1751" s="277"/>
      <c r="AD1751" s="277"/>
      <c r="AE1751" s="277"/>
      <c r="AF1751" s="277"/>
      <c r="AG1751" s="277"/>
      <c r="AH1751" s="277"/>
    </row>
    <row r="1752" spans="16:34" s="185" customFormat="1">
      <c r="P1752" s="277"/>
      <c r="Q1752" s="277"/>
      <c r="R1752" s="277"/>
      <c r="S1752" s="291">
        <v>43308</v>
      </c>
      <c r="T1752" s="279">
        <v>1669</v>
      </c>
      <c r="U1752" s="277"/>
      <c r="V1752" s="277"/>
      <c r="W1752" s="277"/>
      <c r="X1752" s="277"/>
      <c r="Y1752" s="277"/>
      <c r="Z1752" s="277"/>
      <c r="AA1752" s="277"/>
      <c r="AB1752" s="277"/>
      <c r="AC1752" s="277"/>
      <c r="AD1752" s="277"/>
      <c r="AE1752" s="277"/>
      <c r="AF1752" s="277"/>
      <c r="AG1752" s="277"/>
      <c r="AH1752" s="277"/>
    </row>
    <row r="1753" spans="16:34" s="185" customFormat="1">
      <c r="P1753" s="277"/>
      <c r="Q1753" s="277"/>
      <c r="R1753" s="277"/>
      <c r="S1753" s="291">
        <v>43309</v>
      </c>
      <c r="T1753" s="279">
        <v>1670</v>
      </c>
      <c r="U1753" s="277"/>
      <c r="V1753" s="277"/>
      <c r="W1753" s="277"/>
      <c r="X1753" s="277"/>
      <c r="Y1753" s="277"/>
      <c r="Z1753" s="277"/>
      <c r="AA1753" s="277"/>
      <c r="AB1753" s="277"/>
      <c r="AC1753" s="277"/>
      <c r="AD1753" s="277"/>
      <c r="AE1753" s="277"/>
      <c r="AF1753" s="277"/>
      <c r="AG1753" s="277"/>
      <c r="AH1753" s="277"/>
    </row>
    <row r="1754" spans="16:34" s="185" customFormat="1">
      <c r="P1754" s="277"/>
      <c r="Q1754" s="277"/>
      <c r="R1754" s="277"/>
      <c r="S1754" s="291">
        <v>43310</v>
      </c>
      <c r="T1754" s="279">
        <v>1671</v>
      </c>
      <c r="U1754" s="277"/>
      <c r="V1754" s="277"/>
      <c r="W1754" s="277"/>
      <c r="X1754" s="277"/>
      <c r="Y1754" s="277"/>
      <c r="Z1754" s="277"/>
      <c r="AA1754" s="277"/>
      <c r="AB1754" s="277"/>
      <c r="AC1754" s="277"/>
      <c r="AD1754" s="277"/>
      <c r="AE1754" s="277"/>
      <c r="AF1754" s="277"/>
      <c r="AG1754" s="277"/>
      <c r="AH1754" s="277"/>
    </row>
    <row r="1755" spans="16:34" s="185" customFormat="1">
      <c r="P1755" s="277"/>
      <c r="Q1755" s="277"/>
      <c r="R1755" s="277"/>
      <c r="S1755" s="291">
        <v>43311</v>
      </c>
      <c r="T1755" s="279">
        <v>1672</v>
      </c>
      <c r="U1755" s="277"/>
      <c r="V1755" s="277"/>
      <c r="W1755" s="277"/>
      <c r="X1755" s="277"/>
      <c r="Y1755" s="277"/>
      <c r="Z1755" s="277"/>
      <c r="AA1755" s="277"/>
      <c r="AB1755" s="277"/>
      <c r="AC1755" s="277"/>
      <c r="AD1755" s="277"/>
      <c r="AE1755" s="277"/>
      <c r="AF1755" s="277"/>
      <c r="AG1755" s="277"/>
      <c r="AH1755" s="277"/>
    </row>
    <row r="1756" spans="16:34" s="185" customFormat="1">
      <c r="P1756" s="277"/>
      <c r="Q1756" s="277"/>
      <c r="R1756" s="277"/>
      <c r="S1756" s="291">
        <v>43312</v>
      </c>
      <c r="T1756" s="279">
        <v>1673</v>
      </c>
      <c r="U1756" s="277"/>
      <c r="V1756" s="277"/>
      <c r="W1756" s="277"/>
      <c r="X1756" s="277"/>
      <c r="Y1756" s="277"/>
      <c r="Z1756" s="277"/>
      <c r="AA1756" s="277"/>
      <c r="AB1756" s="277"/>
      <c r="AC1756" s="277"/>
      <c r="AD1756" s="277"/>
      <c r="AE1756" s="277"/>
      <c r="AF1756" s="277"/>
      <c r="AG1756" s="277"/>
      <c r="AH1756" s="277"/>
    </row>
    <row r="1757" spans="16:34" s="185" customFormat="1">
      <c r="P1757" s="277"/>
      <c r="Q1757" s="277"/>
      <c r="R1757" s="277"/>
      <c r="S1757" s="291">
        <v>43313</v>
      </c>
      <c r="T1757" s="279">
        <v>1674</v>
      </c>
      <c r="U1757" s="277"/>
      <c r="V1757" s="277"/>
      <c r="W1757" s="277"/>
      <c r="X1757" s="277"/>
      <c r="Y1757" s="277"/>
      <c r="Z1757" s="277"/>
      <c r="AA1757" s="277"/>
      <c r="AB1757" s="277"/>
      <c r="AC1757" s="277"/>
      <c r="AD1757" s="277"/>
      <c r="AE1757" s="277"/>
      <c r="AF1757" s="277"/>
      <c r="AG1757" s="277"/>
      <c r="AH1757" s="277"/>
    </row>
    <row r="1758" spans="16:34" s="185" customFormat="1">
      <c r="P1758" s="277"/>
      <c r="Q1758" s="277"/>
      <c r="R1758" s="277"/>
      <c r="S1758" s="291">
        <v>43314</v>
      </c>
      <c r="T1758" s="279">
        <v>1675</v>
      </c>
      <c r="U1758" s="277"/>
      <c r="V1758" s="277"/>
      <c r="W1758" s="277"/>
      <c r="X1758" s="277"/>
      <c r="Y1758" s="277"/>
      <c r="Z1758" s="277"/>
      <c r="AA1758" s="277"/>
      <c r="AB1758" s="277"/>
      <c r="AC1758" s="277"/>
      <c r="AD1758" s="277"/>
      <c r="AE1758" s="277"/>
      <c r="AF1758" s="277"/>
      <c r="AG1758" s="277"/>
      <c r="AH1758" s="277"/>
    </row>
    <row r="1759" spans="16:34" s="185" customFormat="1">
      <c r="P1759" s="277"/>
      <c r="Q1759" s="277"/>
      <c r="R1759" s="277"/>
      <c r="S1759" s="291">
        <v>43315</v>
      </c>
      <c r="T1759" s="279">
        <v>1676</v>
      </c>
      <c r="U1759" s="277"/>
      <c r="V1759" s="277"/>
      <c r="W1759" s="277"/>
      <c r="X1759" s="277"/>
      <c r="Y1759" s="277"/>
      <c r="Z1759" s="277"/>
      <c r="AA1759" s="277"/>
      <c r="AB1759" s="277"/>
      <c r="AC1759" s="277"/>
      <c r="AD1759" s="277"/>
      <c r="AE1759" s="277"/>
      <c r="AF1759" s="277"/>
      <c r="AG1759" s="277"/>
      <c r="AH1759" s="277"/>
    </row>
    <row r="1760" spans="16:34" s="185" customFormat="1">
      <c r="P1760" s="277"/>
      <c r="Q1760" s="277"/>
      <c r="R1760" s="277"/>
      <c r="S1760" s="291">
        <v>43316</v>
      </c>
      <c r="T1760" s="279">
        <v>1677</v>
      </c>
      <c r="U1760" s="277"/>
      <c r="V1760" s="277"/>
      <c r="W1760" s="277"/>
      <c r="X1760" s="277"/>
      <c r="Y1760" s="277"/>
      <c r="Z1760" s="277"/>
      <c r="AA1760" s="277"/>
      <c r="AB1760" s="277"/>
      <c r="AC1760" s="277"/>
      <c r="AD1760" s="277"/>
      <c r="AE1760" s="277"/>
      <c r="AF1760" s="277"/>
      <c r="AG1760" s="277"/>
      <c r="AH1760" s="277"/>
    </row>
    <row r="1761" spans="16:34" s="185" customFormat="1">
      <c r="P1761" s="277"/>
      <c r="Q1761" s="277"/>
      <c r="R1761" s="277"/>
      <c r="S1761" s="291">
        <v>43317</v>
      </c>
      <c r="T1761" s="279">
        <v>1678</v>
      </c>
      <c r="U1761" s="277"/>
      <c r="V1761" s="277"/>
      <c r="W1761" s="277"/>
      <c r="X1761" s="277"/>
      <c r="Y1761" s="277"/>
      <c r="Z1761" s="277"/>
      <c r="AA1761" s="277"/>
      <c r="AB1761" s="277"/>
      <c r="AC1761" s="277"/>
      <c r="AD1761" s="277"/>
      <c r="AE1761" s="277"/>
      <c r="AF1761" s="277"/>
      <c r="AG1761" s="277"/>
      <c r="AH1761" s="277"/>
    </row>
    <row r="1762" spans="16:34" s="185" customFormat="1">
      <c r="P1762" s="277"/>
      <c r="Q1762" s="277"/>
      <c r="R1762" s="277"/>
      <c r="S1762" s="291">
        <v>43318</v>
      </c>
      <c r="T1762" s="279">
        <v>1679</v>
      </c>
      <c r="U1762" s="277"/>
      <c r="V1762" s="277"/>
      <c r="W1762" s="277"/>
      <c r="X1762" s="277"/>
      <c r="Y1762" s="277"/>
      <c r="Z1762" s="277"/>
      <c r="AA1762" s="277"/>
      <c r="AB1762" s="277"/>
      <c r="AC1762" s="277"/>
      <c r="AD1762" s="277"/>
      <c r="AE1762" s="277"/>
      <c r="AF1762" s="277"/>
      <c r="AG1762" s="277"/>
      <c r="AH1762" s="277"/>
    </row>
    <row r="1763" spans="16:34" s="185" customFormat="1">
      <c r="P1763" s="277"/>
      <c r="Q1763" s="277"/>
      <c r="R1763" s="277"/>
      <c r="S1763" s="291">
        <v>43319</v>
      </c>
      <c r="T1763" s="279">
        <v>1680</v>
      </c>
      <c r="U1763" s="277"/>
      <c r="V1763" s="277"/>
      <c r="W1763" s="277"/>
      <c r="X1763" s="277"/>
      <c r="Y1763" s="277"/>
      <c r="Z1763" s="277"/>
      <c r="AA1763" s="277"/>
      <c r="AB1763" s="277"/>
      <c r="AC1763" s="277"/>
      <c r="AD1763" s="277"/>
      <c r="AE1763" s="277"/>
      <c r="AF1763" s="277"/>
      <c r="AG1763" s="277"/>
      <c r="AH1763" s="277"/>
    </row>
    <row r="1764" spans="16:34" s="185" customFormat="1">
      <c r="P1764" s="277"/>
      <c r="Q1764" s="277"/>
      <c r="R1764" s="277"/>
      <c r="S1764" s="291">
        <v>43320</v>
      </c>
      <c r="T1764" s="279">
        <v>1681</v>
      </c>
      <c r="U1764" s="277"/>
      <c r="V1764" s="277"/>
      <c r="W1764" s="277"/>
      <c r="X1764" s="277"/>
      <c r="Y1764" s="277"/>
      <c r="Z1764" s="277"/>
      <c r="AA1764" s="277"/>
      <c r="AB1764" s="277"/>
      <c r="AC1764" s="277"/>
      <c r="AD1764" s="277"/>
      <c r="AE1764" s="277"/>
      <c r="AF1764" s="277"/>
      <c r="AG1764" s="277"/>
      <c r="AH1764" s="277"/>
    </row>
    <row r="1765" spans="16:34" s="185" customFormat="1">
      <c r="P1765" s="277"/>
      <c r="Q1765" s="277"/>
      <c r="R1765" s="277"/>
      <c r="S1765" s="291">
        <v>43321</v>
      </c>
      <c r="T1765" s="279">
        <v>1682</v>
      </c>
      <c r="U1765" s="277"/>
      <c r="V1765" s="277"/>
      <c r="W1765" s="277"/>
      <c r="X1765" s="277"/>
      <c r="Y1765" s="277"/>
      <c r="Z1765" s="277"/>
      <c r="AA1765" s="277"/>
      <c r="AB1765" s="277"/>
      <c r="AC1765" s="277"/>
      <c r="AD1765" s="277"/>
      <c r="AE1765" s="277"/>
      <c r="AF1765" s="277"/>
      <c r="AG1765" s="277"/>
      <c r="AH1765" s="277"/>
    </row>
    <row r="1766" spans="16:34" s="185" customFormat="1">
      <c r="P1766" s="277"/>
      <c r="Q1766" s="277"/>
      <c r="R1766" s="277"/>
      <c r="S1766" s="291">
        <v>43322</v>
      </c>
      <c r="T1766" s="279">
        <v>1683</v>
      </c>
      <c r="U1766" s="277"/>
      <c r="V1766" s="277"/>
      <c r="W1766" s="277"/>
      <c r="X1766" s="277"/>
      <c r="Y1766" s="277"/>
      <c r="Z1766" s="277"/>
      <c r="AA1766" s="277"/>
      <c r="AB1766" s="277"/>
      <c r="AC1766" s="277"/>
      <c r="AD1766" s="277"/>
      <c r="AE1766" s="277"/>
      <c r="AF1766" s="277"/>
      <c r="AG1766" s="277"/>
      <c r="AH1766" s="277"/>
    </row>
    <row r="1767" spans="16:34" s="185" customFormat="1">
      <c r="P1767" s="277"/>
      <c r="Q1767" s="277"/>
      <c r="R1767" s="277"/>
      <c r="S1767" s="291">
        <v>43323</v>
      </c>
      <c r="T1767" s="279">
        <v>1684</v>
      </c>
      <c r="U1767" s="277"/>
      <c r="V1767" s="277"/>
      <c r="W1767" s="277"/>
      <c r="X1767" s="277"/>
      <c r="Y1767" s="277"/>
      <c r="Z1767" s="277"/>
      <c r="AA1767" s="277"/>
      <c r="AB1767" s="277"/>
      <c r="AC1767" s="277"/>
      <c r="AD1767" s="277"/>
      <c r="AE1767" s="277"/>
      <c r="AF1767" s="277"/>
      <c r="AG1767" s="277"/>
      <c r="AH1767" s="277"/>
    </row>
    <row r="1768" spans="16:34" s="185" customFormat="1">
      <c r="P1768" s="277"/>
      <c r="Q1768" s="277"/>
      <c r="R1768" s="277"/>
      <c r="S1768" s="291">
        <v>43324</v>
      </c>
      <c r="T1768" s="279">
        <v>1685</v>
      </c>
      <c r="U1768" s="277"/>
      <c r="V1768" s="277"/>
      <c r="W1768" s="277"/>
      <c r="X1768" s="277"/>
      <c r="Y1768" s="277"/>
      <c r="Z1768" s="277"/>
      <c r="AA1768" s="277"/>
      <c r="AB1768" s="277"/>
      <c r="AC1768" s="277"/>
      <c r="AD1768" s="277"/>
      <c r="AE1768" s="277"/>
      <c r="AF1768" s="277"/>
      <c r="AG1768" s="277"/>
      <c r="AH1768" s="277"/>
    </row>
    <row r="1769" spans="16:34" s="185" customFormat="1">
      <c r="P1769" s="277"/>
      <c r="Q1769" s="277"/>
      <c r="R1769" s="277"/>
      <c r="S1769" s="291">
        <v>43325</v>
      </c>
      <c r="T1769" s="279">
        <v>1686</v>
      </c>
      <c r="U1769" s="277"/>
      <c r="V1769" s="277"/>
      <c r="W1769" s="277"/>
      <c r="X1769" s="277"/>
      <c r="Y1769" s="277"/>
      <c r="Z1769" s="277"/>
      <c r="AA1769" s="277"/>
      <c r="AB1769" s="277"/>
      <c r="AC1769" s="277"/>
      <c r="AD1769" s="277"/>
      <c r="AE1769" s="277"/>
      <c r="AF1769" s="277"/>
      <c r="AG1769" s="277"/>
      <c r="AH1769" s="277"/>
    </row>
    <row r="1770" spans="16:34" s="185" customFormat="1">
      <c r="P1770" s="277"/>
      <c r="Q1770" s="277"/>
      <c r="R1770" s="277"/>
      <c r="S1770" s="291">
        <v>43326</v>
      </c>
      <c r="T1770" s="279">
        <v>1687</v>
      </c>
      <c r="U1770" s="277"/>
      <c r="V1770" s="277"/>
      <c r="W1770" s="277"/>
      <c r="X1770" s="277"/>
      <c r="Y1770" s="277"/>
      <c r="Z1770" s="277"/>
      <c r="AA1770" s="277"/>
      <c r="AB1770" s="277"/>
      <c r="AC1770" s="277"/>
      <c r="AD1770" s="277"/>
      <c r="AE1770" s="277"/>
      <c r="AF1770" s="277"/>
      <c r="AG1770" s="277"/>
      <c r="AH1770" s="277"/>
    </row>
    <row r="1771" spans="16:34" s="185" customFormat="1">
      <c r="P1771" s="277"/>
      <c r="Q1771" s="277"/>
      <c r="R1771" s="277"/>
      <c r="S1771" s="291">
        <v>43327</v>
      </c>
      <c r="T1771" s="279">
        <v>1688</v>
      </c>
      <c r="U1771" s="277"/>
      <c r="V1771" s="277"/>
      <c r="W1771" s="277"/>
      <c r="X1771" s="277"/>
      <c r="Y1771" s="277"/>
      <c r="Z1771" s="277"/>
      <c r="AA1771" s="277"/>
      <c r="AB1771" s="277"/>
      <c r="AC1771" s="277"/>
      <c r="AD1771" s="277"/>
      <c r="AE1771" s="277"/>
      <c r="AF1771" s="277"/>
      <c r="AG1771" s="277"/>
      <c r="AH1771" s="277"/>
    </row>
    <row r="1772" spans="16:34" s="185" customFormat="1">
      <c r="P1772" s="277"/>
      <c r="Q1772" s="277"/>
      <c r="R1772" s="277"/>
      <c r="S1772" s="291">
        <v>43328</v>
      </c>
      <c r="T1772" s="279">
        <v>1689</v>
      </c>
      <c r="U1772" s="277"/>
      <c r="V1772" s="277"/>
      <c r="W1772" s="277"/>
      <c r="X1772" s="277"/>
      <c r="Y1772" s="277"/>
      <c r="Z1772" s="277"/>
      <c r="AA1772" s="277"/>
      <c r="AB1772" s="277"/>
      <c r="AC1772" s="277"/>
      <c r="AD1772" s="277"/>
      <c r="AE1772" s="277"/>
      <c r="AF1772" s="277"/>
      <c r="AG1772" s="277"/>
      <c r="AH1772" s="277"/>
    </row>
    <row r="1773" spans="16:34" s="185" customFormat="1">
      <c r="P1773" s="277"/>
      <c r="Q1773" s="277"/>
      <c r="R1773" s="277"/>
      <c r="S1773" s="291">
        <v>43329</v>
      </c>
      <c r="T1773" s="279">
        <v>1690</v>
      </c>
      <c r="U1773" s="277"/>
      <c r="V1773" s="277"/>
      <c r="W1773" s="277"/>
      <c r="X1773" s="277"/>
      <c r="Y1773" s="277"/>
      <c r="Z1773" s="277"/>
      <c r="AA1773" s="277"/>
      <c r="AB1773" s="277"/>
      <c r="AC1773" s="277"/>
      <c r="AD1773" s="277"/>
      <c r="AE1773" s="277"/>
      <c r="AF1773" s="277"/>
      <c r="AG1773" s="277"/>
      <c r="AH1773" s="277"/>
    </row>
    <row r="1774" spans="16:34" s="185" customFormat="1">
      <c r="P1774" s="277"/>
      <c r="Q1774" s="277"/>
      <c r="R1774" s="277"/>
      <c r="S1774" s="291">
        <v>43330</v>
      </c>
      <c r="T1774" s="279">
        <v>1691</v>
      </c>
      <c r="U1774" s="277"/>
      <c r="V1774" s="277"/>
      <c r="W1774" s="277"/>
      <c r="X1774" s="277"/>
      <c r="Y1774" s="277"/>
      <c r="Z1774" s="277"/>
      <c r="AA1774" s="277"/>
      <c r="AB1774" s="277"/>
      <c r="AC1774" s="277"/>
      <c r="AD1774" s="277"/>
      <c r="AE1774" s="277"/>
      <c r="AF1774" s="277"/>
      <c r="AG1774" s="277"/>
      <c r="AH1774" s="277"/>
    </row>
    <row r="1775" spans="16:34" s="185" customFormat="1">
      <c r="P1775" s="277"/>
      <c r="Q1775" s="277"/>
      <c r="R1775" s="277"/>
      <c r="S1775" s="291">
        <v>43331</v>
      </c>
      <c r="T1775" s="279">
        <v>1692</v>
      </c>
      <c r="U1775" s="277"/>
      <c r="V1775" s="277"/>
      <c r="W1775" s="277"/>
      <c r="X1775" s="277"/>
      <c r="Y1775" s="277"/>
      <c r="Z1775" s="277"/>
      <c r="AA1775" s="277"/>
      <c r="AB1775" s="277"/>
      <c r="AC1775" s="277"/>
      <c r="AD1775" s="277"/>
      <c r="AE1775" s="277"/>
      <c r="AF1775" s="277"/>
      <c r="AG1775" s="277"/>
      <c r="AH1775" s="277"/>
    </row>
    <row r="1776" spans="16:34" s="185" customFormat="1">
      <c r="P1776" s="277"/>
      <c r="Q1776" s="277"/>
      <c r="R1776" s="277"/>
      <c r="S1776" s="291">
        <v>43332</v>
      </c>
      <c r="T1776" s="279">
        <v>1693</v>
      </c>
      <c r="U1776" s="277"/>
      <c r="V1776" s="277"/>
      <c r="W1776" s="277"/>
      <c r="X1776" s="277"/>
      <c r="Y1776" s="277"/>
      <c r="Z1776" s="277"/>
      <c r="AA1776" s="277"/>
      <c r="AB1776" s="277"/>
      <c r="AC1776" s="277"/>
      <c r="AD1776" s="277"/>
      <c r="AE1776" s="277"/>
      <c r="AF1776" s="277"/>
      <c r="AG1776" s="277"/>
      <c r="AH1776" s="277"/>
    </row>
    <row r="1777" spans="16:34" s="185" customFormat="1">
      <c r="P1777" s="277"/>
      <c r="Q1777" s="277"/>
      <c r="R1777" s="277"/>
      <c r="S1777" s="291">
        <v>43333</v>
      </c>
      <c r="T1777" s="279">
        <v>1694</v>
      </c>
      <c r="U1777" s="277"/>
      <c r="V1777" s="277"/>
      <c r="W1777" s="277"/>
      <c r="X1777" s="277"/>
      <c r="Y1777" s="277"/>
      <c r="Z1777" s="277"/>
      <c r="AA1777" s="277"/>
      <c r="AB1777" s="277"/>
      <c r="AC1777" s="277"/>
      <c r="AD1777" s="277"/>
      <c r="AE1777" s="277"/>
      <c r="AF1777" s="277"/>
      <c r="AG1777" s="277"/>
      <c r="AH1777" s="277"/>
    </row>
    <row r="1778" spans="16:34" s="185" customFormat="1">
      <c r="P1778" s="277"/>
      <c r="Q1778" s="277"/>
      <c r="R1778" s="277"/>
      <c r="S1778" s="291">
        <v>43334</v>
      </c>
      <c r="T1778" s="279">
        <v>1695</v>
      </c>
      <c r="U1778" s="277"/>
      <c r="V1778" s="277"/>
      <c r="W1778" s="277"/>
      <c r="X1778" s="277"/>
      <c r="Y1778" s="277"/>
      <c r="Z1778" s="277"/>
      <c r="AA1778" s="277"/>
      <c r="AB1778" s="277"/>
      <c r="AC1778" s="277"/>
      <c r="AD1778" s="277"/>
      <c r="AE1778" s="277"/>
      <c r="AF1778" s="277"/>
      <c r="AG1778" s="277"/>
      <c r="AH1778" s="277"/>
    </row>
    <row r="1779" spans="16:34" s="185" customFormat="1">
      <c r="P1779" s="277"/>
      <c r="Q1779" s="277"/>
      <c r="R1779" s="277"/>
      <c r="S1779" s="291">
        <v>43335</v>
      </c>
      <c r="T1779" s="279">
        <v>1696</v>
      </c>
      <c r="U1779" s="277"/>
      <c r="V1779" s="277"/>
      <c r="W1779" s="277"/>
      <c r="X1779" s="277"/>
      <c r="Y1779" s="277"/>
      <c r="Z1779" s="277"/>
      <c r="AA1779" s="277"/>
      <c r="AB1779" s="277"/>
      <c r="AC1779" s="277"/>
      <c r="AD1779" s="277"/>
      <c r="AE1779" s="277"/>
      <c r="AF1779" s="277"/>
      <c r="AG1779" s="277"/>
      <c r="AH1779" s="277"/>
    </row>
    <row r="1780" spans="16:34" s="185" customFormat="1">
      <c r="P1780" s="277"/>
      <c r="Q1780" s="277"/>
      <c r="R1780" s="277"/>
      <c r="S1780" s="291">
        <v>43336</v>
      </c>
      <c r="T1780" s="279">
        <v>1697</v>
      </c>
      <c r="U1780" s="277"/>
      <c r="V1780" s="277"/>
      <c r="W1780" s="277"/>
      <c r="X1780" s="277"/>
      <c r="Y1780" s="277"/>
      <c r="Z1780" s="277"/>
      <c r="AA1780" s="277"/>
      <c r="AB1780" s="277"/>
      <c r="AC1780" s="277"/>
      <c r="AD1780" s="277"/>
      <c r="AE1780" s="277"/>
      <c r="AF1780" s="277"/>
      <c r="AG1780" s="277"/>
      <c r="AH1780" s="277"/>
    </row>
    <row r="1781" spans="16:34" s="185" customFormat="1">
      <c r="P1781" s="277"/>
      <c r="Q1781" s="277"/>
      <c r="R1781" s="277"/>
      <c r="S1781" s="291">
        <v>43337</v>
      </c>
      <c r="T1781" s="279">
        <v>1698</v>
      </c>
      <c r="U1781" s="277"/>
      <c r="V1781" s="277"/>
      <c r="W1781" s="277"/>
      <c r="X1781" s="277"/>
      <c r="Y1781" s="277"/>
      <c r="Z1781" s="277"/>
      <c r="AA1781" s="277"/>
      <c r="AB1781" s="277"/>
      <c r="AC1781" s="277"/>
      <c r="AD1781" s="277"/>
      <c r="AE1781" s="277"/>
      <c r="AF1781" s="277"/>
      <c r="AG1781" s="277"/>
      <c r="AH1781" s="277"/>
    </row>
    <row r="1782" spans="16:34" s="185" customFormat="1">
      <c r="P1782" s="277"/>
      <c r="Q1782" s="277"/>
      <c r="R1782" s="277"/>
      <c r="S1782" s="291">
        <v>43338</v>
      </c>
      <c r="T1782" s="279">
        <v>1699</v>
      </c>
      <c r="U1782" s="277"/>
      <c r="V1782" s="277"/>
      <c r="W1782" s="277"/>
      <c r="X1782" s="277"/>
      <c r="Y1782" s="277"/>
      <c r="Z1782" s="277"/>
      <c r="AA1782" s="277"/>
      <c r="AB1782" s="277"/>
      <c r="AC1782" s="277"/>
      <c r="AD1782" s="277"/>
      <c r="AE1782" s="277"/>
      <c r="AF1782" s="277"/>
      <c r="AG1782" s="277"/>
      <c r="AH1782" s="277"/>
    </row>
    <row r="1783" spans="16:34" s="185" customFormat="1">
      <c r="P1783" s="277"/>
      <c r="Q1783" s="277"/>
      <c r="R1783" s="277"/>
      <c r="S1783" s="291">
        <v>43339</v>
      </c>
      <c r="T1783" s="279">
        <v>1700</v>
      </c>
      <c r="U1783" s="277"/>
      <c r="V1783" s="277"/>
      <c r="W1783" s="277"/>
      <c r="X1783" s="277"/>
      <c r="Y1783" s="277"/>
      <c r="Z1783" s="277"/>
      <c r="AA1783" s="277"/>
      <c r="AB1783" s="277"/>
      <c r="AC1783" s="277"/>
      <c r="AD1783" s="277"/>
      <c r="AE1783" s="277"/>
      <c r="AF1783" s="277"/>
      <c r="AG1783" s="277"/>
      <c r="AH1783" s="277"/>
    </row>
    <row r="1784" spans="16:34" s="185" customFormat="1">
      <c r="P1784" s="277"/>
      <c r="Q1784" s="277"/>
      <c r="R1784" s="277"/>
      <c r="S1784" s="291">
        <v>43340</v>
      </c>
      <c r="T1784" s="279">
        <v>1701</v>
      </c>
      <c r="U1784" s="277"/>
      <c r="V1784" s="277"/>
      <c r="W1784" s="277"/>
      <c r="X1784" s="277"/>
      <c r="Y1784" s="277"/>
      <c r="Z1784" s="277"/>
      <c r="AA1784" s="277"/>
      <c r="AB1784" s="277"/>
      <c r="AC1784" s="277"/>
      <c r="AD1784" s="277"/>
      <c r="AE1784" s="277"/>
      <c r="AF1784" s="277"/>
      <c r="AG1784" s="277"/>
      <c r="AH1784" s="277"/>
    </row>
    <row r="1785" spans="16:34" s="185" customFormat="1">
      <c r="P1785" s="277"/>
      <c r="Q1785" s="277"/>
      <c r="R1785" s="277"/>
      <c r="S1785" s="291">
        <v>43341</v>
      </c>
      <c r="T1785" s="279">
        <v>1702</v>
      </c>
      <c r="U1785" s="277"/>
      <c r="V1785" s="277"/>
      <c r="W1785" s="277"/>
      <c r="X1785" s="277"/>
      <c r="Y1785" s="277"/>
      <c r="Z1785" s="277"/>
      <c r="AA1785" s="277"/>
      <c r="AB1785" s="277"/>
      <c r="AC1785" s="277"/>
      <c r="AD1785" s="277"/>
      <c r="AE1785" s="277"/>
      <c r="AF1785" s="277"/>
      <c r="AG1785" s="277"/>
      <c r="AH1785" s="277"/>
    </row>
    <row r="1786" spans="16:34" s="185" customFormat="1">
      <c r="P1786" s="277"/>
      <c r="Q1786" s="277"/>
      <c r="R1786" s="277"/>
      <c r="S1786" s="291">
        <v>43342</v>
      </c>
      <c r="T1786" s="279">
        <v>1703</v>
      </c>
      <c r="U1786" s="277"/>
      <c r="V1786" s="277"/>
      <c r="W1786" s="277"/>
      <c r="X1786" s="277"/>
      <c r="Y1786" s="277"/>
      <c r="Z1786" s="277"/>
      <c r="AA1786" s="277"/>
      <c r="AB1786" s="277"/>
      <c r="AC1786" s="277"/>
      <c r="AD1786" s="277"/>
      <c r="AE1786" s="277"/>
      <c r="AF1786" s="277"/>
      <c r="AG1786" s="277"/>
      <c r="AH1786" s="277"/>
    </row>
    <row r="1787" spans="16:34" s="185" customFormat="1">
      <c r="P1787" s="277"/>
      <c r="Q1787" s="277"/>
      <c r="R1787" s="277"/>
      <c r="S1787" s="291">
        <v>43343</v>
      </c>
      <c r="T1787" s="279">
        <v>1704</v>
      </c>
      <c r="U1787" s="277"/>
      <c r="V1787" s="277"/>
      <c r="W1787" s="277"/>
      <c r="X1787" s="277"/>
      <c r="Y1787" s="277"/>
      <c r="Z1787" s="277"/>
      <c r="AA1787" s="277"/>
      <c r="AB1787" s="277"/>
      <c r="AC1787" s="277"/>
      <c r="AD1787" s="277"/>
      <c r="AE1787" s="277"/>
      <c r="AF1787" s="277"/>
      <c r="AG1787" s="277"/>
      <c r="AH1787" s="277"/>
    </row>
    <row r="1788" spans="16:34" s="185" customFormat="1">
      <c r="P1788" s="277"/>
      <c r="Q1788" s="277"/>
      <c r="R1788" s="277"/>
      <c r="S1788" s="291">
        <v>43344</v>
      </c>
      <c r="T1788" s="279">
        <v>1705</v>
      </c>
      <c r="U1788" s="277"/>
      <c r="V1788" s="277"/>
      <c r="W1788" s="277"/>
      <c r="X1788" s="277"/>
      <c r="Y1788" s="277"/>
      <c r="Z1788" s="277"/>
      <c r="AA1788" s="277"/>
      <c r="AB1788" s="277"/>
      <c r="AC1788" s="277"/>
      <c r="AD1788" s="277"/>
      <c r="AE1788" s="277"/>
      <c r="AF1788" s="277"/>
      <c r="AG1788" s="277"/>
      <c r="AH1788" s="277"/>
    </row>
    <row r="1789" spans="16:34" s="185" customFormat="1">
      <c r="P1789" s="277"/>
      <c r="Q1789" s="277"/>
      <c r="R1789" s="277"/>
      <c r="S1789" s="291">
        <v>43345</v>
      </c>
      <c r="T1789" s="279">
        <v>1706</v>
      </c>
      <c r="U1789" s="277"/>
      <c r="V1789" s="277"/>
      <c r="W1789" s="277"/>
      <c r="X1789" s="277"/>
      <c r="Y1789" s="277"/>
      <c r="Z1789" s="277"/>
      <c r="AA1789" s="277"/>
      <c r="AB1789" s="277"/>
      <c r="AC1789" s="277"/>
      <c r="AD1789" s="277"/>
      <c r="AE1789" s="277"/>
      <c r="AF1789" s="277"/>
      <c r="AG1789" s="277"/>
      <c r="AH1789" s="277"/>
    </row>
    <row r="1790" spans="16:34" s="185" customFormat="1">
      <c r="P1790" s="277"/>
      <c r="Q1790" s="277"/>
      <c r="R1790" s="277"/>
      <c r="S1790" s="291">
        <v>43346</v>
      </c>
      <c r="T1790" s="279">
        <v>1707</v>
      </c>
      <c r="U1790" s="277"/>
      <c r="V1790" s="277"/>
      <c r="W1790" s="277"/>
      <c r="X1790" s="277"/>
      <c r="Y1790" s="277"/>
      <c r="Z1790" s="277"/>
      <c r="AA1790" s="277"/>
      <c r="AB1790" s="277"/>
      <c r="AC1790" s="277"/>
      <c r="AD1790" s="277"/>
      <c r="AE1790" s="277"/>
      <c r="AF1790" s="277"/>
      <c r="AG1790" s="277"/>
      <c r="AH1790" s="277"/>
    </row>
    <row r="1791" spans="16:34" s="185" customFormat="1">
      <c r="P1791" s="277"/>
      <c r="Q1791" s="277"/>
      <c r="R1791" s="277"/>
      <c r="S1791" s="291">
        <v>43347</v>
      </c>
      <c r="T1791" s="279">
        <v>1708</v>
      </c>
      <c r="U1791" s="277"/>
      <c r="V1791" s="277"/>
      <c r="W1791" s="277"/>
      <c r="X1791" s="277"/>
      <c r="Y1791" s="277"/>
      <c r="Z1791" s="277"/>
      <c r="AA1791" s="277"/>
      <c r="AB1791" s="277"/>
      <c r="AC1791" s="277"/>
      <c r="AD1791" s="277"/>
      <c r="AE1791" s="277"/>
      <c r="AF1791" s="277"/>
      <c r="AG1791" s="277"/>
      <c r="AH1791" s="277"/>
    </row>
    <row r="1792" spans="16:34" s="185" customFormat="1">
      <c r="P1792" s="277"/>
      <c r="Q1792" s="277"/>
      <c r="R1792" s="277"/>
      <c r="S1792" s="291">
        <v>43348</v>
      </c>
      <c r="T1792" s="279">
        <v>1709</v>
      </c>
      <c r="U1792" s="277"/>
      <c r="V1792" s="277"/>
      <c r="W1792" s="277"/>
      <c r="X1792" s="277"/>
      <c r="Y1792" s="277"/>
      <c r="Z1792" s="277"/>
      <c r="AA1792" s="277"/>
      <c r="AB1792" s="277"/>
      <c r="AC1792" s="277"/>
      <c r="AD1792" s="277"/>
      <c r="AE1792" s="277"/>
      <c r="AF1792" s="277"/>
      <c r="AG1792" s="277"/>
      <c r="AH1792" s="277"/>
    </row>
    <row r="1793" spans="16:34" s="185" customFormat="1">
      <c r="P1793" s="277"/>
      <c r="Q1793" s="277"/>
      <c r="R1793" s="277"/>
      <c r="S1793" s="291">
        <v>43349</v>
      </c>
      <c r="T1793" s="279">
        <v>1710</v>
      </c>
      <c r="U1793" s="277"/>
      <c r="V1793" s="277"/>
      <c r="W1793" s="277"/>
      <c r="X1793" s="277"/>
      <c r="Y1793" s="277"/>
      <c r="Z1793" s="277"/>
      <c r="AA1793" s="277"/>
      <c r="AB1793" s="277"/>
      <c r="AC1793" s="277"/>
      <c r="AD1793" s="277"/>
      <c r="AE1793" s="277"/>
      <c r="AF1793" s="277"/>
      <c r="AG1793" s="277"/>
      <c r="AH1793" s="277"/>
    </row>
    <row r="1794" spans="16:34" s="185" customFormat="1">
      <c r="P1794" s="277"/>
      <c r="Q1794" s="277"/>
      <c r="R1794" s="277"/>
      <c r="S1794" s="291">
        <v>43350</v>
      </c>
      <c r="T1794" s="279">
        <v>1711</v>
      </c>
      <c r="U1794" s="277"/>
      <c r="V1794" s="277"/>
      <c r="W1794" s="277"/>
      <c r="X1794" s="277"/>
      <c r="Y1794" s="277"/>
      <c r="Z1794" s="277"/>
      <c r="AA1794" s="277"/>
      <c r="AB1794" s="277"/>
      <c r="AC1794" s="277"/>
      <c r="AD1794" s="277"/>
      <c r="AE1794" s="277"/>
      <c r="AF1794" s="277"/>
      <c r="AG1794" s="277"/>
      <c r="AH1794" s="277"/>
    </row>
    <row r="1795" spans="16:34" s="185" customFormat="1">
      <c r="P1795" s="277"/>
      <c r="Q1795" s="277"/>
      <c r="R1795" s="277"/>
      <c r="S1795" s="291">
        <v>43351</v>
      </c>
      <c r="T1795" s="279">
        <v>1712</v>
      </c>
      <c r="U1795" s="277"/>
      <c r="V1795" s="277"/>
      <c r="W1795" s="277"/>
      <c r="X1795" s="277"/>
      <c r="Y1795" s="277"/>
      <c r="Z1795" s="277"/>
      <c r="AA1795" s="277"/>
      <c r="AB1795" s="277"/>
      <c r="AC1795" s="277"/>
      <c r="AD1795" s="277"/>
      <c r="AE1795" s="277"/>
      <c r="AF1795" s="277"/>
      <c r="AG1795" s="277"/>
      <c r="AH1795" s="277"/>
    </row>
    <row r="1796" spans="16:34" s="185" customFormat="1">
      <c r="P1796" s="277"/>
      <c r="Q1796" s="277"/>
      <c r="R1796" s="277"/>
      <c r="S1796" s="291">
        <v>43352</v>
      </c>
      <c r="T1796" s="279">
        <v>1713</v>
      </c>
      <c r="U1796" s="277"/>
      <c r="V1796" s="277"/>
      <c r="W1796" s="277"/>
      <c r="X1796" s="277"/>
      <c r="Y1796" s="277"/>
      <c r="Z1796" s="277"/>
      <c r="AA1796" s="277"/>
      <c r="AB1796" s="277"/>
      <c r="AC1796" s="277"/>
      <c r="AD1796" s="277"/>
      <c r="AE1796" s="277"/>
      <c r="AF1796" s="277"/>
      <c r="AG1796" s="277"/>
      <c r="AH1796" s="277"/>
    </row>
    <row r="1797" spans="16:34" s="185" customFormat="1">
      <c r="P1797" s="277"/>
      <c r="Q1797" s="277"/>
      <c r="R1797" s="277"/>
      <c r="S1797" s="291">
        <v>43353</v>
      </c>
      <c r="T1797" s="279">
        <v>1714</v>
      </c>
      <c r="U1797" s="277"/>
      <c r="V1797" s="277"/>
      <c r="W1797" s="277"/>
      <c r="X1797" s="277"/>
      <c r="Y1797" s="277"/>
      <c r="Z1797" s="277"/>
      <c r="AA1797" s="277"/>
      <c r="AB1797" s="277"/>
      <c r="AC1797" s="277"/>
      <c r="AD1797" s="277"/>
      <c r="AE1797" s="277"/>
      <c r="AF1797" s="277"/>
      <c r="AG1797" s="277"/>
      <c r="AH1797" s="277"/>
    </row>
    <row r="1798" spans="16:34" s="185" customFormat="1">
      <c r="P1798" s="277"/>
      <c r="Q1798" s="277"/>
      <c r="R1798" s="277"/>
      <c r="S1798" s="291">
        <v>43354</v>
      </c>
      <c r="T1798" s="279">
        <v>1715</v>
      </c>
      <c r="U1798" s="277"/>
      <c r="V1798" s="277"/>
      <c r="W1798" s="277"/>
      <c r="X1798" s="277"/>
      <c r="Y1798" s="277"/>
      <c r="Z1798" s="277"/>
      <c r="AA1798" s="277"/>
      <c r="AB1798" s="277"/>
      <c r="AC1798" s="277"/>
      <c r="AD1798" s="277"/>
      <c r="AE1798" s="277"/>
      <c r="AF1798" s="277"/>
      <c r="AG1798" s="277"/>
      <c r="AH1798" s="277"/>
    </row>
    <row r="1799" spans="16:34" s="185" customFormat="1">
      <c r="P1799" s="277"/>
      <c r="Q1799" s="277"/>
      <c r="R1799" s="277"/>
      <c r="S1799" s="291">
        <v>43355</v>
      </c>
      <c r="T1799" s="279">
        <v>1716</v>
      </c>
      <c r="U1799" s="277"/>
      <c r="V1799" s="277"/>
      <c r="W1799" s="277"/>
      <c r="X1799" s="277"/>
      <c r="Y1799" s="277"/>
      <c r="Z1799" s="277"/>
      <c r="AA1799" s="277"/>
      <c r="AB1799" s="277"/>
      <c r="AC1799" s="277"/>
      <c r="AD1799" s="277"/>
      <c r="AE1799" s="277"/>
      <c r="AF1799" s="277"/>
      <c r="AG1799" s="277"/>
      <c r="AH1799" s="277"/>
    </row>
    <row r="1800" spans="16:34" s="185" customFormat="1">
      <c r="P1800" s="277"/>
      <c r="Q1800" s="277"/>
      <c r="R1800" s="277"/>
      <c r="S1800" s="291">
        <v>43356</v>
      </c>
      <c r="T1800" s="279">
        <v>1717</v>
      </c>
      <c r="U1800" s="277"/>
      <c r="V1800" s="277"/>
      <c r="W1800" s="277"/>
      <c r="X1800" s="277"/>
      <c r="Y1800" s="277"/>
      <c r="Z1800" s="277"/>
      <c r="AA1800" s="277"/>
      <c r="AB1800" s="277"/>
      <c r="AC1800" s="277"/>
      <c r="AD1800" s="277"/>
      <c r="AE1800" s="277"/>
      <c r="AF1800" s="277"/>
      <c r="AG1800" s="277"/>
      <c r="AH1800" s="277"/>
    </row>
    <row r="1801" spans="16:34" s="185" customFormat="1">
      <c r="P1801" s="277"/>
      <c r="Q1801" s="277"/>
      <c r="R1801" s="277"/>
      <c r="S1801" s="291">
        <v>43357</v>
      </c>
      <c r="T1801" s="279">
        <v>1718</v>
      </c>
      <c r="U1801" s="277"/>
      <c r="V1801" s="277"/>
      <c r="W1801" s="277"/>
      <c r="X1801" s="277"/>
      <c r="Y1801" s="277"/>
      <c r="Z1801" s="277"/>
      <c r="AA1801" s="277"/>
      <c r="AB1801" s="277"/>
      <c r="AC1801" s="277"/>
      <c r="AD1801" s="277"/>
      <c r="AE1801" s="277"/>
      <c r="AF1801" s="277"/>
      <c r="AG1801" s="277"/>
      <c r="AH1801" s="277"/>
    </row>
    <row r="1802" spans="16:34" s="185" customFormat="1">
      <c r="P1802" s="277"/>
      <c r="Q1802" s="277"/>
      <c r="R1802" s="277"/>
      <c r="S1802" s="291">
        <v>43358</v>
      </c>
      <c r="T1802" s="279">
        <v>1719</v>
      </c>
      <c r="U1802" s="277"/>
      <c r="V1802" s="277"/>
      <c r="W1802" s="277"/>
      <c r="X1802" s="277"/>
      <c r="Y1802" s="277"/>
      <c r="Z1802" s="277"/>
      <c r="AA1802" s="277"/>
      <c r="AB1802" s="277"/>
      <c r="AC1802" s="277"/>
      <c r="AD1802" s="277"/>
      <c r="AE1802" s="277"/>
      <c r="AF1802" s="277"/>
      <c r="AG1802" s="277"/>
      <c r="AH1802" s="277"/>
    </row>
    <row r="1803" spans="16:34" s="185" customFormat="1">
      <c r="P1803" s="277"/>
      <c r="Q1803" s="277"/>
      <c r="R1803" s="277"/>
      <c r="S1803" s="291">
        <v>43359</v>
      </c>
      <c r="T1803" s="279">
        <v>1720</v>
      </c>
      <c r="U1803" s="277"/>
      <c r="V1803" s="277"/>
      <c r="W1803" s="277"/>
      <c r="X1803" s="277"/>
      <c r="Y1803" s="277"/>
      <c r="Z1803" s="277"/>
      <c r="AA1803" s="277"/>
      <c r="AB1803" s="277"/>
      <c r="AC1803" s="277"/>
      <c r="AD1803" s="277"/>
      <c r="AE1803" s="277"/>
      <c r="AF1803" s="277"/>
      <c r="AG1803" s="277"/>
      <c r="AH1803" s="277"/>
    </row>
    <row r="1804" spans="16:34" s="185" customFormat="1">
      <c r="P1804" s="277"/>
      <c r="Q1804" s="277"/>
      <c r="R1804" s="277"/>
      <c r="S1804" s="291">
        <v>43360</v>
      </c>
      <c r="T1804" s="279">
        <v>1721</v>
      </c>
      <c r="U1804" s="277"/>
      <c r="V1804" s="277"/>
      <c r="W1804" s="277"/>
      <c r="X1804" s="277"/>
      <c r="Y1804" s="277"/>
      <c r="Z1804" s="277"/>
      <c r="AA1804" s="277"/>
      <c r="AB1804" s="277"/>
      <c r="AC1804" s="277"/>
      <c r="AD1804" s="277"/>
      <c r="AE1804" s="277"/>
      <c r="AF1804" s="277"/>
      <c r="AG1804" s="277"/>
      <c r="AH1804" s="277"/>
    </row>
    <row r="1805" spans="16:34" s="185" customFormat="1">
      <c r="P1805" s="277"/>
      <c r="Q1805" s="277"/>
      <c r="R1805" s="277"/>
      <c r="S1805" s="291">
        <v>43361</v>
      </c>
      <c r="T1805" s="279">
        <v>1722</v>
      </c>
      <c r="U1805" s="277"/>
      <c r="V1805" s="277"/>
      <c r="W1805" s="277"/>
      <c r="X1805" s="277"/>
      <c r="Y1805" s="277"/>
      <c r="Z1805" s="277"/>
      <c r="AA1805" s="277"/>
      <c r="AB1805" s="277"/>
      <c r="AC1805" s="277"/>
      <c r="AD1805" s="277"/>
      <c r="AE1805" s="277"/>
      <c r="AF1805" s="277"/>
      <c r="AG1805" s="277"/>
      <c r="AH1805" s="277"/>
    </row>
    <row r="1806" spans="16:34" s="185" customFormat="1">
      <c r="P1806" s="277"/>
      <c r="Q1806" s="277"/>
      <c r="R1806" s="277"/>
      <c r="S1806" s="291">
        <v>43362</v>
      </c>
      <c r="T1806" s="279">
        <v>1723</v>
      </c>
      <c r="U1806" s="277"/>
      <c r="V1806" s="277"/>
      <c r="W1806" s="277"/>
      <c r="X1806" s="277"/>
      <c r="Y1806" s="277"/>
      <c r="Z1806" s="277"/>
      <c r="AA1806" s="277"/>
      <c r="AB1806" s="277"/>
      <c r="AC1806" s="277"/>
      <c r="AD1806" s="277"/>
      <c r="AE1806" s="277"/>
      <c r="AF1806" s="277"/>
      <c r="AG1806" s="277"/>
      <c r="AH1806" s="277"/>
    </row>
    <row r="1807" spans="16:34" s="185" customFormat="1">
      <c r="P1807" s="277"/>
      <c r="Q1807" s="277"/>
      <c r="R1807" s="277"/>
      <c r="S1807" s="291">
        <v>43363</v>
      </c>
      <c r="T1807" s="279">
        <v>1724</v>
      </c>
      <c r="U1807" s="277"/>
      <c r="V1807" s="277"/>
      <c r="W1807" s="277"/>
      <c r="X1807" s="277"/>
      <c r="Y1807" s="277"/>
      <c r="Z1807" s="277"/>
      <c r="AA1807" s="277"/>
      <c r="AB1807" s="277"/>
      <c r="AC1807" s="277"/>
      <c r="AD1807" s="277"/>
      <c r="AE1807" s="277"/>
      <c r="AF1807" s="277"/>
      <c r="AG1807" s="277"/>
      <c r="AH1807" s="277"/>
    </row>
    <row r="1808" spans="16:34" s="185" customFormat="1">
      <c r="P1808" s="277"/>
      <c r="Q1808" s="277"/>
      <c r="R1808" s="277"/>
      <c r="S1808" s="291">
        <v>43364</v>
      </c>
      <c r="T1808" s="279">
        <v>1725</v>
      </c>
      <c r="U1808" s="277"/>
      <c r="V1808" s="277"/>
      <c r="W1808" s="277"/>
      <c r="X1808" s="277"/>
      <c r="Y1808" s="277"/>
      <c r="Z1808" s="277"/>
      <c r="AA1808" s="277"/>
      <c r="AB1808" s="277"/>
      <c r="AC1808" s="277"/>
      <c r="AD1808" s="277"/>
      <c r="AE1808" s="277"/>
      <c r="AF1808" s="277"/>
      <c r="AG1808" s="277"/>
      <c r="AH1808" s="277"/>
    </row>
    <row r="1809" spans="16:34" s="185" customFormat="1">
      <c r="P1809" s="277"/>
      <c r="Q1809" s="277"/>
      <c r="R1809" s="277"/>
      <c r="S1809" s="291">
        <v>43365</v>
      </c>
      <c r="T1809" s="279">
        <v>1726</v>
      </c>
      <c r="U1809" s="277"/>
      <c r="V1809" s="277"/>
      <c r="W1809" s="277"/>
      <c r="X1809" s="277"/>
      <c r="Y1809" s="277"/>
      <c r="Z1809" s="277"/>
      <c r="AA1809" s="277"/>
      <c r="AB1809" s="277"/>
      <c r="AC1809" s="277"/>
      <c r="AD1809" s="277"/>
      <c r="AE1809" s="277"/>
      <c r="AF1809" s="277"/>
      <c r="AG1809" s="277"/>
      <c r="AH1809" s="277"/>
    </row>
    <row r="1810" spans="16:34" s="185" customFormat="1">
      <c r="P1810" s="277"/>
      <c r="Q1810" s="277"/>
      <c r="R1810" s="277"/>
      <c r="S1810" s="291">
        <v>43366</v>
      </c>
      <c r="T1810" s="279">
        <v>1727</v>
      </c>
      <c r="U1810" s="277"/>
      <c r="V1810" s="277"/>
      <c r="W1810" s="277"/>
      <c r="X1810" s="277"/>
      <c r="Y1810" s="277"/>
      <c r="Z1810" s="277"/>
      <c r="AA1810" s="277"/>
      <c r="AB1810" s="277"/>
      <c r="AC1810" s="277"/>
      <c r="AD1810" s="277"/>
      <c r="AE1810" s="277"/>
      <c r="AF1810" s="277"/>
      <c r="AG1810" s="277"/>
      <c r="AH1810" s="277"/>
    </row>
    <row r="1811" spans="16:34" s="185" customFormat="1">
      <c r="P1811" s="277"/>
      <c r="Q1811" s="277"/>
      <c r="R1811" s="277"/>
      <c r="S1811" s="291">
        <v>43367</v>
      </c>
      <c r="T1811" s="279">
        <v>1728</v>
      </c>
      <c r="U1811" s="277"/>
      <c r="V1811" s="277"/>
      <c r="W1811" s="277"/>
      <c r="X1811" s="277"/>
      <c r="Y1811" s="277"/>
      <c r="Z1811" s="277"/>
      <c r="AA1811" s="277"/>
      <c r="AB1811" s="277"/>
      <c r="AC1811" s="277"/>
      <c r="AD1811" s="277"/>
      <c r="AE1811" s="277"/>
      <c r="AF1811" s="277"/>
      <c r="AG1811" s="277"/>
      <c r="AH1811" s="277"/>
    </row>
    <row r="1812" spans="16:34" s="185" customFormat="1">
      <c r="P1812" s="277"/>
      <c r="Q1812" s="277"/>
      <c r="R1812" s="277"/>
      <c r="S1812" s="291">
        <v>43368</v>
      </c>
      <c r="T1812" s="279">
        <v>1729</v>
      </c>
      <c r="U1812" s="277"/>
      <c r="V1812" s="277"/>
      <c r="W1812" s="277"/>
      <c r="X1812" s="277"/>
      <c r="Y1812" s="277"/>
      <c r="Z1812" s="277"/>
      <c r="AA1812" s="277"/>
      <c r="AB1812" s="277"/>
      <c r="AC1812" s="277"/>
      <c r="AD1812" s="277"/>
      <c r="AE1812" s="277"/>
      <c r="AF1812" s="277"/>
      <c r="AG1812" s="277"/>
      <c r="AH1812" s="277"/>
    </row>
    <row r="1813" spans="16:34" s="185" customFormat="1">
      <c r="P1813" s="277"/>
      <c r="Q1813" s="277"/>
      <c r="R1813" s="277"/>
      <c r="S1813" s="291">
        <v>43369</v>
      </c>
      <c r="T1813" s="279">
        <v>1730</v>
      </c>
      <c r="U1813" s="277"/>
      <c r="V1813" s="277"/>
      <c r="W1813" s="277"/>
      <c r="X1813" s="277"/>
      <c r="Y1813" s="277"/>
      <c r="Z1813" s="277"/>
      <c r="AA1813" s="277"/>
      <c r="AB1813" s="277"/>
      <c r="AC1813" s="277"/>
      <c r="AD1813" s="277"/>
      <c r="AE1813" s="277"/>
      <c r="AF1813" s="277"/>
      <c r="AG1813" s="277"/>
      <c r="AH1813" s="277"/>
    </row>
    <row r="1814" spans="16:34" s="185" customFormat="1">
      <c r="P1814" s="277"/>
      <c r="Q1814" s="277"/>
      <c r="R1814" s="277"/>
      <c r="S1814" s="291">
        <v>43370</v>
      </c>
      <c r="T1814" s="279">
        <v>1731</v>
      </c>
      <c r="U1814" s="277"/>
      <c r="V1814" s="277"/>
      <c r="W1814" s="277"/>
      <c r="X1814" s="277"/>
      <c r="Y1814" s="277"/>
      <c r="Z1814" s="277"/>
      <c r="AA1814" s="277"/>
      <c r="AB1814" s="277"/>
      <c r="AC1814" s="277"/>
      <c r="AD1814" s="277"/>
      <c r="AE1814" s="277"/>
      <c r="AF1814" s="277"/>
      <c r="AG1814" s="277"/>
      <c r="AH1814" s="277"/>
    </row>
    <row r="1815" spans="16:34" s="185" customFormat="1">
      <c r="P1815" s="277"/>
      <c r="Q1815" s="277"/>
      <c r="R1815" s="277"/>
      <c r="S1815" s="291">
        <v>43371</v>
      </c>
      <c r="T1815" s="279">
        <v>1732</v>
      </c>
      <c r="U1815" s="277"/>
      <c r="V1815" s="277"/>
      <c r="W1815" s="277"/>
      <c r="X1815" s="277"/>
      <c r="Y1815" s="277"/>
      <c r="Z1815" s="277"/>
      <c r="AA1815" s="277"/>
      <c r="AB1815" s="277"/>
      <c r="AC1815" s="277"/>
      <c r="AD1815" s="277"/>
      <c r="AE1815" s="277"/>
      <c r="AF1815" s="277"/>
      <c r="AG1815" s="277"/>
      <c r="AH1815" s="277"/>
    </row>
    <row r="1816" spans="16:34" s="185" customFormat="1">
      <c r="P1816" s="277"/>
      <c r="Q1816" s="277"/>
      <c r="R1816" s="277"/>
      <c r="S1816" s="291">
        <v>43372</v>
      </c>
      <c r="T1816" s="279">
        <v>1733</v>
      </c>
      <c r="U1816" s="277"/>
      <c r="V1816" s="277"/>
      <c r="W1816" s="277"/>
      <c r="X1816" s="277"/>
      <c r="Y1816" s="277"/>
      <c r="Z1816" s="277"/>
      <c r="AA1816" s="277"/>
      <c r="AB1816" s="277"/>
      <c r="AC1816" s="277"/>
      <c r="AD1816" s="277"/>
      <c r="AE1816" s="277"/>
      <c r="AF1816" s="277"/>
      <c r="AG1816" s="277"/>
      <c r="AH1816" s="277"/>
    </row>
    <row r="1817" spans="16:34" s="185" customFormat="1">
      <c r="P1817" s="277"/>
      <c r="Q1817" s="277"/>
      <c r="R1817" s="277"/>
      <c r="S1817" s="291">
        <v>43373</v>
      </c>
      <c r="T1817" s="279">
        <v>1734</v>
      </c>
      <c r="U1817" s="277"/>
      <c r="V1817" s="277"/>
      <c r="W1817" s="277"/>
      <c r="X1817" s="277"/>
      <c r="Y1817" s="277"/>
      <c r="Z1817" s="277"/>
      <c r="AA1817" s="277"/>
      <c r="AB1817" s="277"/>
      <c r="AC1817" s="277"/>
      <c r="AD1817" s="277"/>
      <c r="AE1817" s="277"/>
      <c r="AF1817" s="277"/>
      <c r="AG1817" s="277"/>
      <c r="AH1817" s="277"/>
    </row>
    <row r="1818" spans="16:34" s="185" customFormat="1">
      <c r="P1818" s="277"/>
      <c r="Q1818" s="277"/>
      <c r="R1818" s="277"/>
      <c r="S1818" s="291">
        <v>43374</v>
      </c>
      <c r="T1818" s="279">
        <v>1735</v>
      </c>
      <c r="U1818" s="277"/>
      <c r="V1818" s="277"/>
      <c r="W1818" s="277"/>
      <c r="X1818" s="277"/>
      <c r="Y1818" s="277"/>
      <c r="Z1818" s="277"/>
      <c r="AA1818" s="277"/>
      <c r="AB1818" s="277"/>
      <c r="AC1818" s="277"/>
      <c r="AD1818" s="277"/>
      <c r="AE1818" s="277"/>
      <c r="AF1818" s="277"/>
      <c r="AG1818" s="277"/>
      <c r="AH1818" s="277"/>
    </row>
    <row r="1819" spans="16:34" s="185" customFormat="1">
      <c r="P1819" s="277"/>
      <c r="Q1819" s="277"/>
      <c r="R1819" s="277"/>
      <c r="S1819" s="291">
        <v>43375</v>
      </c>
      <c r="T1819" s="279">
        <v>1736</v>
      </c>
      <c r="U1819" s="277"/>
      <c r="V1819" s="277"/>
      <c r="W1819" s="277"/>
      <c r="X1819" s="277"/>
      <c r="Y1819" s="277"/>
      <c r="Z1819" s="277"/>
      <c r="AA1819" s="277"/>
      <c r="AB1819" s="277"/>
      <c r="AC1819" s="277"/>
      <c r="AD1819" s="277"/>
      <c r="AE1819" s="277"/>
      <c r="AF1819" s="277"/>
      <c r="AG1819" s="277"/>
      <c r="AH1819" s="277"/>
    </row>
    <row r="1820" spans="16:34" s="185" customFormat="1">
      <c r="P1820" s="277"/>
      <c r="Q1820" s="277"/>
      <c r="R1820" s="277"/>
      <c r="S1820" s="291">
        <v>43376</v>
      </c>
      <c r="T1820" s="279">
        <v>1737</v>
      </c>
      <c r="U1820" s="277"/>
      <c r="V1820" s="277"/>
      <c r="W1820" s="277"/>
      <c r="X1820" s="277"/>
      <c r="Y1820" s="277"/>
      <c r="Z1820" s="277"/>
      <c r="AA1820" s="277"/>
      <c r="AB1820" s="277"/>
      <c r="AC1820" s="277"/>
      <c r="AD1820" s="277"/>
      <c r="AE1820" s="277"/>
      <c r="AF1820" s="277"/>
      <c r="AG1820" s="277"/>
      <c r="AH1820" s="277"/>
    </row>
    <row r="1821" spans="16:34" s="185" customFormat="1">
      <c r="P1821" s="277"/>
      <c r="Q1821" s="277"/>
      <c r="R1821" s="277"/>
      <c r="S1821" s="291">
        <v>43377</v>
      </c>
      <c r="T1821" s="279">
        <v>1738</v>
      </c>
      <c r="U1821" s="277"/>
      <c r="V1821" s="277"/>
      <c r="W1821" s="277"/>
      <c r="X1821" s="277"/>
      <c r="Y1821" s="277"/>
      <c r="Z1821" s="277"/>
      <c r="AA1821" s="277"/>
      <c r="AB1821" s="277"/>
      <c r="AC1821" s="277"/>
      <c r="AD1821" s="277"/>
      <c r="AE1821" s="277"/>
      <c r="AF1821" s="277"/>
      <c r="AG1821" s="277"/>
      <c r="AH1821" s="277"/>
    </row>
    <row r="1822" spans="16:34" s="185" customFormat="1">
      <c r="P1822" s="277"/>
      <c r="Q1822" s="277"/>
      <c r="R1822" s="277"/>
      <c r="S1822" s="291">
        <v>43378</v>
      </c>
      <c r="T1822" s="279">
        <v>1739</v>
      </c>
      <c r="U1822" s="277"/>
      <c r="V1822" s="277"/>
      <c r="W1822" s="277"/>
      <c r="X1822" s="277"/>
      <c r="Y1822" s="277"/>
      <c r="Z1822" s="277"/>
      <c r="AA1822" s="277"/>
      <c r="AB1822" s="277"/>
      <c r="AC1822" s="277"/>
      <c r="AD1822" s="277"/>
      <c r="AE1822" s="277"/>
      <c r="AF1822" s="277"/>
      <c r="AG1822" s="277"/>
      <c r="AH1822" s="277"/>
    </row>
    <row r="1823" spans="16:34" s="185" customFormat="1">
      <c r="P1823" s="277"/>
      <c r="Q1823" s="277"/>
      <c r="R1823" s="277"/>
      <c r="S1823" s="291">
        <v>43379</v>
      </c>
      <c r="T1823" s="279">
        <v>1740</v>
      </c>
      <c r="U1823" s="277"/>
      <c r="V1823" s="277"/>
      <c r="W1823" s="277"/>
      <c r="X1823" s="277"/>
      <c r="Y1823" s="277"/>
      <c r="Z1823" s="277"/>
      <c r="AA1823" s="277"/>
      <c r="AB1823" s="277"/>
      <c r="AC1823" s="277"/>
      <c r="AD1823" s="277"/>
      <c r="AE1823" s="277"/>
      <c r="AF1823" s="277"/>
      <c r="AG1823" s="277"/>
      <c r="AH1823" s="277"/>
    </row>
    <row r="1824" spans="16:34" s="185" customFormat="1">
      <c r="P1824" s="277"/>
      <c r="Q1824" s="277"/>
      <c r="R1824" s="277"/>
      <c r="S1824" s="291">
        <v>43380</v>
      </c>
      <c r="T1824" s="279">
        <v>1741</v>
      </c>
      <c r="U1824" s="277"/>
      <c r="V1824" s="277"/>
      <c r="W1824" s="277"/>
      <c r="X1824" s="277"/>
      <c r="Y1824" s="277"/>
      <c r="Z1824" s="277"/>
      <c r="AA1824" s="277"/>
      <c r="AB1824" s="277"/>
      <c r="AC1824" s="277"/>
      <c r="AD1824" s="277"/>
      <c r="AE1824" s="277"/>
      <c r="AF1824" s="277"/>
      <c r="AG1824" s="277"/>
      <c r="AH1824" s="277"/>
    </row>
    <row r="1825" spans="16:34" s="185" customFormat="1">
      <c r="P1825" s="277"/>
      <c r="Q1825" s="277"/>
      <c r="R1825" s="277"/>
      <c r="S1825" s="291">
        <v>43381</v>
      </c>
      <c r="T1825" s="279">
        <v>1742</v>
      </c>
      <c r="U1825" s="277"/>
      <c r="V1825" s="277"/>
      <c r="W1825" s="277"/>
      <c r="X1825" s="277"/>
      <c r="Y1825" s="277"/>
      <c r="Z1825" s="277"/>
      <c r="AA1825" s="277"/>
      <c r="AB1825" s="277"/>
      <c r="AC1825" s="277"/>
      <c r="AD1825" s="277"/>
      <c r="AE1825" s="277"/>
      <c r="AF1825" s="277"/>
      <c r="AG1825" s="277"/>
      <c r="AH1825" s="277"/>
    </row>
    <row r="1826" spans="16:34" s="185" customFormat="1">
      <c r="P1826" s="277"/>
      <c r="Q1826" s="277"/>
      <c r="R1826" s="277"/>
      <c r="S1826" s="291">
        <v>43382</v>
      </c>
      <c r="T1826" s="279">
        <v>1743</v>
      </c>
      <c r="U1826" s="277"/>
      <c r="V1826" s="277"/>
      <c r="W1826" s="277"/>
      <c r="X1826" s="277"/>
      <c r="Y1826" s="277"/>
      <c r="Z1826" s="277"/>
      <c r="AA1826" s="277"/>
      <c r="AB1826" s="277"/>
      <c r="AC1826" s="277"/>
      <c r="AD1826" s="277"/>
      <c r="AE1826" s="277"/>
      <c r="AF1826" s="277"/>
      <c r="AG1826" s="277"/>
      <c r="AH1826" s="277"/>
    </row>
    <row r="1827" spans="16:34" s="185" customFormat="1">
      <c r="P1827" s="277"/>
      <c r="Q1827" s="277"/>
      <c r="R1827" s="277"/>
      <c r="S1827" s="291">
        <v>43383</v>
      </c>
      <c r="T1827" s="279">
        <v>1744</v>
      </c>
      <c r="U1827" s="277"/>
      <c r="V1827" s="277"/>
      <c r="W1827" s="277"/>
      <c r="X1827" s="277"/>
      <c r="Y1827" s="277"/>
      <c r="Z1827" s="277"/>
      <c r="AA1827" s="277"/>
      <c r="AB1827" s="277"/>
      <c r="AC1827" s="277"/>
      <c r="AD1827" s="277"/>
      <c r="AE1827" s="277"/>
      <c r="AF1827" s="277"/>
      <c r="AG1827" s="277"/>
      <c r="AH1827" s="277"/>
    </row>
    <row r="1828" spans="16:34" s="185" customFormat="1">
      <c r="P1828" s="277"/>
      <c r="Q1828" s="277"/>
      <c r="R1828" s="277"/>
      <c r="S1828" s="291">
        <v>43384</v>
      </c>
      <c r="T1828" s="279">
        <v>1745</v>
      </c>
      <c r="U1828" s="277"/>
      <c r="V1828" s="277"/>
      <c r="W1828" s="277"/>
      <c r="X1828" s="277"/>
      <c r="Y1828" s="277"/>
      <c r="Z1828" s="277"/>
      <c r="AA1828" s="277"/>
      <c r="AB1828" s="277"/>
      <c r="AC1828" s="277"/>
      <c r="AD1828" s="277"/>
      <c r="AE1828" s="277"/>
      <c r="AF1828" s="277"/>
      <c r="AG1828" s="277"/>
      <c r="AH1828" s="277"/>
    </row>
    <row r="1829" spans="16:34" s="185" customFormat="1">
      <c r="P1829" s="277"/>
      <c r="Q1829" s="277"/>
      <c r="R1829" s="277"/>
      <c r="S1829" s="291">
        <v>43385</v>
      </c>
      <c r="T1829" s="279">
        <v>1746</v>
      </c>
      <c r="U1829" s="277"/>
      <c r="V1829" s="277"/>
      <c r="W1829" s="277"/>
      <c r="X1829" s="277"/>
      <c r="Y1829" s="277"/>
      <c r="Z1829" s="277"/>
      <c r="AA1829" s="277"/>
      <c r="AB1829" s="277"/>
      <c r="AC1829" s="277"/>
      <c r="AD1829" s="277"/>
      <c r="AE1829" s="277"/>
      <c r="AF1829" s="277"/>
      <c r="AG1829" s="277"/>
      <c r="AH1829" s="277"/>
    </row>
    <row r="1830" spans="16:34" s="185" customFormat="1">
      <c r="P1830" s="277"/>
      <c r="Q1830" s="277"/>
      <c r="R1830" s="277"/>
      <c r="S1830" s="291">
        <v>43386</v>
      </c>
      <c r="T1830" s="279">
        <v>1747</v>
      </c>
      <c r="U1830" s="277"/>
      <c r="V1830" s="277"/>
      <c r="W1830" s="277"/>
      <c r="X1830" s="277"/>
      <c r="Y1830" s="277"/>
      <c r="Z1830" s="277"/>
      <c r="AA1830" s="277"/>
      <c r="AB1830" s="277"/>
      <c r="AC1830" s="277"/>
      <c r="AD1830" s="277"/>
      <c r="AE1830" s="277"/>
      <c r="AF1830" s="277"/>
      <c r="AG1830" s="277"/>
      <c r="AH1830" s="277"/>
    </row>
    <row r="1831" spans="16:34" s="185" customFormat="1">
      <c r="P1831" s="277"/>
      <c r="Q1831" s="277"/>
      <c r="R1831" s="277"/>
      <c r="S1831" s="291">
        <v>43387</v>
      </c>
      <c r="T1831" s="279">
        <v>1748</v>
      </c>
      <c r="U1831" s="277"/>
      <c r="V1831" s="277"/>
      <c r="W1831" s="277"/>
      <c r="X1831" s="277"/>
      <c r="Y1831" s="277"/>
      <c r="Z1831" s="277"/>
      <c r="AA1831" s="277"/>
      <c r="AB1831" s="277"/>
      <c r="AC1831" s="277"/>
      <c r="AD1831" s="277"/>
      <c r="AE1831" s="277"/>
      <c r="AF1831" s="277"/>
      <c r="AG1831" s="277"/>
      <c r="AH1831" s="277"/>
    </row>
    <row r="1832" spans="16:34" s="185" customFormat="1">
      <c r="P1832" s="277"/>
      <c r="Q1832" s="277"/>
      <c r="R1832" s="277"/>
      <c r="S1832" s="291">
        <v>43388</v>
      </c>
      <c r="T1832" s="279">
        <v>1749</v>
      </c>
      <c r="U1832" s="277"/>
      <c r="V1832" s="277"/>
      <c r="W1832" s="277"/>
      <c r="X1832" s="277"/>
      <c r="Y1832" s="277"/>
      <c r="Z1832" s="277"/>
      <c r="AA1832" s="277"/>
      <c r="AB1832" s="277"/>
      <c r="AC1832" s="277"/>
      <c r="AD1832" s="277"/>
      <c r="AE1832" s="277"/>
      <c r="AF1832" s="277"/>
      <c r="AG1832" s="277"/>
      <c r="AH1832" s="277"/>
    </row>
    <row r="1833" spans="16:34" s="185" customFormat="1">
      <c r="P1833" s="277"/>
      <c r="Q1833" s="277"/>
      <c r="R1833" s="277"/>
      <c r="S1833" s="291">
        <v>43389</v>
      </c>
      <c r="T1833" s="279">
        <v>1750</v>
      </c>
      <c r="U1833" s="277"/>
      <c r="V1833" s="277"/>
      <c r="W1833" s="277"/>
      <c r="X1833" s="277"/>
      <c r="Y1833" s="277"/>
      <c r="Z1833" s="277"/>
      <c r="AA1833" s="277"/>
      <c r="AB1833" s="277"/>
      <c r="AC1833" s="277"/>
      <c r="AD1833" s="277"/>
      <c r="AE1833" s="277"/>
      <c r="AF1833" s="277"/>
      <c r="AG1833" s="277"/>
      <c r="AH1833" s="277"/>
    </row>
    <row r="1834" spans="16:34" s="185" customFormat="1">
      <c r="P1834" s="277"/>
      <c r="Q1834" s="277"/>
      <c r="R1834" s="277"/>
      <c r="S1834" s="291">
        <v>43390</v>
      </c>
      <c r="T1834" s="279">
        <v>1751</v>
      </c>
      <c r="U1834" s="277"/>
      <c r="V1834" s="277"/>
      <c r="W1834" s="277"/>
      <c r="X1834" s="277"/>
      <c r="Y1834" s="277"/>
      <c r="Z1834" s="277"/>
      <c r="AA1834" s="277"/>
      <c r="AB1834" s="277"/>
      <c r="AC1834" s="277"/>
      <c r="AD1834" s="277"/>
      <c r="AE1834" s="277"/>
      <c r="AF1834" s="277"/>
      <c r="AG1834" s="277"/>
      <c r="AH1834" s="277"/>
    </row>
    <row r="1835" spans="16:34" s="185" customFormat="1">
      <c r="P1835" s="277"/>
      <c r="Q1835" s="277"/>
      <c r="R1835" s="277"/>
      <c r="S1835" s="291">
        <v>43391</v>
      </c>
      <c r="T1835" s="279">
        <v>1752</v>
      </c>
      <c r="U1835" s="277"/>
      <c r="V1835" s="277"/>
      <c r="W1835" s="277"/>
      <c r="X1835" s="277"/>
      <c r="Y1835" s="277"/>
      <c r="Z1835" s="277"/>
      <c r="AA1835" s="277"/>
      <c r="AB1835" s="277"/>
      <c r="AC1835" s="277"/>
      <c r="AD1835" s="277"/>
      <c r="AE1835" s="277"/>
      <c r="AF1835" s="277"/>
      <c r="AG1835" s="277"/>
      <c r="AH1835" s="277"/>
    </row>
    <row r="1836" spans="16:34" s="185" customFormat="1">
      <c r="P1836" s="277"/>
      <c r="Q1836" s="277"/>
      <c r="R1836" s="277"/>
      <c r="S1836" s="291">
        <v>43392</v>
      </c>
      <c r="T1836" s="279">
        <v>1753</v>
      </c>
      <c r="U1836" s="277"/>
      <c r="V1836" s="277"/>
      <c r="W1836" s="277"/>
      <c r="X1836" s="277"/>
      <c r="Y1836" s="277"/>
      <c r="Z1836" s="277"/>
      <c r="AA1836" s="277"/>
      <c r="AB1836" s="277"/>
      <c r="AC1836" s="277"/>
      <c r="AD1836" s="277"/>
      <c r="AE1836" s="277"/>
      <c r="AF1836" s="277"/>
      <c r="AG1836" s="277"/>
      <c r="AH1836" s="277"/>
    </row>
    <row r="1837" spans="16:34" s="185" customFormat="1">
      <c r="P1837" s="277"/>
      <c r="Q1837" s="277"/>
      <c r="R1837" s="277"/>
      <c r="S1837" s="291">
        <v>43393</v>
      </c>
      <c r="T1837" s="279">
        <v>1754</v>
      </c>
      <c r="U1837" s="277"/>
      <c r="V1837" s="277"/>
      <c r="W1837" s="277"/>
      <c r="X1837" s="277"/>
      <c r="Y1837" s="277"/>
      <c r="Z1837" s="277"/>
      <c r="AA1837" s="277"/>
      <c r="AB1837" s="277"/>
      <c r="AC1837" s="277"/>
      <c r="AD1837" s="277"/>
      <c r="AE1837" s="277"/>
      <c r="AF1837" s="277"/>
      <c r="AG1837" s="277"/>
      <c r="AH1837" s="277"/>
    </row>
    <row r="1838" spans="16:34" s="185" customFormat="1">
      <c r="P1838" s="277"/>
      <c r="Q1838" s="277"/>
      <c r="R1838" s="277"/>
      <c r="S1838" s="291">
        <v>43394</v>
      </c>
      <c r="T1838" s="279">
        <v>1755</v>
      </c>
      <c r="U1838" s="277"/>
      <c r="V1838" s="277"/>
      <c r="W1838" s="277"/>
      <c r="X1838" s="277"/>
      <c r="Y1838" s="277"/>
      <c r="Z1838" s="277"/>
      <c r="AA1838" s="277"/>
      <c r="AB1838" s="277"/>
      <c r="AC1838" s="277"/>
      <c r="AD1838" s="277"/>
      <c r="AE1838" s="277"/>
      <c r="AF1838" s="277"/>
      <c r="AG1838" s="277"/>
      <c r="AH1838" s="277"/>
    </row>
    <row r="1839" spans="16:34" s="185" customFormat="1">
      <c r="P1839" s="277"/>
      <c r="Q1839" s="277"/>
      <c r="R1839" s="277"/>
      <c r="S1839" s="291">
        <v>43395</v>
      </c>
      <c r="T1839" s="279">
        <v>1756</v>
      </c>
      <c r="U1839" s="277"/>
      <c r="V1839" s="277"/>
      <c r="W1839" s="277"/>
      <c r="X1839" s="277"/>
      <c r="Y1839" s="277"/>
      <c r="Z1839" s="277"/>
      <c r="AA1839" s="277"/>
      <c r="AB1839" s="277"/>
      <c r="AC1839" s="277"/>
      <c r="AD1839" s="277"/>
      <c r="AE1839" s="277"/>
      <c r="AF1839" s="277"/>
      <c r="AG1839" s="277"/>
      <c r="AH1839" s="277"/>
    </row>
    <row r="1840" spans="16:34" s="185" customFormat="1">
      <c r="P1840" s="277"/>
      <c r="Q1840" s="277"/>
      <c r="R1840" s="277"/>
      <c r="S1840" s="291">
        <v>43396</v>
      </c>
      <c r="T1840" s="279">
        <v>1757</v>
      </c>
      <c r="U1840" s="277"/>
      <c r="V1840" s="277"/>
      <c r="W1840" s="277"/>
      <c r="X1840" s="277"/>
      <c r="Y1840" s="277"/>
      <c r="Z1840" s="277"/>
      <c r="AA1840" s="277"/>
      <c r="AB1840" s="277"/>
      <c r="AC1840" s="277"/>
      <c r="AD1840" s="277"/>
      <c r="AE1840" s="277"/>
      <c r="AF1840" s="277"/>
      <c r="AG1840" s="277"/>
      <c r="AH1840" s="277"/>
    </row>
    <row r="1841" spans="16:34" s="185" customFormat="1">
      <c r="P1841" s="277"/>
      <c r="Q1841" s="277"/>
      <c r="R1841" s="277"/>
      <c r="S1841" s="291">
        <v>43397</v>
      </c>
      <c r="T1841" s="279">
        <v>1758</v>
      </c>
      <c r="U1841" s="277"/>
      <c r="V1841" s="277"/>
      <c r="W1841" s="277"/>
      <c r="X1841" s="277"/>
      <c r="Y1841" s="277"/>
      <c r="Z1841" s="277"/>
      <c r="AA1841" s="277"/>
      <c r="AB1841" s="277"/>
      <c r="AC1841" s="277"/>
      <c r="AD1841" s="277"/>
      <c r="AE1841" s="277"/>
      <c r="AF1841" s="277"/>
      <c r="AG1841" s="277"/>
      <c r="AH1841" s="277"/>
    </row>
    <row r="1842" spans="16:34" s="185" customFormat="1">
      <c r="P1842" s="277"/>
      <c r="Q1842" s="277"/>
      <c r="R1842" s="277"/>
      <c r="S1842" s="291">
        <v>43398</v>
      </c>
      <c r="T1842" s="279">
        <v>1759</v>
      </c>
      <c r="U1842" s="277"/>
      <c r="V1842" s="277"/>
      <c r="W1842" s="277"/>
      <c r="X1842" s="277"/>
      <c r="Y1842" s="277"/>
      <c r="Z1842" s="277"/>
      <c r="AA1842" s="277"/>
      <c r="AB1842" s="277"/>
      <c r="AC1842" s="277"/>
      <c r="AD1842" s="277"/>
      <c r="AE1842" s="277"/>
      <c r="AF1842" s="277"/>
      <c r="AG1842" s="277"/>
      <c r="AH1842" s="277"/>
    </row>
    <row r="1843" spans="16:34" s="185" customFormat="1">
      <c r="P1843" s="277"/>
      <c r="Q1843" s="277"/>
      <c r="R1843" s="277"/>
      <c r="S1843" s="291">
        <v>43399</v>
      </c>
      <c r="T1843" s="279">
        <v>1760</v>
      </c>
      <c r="U1843" s="277"/>
      <c r="V1843" s="277"/>
      <c r="W1843" s="277"/>
      <c r="X1843" s="277"/>
      <c r="Y1843" s="277"/>
      <c r="Z1843" s="277"/>
      <c r="AA1843" s="277"/>
      <c r="AB1843" s="277"/>
      <c r="AC1843" s="277"/>
      <c r="AD1843" s="277"/>
      <c r="AE1843" s="277"/>
      <c r="AF1843" s="277"/>
      <c r="AG1843" s="277"/>
      <c r="AH1843" s="277"/>
    </row>
    <row r="1844" spans="16:34" s="185" customFormat="1">
      <c r="P1844" s="277"/>
      <c r="Q1844" s="277"/>
      <c r="R1844" s="277"/>
      <c r="S1844" s="291">
        <v>43400</v>
      </c>
      <c r="T1844" s="279">
        <v>1761</v>
      </c>
      <c r="U1844" s="277"/>
      <c r="V1844" s="277"/>
      <c r="W1844" s="277"/>
      <c r="X1844" s="277"/>
      <c r="Y1844" s="277"/>
      <c r="Z1844" s="277"/>
      <c r="AA1844" s="277"/>
      <c r="AB1844" s="277"/>
      <c r="AC1844" s="277"/>
      <c r="AD1844" s="277"/>
      <c r="AE1844" s="277"/>
      <c r="AF1844" s="277"/>
      <c r="AG1844" s="277"/>
      <c r="AH1844" s="277"/>
    </row>
    <row r="1845" spans="16:34" s="185" customFormat="1">
      <c r="P1845" s="277"/>
      <c r="Q1845" s="277"/>
      <c r="R1845" s="277"/>
      <c r="S1845" s="291">
        <v>43401</v>
      </c>
      <c r="T1845" s="279">
        <v>1762</v>
      </c>
      <c r="U1845" s="277"/>
      <c r="V1845" s="277"/>
      <c r="W1845" s="277"/>
      <c r="X1845" s="277"/>
      <c r="Y1845" s="277"/>
      <c r="Z1845" s="277"/>
      <c r="AA1845" s="277"/>
      <c r="AB1845" s="277"/>
      <c r="AC1845" s="277"/>
      <c r="AD1845" s="277"/>
      <c r="AE1845" s="277"/>
      <c r="AF1845" s="277"/>
      <c r="AG1845" s="277"/>
      <c r="AH1845" s="277"/>
    </row>
    <row r="1846" spans="16:34" s="185" customFormat="1">
      <c r="P1846" s="277"/>
      <c r="Q1846" s="277"/>
      <c r="R1846" s="277"/>
      <c r="S1846" s="291">
        <v>43402</v>
      </c>
      <c r="T1846" s="279">
        <v>1763</v>
      </c>
      <c r="U1846" s="277"/>
      <c r="V1846" s="277"/>
      <c r="W1846" s="277"/>
      <c r="X1846" s="277"/>
      <c r="Y1846" s="277"/>
      <c r="Z1846" s="277"/>
      <c r="AA1846" s="277"/>
      <c r="AB1846" s="277"/>
      <c r="AC1846" s="277"/>
      <c r="AD1846" s="277"/>
      <c r="AE1846" s="277"/>
      <c r="AF1846" s="277"/>
      <c r="AG1846" s="277"/>
      <c r="AH1846" s="277"/>
    </row>
    <row r="1847" spans="16:34" s="185" customFormat="1">
      <c r="P1847" s="277"/>
      <c r="Q1847" s="277"/>
      <c r="R1847" s="277"/>
      <c r="S1847" s="291">
        <v>43403</v>
      </c>
      <c r="T1847" s="279">
        <v>1764</v>
      </c>
      <c r="U1847" s="277"/>
      <c r="V1847" s="277"/>
      <c r="W1847" s="277"/>
      <c r="X1847" s="277"/>
      <c r="Y1847" s="277"/>
      <c r="Z1847" s="277"/>
      <c r="AA1847" s="277"/>
      <c r="AB1847" s="277"/>
      <c r="AC1847" s="277"/>
      <c r="AD1847" s="277"/>
      <c r="AE1847" s="277"/>
      <c r="AF1847" s="277"/>
      <c r="AG1847" s="277"/>
      <c r="AH1847" s="277"/>
    </row>
    <row r="1848" spans="16:34" s="185" customFormat="1">
      <c r="P1848" s="277"/>
      <c r="Q1848" s="277"/>
      <c r="R1848" s="277"/>
      <c r="S1848" s="291">
        <v>43404</v>
      </c>
      <c r="T1848" s="279">
        <v>1765</v>
      </c>
      <c r="U1848" s="277"/>
      <c r="V1848" s="277"/>
      <c r="W1848" s="277"/>
      <c r="X1848" s="277"/>
      <c r="Y1848" s="277"/>
      <c r="Z1848" s="277"/>
      <c r="AA1848" s="277"/>
      <c r="AB1848" s="277"/>
      <c r="AC1848" s="277"/>
      <c r="AD1848" s="277"/>
      <c r="AE1848" s="277"/>
      <c r="AF1848" s="277"/>
      <c r="AG1848" s="277"/>
      <c r="AH1848" s="277"/>
    </row>
    <row r="1849" spans="16:34" s="185" customFormat="1">
      <c r="P1849" s="277"/>
      <c r="Q1849" s="277"/>
      <c r="R1849" s="277"/>
      <c r="S1849" s="291">
        <v>43405</v>
      </c>
      <c r="T1849" s="279">
        <v>1766</v>
      </c>
      <c r="U1849" s="277"/>
      <c r="V1849" s="277"/>
      <c r="W1849" s="277"/>
      <c r="X1849" s="277"/>
      <c r="Y1849" s="277"/>
      <c r="Z1849" s="277"/>
      <c r="AA1849" s="277"/>
      <c r="AB1849" s="277"/>
      <c r="AC1849" s="277"/>
      <c r="AD1849" s="277"/>
      <c r="AE1849" s="277"/>
      <c r="AF1849" s="277"/>
      <c r="AG1849" s="277"/>
      <c r="AH1849" s="277"/>
    </row>
    <row r="1850" spans="16:34" s="185" customFormat="1">
      <c r="P1850" s="277"/>
      <c r="Q1850" s="277"/>
      <c r="R1850" s="277"/>
      <c r="S1850" s="291">
        <v>43406</v>
      </c>
      <c r="T1850" s="279">
        <v>1767</v>
      </c>
      <c r="U1850" s="277"/>
      <c r="V1850" s="277"/>
      <c r="W1850" s="277"/>
      <c r="X1850" s="277"/>
      <c r="Y1850" s="277"/>
      <c r="Z1850" s="277"/>
      <c r="AA1850" s="277"/>
      <c r="AB1850" s="277"/>
      <c r="AC1850" s="277"/>
      <c r="AD1850" s="277"/>
      <c r="AE1850" s="277"/>
      <c r="AF1850" s="277"/>
      <c r="AG1850" s="277"/>
      <c r="AH1850" s="277"/>
    </row>
    <row r="1851" spans="16:34" s="185" customFormat="1">
      <c r="P1851" s="277"/>
      <c r="Q1851" s="277"/>
      <c r="R1851" s="277"/>
      <c r="S1851" s="291">
        <v>43407</v>
      </c>
      <c r="T1851" s="279">
        <v>1768</v>
      </c>
      <c r="U1851" s="277"/>
      <c r="V1851" s="277"/>
      <c r="W1851" s="277"/>
      <c r="X1851" s="277"/>
      <c r="Y1851" s="277"/>
      <c r="Z1851" s="277"/>
      <c r="AA1851" s="277"/>
      <c r="AB1851" s="277"/>
      <c r="AC1851" s="277"/>
      <c r="AD1851" s="277"/>
      <c r="AE1851" s="277"/>
      <c r="AF1851" s="277"/>
      <c r="AG1851" s="277"/>
      <c r="AH1851" s="277"/>
    </row>
    <row r="1852" spans="16:34" s="185" customFormat="1">
      <c r="P1852" s="277"/>
      <c r="Q1852" s="277"/>
      <c r="R1852" s="277"/>
      <c r="S1852" s="291">
        <v>43408</v>
      </c>
      <c r="T1852" s="279">
        <v>1769</v>
      </c>
      <c r="U1852" s="277"/>
      <c r="V1852" s="277"/>
      <c r="W1852" s="277"/>
      <c r="X1852" s="277"/>
      <c r="Y1852" s="277"/>
      <c r="Z1852" s="277"/>
      <c r="AA1852" s="277"/>
      <c r="AB1852" s="277"/>
      <c r="AC1852" s="277"/>
      <c r="AD1852" s="277"/>
      <c r="AE1852" s="277"/>
      <c r="AF1852" s="277"/>
      <c r="AG1852" s="277"/>
      <c r="AH1852" s="277"/>
    </row>
    <row r="1853" spans="16:34" s="185" customFormat="1">
      <c r="P1853" s="277"/>
      <c r="Q1853" s="277"/>
      <c r="R1853" s="277"/>
      <c r="S1853" s="291">
        <v>43409</v>
      </c>
      <c r="T1853" s="279">
        <v>1770</v>
      </c>
      <c r="U1853" s="277"/>
      <c r="V1853" s="277"/>
      <c r="W1853" s="277"/>
      <c r="X1853" s="277"/>
      <c r="Y1853" s="277"/>
      <c r="Z1853" s="277"/>
      <c r="AA1853" s="277"/>
      <c r="AB1853" s="277"/>
      <c r="AC1853" s="277"/>
      <c r="AD1853" s="277"/>
      <c r="AE1853" s="277"/>
      <c r="AF1853" s="277"/>
      <c r="AG1853" s="277"/>
      <c r="AH1853" s="277"/>
    </row>
    <row r="1854" spans="16:34" s="185" customFormat="1">
      <c r="P1854" s="277"/>
      <c r="Q1854" s="277"/>
      <c r="R1854" s="277"/>
      <c r="S1854" s="291">
        <v>43410</v>
      </c>
      <c r="T1854" s="279">
        <v>1771</v>
      </c>
      <c r="U1854" s="277"/>
      <c r="V1854" s="277"/>
      <c r="W1854" s="277"/>
      <c r="X1854" s="277"/>
      <c r="Y1854" s="277"/>
      <c r="Z1854" s="277"/>
      <c r="AA1854" s="277"/>
      <c r="AB1854" s="277"/>
      <c r="AC1854" s="277"/>
      <c r="AD1854" s="277"/>
      <c r="AE1854" s="277"/>
      <c r="AF1854" s="277"/>
      <c r="AG1854" s="277"/>
      <c r="AH1854" s="277"/>
    </row>
    <row r="1855" spans="16:34" s="185" customFormat="1">
      <c r="P1855" s="277"/>
      <c r="Q1855" s="277"/>
      <c r="R1855" s="277"/>
      <c r="S1855" s="291">
        <v>43411</v>
      </c>
      <c r="T1855" s="279">
        <v>1772</v>
      </c>
      <c r="U1855" s="277"/>
      <c r="V1855" s="277"/>
      <c r="W1855" s="277"/>
      <c r="X1855" s="277"/>
      <c r="Y1855" s="277"/>
      <c r="Z1855" s="277"/>
      <c r="AA1855" s="277"/>
      <c r="AB1855" s="277"/>
      <c r="AC1855" s="277"/>
      <c r="AD1855" s="277"/>
      <c r="AE1855" s="277"/>
      <c r="AF1855" s="277"/>
      <c r="AG1855" s="277"/>
      <c r="AH1855" s="277"/>
    </row>
    <row r="1856" spans="16:34" s="185" customFormat="1">
      <c r="P1856" s="277"/>
      <c r="Q1856" s="277"/>
      <c r="R1856" s="277"/>
      <c r="S1856" s="291">
        <v>43412</v>
      </c>
      <c r="T1856" s="279">
        <v>1773</v>
      </c>
      <c r="U1856" s="277"/>
      <c r="V1856" s="277"/>
      <c r="W1856" s="277"/>
      <c r="X1856" s="277"/>
      <c r="Y1856" s="277"/>
      <c r="Z1856" s="277"/>
      <c r="AA1856" s="277"/>
      <c r="AB1856" s="277"/>
      <c r="AC1856" s="277"/>
      <c r="AD1856" s="277"/>
      <c r="AE1856" s="277"/>
      <c r="AF1856" s="277"/>
      <c r="AG1856" s="277"/>
      <c r="AH1856" s="277"/>
    </row>
    <row r="1857" spans="16:34" s="185" customFormat="1">
      <c r="P1857" s="277"/>
      <c r="Q1857" s="277"/>
      <c r="R1857" s="277"/>
      <c r="S1857" s="291">
        <v>43413</v>
      </c>
      <c r="T1857" s="279">
        <v>1774</v>
      </c>
      <c r="U1857" s="277"/>
      <c r="V1857" s="277"/>
      <c r="W1857" s="277"/>
      <c r="X1857" s="277"/>
      <c r="Y1857" s="277"/>
      <c r="Z1857" s="277"/>
      <c r="AA1857" s="277"/>
      <c r="AB1857" s="277"/>
      <c r="AC1857" s="277"/>
      <c r="AD1857" s="277"/>
      <c r="AE1857" s="277"/>
      <c r="AF1857" s="277"/>
      <c r="AG1857" s="277"/>
      <c r="AH1857" s="277"/>
    </row>
    <row r="1858" spans="16:34" s="185" customFormat="1">
      <c r="P1858" s="277"/>
      <c r="Q1858" s="277"/>
      <c r="R1858" s="277"/>
      <c r="S1858" s="291">
        <v>43414</v>
      </c>
      <c r="T1858" s="279">
        <v>1775</v>
      </c>
      <c r="U1858" s="277"/>
      <c r="V1858" s="277"/>
      <c r="W1858" s="277"/>
      <c r="X1858" s="277"/>
      <c r="Y1858" s="277"/>
      <c r="Z1858" s="277"/>
      <c r="AA1858" s="277"/>
      <c r="AB1858" s="277"/>
      <c r="AC1858" s="277"/>
      <c r="AD1858" s="277"/>
      <c r="AE1858" s="277"/>
      <c r="AF1858" s="277"/>
      <c r="AG1858" s="277"/>
      <c r="AH1858" s="277"/>
    </row>
    <row r="1859" spans="16:34" s="185" customFormat="1">
      <c r="P1859" s="277"/>
      <c r="Q1859" s="277"/>
      <c r="R1859" s="277"/>
      <c r="S1859" s="291">
        <v>43415</v>
      </c>
      <c r="T1859" s="279">
        <v>1776</v>
      </c>
      <c r="U1859" s="277"/>
      <c r="V1859" s="277"/>
      <c r="W1859" s="277"/>
      <c r="X1859" s="277"/>
      <c r="Y1859" s="277"/>
      <c r="Z1859" s="277"/>
      <c r="AA1859" s="277"/>
      <c r="AB1859" s="277"/>
      <c r="AC1859" s="277"/>
      <c r="AD1859" s="277"/>
      <c r="AE1859" s="277"/>
      <c r="AF1859" s="277"/>
      <c r="AG1859" s="277"/>
      <c r="AH1859" s="277"/>
    </row>
    <row r="1860" spans="16:34" s="185" customFormat="1">
      <c r="P1860" s="277"/>
      <c r="Q1860" s="277"/>
      <c r="R1860" s="277"/>
      <c r="S1860" s="291">
        <v>43416</v>
      </c>
      <c r="T1860" s="279">
        <v>1777</v>
      </c>
      <c r="U1860" s="277"/>
      <c r="V1860" s="277"/>
      <c r="W1860" s="277"/>
      <c r="X1860" s="277"/>
      <c r="Y1860" s="277"/>
      <c r="Z1860" s="277"/>
      <c r="AA1860" s="277"/>
      <c r="AB1860" s="277"/>
      <c r="AC1860" s="277"/>
      <c r="AD1860" s="277"/>
      <c r="AE1860" s="277"/>
      <c r="AF1860" s="277"/>
      <c r="AG1860" s="277"/>
      <c r="AH1860" s="277"/>
    </row>
    <row r="1861" spans="16:34" s="185" customFormat="1">
      <c r="P1861" s="277"/>
      <c r="Q1861" s="277"/>
      <c r="R1861" s="277"/>
      <c r="S1861" s="291">
        <v>43417</v>
      </c>
      <c r="T1861" s="279">
        <v>1778</v>
      </c>
      <c r="U1861" s="277"/>
      <c r="V1861" s="277"/>
      <c r="W1861" s="277"/>
      <c r="X1861" s="277"/>
      <c r="Y1861" s="277"/>
      <c r="Z1861" s="277"/>
      <c r="AA1861" s="277"/>
      <c r="AB1861" s="277"/>
      <c r="AC1861" s="277"/>
      <c r="AD1861" s="277"/>
      <c r="AE1861" s="277"/>
      <c r="AF1861" s="277"/>
      <c r="AG1861" s="277"/>
      <c r="AH1861" s="277"/>
    </row>
    <row r="1862" spans="16:34" s="185" customFormat="1">
      <c r="P1862" s="277"/>
      <c r="Q1862" s="277"/>
      <c r="R1862" s="277"/>
      <c r="S1862" s="291">
        <v>43418</v>
      </c>
      <c r="T1862" s="279">
        <v>1779</v>
      </c>
      <c r="U1862" s="277"/>
      <c r="V1862" s="277"/>
      <c r="W1862" s="277"/>
      <c r="X1862" s="277"/>
      <c r="Y1862" s="277"/>
      <c r="Z1862" s="277"/>
      <c r="AA1862" s="277"/>
      <c r="AB1862" s="277"/>
      <c r="AC1862" s="277"/>
      <c r="AD1862" s="277"/>
      <c r="AE1862" s="277"/>
      <c r="AF1862" s="277"/>
      <c r="AG1862" s="277"/>
      <c r="AH1862" s="277"/>
    </row>
    <row r="1863" spans="16:34" s="185" customFormat="1">
      <c r="P1863" s="277"/>
      <c r="Q1863" s="277"/>
      <c r="R1863" s="277"/>
      <c r="S1863" s="291">
        <v>43419</v>
      </c>
      <c r="T1863" s="279">
        <v>1780</v>
      </c>
      <c r="U1863" s="277"/>
      <c r="V1863" s="277"/>
      <c r="W1863" s="277"/>
      <c r="X1863" s="277"/>
      <c r="Y1863" s="277"/>
      <c r="Z1863" s="277"/>
      <c r="AA1863" s="277"/>
      <c r="AB1863" s="277"/>
      <c r="AC1863" s="277"/>
      <c r="AD1863" s="277"/>
      <c r="AE1863" s="277"/>
      <c r="AF1863" s="277"/>
      <c r="AG1863" s="277"/>
      <c r="AH1863" s="277"/>
    </row>
    <row r="1864" spans="16:34" s="185" customFormat="1">
      <c r="P1864" s="277"/>
      <c r="Q1864" s="277"/>
      <c r="R1864" s="277"/>
      <c r="S1864" s="291">
        <v>43420</v>
      </c>
      <c r="T1864" s="279">
        <v>1781</v>
      </c>
      <c r="U1864" s="277"/>
      <c r="V1864" s="277"/>
      <c r="W1864" s="277"/>
      <c r="X1864" s="277"/>
      <c r="Y1864" s="277"/>
      <c r="Z1864" s="277"/>
      <c r="AA1864" s="277"/>
      <c r="AB1864" s="277"/>
      <c r="AC1864" s="277"/>
      <c r="AD1864" s="277"/>
      <c r="AE1864" s="277"/>
      <c r="AF1864" s="277"/>
      <c r="AG1864" s="277"/>
      <c r="AH1864" s="277"/>
    </row>
    <row r="1865" spans="16:34" s="185" customFormat="1">
      <c r="P1865" s="277"/>
      <c r="Q1865" s="277"/>
      <c r="R1865" s="277"/>
      <c r="S1865" s="291">
        <v>43421</v>
      </c>
      <c r="T1865" s="279">
        <v>1782</v>
      </c>
      <c r="U1865" s="277"/>
      <c r="V1865" s="277"/>
      <c r="W1865" s="277"/>
      <c r="X1865" s="277"/>
      <c r="Y1865" s="277"/>
      <c r="Z1865" s="277"/>
      <c r="AA1865" s="277"/>
      <c r="AB1865" s="277"/>
      <c r="AC1865" s="277"/>
      <c r="AD1865" s="277"/>
      <c r="AE1865" s="277"/>
      <c r="AF1865" s="277"/>
      <c r="AG1865" s="277"/>
      <c r="AH1865" s="277"/>
    </row>
    <row r="1866" spans="16:34" s="185" customFormat="1">
      <c r="P1866" s="277"/>
      <c r="Q1866" s="277"/>
      <c r="R1866" s="277"/>
      <c r="S1866" s="291">
        <v>43422</v>
      </c>
      <c r="T1866" s="279">
        <v>1783</v>
      </c>
      <c r="U1866" s="277"/>
      <c r="V1866" s="277"/>
      <c r="W1866" s="277"/>
      <c r="X1866" s="277"/>
      <c r="Y1866" s="277"/>
      <c r="Z1866" s="277"/>
      <c r="AA1866" s="277"/>
      <c r="AB1866" s="277"/>
      <c r="AC1866" s="277"/>
      <c r="AD1866" s="277"/>
      <c r="AE1866" s="277"/>
      <c r="AF1866" s="277"/>
      <c r="AG1866" s="277"/>
      <c r="AH1866" s="277"/>
    </row>
    <row r="1867" spans="16:34" s="185" customFormat="1">
      <c r="P1867" s="277"/>
      <c r="Q1867" s="277"/>
      <c r="R1867" s="277"/>
      <c r="S1867" s="291">
        <v>43423</v>
      </c>
      <c r="T1867" s="279">
        <v>1784</v>
      </c>
      <c r="U1867" s="277"/>
      <c r="V1867" s="277"/>
      <c r="W1867" s="277"/>
      <c r="X1867" s="277"/>
      <c r="Y1867" s="277"/>
      <c r="Z1867" s="277"/>
      <c r="AA1867" s="277"/>
      <c r="AB1867" s="277"/>
      <c r="AC1867" s="277"/>
      <c r="AD1867" s="277"/>
      <c r="AE1867" s="277"/>
      <c r="AF1867" s="277"/>
      <c r="AG1867" s="277"/>
      <c r="AH1867" s="277"/>
    </row>
    <row r="1868" spans="16:34" s="185" customFormat="1">
      <c r="P1868" s="277"/>
      <c r="Q1868" s="277"/>
      <c r="R1868" s="277"/>
      <c r="S1868" s="291">
        <v>43424</v>
      </c>
      <c r="T1868" s="279">
        <v>1785</v>
      </c>
      <c r="U1868" s="277"/>
      <c r="V1868" s="277"/>
      <c r="W1868" s="277"/>
      <c r="X1868" s="277"/>
      <c r="Y1868" s="277"/>
      <c r="Z1868" s="277"/>
      <c r="AA1868" s="277"/>
      <c r="AB1868" s="277"/>
      <c r="AC1868" s="277"/>
      <c r="AD1868" s="277"/>
      <c r="AE1868" s="277"/>
      <c r="AF1868" s="277"/>
      <c r="AG1868" s="277"/>
      <c r="AH1868" s="277"/>
    </row>
    <row r="1869" spans="16:34" s="185" customFormat="1">
      <c r="P1869" s="277"/>
      <c r="Q1869" s="277"/>
      <c r="R1869" s="277"/>
      <c r="S1869" s="291">
        <v>43425</v>
      </c>
      <c r="T1869" s="279">
        <v>1786</v>
      </c>
      <c r="U1869" s="277"/>
      <c r="V1869" s="277"/>
      <c r="W1869" s="277"/>
      <c r="X1869" s="277"/>
      <c r="Y1869" s="277"/>
      <c r="Z1869" s="277"/>
      <c r="AA1869" s="277"/>
      <c r="AB1869" s="277"/>
      <c r="AC1869" s="277"/>
      <c r="AD1869" s="277"/>
      <c r="AE1869" s="277"/>
      <c r="AF1869" s="277"/>
      <c r="AG1869" s="277"/>
      <c r="AH1869" s="277"/>
    </row>
    <row r="1870" spans="16:34" s="185" customFormat="1">
      <c r="P1870" s="277"/>
      <c r="Q1870" s="277"/>
      <c r="R1870" s="277"/>
      <c r="S1870" s="291">
        <v>43426</v>
      </c>
      <c r="T1870" s="279">
        <v>1787</v>
      </c>
      <c r="U1870" s="277"/>
      <c r="V1870" s="277"/>
      <c r="W1870" s="277"/>
      <c r="X1870" s="277"/>
      <c r="Y1870" s="277"/>
      <c r="Z1870" s="277"/>
      <c r="AA1870" s="277"/>
      <c r="AB1870" s="277"/>
      <c r="AC1870" s="277"/>
      <c r="AD1870" s="277"/>
      <c r="AE1870" s="277"/>
      <c r="AF1870" s="277"/>
      <c r="AG1870" s="277"/>
      <c r="AH1870" s="277"/>
    </row>
    <row r="1871" spans="16:34" s="185" customFormat="1">
      <c r="P1871" s="277"/>
      <c r="Q1871" s="277"/>
      <c r="R1871" s="277"/>
      <c r="S1871" s="291">
        <v>43427</v>
      </c>
      <c r="T1871" s="279">
        <v>1788</v>
      </c>
      <c r="U1871" s="277"/>
      <c r="V1871" s="277"/>
      <c r="W1871" s="277"/>
      <c r="X1871" s="277"/>
      <c r="Y1871" s="277"/>
      <c r="Z1871" s="277"/>
      <c r="AA1871" s="277"/>
      <c r="AB1871" s="277"/>
      <c r="AC1871" s="277"/>
      <c r="AD1871" s="277"/>
      <c r="AE1871" s="277"/>
      <c r="AF1871" s="277"/>
      <c r="AG1871" s="277"/>
      <c r="AH1871" s="277"/>
    </row>
    <row r="1872" spans="16:34" s="185" customFormat="1">
      <c r="P1872" s="277"/>
      <c r="Q1872" s="277"/>
      <c r="R1872" s="277"/>
      <c r="S1872" s="291">
        <v>43428</v>
      </c>
      <c r="T1872" s="279">
        <v>1789</v>
      </c>
      <c r="U1872" s="277"/>
      <c r="V1872" s="277"/>
      <c r="W1872" s="277"/>
      <c r="X1872" s="277"/>
      <c r="Y1872" s="277"/>
      <c r="Z1872" s="277"/>
      <c r="AA1872" s="277"/>
      <c r="AB1872" s="277"/>
      <c r="AC1872" s="277"/>
      <c r="AD1872" s="277"/>
      <c r="AE1872" s="277"/>
      <c r="AF1872" s="277"/>
      <c r="AG1872" s="277"/>
      <c r="AH1872" s="277"/>
    </row>
    <row r="1873" spans="16:34" s="185" customFormat="1">
      <c r="P1873" s="277"/>
      <c r="Q1873" s="277"/>
      <c r="R1873" s="277"/>
      <c r="S1873" s="291">
        <v>43429</v>
      </c>
      <c r="T1873" s="279">
        <v>1790</v>
      </c>
      <c r="U1873" s="277"/>
      <c r="V1873" s="277"/>
      <c r="W1873" s="277"/>
      <c r="X1873" s="277"/>
      <c r="Y1873" s="277"/>
      <c r="Z1873" s="277"/>
      <c r="AA1873" s="277"/>
      <c r="AB1873" s="277"/>
      <c r="AC1873" s="277"/>
      <c r="AD1873" s="277"/>
      <c r="AE1873" s="277"/>
      <c r="AF1873" s="277"/>
      <c r="AG1873" s="277"/>
      <c r="AH1873" s="277"/>
    </row>
    <row r="1874" spans="16:34" s="185" customFormat="1">
      <c r="P1874" s="277"/>
      <c r="Q1874" s="277"/>
      <c r="R1874" s="277"/>
      <c r="S1874" s="291">
        <v>43430</v>
      </c>
      <c r="T1874" s="279">
        <v>1791</v>
      </c>
      <c r="U1874" s="277"/>
      <c r="V1874" s="277"/>
      <c r="W1874" s="277"/>
      <c r="X1874" s="277"/>
      <c r="Y1874" s="277"/>
      <c r="Z1874" s="277"/>
      <c r="AA1874" s="277"/>
      <c r="AB1874" s="277"/>
      <c r="AC1874" s="277"/>
      <c r="AD1874" s="277"/>
      <c r="AE1874" s="277"/>
      <c r="AF1874" s="277"/>
      <c r="AG1874" s="277"/>
      <c r="AH1874" s="277"/>
    </row>
    <row r="1875" spans="16:34" s="185" customFormat="1">
      <c r="P1875" s="277"/>
      <c r="Q1875" s="277"/>
      <c r="R1875" s="277"/>
      <c r="S1875" s="291">
        <v>43431</v>
      </c>
      <c r="T1875" s="279">
        <v>1792</v>
      </c>
      <c r="U1875" s="277"/>
      <c r="V1875" s="277"/>
      <c r="W1875" s="277"/>
      <c r="X1875" s="277"/>
      <c r="Y1875" s="277"/>
      <c r="Z1875" s="277"/>
      <c r="AA1875" s="277"/>
      <c r="AB1875" s="277"/>
      <c r="AC1875" s="277"/>
      <c r="AD1875" s="277"/>
      <c r="AE1875" s="277"/>
      <c r="AF1875" s="277"/>
      <c r="AG1875" s="277"/>
      <c r="AH1875" s="277"/>
    </row>
    <row r="1876" spans="16:34" s="185" customFormat="1">
      <c r="P1876" s="277"/>
      <c r="Q1876" s="277"/>
      <c r="R1876" s="277"/>
      <c r="S1876" s="291">
        <v>43432</v>
      </c>
      <c r="T1876" s="279">
        <v>1793</v>
      </c>
      <c r="U1876" s="277"/>
      <c r="V1876" s="277"/>
      <c r="W1876" s="277"/>
      <c r="X1876" s="277"/>
      <c r="Y1876" s="277"/>
      <c r="Z1876" s="277"/>
      <c r="AA1876" s="277"/>
      <c r="AB1876" s="277"/>
      <c r="AC1876" s="277"/>
      <c r="AD1876" s="277"/>
      <c r="AE1876" s="277"/>
      <c r="AF1876" s="277"/>
      <c r="AG1876" s="277"/>
      <c r="AH1876" s="277"/>
    </row>
    <row r="1877" spans="16:34" s="185" customFormat="1">
      <c r="P1877" s="277"/>
      <c r="Q1877" s="277"/>
      <c r="R1877" s="277"/>
      <c r="S1877" s="291">
        <v>43433</v>
      </c>
      <c r="T1877" s="279">
        <v>1794</v>
      </c>
      <c r="U1877" s="277"/>
      <c r="V1877" s="277"/>
      <c r="W1877" s="277"/>
      <c r="X1877" s="277"/>
      <c r="Y1877" s="277"/>
      <c r="Z1877" s="277"/>
      <c r="AA1877" s="277"/>
      <c r="AB1877" s="277"/>
      <c r="AC1877" s="277"/>
      <c r="AD1877" s="277"/>
      <c r="AE1877" s="277"/>
      <c r="AF1877" s="277"/>
      <c r="AG1877" s="277"/>
      <c r="AH1877" s="277"/>
    </row>
    <row r="1878" spans="16:34" s="185" customFormat="1">
      <c r="P1878" s="277"/>
      <c r="Q1878" s="277"/>
      <c r="R1878" s="277"/>
      <c r="S1878" s="291">
        <v>43434</v>
      </c>
      <c r="T1878" s="279">
        <v>1795</v>
      </c>
      <c r="U1878" s="277"/>
      <c r="V1878" s="277"/>
      <c r="W1878" s="277"/>
      <c r="X1878" s="277"/>
      <c r="Y1878" s="277"/>
      <c r="Z1878" s="277"/>
      <c r="AA1878" s="277"/>
      <c r="AB1878" s="277"/>
      <c r="AC1878" s="277"/>
      <c r="AD1878" s="277"/>
      <c r="AE1878" s="277"/>
      <c r="AF1878" s="277"/>
      <c r="AG1878" s="277"/>
      <c r="AH1878" s="277"/>
    </row>
    <row r="1879" spans="16:34" s="185" customFormat="1">
      <c r="P1879" s="277"/>
      <c r="Q1879" s="277"/>
      <c r="R1879" s="277"/>
      <c r="S1879" s="291">
        <v>43435</v>
      </c>
      <c r="T1879" s="279">
        <v>1796</v>
      </c>
      <c r="U1879" s="277"/>
      <c r="V1879" s="277"/>
      <c r="W1879" s="277"/>
      <c r="X1879" s="277"/>
      <c r="Y1879" s="277"/>
      <c r="Z1879" s="277"/>
      <c r="AA1879" s="277"/>
      <c r="AB1879" s="277"/>
      <c r="AC1879" s="277"/>
      <c r="AD1879" s="277"/>
      <c r="AE1879" s="277"/>
      <c r="AF1879" s="277"/>
      <c r="AG1879" s="277"/>
      <c r="AH1879" s="277"/>
    </row>
    <row r="1880" spans="16:34" s="185" customFormat="1">
      <c r="P1880" s="277"/>
      <c r="Q1880" s="277"/>
      <c r="R1880" s="277"/>
      <c r="S1880" s="291">
        <v>43436</v>
      </c>
      <c r="T1880" s="279">
        <v>1797</v>
      </c>
      <c r="U1880" s="277"/>
      <c r="V1880" s="277"/>
      <c r="W1880" s="277"/>
      <c r="X1880" s="277"/>
      <c r="Y1880" s="277"/>
      <c r="Z1880" s="277"/>
      <c r="AA1880" s="277"/>
      <c r="AB1880" s="277"/>
      <c r="AC1880" s="277"/>
      <c r="AD1880" s="277"/>
      <c r="AE1880" s="277"/>
      <c r="AF1880" s="277"/>
      <c r="AG1880" s="277"/>
      <c r="AH1880" s="277"/>
    </row>
    <row r="1881" spans="16:34" s="185" customFormat="1">
      <c r="P1881" s="277"/>
      <c r="Q1881" s="277"/>
      <c r="R1881" s="277"/>
      <c r="S1881" s="291">
        <v>43437</v>
      </c>
      <c r="T1881" s="279">
        <v>1798</v>
      </c>
      <c r="U1881" s="277"/>
      <c r="V1881" s="277"/>
      <c r="W1881" s="277"/>
      <c r="X1881" s="277"/>
      <c r="Y1881" s="277"/>
      <c r="Z1881" s="277"/>
      <c r="AA1881" s="277"/>
      <c r="AB1881" s="277"/>
      <c r="AC1881" s="277"/>
      <c r="AD1881" s="277"/>
      <c r="AE1881" s="277"/>
      <c r="AF1881" s="277"/>
      <c r="AG1881" s="277"/>
      <c r="AH1881" s="277"/>
    </row>
    <row r="1882" spans="16:34" s="185" customFormat="1">
      <c r="P1882" s="277"/>
      <c r="Q1882" s="277"/>
      <c r="R1882" s="277"/>
      <c r="S1882" s="291">
        <v>43438</v>
      </c>
      <c r="T1882" s="279">
        <v>1799</v>
      </c>
      <c r="U1882" s="277"/>
      <c r="V1882" s="277"/>
      <c r="W1882" s="277"/>
      <c r="X1882" s="277"/>
      <c r="Y1882" s="277"/>
      <c r="Z1882" s="277"/>
      <c r="AA1882" s="277"/>
      <c r="AB1882" s="277"/>
      <c r="AC1882" s="277"/>
      <c r="AD1882" s="277"/>
      <c r="AE1882" s="277"/>
      <c r="AF1882" s="277"/>
      <c r="AG1882" s="277"/>
      <c r="AH1882" s="277"/>
    </row>
    <row r="1883" spans="16:34" s="185" customFormat="1">
      <c r="P1883" s="277"/>
      <c r="Q1883" s="277"/>
      <c r="R1883" s="277"/>
      <c r="S1883" s="291">
        <v>43439</v>
      </c>
      <c r="T1883" s="279">
        <v>1800</v>
      </c>
      <c r="U1883" s="277"/>
      <c r="V1883" s="277"/>
      <c r="W1883" s="277"/>
      <c r="X1883" s="277"/>
      <c r="Y1883" s="277"/>
      <c r="Z1883" s="277"/>
      <c r="AA1883" s="277"/>
      <c r="AB1883" s="277"/>
      <c r="AC1883" s="277"/>
      <c r="AD1883" s="277"/>
      <c r="AE1883" s="277"/>
      <c r="AF1883" s="277"/>
      <c r="AG1883" s="277"/>
      <c r="AH1883" s="277"/>
    </row>
    <row r="1884" spans="16:34" s="185" customFormat="1">
      <c r="P1884" s="277"/>
      <c r="Q1884" s="277"/>
      <c r="R1884" s="277"/>
      <c r="S1884" s="291">
        <v>43440</v>
      </c>
      <c r="T1884" s="279">
        <v>1801</v>
      </c>
      <c r="U1884" s="277"/>
      <c r="V1884" s="277"/>
      <c r="W1884" s="277"/>
      <c r="X1884" s="277"/>
      <c r="Y1884" s="277"/>
      <c r="Z1884" s="277"/>
      <c r="AA1884" s="277"/>
      <c r="AB1884" s="277"/>
      <c r="AC1884" s="277"/>
      <c r="AD1884" s="277"/>
      <c r="AE1884" s="277"/>
      <c r="AF1884" s="277"/>
      <c r="AG1884" s="277"/>
      <c r="AH1884" s="277"/>
    </row>
    <row r="1885" spans="16:34" s="185" customFormat="1">
      <c r="P1885" s="277"/>
      <c r="Q1885" s="277"/>
      <c r="R1885" s="277"/>
      <c r="S1885" s="291">
        <v>43441</v>
      </c>
      <c r="T1885" s="279">
        <v>1802</v>
      </c>
      <c r="U1885" s="277"/>
      <c r="V1885" s="277"/>
      <c r="W1885" s="277"/>
      <c r="X1885" s="277"/>
      <c r="Y1885" s="277"/>
      <c r="Z1885" s="277"/>
      <c r="AA1885" s="277"/>
      <c r="AB1885" s="277"/>
      <c r="AC1885" s="277"/>
      <c r="AD1885" s="277"/>
      <c r="AE1885" s="277"/>
      <c r="AF1885" s="277"/>
      <c r="AG1885" s="277"/>
      <c r="AH1885" s="277"/>
    </row>
    <row r="1886" spans="16:34" s="185" customFormat="1">
      <c r="P1886" s="277"/>
      <c r="Q1886" s="277"/>
      <c r="R1886" s="277"/>
      <c r="S1886" s="291">
        <v>43442</v>
      </c>
      <c r="T1886" s="279">
        <v>1803</v>
      </c>
      <c r="U1886" s="277"/>
      <c r="V1886" s="277"/>
      <c r="W1886" s="277"/>
      <c r="X1886" s="277"/>
      <c r="Y1886" s="277"/>
      <c r="Z1886" s="277"/>
      <c r="AA1886" s="277"/>
      <c r="AB1886" s="277"/>
      <c r="AC1886" s="277"/>
      <c r="AD1886" s="277"/>
      <c r="AE1886" s="277"/>
      <c r="AF1886" s="277"/>
      <c r="AG1886" s="277"/>
      <c r="AH1886" s="277"/>
    </row>
    <row r="1887" spans="16:34" s="185" customFormat="1">
      <c r="P1887" s="277"/>
      <c r="Q1887" s="277"/>
      <c r="R1887" s="277"/>
      <c r="S1887" s="291">
        <v>43443</v>
      </c>
      <c r="T1887" s="279">
        <v>1804</v>
      </c>
      <c r="U1887" s="277"/>
      <c r="V1887" s="277"/>
      <c r="W1887" s="277"/>
      <c r="X1887" s="277"/>
      <c r="Y1887" s="277"/>
      <c r="Z1887" s="277"/>
      <c r="AA1887" s="277"/>
      <c r="AB1887" s="277"/>
      <c r="AC1887" s="277"/>
      <c r="AD1887" s="277"/>
      <c r="AE1887" s="277"/>
      <c r="AF1887" s="277"/>
      <c r="AG1887" s="277"/>
      <c r="AH1887" s="277"/>
    </row>
    <row r="1888" spans="16:34" s="185" customFormat="1">
      <c r="P1888" s="277"/>
      <c r="Q1888" s="277"/>
      <c r="R1888" s="277"/>
      <c r="S1888" s="291">
        <v>43444</v>
      </c>
      <c r="T1888" s="279">
        <v>1805</v>
      </c>
      <c r="U1888" s="277"/>
      <c r="V1888" s="277"/>
      <c r="W1888" s="277"/>
      <c r="X1888" s="277"/>
      <c r="Y1888" s="277"/>
      <c r="Z1888" s="277"/>
      <c r="AA1888" s="277"/>
      <c r="AB1888" s="277"/>
      <c r="AC1888" s="277"/>
      <c r="AD1888" s="277"/>
      <c r="AE1888" s="277"/>
      <c r="AF1888" s="277"/>
      <c r="AG1888" s="277"/>
      <c r="AH1888" s="277"/>
    </row>
    <row r="1889" spans="16:34" s="185" customFormat="1">
      <c r="P1889" s="277"/>
      <c r="Q1889" s="277"/>
      <c r="R1889" s="277"/>
      <c r="S1889" s="291">
        <v>43445</v>
      </c>
      <c r="T1889" s="279">
        <v>1806</v>
      </c>
      <c r="U1889" s="277"/>
      <c r="V1889" s="277"/>
      <c r="W1889" s="277"/>
      <c r="X1889" s="277"/>
      <c r="Y1889" s="277"/>
      <c r="Z1889" s="277"/>
      <c r="AA1889" s="277"/>
      <c r="AB1889" s="277"/>
      <c r="AC1889" s="277"/>
      <c r="AD1889" s="277"/>
      <c r="AE1889" s="277"/>
      <c r="AF1889" s="277"/>
      <c r="AG1889" s="277"/>
      <c r="AH1889" s="277"/>
    </row>
    <row r="1890" spans="16:34" s="185" customFormat="1">
      <c r="P1890" s="277"/>
      <c r="Q1890" s="277"/>
      <c r="R1890" s="277"/>
      <c r="S1890" s="291">
        <v>43446</v>
      </c>
      <c r="T1890" s="279">
        <v>1807</v>
      </c>
      <c r="U1890" s="277"/>
      <c r="V1890" s="277"/>
      <c r="W1890" s="277"/>
      <c r="X1890" s="277"/>
      <c r="Y1890" s="277"/>
      <c r="Z1890" s="277"/>
      <c r="AA1890" s="277"/>
      <c r="AB1890" s="277"/>
      <c r="AC1890" s="277"/>
      <c r="AD1890" s="277"/>
      <c r="AE1890" s="277"/>
      <c r="AF1890" s="277"/>
      <c r="AG1890" s="277"/>
      <c r="AH1890" s="277"/>
    </row>
    <row r="1891" spans="16:34" s="185" customFormat="1">
      <c r="P1891" s="277"/>
      <c r="Q1891" s="277"/>
      <c r="R1891" s="277"/>
      <c r="S1891" s="291">
        <v>43447</v>
      </c>
      <c r="T1891" s="279">
        <v>1808</v>
      </c>
      <c r="U1891" s="277"/>
      <c r="V1891" s="277"/>
      <c r="W1891" s="277"/>
      <c r="X1891" s="277"/>
      <c r="Y1891" s="277"/>
      <c r="Z1891" s="277"/>
      <c r="AA1891" s="277"/>
      <c r="AB1891" s="277"/>
      <c r="AC1891" s="277"/>
      <c r="AD1891" s="277"/>
      <c r="AE1891" s="277"/>
      <c r="AF1891" s="277"/>
      <c r="AG1891" s="277"/>
      <c r="AH1891" s="277"/>
    </row>
    <row r="1892" spans="16:34" s="185" customFormat="1">
      <c r="P1892" s="277"/>
      <c r="Q1892" s="277"/>
      <c r="R1892" s="277"/>
      <c r="S1892" s="291">
        <v>43448</v>
      </c>
      <c r="T1892" s="279">
        <v>1809</v>
      </c>
      <c r="U1892" s="277"/>
      <c r="V1892" s="277"/>
      <c r="W1892" s="277"/>
      <c r="X1892" s="277"/>
      <c r="Y1892" s="277"/>
      <c r="Z1892" s="277"/>
      <c r="AA1892" s="277"/>
      <c r="AB1892" s="277"/>
      <c r="AC1892" s="277"/>
      <c r="AD1892" s="277"/>
      <c r="AE1892" s="277"/>
      <c r="AF1892" s="277"/>
      <c r="AG1892" s="277"/>
      <c r="AH1892" s="277"/>
    </row>
    <row r="1893" spans="16:34" s="185" customFormat="1">
      <c r="P1893" s="277"/>
      <c r="Q1893" s="277"/>
      <c r="R1893" s="277"/>
      <c r="S1893" s="291">
        <v>43449</v>
      </c>
      <c r="T1893" s="279">
        <v>1810</v>
      </c>
      <c r="U1893" s="277"/>
      <c r="V1893" s="277"/>
      <c r="W1893" s="277"/>
      <c r="X1893" s="277"/>
      <c r="Y1893" s="277"/>
      <c r="Z1893" s="277"/>
      <c r="AA1893" s="277"/>
      <c r="AB1893" s="277"/>
      <c r="AC1893" s="277"/>
      <c r="AD1893" s="277"/>
      <c r="AE1893" s="277"/>
      <c r="AF1893" s="277"/>
      <c r="AG1893" s="277"/>
      <c r="AH1893" s="277"/>
    </row>
    <row r="1894" spans="16:34" s="185" customFormat="1">
      <c r="P1894" s="277"/>
      <c r="Q1894" s="277"/>
      <c r="R1894" s="277"/>
      <c r="S1894" s="291">
        <v>43450</v>
      </c>
      <c r="T1894" s="279">
        <v>1811</v>
      </c>
      <c r="U1894" s="277"/>
      <c r="V1894" s="277"/>
      <c r="W1894" s="277"/>
      <c r="X1894" s="277"/>
      <c r="Y1894" s="277"/>
      <c r="Z1894" s="277"/>
      <c r="AA1894" s="277"/>
      <c r="AB1894" s="277"/>
      <c r="AC1894" s="277"/>
      <c r="AD1894" s="277"/>
      <c r="AE1894" s="277"/>
      <c r="AF1894" s="277"/>
      <c r="AG1894" s="277"/>
      <c r="AH1894" s="277"/>
    </row>
    <row r="1895" spans="16:34" s="185" customFormat="1">
      <c r="P1895" s="277"/>
      <c r="Q1895" s="277"/>
      <c r="R1895" s="277"/>
      <c r="S1895" s="291">
        <v>43451</v>
      </c>
      <c r="T1895" s="279">
        <v>1812</v>
      </c>
      <c r="U1895" s="277"/>
      <c r="V1895" s="277"/>
      <c r="W1895" s="277"/>
      <c r="X1895" s="277"/>
      <c r="Y1895" s="277"/>
      <c r="Z1895" s="277"/>
      <c r="AA1895" s="277"/>
      <c r="AB1895" s="277"/>
      <c r="AC1895" s="277"/>
      <c r="AD1895" s="277"/>
      <c r="AE1895" s="277"/>
      <c r="AF1895" s="277"/>
      <c r="AG1895" s="277"/>
      <c r="AH1895" s="277"/>
    </row>
    <row r="1896" spans="16:34" s="185" customFormat="1">
      <c r="P1896" s="277"/>
      <c r="Q1896" s="277"/>
      <c r="R1896" s="277"/>
      <c r="S1896" s="291">
        <v>43452</v>
      </c>
      <c r="T1896" s="279">
        <v>1813</v>
      </c>
      <c r="U1896" s="277"/>
      <c r="V1896" s="277"/>
      <c r="W1896" s="277"/>
      <c r="X1896" s="277"/>
      <c r="Y1896" s="277"/>
      <c r="Z1896" s="277"/>
      <c r="AA1896" s="277"/>
      <c r="AB1896" s="277"/>
      <c r="AC1896" s="277"/>
      <c r="AD1896" s="277"/>
      <c r="AE1896" s="277"/>
      <c r="AF1896" s="277"/>
      <c r="AG1896" s="277"/>
      <c r="AH1896" s="277"/>
    </row>
    <row r="1897" spans="16:34" s="185" customFormat="1">
      <c r="P1897" s="277"/>
      <c r="Q1897" s="277"/>
      <c r="R1897" s="277"/>
      <c r="S1897" s="291">
        <v>43453</v>
      </c>
      <c r="T1897" s="279">
        <v>1814</v>
      </c>
      <c r="U1897" s="277"/>
      <c r="V1897" s="277"/>
      <c r="W1897" s="277"/>
      <c r="X1897" s="277"/>
      <c r="Y1897" s="277"/>
      <c r="Z1897" s="277"/>
      <c r="AA1897" s="277"/>
      <c r="AB1897" s="277"/>
      <c r="AC1897" s="277"/>
      <c r="AD1897" s="277"/>
      <c r="AE1897" s="277"/>
      <c r="AF1897" s="277"/>
      <c r="AG1897" s="277"/>
      <c r="AH1897" s="277"/>
    </row>
    <row r="1898" spans="16:34" s="185" customFormat="1">
      <c r="P1898" s="277"/>
      <c r="Q1898" s="277"/>
      <c r="R1898" s="277"/>
      <c r="S1898" s="291">
        <v>43454</v>
      </c>
      <c r="T1898" s="279">
        <v>1815</v>
      </c>
      <c r="U1898" s="277"/>
      <c r="V1898" s="277"/>
      <c r="W1898" s="277"/>
      <c r="X1898" s="277"/>
      <c r="Y1898" s="277"/>
      <c r="Z1898" s="277"/>
      <c r="AA1898" s="277"/>
      <c r="AB1898" s="277"/>
      <c r="AC1898" s="277"/>
      <c r="AD1898" s="277"/>
      <c r="AE1898" s="277"/>
      <c r="AF1898" s="277"/>
      <c r="AG1898" s="277"/>
      <c r="AH1898" s="277"/>
    </row>
    <row r="1899" spans="16:34" s="185" customFormat="1">
      <c r="P1899" s="277"/>
      <c r="Q1899" s="277"/>
      <c r="R1899" s="277"/>
      <c r="S1899" s="291">
        <v>43455</v>
      </c>
      <c r="T1899" s="279">
        <v>1816</v>
      </c>
      <c r="U1899" s="277"/>
      <c r="V1899" s="277"/>
      <c r="W1899" s="277"/>
      <c r="X1899" s="277"/>
      <c r="Y1899" s="277"/>
      <c r="Z1899" s="277"/>
      <c r="AA1899" s="277"/>
      <c r="AB1899" s="277"/>
      <c r="AC1899" s="277"/>
      <c r="AD1899" s="277"/>
      <c r="AE1899" s="277"/>
      <c r="AF1899" s="277"/>
      <c r="AG1899" s="277"/>
      <c r="AH1899" s="277"/>
    </row>
    <row r="1900" spans="16:34" s="185" customFormat="1">
      <c r="P1900" s="277"/>
      <c r="Q1900" s="277"/>
      <c r="R1900" s="277"/>
      <c r="S1900" s="291">
        <v>43456</v>
      </c>
      <c r="T1900" s="279">
        <v>1817</v>
      </c>
      <c r="U1900" s="277"/>
      <c r="V1900" s="277"/>
      <c r="W1900" s="277"/>
      <c r="X1900" s="277"/>
      <c r="Y1900" s="277"/>
      <c r="Z1900" s="277"/>
      <c r="AA1900" s="277"/>
      <c r="AB1900" s="277"/>
      <c r="AC1900" s="277"/>
      <c r="AD1900" s="277"/>
      <c r="AE1900" s="277"/>
      <c r="AF1900" s="277"/>
      <c r="AG1900" s="277"/>
      <c r="AH1900" s="277"/>
    </row>
    <row r="1901" spans="16:34" s="185" customFormat="1">
      <c r="P1901" s="277"/>
      <c r="Q1901" s="277"/>
      <c r="R1901" s="277"/>
      <c r="S1901" s="291">
        <v>43457</v>
      </c>
      <c r="T1901" s="279">
        <v>1818</v>
      </c>
      <c r="U1901" s="277"/>
      <c r="V1901" s="277"/>
      <c r="W1901" s="277"/>
      <c r="X1901" s="277"/>
      <c r="Y1901" s="277"/>
      <c r="Z1901" s="277"/>
      <c r="AA1901" s="277"/>
      <c r="AB1901" s="277"/>
      <c r="AC1901" s="277"/>
      <c r="AD1901" s="277"/>
      <c r="AE1901" s="277"/>
      <c r="AF1901" s="277"/>
      <c r="AG1901" s="277"/>
      <c r="AH1901" s="277"/>
    </row>
    <row r="1902" spans="16:34" s="185" customFormat="1">
      <c r="P1902" s="277"/>
      <c r="Q1902" s="277"/>
      <c r="R1902" s="277"/>
      <c r="S1902" s="291">
        <v>43458</v>
      </c>
      <c r="T1902" s="279">
        <v>1819</v>
      </c>
      <c r="U1902" s="277"/>
      <c r="V1902" s="277"/>
      <c r="W1902" s="277"/>
      <c r="X1902" s="277"/>
      <c r="Y1902" s="277"/>
      <c r="Z1902" s="277"/>
      <c r="AA1902" s="277"/>
      <c r="AB1902" s="277"/>
      <c r="AC1902" s="277"/>
      <c r="AD1902" s="277"/>
      <c r="AE1902" s="277"/>
      <c r="AF1902" s="277"/>
      <c r="AG1902" s="277"/>
      <c r="AH1902" s="277"/>
    </row>
    <row r="1903" spans="16:34" s="185" customFormat="1">
      <c r="P1903" s="277"/>
      <c r="Q1903" s="277"/>
      <c r="R1903" s="277"/>
      <c r="S1903" s="291">
        <v>43459</v>
      </c>
      <c r="T1903" s="279">
        <v>1820</v>
      </c>
      <c r="U1903" s="277"/>
      <c r="V1903" s="277"/>
      <c r="W1903" s="277"/>
      <c r="X1903" s="277"/>
      <c r="Y1903" s="277"/>
      <c r="Z1903" s="277"/>
      <c r="AA1903" s="277"/>
      <c r="AB1903" s="277"/>
      <c r="AC1903" s="277"/>
      <c r="AD1903" s="277"/>
      <c r="AE1903" s="277"/>
      <c r="AF1903" s="277"/>
      <c r="AG1903" s="277"/>
      <c r="AH1903" s="277"/>
    </row>
    <row r="1904" spans="16:34" s="185" customFormat="1">
      <c r="P1904" s="277"/>
      <c r="Q1904" s="277"/>
      <c r="R1904" s="277"/>
      <c r="S1904" s="291">
        <v>43460</v>
      </c>
      <c r="T1904" s="279">
        <v>1821</v>
      </c>
      <c r="U1904" s="277"/>
      <c r="V1904" s="277"/>
      <c r="W1904" s="277"/>
      <c r="X1904" s="277"/>
      <c r="Y1904" s="277"/>
      <c r="Z1904" s="277"/>
      <c r="AA1904" s="277"/>
      <c r="AB1904" s="277"/>
      <c r="AC1904" s="277"/>
      <c r="AD1904" s="277"/>
      <c r="AE1904" s="277"/>
      <c r="AF1904" s="277"/>
      <c r="AG1904" s="277"/>
      <c r="AH1904" s="277"/>
    </row>
    <row r="1905" spans="16:34" s="185" customFormat="1">
      <c r="P1905" s="277"/>
      <c r="Q1905" s="277"/>
      <c r="R1905" s="277"/>
      <c r="S1905" s="291">
        <v>43461</v>
      </c>
      <c r="T1905" s="279">
        <v>1822</v>
      </c>
      <c r="U1905" s="277"/>
      <c r="V1905" s="277"/>
      <c r="W1905" s="277"/>
      <c r="X1905" s="277"/>
      <c r="Y1905" s="277"/>
      <c r="Z1905" s="277"/>
      <c r="AA1905" s="277"/>
      <c r="AB1905" s="277"/>
      <c r="AC1905" s="277"/>
      <c r="AD1905" s="277"/>
      <c r="AE1905" s="277"/>
      <c r="AF1905" s="277"/>
      <c r="AG1905" s="277"/>
      <c r="AH1905" s="277"/>
    </row>
    <row r="1906" spans="16:34" s="185" customFormat="1">
      <c r="P1906" s="277"/>
      <c r="Q1906" s="277"/>
      <c r="R1906" s="277"/>
      <c r="S1906" s="291">
        <v>43462</v>
      </c>
      <c r="T1906" s="279">
        <v>1823</v>
      </c>
      <c r="U1906" s="277"/>
      <c r="V1906" s="277"/>
      <c r="W1906" s="277"/>
      <c r="X1906" s="277"/>
      <c r="Y1906" s="277"/>
      <c r="Z1906" s="277"/>
      <c r="AA1906" s="277"/>
      <c r="AB1906" s="277"/>
      <c r="AC1906" s="277"/>
      <c r="AD1906" s="277"/>
      <c r="AE1906" s="277"/>
      <c r="AF1906" s="277"/>
      <c r="AG1906" s="277"/>
      <c r="AH1906" s="277"/>
    </row>
    <row r="1907" spans="16:34" s="185" customFormat="1">
      <c r="P1907" s="277"/>
      <c r="Q1907" s="277"/>
      <c r="R1907" s="277"/>
      <c r="S1907" s="291">
        <v>43463</v>
      </c>
      <c r="T1907" s="279">
        <v>1824</v>
      </c>
      <c r="U1907" s="277"/>
      <c r="V1907" s="277"/>
      <c r="W1907" s="277"/>
      <c r="X1907" s="277"/>
      <c r="Y1907" s="277"/>
      <c r="Z1907" s="277"/>
      <c r="AA1907" s="277"/>
      <c r="AB1907" s="277"/>
      <c r="AC1907" s="277"/>
      <c r="AD1907" s="277"/>
      <c r="AE1907" s="277"/>
      <c r="AF1907" s="277"/>
      <c r="AG1907" s="277"/>
      <c r="AH1907" s="277"/>
    </row>
    <row r="1908" spans="16:34" s="185" customFormat="1">
      <c r="P1908" s="277"/>
      <c r="Q1908" s="277"/>
      <c r="R1908" s="277"/>
      <c r="S1908" s="291">
        <v>43464</v>
      </c>
      <c r="T1908" s="279">
        <v>1825</v>
      </c>
      <c r="U1908" s="277"/>
      <c r="V1908" s="277"/>
      <c r="W1908" s="277"/>
      <c r="X1908" s="277"/>
      <c r="Y1908" s="277"/>
      <c r="Z1908" s="277"/>
      <c r="AA1908" s="277"/>
      <c r="AB1908" s="277"/>
      <c r="AC1908" s="277"/>
      <c r="AD1908" s="277"/>
      <c r="AE1908" s="277"/>
      <c r="AF1908" s="277"/>
      <c r="AG1908" s="277"/>
      <c r="AH1908" s="277"/>
    </row>
    <row r="1909" spans="16:34" s="185" customFormat="1">
      <c r="P1909" s="277"/>
      <c r="Q1909" s="277"/>
      <c r="R1909" s="277"/>
      <c r="S1909" s="291">
        <v>43465</v>
      </c>
      <c r="T1909" s="279">
        <v>1826</v>
      </c>
      <c r="U1909" s="277"/>
      <c r="V1909" s="277"/>
      <c r="W1909" s="277"/>
      <c r="X1909" s="277"/>
      <c r="Y1909" s="277"/>
      <c r="Z1909" s="277"/>
      <c r="AA1909" s="277"/>
      <c r="AB1909" s="277"/>
      <c r="AC1909" s="277"/>
      <c r="AD1909" s="277"/>
      <c r="AE1909" s="277"/>
      <c r="AF1909" s="277"/>
      <c r="AG1909" s="277"/>
      <c r="AH1909" s="277"/>
    </row>
    <row r="1910" spans="16:34" s="185" customFormat="1">
      <c r="P1910" s="277"/>
      <c r="Q1910" s="277"/>
      <c r="R1910" s="277"/>
      <c r="S1910" s="291">
        <v>43466</v>
      </c>
      <c r="T1910" s="279">
        <v>1827</v>
      </c>
      <c r="U1910" s="277"/>
      <c r="V1910" s="277"/>
      <c r="W1910" s="277"/>
      <c r="X1910" s="277"/>
      <c r="Y1910" s="277"/>
      <c r="Z1910" s="277"/>
      <c r="AA1910" s="277"/>
      <c r="AB1910" s="277"/>
      <c r="AC1910" s="277"/>
      <c r="AD1910" s="277"/>
      <c r="AE1910" s="277"/>
      <c r="AF1910" s="277"/>
      <c r="AG1910" s="277"/>
      <c r="AH1910" s="277"/>
    </row>
    <row r="1911" spans="16:34" s="185" customFormat="1">
      <c r="P1911" s="277"/>
      <c r="Q1911" s="277"/>
      <c r="R1911" s="277"/>
      <c r="S1911" s="291">
        <v>43467</v>
      </c>
      <c r="T1911" s="279">
        <v>1828</v>
      </c>
      <c r="U1911" s="277"/>
      <c r="V1911" s="277"/>
      <c r="W1911" s="277"/>
      <c r="X1911" s="277"/>
      <c r="Y1911" s="277"/>
      <c r="Z1911" s="277"/>
      <c r="AA1911" s="277"/>
      <c r="AB1911" s="277"/>
      <c r="AC1911" s="277"/>
      <c r="AD1911" s="277"/>
      <c r="AE1911" s="277"/>
      <c r="AF1911" s="277"/>
      <c r="AG1911" s="277"/>
      <c r="AH1911" s="277"/>
    </row>
    <row r="1912" spans="16:34" s="185" customFormat="1">
      <c r="P1912" s="277"/>
      <c r="Q1912" s="277"/>
      <c r="R1912" s="277"/>
      <c r="S1912" s="291">
        <v>43468</v>
      </c>
      <c r="T1912" s="279">
        <v>1829</v>
      </c>
      <c r="U1912" s="277"/>
      <c r="V1912" s="277"/>
      <c r="W1912" s="277"/>
      <c r="X1912" s="277"/>
      <c r="Y1912" s="277"/>
      <c r="Z1912" s="277"/>
      <c r="AA1912" s="277"/>
      <c r="AB1912" s="277"/>
      <c r="AC1912" s="277"/>
      <c r="AD1912" s="277"/>
      <c r="AE1912" s="277"/>
      <c r="AF1912" s="277"/>
      <c r="AG1912" s="277"/>
      <c r="AH1912" s="277"/>
    </row>
    <row r="1913" spans="16:34" s="185" customFormat="1">
      <c r="P1913" s="277"/>
      <c r="Q1913" s="277"/>
      <c r="R1913" s="277"/>
      <c r="S1913" s="291">
        <v>43469</v>
      </c>
      <c r="T1913" s="279">
        <v>1830</v>
      </c>
      <c r="U1913" s="277"/>
      <c r="V1913" s="277"/>
      <c r="W1913" s="277"/>
      <c r="X1913" s="277"/>
      <c r="Y1913" s="277"/>
      <c r="Z1913" s="277"/>
      <c r="AA1913" s="277"/>
      <c r="AB1913" s="277"/>
      <c r="AC1913" s="277"/>
      <c r="AD1913" s="277"/>
      <c r="AE1913" s="277"/>
      <c r="AF1913" s="277"/>
      <c r="AG1913" s="277"/>
      <c r="AH1913" s="277"/>
    </row>
    <row r="1914" spans="16:34" s="185" customFormat="1">
      <c r="P1914" s="277"/>
      <c r="Q1914" s="277"/>
      <c r="R1914" s="277"/>
      <c r="S1914" s="291">
        <v>43470</v>
      </c>
      <c r="T1914" s="279">
        <v>1831</v>
      </c>
      <c r="U1914" s="277"/>
      <c r="V1914" s="277"/>
      <c r="W1914" s="277"/>
      <c r="X1914" s="277"/>
      <c r="Y1914" s="277"/>
      <c r="Z1914" s="277"/>
      <c r="AA1914" s="277"/>
      <c r="AB1914" s="277"/>
      <c r="AC1914" s="277"/>
      <c r="AD1914" s="277"/>
      <c r="AE1914" s="277"/>
      <c r="AF1914" s="277"/>
      <c r="AG1914" s="277"/>
      <c r="AH1914" s="277"/>
    </row>
    <row r="1915" spans="16:34" s="185" customFormat="1">
      <c r="P1915" s="277"/>
      <c r="Q1915" s="277"/>
      <c r="R1915" s="277"/>
      <c r="S1915" s="291">
        <v>43471</v>
      </c>
      <c r="T1915" s="279">
        <v>1832</v>
      </c>
      <c r="U1915" s="277"/>
      <c r="V1915" s="277"/>
      <c r="W1915" s="277"/>
      <c r="X1915" s="277"/>
      <c r="Y1915" s="277"/>
      <c r="Z1915" s="277"/>
      <c r="AA1915" s="277"/>
      <c r="AB1915" s="277"/>
      <c r="AC1915" s="277"/>
      <c r="AD1915" s="277"/>
      <c r="AE1915" s="277"/>
      <c r="AF1915" s="277"/>
      <c r="AG1915" s="277"/>
      <c r="AH1915" s="277"/>
    </row>
    <row r="1916" spans="16:34" s="185" customFormat="1">
      <c r="P1916" s="277"/>
      <c r="Q1916" s="277"/>
      <c r="R1916" s="277"/>
      <c r="S1916" s="291">
        <v>43472</v>
      </c>
      <c r="T1916" s="279">
        <v>1833</v>
      </c>
      <c r="U1916" s="277"/>
      <c r="V1916" s="277"/>
      <c r="W1916" s="277"/>
      <c r="X1916" s="277"/>
      <c r="Y1916" s="277"/>
      <c r="Z1916" s="277"/>
      <c r="AA1916" s="277"/>
      <c r="AB1916" s="277"/>
      <c r="AC1916" s="277"/>
      <c r="AD1916" s="277"/>
      <c r="AE1916" s="277"/>
      <c r="AF1916" s="277"/>
      <c r="AG1916" s="277"/>
      <c r="AH1916" s="277"/>
    </row>
    <row r="1917" spans="16:34" s="185" customFormat="1">
      <c r="P1917" s="277"/>
      <c r="Q1917" s="277"/>
      <c r="R1917" s="277"/>
      <c r="S1917" s="291">
        <v>43473</v>
      </c>
      <c r="T1917" s="279">
        <v>1834</v>
      </c>
      <c r="U1917" s="277"/>
      <c r="V1917" s="277"/>
      <c r="W1917" s="277"/>
      <c r="X1917" s="277"/>
      <c r="Y1917" s="277"/>
      <c r="Z1917" s="277"/>
      <c r="AA1917" s="277"/>
      <c r="AB1917" s="277"/>
      <c r="AC1917" s="277"/>
      <c r="AD1917" s="277"/>
      <c r="AE1917" s="277"/>
      <c r="AF1917" s="277"/>
      <c r="AG1917" s="277"/>
      <c r="AH1917" s="277"/>
    </row>
    <row r="1918" spans="16:34" s="185" customFormat="1">
      <c r="P1918" s="277"/>
      <c r="Q1918" s="277"/>
      <c r="R1918" s="277"/>
      <c r="S1918" s="291">
        <v>43474</v>
      </c>
      <c r="T1918" s="279">
        <v>1835</v>
      </c>
      <c r="U1918" s="277"/>
      <c r="V1918" s="277"/>
      <c r="W1918" s="277"/>
      <c r="X1918" s="277"/>
      <c r="Y1918" s="277"/>
      <c r="Z1918" s="277"/>
      <c r="AA1918" s="277"/>
      <c r="AB1918" s="277"/>
      <c r="AC1918" s="277"/>
      <c r="AD1918" s="277"/>
      <c r="AE1918" s="277"/>
      <c r="AF1918" s="277"/>
      <c r="AG1918" s="277"/>
      <c r="AH1918" s="277"/>
    </row>
    <row r="1919" spans="16:34" s="185" customFormat="1">
      <c r="P1919" s="277"/>
      <c r="Q1919" s="277"/>
      <c r="R1919" s="277"/>
      <c r="S1919" s="291">
        <v>43475</v>
      </c>
      <c r="T1919" s="279">
        <v>1836</v>
      </c>
      <c r="U1919" s="277"/>
      <c r="V1919" s="277"/>
      <c r="W1919" s="277"/>
      <c r="X1919" s="277"/>
      <c r="Y1919" s="277"/>
      <c r="Z1919" s="277"/>
      <c r="AA1919" s="277"/>
      <c r="AB1919" s="277"/>
      <c r="AC1919" s="277"/>
      <c r="AD1919" s="277"/>
      <c r="AE1919" s="277"/>
      <c r="AF1919" s="277"/>
      <c r="AG1919" s="277"/>
      <c r="AH1919" s="277"/>
    </row>
    <row r="1920" spans="16:34" s="185" customFormat="1">
      <c r="P1920" s="277"/>
      <c r="Q1920" s="277"/>
      <c r="R1920" s="277"/>
      <c r="S1920" s="291">
        <v>43476</v>
      </c>
      <c r="T1920" s="279">
        <v>1837</v>
      </c>
      <c r="U1920" s="277"/>
      <c r="V1920" s="277"/>
      <c r="W1920" s="277"/>
      <c r="X1920" s="277"/>
      <c r="Y1920" s="277"/>
      <c r="Z1920" s="277"/>
      <c r="AA1920" s="277"/>
      <c r="AB1920" s="277"/>
      <c r="AC1920" s="277"/>
      <c r="AD1920" s="277"/>
      <c r="AE1920" s="277"/>
      <c r="AF1920" s="277"/>
      <c r="AG1920" s="277"/>
      <c r="AH1920" s="277"/>
    </row>
    <row r="1921" spans="16:34" s="185" customFormat="1">
      <c r="P1921" s="277"/>
      <c r="Q1921" s="277"/>
      <c r="R1921" s="277"/>
      <c r="S1921" s="291">
        <v>43477</v>
      </c>
      <c r="T1921" s="279">
        <v>1838</v>
      </c>
      <c r="U1921" s="277"/>
      <c r="V1921" s="277"/>
      <c r="W1921" s="277"/>
      <c r="X1921" s="277"/>
      <c r="Y1921" s="277"/>
      <c r="Z1921" s="277"/>
      <c r="AA1921" s="277"/>
      <c r="AB1921" s="277"/>
      <c r="AC1921" s="277"/>
      <c r="AD1921" s="277"/>
      <c r="AE1921" s="277"/>
      <c r="AF1921" s="277"/>
      <c r="AG1921" s="277"/>
      <c r="AH1921" s="277"/>
    </row>
    <row r="1922" spans="16:34" s="185" customFormat="1">
      <c r="P1922" s="277"/>
      <c r="Q1922" s="277"/>
      <c r="R1922" s="277"/>
      <c r="S1922" s="291">
        <v>43478</v>
      </c>
      <c r="T1922" s="279">
        <v>1839</v>
      </c>
      <c r="U1922" s="277"/>
      <c r="V1922" s="277"/>
      <c r="W1922" s="277"/>
      <c r="X1922" s="277"/>
      <c r="Y1922" s="277"/>
      <c r="Z1922" s="277"/>
      <c r="AA1922" s="277"/>
      <c r="AB1922" s="277"/>
      <c r="AC1922" s="277"/>
      <c r="AD1922" s="277"/>
      <c r="AE1922" s="277"/>
      <c r="AF1922" s="277"/>
      <c r="AG1922" s="277"/>
      <c r="AH1922" s="277"/>
    </row>
    <row r="1923" spans="16:34" s="185" customFormat="1">
      <c r="P1923" s="277"/>
      <c r="Q1923" s="277"/>
      <c r="R1923" s="277"/>
      <c r="S1923" s="291">
        <v>43479</v>
      </c>
      <c r="T1923" s="279">
        <v>1840</v>
      </c>
      <c r="U1923" s="277"/>
      <c r="V1923" s="277"/>
      <c r="W1923" s="277"/>
      <c r="X1923" s="277"/>
      <c r="Y1923" s="277"/>
      <c r="Z1923" s="277"/>
      <c r="AA1923" s="277"/>
      <c r="AB1923" s="277"/>
      <c r="AC1923" s="277"/>
      <c r="AD1923" s="277"/>
      <c r="AE1923" s="277"/>
      <c r="AF1923" s="277"/>
      <c r="AG1923" s="277"/>
      <c r="AH1923" s="277"/>
    </row>
    <row r="1924" spans="16:34" s="185" customFormat="1">
      <c r="P1924" s="277"/>
      <c r="Q1924" s="277"/>
      <c r="R1924" s="277"/>
      <c r="S1924" s="291">
        <v>43480</v>
      </c>
      <c r="T1924" s="279">
        <v>1841</v>
      </c>
      <c r="U1924" s="277"/>
      <c r="V1924" s="277"/>
      <c r="W1924" s="277"/>
      <c r="X1924" s="277"/>
      <c r="Y1924" s="277"/>
      <c r="Z1924" s="277"/>
      <c r="AA1924" s="277"/>
      <c r="AB1924" s="277"/>
      <c r="AC1924" s="277"/>
      <c r="AD1924" s="277"/>
      <c r="AE1924" s="277"/>
      <c r="AF1924" s="277"/>
      <c r="AG1924" s="277"/>
      <c r="AH1924" s="277"/>
    </row>
    <row r="1925" spans="16:34" s="185" customFormat="1">
      <c r="P1925" s="277"/>
      <c r="Q1925" s="277"/>
      <c r="R1925" s="277"/>
      <c r="S1925" s="291">
        <v>43481</v>
      </c>
      <c r="T1925" s="279">
        <v>1842</v>
      </c>
      <c r="U1925" s="277"/>
      <c r="V1925" s="277"/>
      <c r="W1925" s="277"/>
      <c r="X1925" s="277"/>
      <c r="Y1925" s="277"/>
      <c r="Z1925" s="277"/>
      <c r="AA1925" s="277"/>
      <c r="AB1925" s="277"/>
      <c r="AC1925" s="277"/>
      <c r="AD1925" s="277"/>
      <c r="AE1925" s="277"/>
      <c r="AF1925" s="277"/>
      <c r="AG1925" s="277"/>
      <c r="AH1925" s="277"/>
    </row>
    <row r="1926" spans="16:34" s="185" customFormat="1">
      <c r="P1926" s="277"/>
      <c r="Q1926" s="277"/>
      <c r="R1926" s="277"/>
      <c r="S1926" s="291">
        <v>43482</v>
      </c>
      <c r="T1926" s="279">
        <v>1843</v>
      </c>
      <c r="U1926" s="277"/>
      <c r="V1926" s="277"/>
      <c r="W1926" s="277"/>
      <c r="X1926" s="277"/>
      <c r="Y1926" s="277"/>
      <c r="Z1926" s="277"/>
      <c r="AA1926" s="277"/>
      <c r="AB1926" s="277"/>
      <c r="AC1926" s="277"/>
      <c r="AD1926" s="277"/>
      <c r="AE1926" s="277"/>
      <c r="AF1926" s="277"/>
      <c r="AG1926" s="277"/>
      <c r="AH1926" s="277"/>
    </row>
    <row r="1927" spans="16:34" s="185" customFormat="1">
      <c r="P1927" s="277"/>
      <c r="Q1927" s="277"/>
      <c r="R1927" s="277"/>
      <c r="S1927" s="291">
        <v>43483</v>
      </c>
      <c r="T1927" s="279">
        <v>1844</v>
      </c>
      <c r="U1927" s="277"/>
      <c r="V1927" s="277"/>
      <c r="W1927" s="277"/>
      <c r="X1927" s="277"/>
      <c r="Y1927" s="277"/>
      <c r="Z1927" s="277"/>
      <c r="AA1927" s="277"/>
      <c r="AB1927" s="277"/>
      <c r="AC1927" s="277"/>
      <c r="AD1927" s="277"/>
      <c r="AE1927" s="277"/>
      <c r="AF1927" s="277"/>
      <c r="AG1927" s="277"/>
      <c r="AH1927" s="277"/>
    </row>
    <row r="1928" spans="16:34" s="185" customFormat="1">
      <c r="P1928" s="277"/>
      <c r="Q1928" s="277"/>
      <c r="R1928" s="277"/>
      <c r="S1928" s="291">
        <v>43484</v>
      </c>
      <c r="T1928" s="279">
        <v>1845</v>
      </c>
      <c r="U1928" s="277"/>
      <c r="V1928" s="277"/>
      <c r="W1928" s="277"/>
      <c r="X1928" s="277"/>
      <c r="Y1928" s="277"/>
      <c r="Z1928" s="277"/>
      <c r="AA1928" s="277"/>
      <c r="AB1928" s="277"/>
      <c r="AC1928" s="277"/>
      <c r="AD1928" s="277"/>
      <c r="AE1928" s="277"/>
      <c r="AF1928" s="277"/>
      <c r="AG1928" s="277"/>
      <c r="AH1928" s="277"/>
    </row>
    <row r="1929" spans="16:34" s="185" customFormat="1">
      <c r="P1929" s="277"/>
      <c r="Q1929" s="277"/>
      <c r="R1929" s="277"/>
      <c r="S1929" s="291">
        <v>43485</v>
      </c>
      <c r="T1929" s="279">
        <v>1846</v>
      </c>
      <c r="U1929" s="277"/>
      <c r="V1929" s="277"/>
      <c r="W1929" s="277"/>
      <c r="X1929" s="277"/>
      <c r="Y1929" s="277"/>
      <c r="Z1929" s="277"/>
      <c r="AA1929" s="277"/>
      <c r="AB1929" s="277"/>
      <c r="AC1929" s="277"/>
      <c r="AD1929" s="277"/>
      <c r="AE1929" s="277"/>
      <c r="AF1929" s="277"/>
      <c r="AG1929" s="277"/>
      <c r="AH1929" s="277"/>
    </row>
    <row r="1930" spans="16:34" s="185" customFormat="1">
      <c r="P1930" s="277"/>
      <c r="Q1930" s="277"/>
      <c r="R1930" s="277"/>
      <c r="S1930" s="291">
        <v>43486</v>
      </c>
      <c r="T1930" s="279">
        <v>1847</v>
      </c>
      <c r="U1930" s="277"/>
      <c r="V1930" s="277"/>
      <c r="W1930" s="277"/>
      <c r="X1930" s="277"/>
      <c r="Y1930" s="277"/>
      <c r="Z1930" s="277"/>
      <c r="AA1930" s="277"/>
      <c r="AB1930" s="277"/>
      <c r="AC1930" s="277"/>
      <c r="AD1930" s="277"/>
      <c r="AE1930" s="277"/>
      <c r="AF1930" s="277"/>
      <c r="AG1930" s="277"/>
      <c r="AH1930" s="277"/>
    </row>
    <row r="1931" spans="16:34" s="185" customFormat="1">
      <c r="P1931" s="277"/>
      <c r="Q1931" s="277"/>
      <c r="R1931" s="277"/>
      <c r="S1931" s="291">
        <v>43487</v>
      </c>
      <c r="T1931" s="279">
        <v>1848</v>
      </c>
      <c r="U1931" s="277"/>
      <c r="V1931" s="277"/>
      <c r="W1931" s="277"/>
      <c r="X1931" s="277"/>
      <c r="Y1931" s="277"/>
      <c r="Z1931" s="277"/>
      <c r="AA1931" s="277"/>
      <c r="AB1931" s="277"/>
      <c r="AC1931" s="277"/>
      <c r="AD1931" s="277"/>
      <c r="AE1931" s="277"/>
      <c r="AF1931" s="277"/>
      <c r="AG1931" s="277"/>
      <c r="AH1931" s="277"/>
    </row>
    <row r="1932" spans="16:34" s="185" customFormat="1">
      <c r="P1932" s="277"/>
      <c r="Q1932" s="277"/>
      <c r="R1932" s="277"/>
      <c r="S1932" s="291">
        <v>43488</v>
      </c>
      <c r="T1932" s="279">
        <v>1849</v>
      </c>
      <c r="U1932" s="277"/>
      <c r="V1932" s="277"/>
      <c r="W1932" s="277"/>
      <c r="X1932" s="277"/>
      <c r="Y1932" s="277"/>
      <c r="Z1932" s="277"/>
      <c r="AA1932" s="277"/>
      <c r="AB1932" s="277"/>
      <c r="AC1932" s="277"/>
      <c r="AD1932" s="277"/>
      <c r="AE1932" s="277"/>
      <c r="AF1932" s="277"/>
      <c r="AG1932" s="277"/>
      <c r="AH1932" s="277"/>
    </row>
    <row r="1933" spans="16:34" s="185" customFormat="1">
      <c r="P1933" s="277"/>
      <c r="Q1933" s="277"/>
      <c r="R1933" s="277"/>
      <c r="S1933" s="291">
        <v>43489</v>
      </c>
      <c r="T1933" s="279">
        <v>1850</v>
      </c>
      <c r="U1933" s="277"/>
      <c r="V1933" s="277"/>
      <c r="W1933" s="277"/>
      <c r="X1933" s="277"/>
      <c r="Y1933" s="277"/>
      <c r="Z1933" s="277"/>
      <c r="AA1933" s="277"/>
      <c r="AB1933" s="277"/>
      <c r="AC1933" s="277"/>
      <c r="AD1933" s="277"/>
      <c r="AE1933" s="277"/>
      <c r="AF1933" s="277"/>
      <c r="AG1933" s="277"/>
      <c r="AH1933" s="277"/>
    </row>
    <row r="1934" spans="16:34" s="185" customFormat="1">
      <c r="P1934" s="277"/>
      <c r="Q1934" s="277"/>
      <c r="R1934" s="277"/>
      <c r="S1934" s="291">
        <v>43490</v>
      </c>
      <c r="T1934" s="279">
        <v>1851</v>
      </c>
      <c r="U1934" s="277"/>
      <c r="V1934" s="277"/>
      <c r="W1934" s="277"/>
      <c r="X1934" s="277"/>
      <c r="Y1934" s="277"/>
      <c r="Z1934" s="277"/>
      <c r="AA1934" s="277"/>
      <c r="AB1934" s="277"/>
      <c r="AC1934" s="277"/>
      <c r="AD1934" s="277"/>
      <c r="AE1934" s="277"/>
      <c r="AF1934" s="277"/>
      <c r="AG1934" s="277"/>
      <c r="AH1934" s="277"/>
    </row>
    <row r="1935" spans="16:34" s="185" customFormat="1">
      <c r="P1935" s="277"/>
      <c r="Q1935" s="277"/>
      <c r="R1935" s="277"/>
      <c r="S1935" s="291">
        <v>43491</v>
      </c>
      <c r="T1935" s="279">
        <v>1852</v>
      </c>
      <c r="U1935" s="277"/>
      <c r="V1935" s="277"/>
      <c r="W1935" s="277"/>
      <c r="X1935" s="277"/>
      <c r="Y1935" s="277"/>
      <c r="Z1935" s="277"/>
      <c r="AA1935" s="277"/>
      <c r="AB1935" s="277"/>
      <c r="AC1935" s="277"/>
      <c r="AD1935" s="277"/>
      <c r="AE1935" s="277"/>
      <c r="AF1935" s="277"/>
      <c r="AG1935" s="277"/>
      <c r="AH1935" s="277"/>
    </row>
    <row r="1936" spans="16:34" s="185" customFormat="1">
      <c r="P1936" s="277"/>
      <c r="Q1936" s="277"/>
      <c r="R1936" s="277"/>
      <c r="S1936" s="291">
        <v>43492</v>
      </c>
      <c r="T1936" s="279">
        <v>1853</v>
      </c>
      <c r="U1936" s="277"/>
      <c r="V1936" s="277"/>
      <c r="W1936" s="277"/>
      <c r="X1936" s="277"/>
      <c r="Y1936" s="277"/>
      <c r="Z1936" s="277"/>
      <c r="AA1936" s="277"/>
      <c r="AB1936" s="277"/>
      <c r="AC1936" s="277"/>
      <c r="AD1936" s="277"/>
      <c r="AE1936" s="277"/>
      <c r="AF1936" s="277"/>
      <c r="AG1936" s="277"/>
      <c r="AH1936" s="277"/>
    </row>
    <row r="1937" spans="16:34" s="185" customFormat="1">
      <c r="P1937" s="277"/>
      <c r="Q1937" s="277"/>
      <c r="R1937" s="277"/>
      <c r="S1937" s="291">
        <v>43493</v>
      </c>
      <c r="T1937" s="279">
        <v>1854</v>
      </c>
      <c r="U1937" s="277"/>
      <c r="V1937" s="277"/>
      <c r="W1937" s="277"/>
      <c r="X1937" s="277"/>
      <c r="Y1937" s="277"/>
      <c r="Z1937" s="277"/>
      <c r="AA1937" s="277"/>
      <c r="AB1937" s="277"/>
      <c r="AC1937" s="277"/>
      <c r="AD1937" s="277"/>
      <c r="AE1937" s="277"/>
      <c r="AF1937" s="277"/>
      <c r="AG1937" s="277"/>
      <c r="AH1937" s="277"/>
    </row>
    <row r="1938" spans="16:34" s="185" customFormat="1">
      <c r="P1938" s="277"/>
      <c r="Q1938" s="277"/>
      <c r="R1938" s="277"/>
      <c r="S1938" s="291">
        <v>43494</v>
      </c>
      <c r="T1938" s="279">
        <v>1855</v>
      </c>
      <c r="U1938" s="277"/>
      <c r="V1938" s="277"/>
      <c r="W1938" s="277"/>
      <c r="X1938" s="277"/>
      <c r="Y1938" s="277"/>
      <c r="Z1938" s="277"/>
      <c r="AA1938" s="277"/>
      <c r="AB1938" s="277"/>
      <c r="AC1938" s="277"/>
      <c r="AD1938" s="277"/>
      <c r="AE1938" s="277"/>
      <c r="AF1938" s="277"/>
      <c r="AG1938" s="277"/>
      <c r="AH1938" s="277"/>
    </row>
    <row r="1939" spans="16:34" s="185" customFormat="1">
      <c r="P1939" s="277"/>
      <c r="Q1939" s="277"/>
      <c r="R1939" s="277"/>
      <c r="S1939" s="291">
        <v>43495</v>
      </c>
      <c r="T1939" s="279">
        <v>1856</v>
      </c>
      <c r="U1939" s="277"/>
      <c r="V1939" s="277"/>
      <c r="W1939" s="277"/>
      <c r="X1939" s="277"/>
      <c r="Y1939" s="277"/>
      <c r="Z1939" s="277"/>
      <c r="AA1939" s="277"/>
      <c r="AB1939" s="277"/>
      <c r="AC1939" s="277"/>
      <c r="AD1939" s="277"/>
      <c r="AE1939" s="277"/>
      <c r="AF1939" s="277"/>
      <c r="AG1939" s="277"/>
      <c r="AH1939" s="277"/>
    </row>
    <row r="1940" spans="16:34" s="185" customFormat="1">
      <c r="P1940" s="277"/>
      <c r="Q1940" s="277"/>
      <c r="R1940" s="277"/>
      <c r="S1940" s="291">
        <v>43496</v>
      </c>
      <c r="T1940" s="279">
        <v>1857</v>
      </c>
      <c r="U1940" s="277"/>
      <c r="V1940" s="277"/>
      <c r="W1940" s="277"/>
      <c r="X1940" s="277"/>
      <c r="Y1940" s="277"/>
      <c r="Z1940" s="277"/>
      <c r="AA1940" s="277"/>
      <c r="AB1940" s="277"/>
      <c r="AC1940" s="277"/>
      <c r="AD1940" s="277"/>
      <c r="AE1940" s="277"/>
      <c r="AF1940" s="277"/>
      <c r="AG1940" s="277"/>
      <c r="AH1940" s="277"/>
    </row>
    <row r="1941" spans="16:34" s="185" customFormat="1">
      <c r="P1941" s="277"/>
      <c r="Q1941" s="277"/>
      <c r="R1941" s="277"/>
      <c r="S1941" s="291">
        <v>43497</v>
      </c>
      <c r="T1941" s="279">
        <v>1858</v>
      </c>
      <c r="U1941" s="277"/>
      <c r="V1941" s="277"/>
      <c r="W1941" s="277"/>
      <c r="X1941" s="277"/>
      <c r="Y1941" s="277"/>
      <c r="Z1941" s="277"/>
      <c r="AA1941" s="277"/>
      <c r="AB1941" s="277"/>
      <c r="AC1941" s="277"/>
      <c r="AD1941" s="277"/>
      <c r="AE1941" s="277"/>
      <c r="AF1941" s="277"/>
      <c r="AG1941" s="277"/>
      <c r="AH1941" s="277"/>
    </row>
    <row r="1942" spans="16:34" s="185" customFormat="1">
      <c r="P1942" s="277"/>
      <c r="Q1942" s="277"/>
      <c r="R1942" s="277"/>
      <c r="S1942" s="291">
        <v>43498</v>
      </c>
      <c r="T1942" s="279">
        <v>1859</v>
      </c>
      <c r="U1942" s="277"/>
      <c r="V1942" s="277"/>
      <c r="W1942" s="277"/>
      <c r="X1942" s="277"/>
      <c r="Y1942" s="277"/>
      <c r="Z1942" s="277"/>
      <c r="AA1942" s="277"/>
      <c r="AB1942" s="277"/>
      <c r="AC1942" s="277"/>
      <c r="AD1942" s="277"/>
      <c r="AE1942" s="277"/>
      <c r="AF1942" s="277"/>
      <c r="AG1942" s="277"/>
      <c r="AH1942" s="277"/>
    </row>
    <row r="1943" spans="16:34" s="185" customFormat="1">
      <c r="P1943" s="277"/>
      <c r="Q1943" s="277"/>
      <c r="R1943" s="277"/>
      <c r="S1943" s="291">
        <v>43499</v>
      </c>
      <c r="T1943" s="279">
        <v>1860</v>
      </c>
      <c r="U1943" s="277"/>
      <c r="V1943" s="277"/>
      <c r="W1943" s="277"/>
      <c r="X1943" s="277"/>
      <c r="Y1943" s="277"/>
      <c r="Z1943" s="277"/>
      <c r="AA1943" s="277"/>
      <c r="AB1943" s="277"/>
      <c r="AC1943" s="277"/>
      <c r="AD1943" s="277"/>
      <c r="AE1943" s="277"/>
      <c r="AF1943" s="277"/>
      <c r="AG1943" s="277"/>
      <c r="AH1943" s="277"/>
    </row>
    <row r="1944" spans="16:34" s="185" customFormat="1">
      <c r="P1944" s="277"/>
      <c r="Q1944" s="277"/>
      <c r="R1944" s="277"/>
      <c r="S1944" s="291">
        <v>43500</v>
      </c>
      <c r="T1944" s="279">
        <v>1861</v>
      </c>
      <c r="U1944" s="277"/>
      <c r="V1944" s="277"/>
      <c r="W1944" s="277"/>
      <c r="X1944" s="277"/>
      <c r="Y1944" s="277"/>
      <c r="Z1944" s="277"/>
      <c r="AA1944" s="277"/>
      <c r="AB1944" s="277"/>
      <c r="AC1944" s="277"/>
      <c r="AD1944" s="277"/>
      <c r="AE1944" s="277"/>
      <c r="AF1944" s="277"/>
      <c r="AG1944" s="277"/>
      <c r="AH1944" s="277"/>
    </row>
    <row r="1945" spans="16:34" s="185" customFormat="1">
      <c r="P1945" s="277"/>
      <c r="Q1945" s="277"/>
      <c r="R1945" s="277"/>
      <c r="S1945" s="291">
        <v>43501</v>
      </c>
      <c r="T1945" s="279">
        <v>1862</v>
      </c>
      <c r="U1945" s="277"/>
      <c r="V1945" s="277"/>
      <c r="W1945" s="277"/>
      <c r="X1945" s="277"/>
      <c r="Y1945" s="277"/>
      <c r="Z1945" s="277"/>
      <c r="AA1945" s="277"/>
      <c r="AB1945" s="277"/>
      <c r="AC1945" s="277"/>
      <c r="AD1945" s="277"/>
      <c r="AE1945" s="277"/>
      <c r="AF1945" s="277"/>
      <c r="AG1945" s="277"/>
      <c r="AH1945" s="277"/>
    </row>
    <row r="1946" spans="16:34" s="185" customFormat="1">
      <c r="P1946" s="277"/>
      <c r="Q1946" s="277"/>
      <c r="R1946" s="277"/>
      <c r="S1946" s="291">
        <v>43502</v>
      </c>
      <c r="T1946" s="279">
        <v>1863</v>
      </c>
      <c r="U1946" s="277"/>
      <c r="V1946" s="277"/>
      <c r="W1946" s="277"/>
      <c r="X1946" s="277"/>
      <c r="Y1946" s="277"/>
      <c r="Z1946" s="277"/>
      <c r="AA1946" s="277"/>
      <c r="AB1946" s="277"/>
      <c r="AC1946" s="277"/>
      <c r="AD1946" s="277"/>
      <c r="AE1946" s="277"/>
      <c r="AF1946" s="277"/>
      <c r="AG1946" s="277"/>
      <c r="AH1946" s="277"/>
    </row>
    <row r="1947" spans="16:34" s="185" customFormat="1">
      <c r="P1947" s="277"/>
      <c r="Q1947" s="277"/>
      <c r="R1947" s="277"/>
      <c r="S1947" s="291">
        <v>43503</v>
      </c>
      <c r="T1947" s="279">
        <v>1864</v>
      </c>
      <c r="U1947" s="277"/>
      <c r="V1947" s="277"/>
      <c r="W1947" s="277"/>
      <c r="X1947" s="277"/>
      <c r="Y1947" s="277"/>
      <c r="Z1947" s="277"/>
      <c r="AA1947" s="277"/>
      <c r="AB1947" s="277"/>
      <c r="AC1947" s="277"/>
      <c r="AD1947" s="277"/>
      <c r="AE1947" s="277"/>
      <c r="AF1947" s="277"/>
      <c r="AG1947" s="277"/>
      <c r="AH1947" s="277"/>
    </row>
    <row r="1948" spans="16:34" s="185" customFormat="1">
      <c r="P1948" s="277"/>
      <c r="Q1948" s="277"/>
      <c r="R1948" s="277"/>
      <c r="S1948" s="291">
        <v>43504</v>
      </c>
      <c r="T1948" s="279">
        <v>1865</v>
      </c>
      <c r="U1948" s="277"/>
      <c r="V1948" s="277"/>
      <c r="W1948" s="277"/>
      <c r="X1948" s="277"/>
      <c r="Y1948" s="277"/>
      <c r="Z1948" s="277"/>
      <c r="AA1948" s="277"/>
      <c r="AB1948" s="277"/>
      <c r="AC1948" s="277"/>
      <c r="AD1948" s="277"/>
      <c r="AE1948" s="277"/>
      <c r="AF1948" s="277"/>
      <c r="AG1948" s="277"/>
      <c r="AH1948" s="277"/>
    </row>
    <row r="1949" spans="16:34" s="185" customFormat="1">
      <c r="P1949" s="277"/>
      <c r="Q1949" s="277"/>
      <c r="R1949" s="277"/>
      <c r="S1949" s="291">
        <v>43505</v>
      </c>
      <c r="T1949" s="279">
        <v>1866</v>
      </c>
      <c r="U1949" s="277"/>
      <c r="V1949" s="277"/>
      <c r="W1949" s="277"/>
      <c r="X1949" s="277"/>
      <c r="Y1949" s="277"/>
      <c r="Z1949" s="277"/>
      <c r="AA1949" s="277"/>
      <c r="AB1949" s="277"/>
      <c r="AC1949" s="277"/>
      <c r="AD1949" s="277"/>
      <c r="AE1949" s="277"/>
      <c r="AF1949" s="277"/>
      <c r="AG1949" s="277"/>
      <c r="AH1949" s="277"/>
    </row>
    <row r="1950" spans="16:34" s="185" customFormat="1">
      <c r="P1950" s="277"/>
      <c r="Q1950" s="277"/>
      <c r="R1950" s="277"/>
      <c r="S1950" s="291">
        <v>43506</v>
      </c>
      <c r="T1950" s="279">
        <v>1867</v>
      </c>
      <c r="U1950" s="277"/>
      <c r="V1950" s="277"/>
      <c r="W1950" s="277"/>
      <c r="X1950" s="277"/>
      <c r="Y1950" s="277"/>
      <c r="Z1950" s="277"/>
      <c r="AA1950" s="277"/>
      <c r="AB1950" s="277"/>
      <c r="AC1950" s="277"/>
      <c r="AD1950" s="277"/>
      <c r="AE1950" s="277"/>
      <c r="AF1950" s="277"/>
      <c r="AG1950" s="277"/>
      <c r="AH1950" s="277"/>
    </row>
    <row r="1951" spans="16:34" s="185" customFormat="1">
      <c r="P1951" s="277"/>
      <c r="Q1951" s="277"/>
      <c r="R1951" s="277"/>
      <c r="S1951" s="291">
        <v>43507</v>
      </c>
      <c r="T1951" s="279">
        <v>1868</v>
      </c>
      <c r="U1951" s="277"/>
      <c r="V1951" s="277"/>
      <c r="W1951" s="277"/>
      <c r="X1951" s="277"/>
      <c r="Y1951" s="277"/>
      <c r="Z1951" s="277"/>
      <c r="AA1951" s="277"/>
      <c r="AB1951" s="277"/>
      <c r="AC1951" s="277"/>
      <c r="AD1951" s="277"/>
      <c r="AE1951" s="277"/>
      <c r="AF1951" s="277"/>
      <c r="AG1951" s="277"/>
      <c r="AH1951" s="277"/>
    </row>
    <row r="1952" spans="16:34" s="185" customFormat="1">
      <c r="P1952" s="277"/>
      <c r="Q1952" s="277"/>
      <c r="R1952" s="277"/>
      <c r="S1952" s="291">
        <v>43508</v>
      </c>
      <c r="T1952" s="279">
        <v>1869</v>
      </c>
      <c r="U1952" s="277"/>
      <c r="V1952" s="277"/>
      <c r="W1952" s="277"/>
      <c r="X1952" s="277"/>
      <c r="Y1952" s="277"/>
      <c r="Z1952" s="277"/>
      <c r="AA1952" s="277"/>
      <c r="AB1952" s="277"/>
      <c r="AC1952" s="277"/>
      <c r="AD1952" s="277"/>
      <c r="AE1952" s="277"/>
      <c r="AF1952" s="277"/>
      <c r="AG1952" s="277"/>
      <c r="AH1952" s="277"/>
    </row>
    <row r="1953" spans="16:34" s="185" customFormat="1">
      <c r="P1953" s="277"/>
      <c r="Q1953" s="277"/>
      <c r="R1953" s="277"/>
      <c r="S1953" s="291">
        <v>43509</v>
      </c>
      <c r="T1953" s="279">
        <v>1870</v>
      </c>
      <c r="U1953" s="277"/>
      <c r="V1953" s="277"/>
      <c r="W1953" s="277"/>
      <c r="X1953" s="277"/>
      <c r="Y1953" s="277"/>
      <c r="Z1953" s="277"/>
      <c r="AA1953" s="277"/>
      <c r="AB1953" s="277"/>
      <c r="AC1953" s="277"/>
      <c r="AD1953" s="277"/>
      <c r="AE1953" s="277"/>
      <c r="AF1953" s="277"/>
      <c r="AG1953" s="277"/>
      <c r="AH1953" s="277"/>
    </row>
    <row r="1954" spans="16:34" s="185" customFormat="1">
      <c r="P1954" s="277"/>
      <c r="Q1954" s="277"/>
      <c r="R1954" s="277"/>
      <c r="S1954" s="291">
        <v>43510</v>
      </c>
      <c r="T1954" s="279">
        <v>1871</v>
      </c>
      <c r="U1954" s="277"/>
      <c r="V1954" s="277"/>
      <c r="W1954" s="277"/>
      <c r="X1954" s="277"/>
      <c r="Y1954" s="277"/>
      <c r="Z1954" s="277"/>
      <c r="AA1954" s="277"/>
      <c r="AB1954" s="277"/>
      <c r="AC1954" s="277"/>
      <c r="AD1954" s="277"/>
      <c r="AE1954" s="277"/>
      <c r="AF1954" s="277"/>
      <c r="AG1954" s="277"/>
      <c r="AH1954" s="277"/>
    </row>
    <row r="1955" spans="16:34" s="185" customFormat="1">
      <c r="P1955" s="277"/>
      <c r="Q1955" s="277"/>
      <c r="R1955" s="277"/>
      <c r="S1955" s="291">
        <v>43511</v>
      </c>
      <c r="T1955" s="279">
        <v>1872</v>
      </c>
      <c r="U1955" s="277"/>
      <c r="V1955" s="277"/>
      <c r="W1955" s="277"/>
      <c r="X1955" s="277"/>
      <c r="Y1955" s="277"/>
      <c r="Z1955" s="277"/>
      <c r="AA1955" s="277"/>
      <c r="AB1955" s="277"/>
      <c r="AC1955" s="277"/>
      <c r="AD1955" s="277"/>
      <c r="AE1955" s="277"/>
      <c r="AF1955" s="277"/>
      <c r="AG1955" s="277"/>
      <c r="AH1955" s="277"/>
    </row>
    <row r="1956" spans="16:34" s="185" customFormat="1">
      <c r="P1956" s="277"/>
      <c r="Q1956" s="277"/>
      <c r="R1956" s="277"/>
      <c r="S1956" s="291">
        <v>43512</v>
      </c>
      <c r="T1956" s="279">
        <v>1873</v>
      </c>
      <c r="U1956" s="277"/>
      <c r="V1956" s="277"/>
      <c r="W1956" s="277"/>
      <c r="X1956" s="277"/>
      <c r="Y1956" s="277"/>
      <c r="Z1956" s="277"/>
      <c r="AA1956" s="277"/>
      <c r="AB1956" s="277"/>
      <c r="AC1956" s="277"/>
      <c r="AD1956" s="277"/>
      <c r="AE1956" s="277"/>
      <c r="AF1956" s="277"/>
      <c r="AG1956" s="277"/>
      <c r="AH1956" s="277"/>
    </row>
    <row r="1957" spans="16:34" s="185" customFormat="1">
      <c r="P1957" s="277"/>
      <c r="Q1957" s="277"/>
      <c r="R1957" s="277"/>
      <c r="S1957" s="291">
        <v>43513</v>
      </c>
      <c r="T1957" s="279">
        <v>1874</v>
      </c>
      <c r="U1957" s="277"/>
      <c r="V1957" s="277"/>
      <c r="W1957" s="277"/>
      <c r="X1957" s="277"/>
      <c r="Y1957" s="277"/>
      <c r="Z1957" s="277"/>
      <c r="AA1957" s="277"/>
      <c r="AB1957" s="277"/>
      <c r="AC1957" s="277"/>
      <c r="AD1957" s="277"/>
      <c r="AE1957" s="277"/>
      <c r="AF1957" s="277"/>
      <c r="AG1957" s="277"/>
      <c r="AH1957" s="277"/>
    </row>
    <row r="1958" spans="16:34" s="185" customFormat="1">
      <c r="P1958" s="277"/>
      <c r="Q1958" s="277"/>
      <c r="R1958" s="277"/>
      <c r="S1958" s="291">
        <v>43514</v>
      </c>
      <c r="T1958" s="279">
        <v>1875</v>
      </c>
      <c r="U1958" s="277"/>
      <c r="V1958" s="277"/>
      <c r="W1958" s="277"/>
      <c r="X1958" s="277"/>
      <c r="Y1958" s="277"/>
      <c r="Z1958" s="277"/>
      <c r="AA1958" s="277"/>
      <c r="AB1958" s="277"/>
      <c r="AC1958" s="277"/>
      <c r="AD1958" s="277"/>
      <c r="AE1958" s="277"/>
      <c r="AF1958" s="277"/>
      <c r="AG1958" s="277"/>
      <c r="AH1958" s="277"/>
    </row>
    <row r="1959" spans="16:34" s="185" customFormat="1">
      <c r="P1959" s="277"/>
      <c r="Q1959" s="277"/>
      <c r="R1959" s="277"/>
      <c r="S1959" s="291">
        <v>43515</v>
      </c>
      <c r="T1959" s="279">
        <v>1876</v>
      </c>
      <c r="U1959" s="277"/>
      <c r="V1959" s="277"/>
      <c r="W1959" s="277"/>
      <c r="X1959" s="277"/>
      <c r="Y1959" s="277"/>
      <c r="Z1959" s="277"/>
      <c r="AA1959" s="277"/>
      <c r="AB1959" s="277"/>
      <c r="AC1959" s="277"/>
      <c r="AD1959" s="277"/>
      <c r="AE1959" s="277"/>
      <c r="AF1959" s="277"/>
      <c r="AG1959" s="277"/>
      <c r="AH1959" s="277"/>
    </row>
    <row r="1960" spans="16:34" s="185" customFormat="1">
      <c r="P1960" s="277"/>
      <c r="Q1960" s="277"/>
      <c r="R1960" s="277"/>
      <c r="S1960" s="291">
        <v>43516</v>
      </c>
      <c r="T1960" s="279">
        <v>1877</v>
      </c>
      <c r="U1960" s="277"/>
      <c r="V1960" s="277"/>
      <c r="W1960" s="277"/>
      <c r="X1960" s="277"/>
      <c r="Y1960" s="277"/>
      <c r="Z1960" s="277"/>
      <c r="AA1960" s="277"/>
      <c r="AB1960" s="277"/>
      <c r="AC1960" s="277"/>
      <c r="AD1960" s="277"/>
      <c r="AE1960" s="277"/>
      <c r="AF1960" s="277"/>
      <c r="AG1960" s="277"/>
      <c r="AH1960" s="277"/>
    </row>
    <row r="1961" spans="16:34" s="185" customFormat="1">
      <c r="P1961" s="277"/>
      <c r="Q1961" s="277"/>
      <c r="R1961" s="277"/>
      <c r="S1961" s="291">
        <v>43517</v>
      </c>
      <c r="T1961" s="279">
        <v>1878</v>
      </c>
      <c r="U1961" s="277"/>
      <c r="V1961" s="277"/>
      <c r="W1961" s="277"/>
      <c r="X1961" s="277"/>
      <c r="Y1961" s="277"/>
      <c r="Z1961" s="277"/>
      <c r="AA1961" s="277"/>
      <c r="AB1961" s="277"/>
      <c r="AC1961" s="277"/>
      <c r="AD1961" s="277"/>
      <c r="AE1961" s="277"/>
      <c r="AF1961" s="277"/>
      <c r="AG1961" s="277"/>
      <c r="AH1961" s="277"/>
    </row>
    <row r="1962" spans="16:34" s="185" customFormat="1">
      <c r="P1962" s="277"/>
      <c r="Q1962" s="277"/>
      <c r="R1962" s="277"/>
      <c r="S1962" s="291">
        <v>43518</v>
      </c>
      <c r="T1962" s="279">
        <v>1879</v>
      </c>
      <c r="U1962" s="277"/>
      <c r="V1962" s="277"/>
      <c r="W1962" s="277"/>
      <c r="X1962" s="277"/>
      <c r="Y1962" s="277"/>
      <c r="Z1962" s="277"/>
      <c r="AA1962" s="277"/>
      <c r="AB1962" s="277"/>
      <c r="AC1962" s="277"/>
      <c r="AD1962" s="277"/>
      <c r="AE1962" s="277"/>
      <c r="AF1962" s="277"/>
      <c r="AG1962" s="277"/>
      <c r="AH1962" s="277"/>
    </row>
    <row r="1963" spans="16:34" s="185" customFormat="1">
      <c r="P1963" s="277"/>
      <c r="Q1963" s="277"/>
      <c r="R1963" s="277"/>
      <c r="S1963" s="291">
        <v>43519</v>
      </c>
      <c r="T1963" s="279">
        <v>1880</v>
      </c>
      <c r="U1963" s="277"/>
      <c r="V1963" s="277"/>
      <c r="W1963" s="277"/>
      <c r="X1963" s="277"/>
      <c r="Y1963" s="277"/>
      <c r="Z1963" s="277"/>
      <c r="AA1963" s="277"/>
      <c r="AB1963" s="277"/>
      <c r="AC1963" s="277"/>
      <c r="AD1963" s="277"/>
      <c r="AE1963" s="277"/>
      <c r="AF1963" s="277"/>
      <c r="AG1963" s="277"/>
      <c r="AH1963" s="277"/>
    </row>
    <row r="1964" spans="16:34" s="185" customFormat="1">
      <c r="P1964" s="277"/>
      <c r="Q1964" s="277"/>
      <c r="R1964" s="277"/>
      <c r="S1964" s="291">
        <v>43520</v>
      </c>
      <c r="T1964" s="279">
        <v>1881</v>
      </c>
      <c r="U1964" s="277"/>
      <c r="V1964" s="277"/>
      <c r="W1964" s="277"/>
      <c r="X1964" s="277"/>
      <c r="Y1964" s="277"/>
      <c r="Z1964" s="277"/>
      <c r="AA1964" s="277"/>
      <c r="AB1964" s="277"/>
      <c r="AC1964" s="277"/>
      <c r="AD1964" s="277"/>
      <c r="AE1964" s="277"/>
      <c r="AF1964" s="277"/>
      <c r="AG1964" s="277"/>
      <c r="AH1964" s="277"/>
    </row>
    <row r="1965" spans="16:34" s="185" customFormat="1">
      <c r="P1965" s="277"/>
      <c r="Q1965" s="277"/>
      <c r="R1965" s="277"/>
      <c r="S1965" s="291">
        <v>43521</v>
      </c>
      <c r="T1965" s="279">
        <v>1882</v>
      </c>
      <c r="U1965" s="277"/>
      <c r="V1965" s="277"/>
      <c r="W1965" s="277"/>
      <c r="X1965" s="277"/>
      <c r="Y1965" s="277"/>
      <c r="Z1965" s="277"/>
      <c r="AA1965" s="277"/>
      <c r="AB1965" s="277"/>
      <c r="AC1965" s="277"/>
      <c r="AD1965" s="277"/>
      <c r="AE1965" s="277"/>
      <c r="AF1965" s="277"/>
      <c r="AG1965" s="277"/>
      <c r="AH1965" s="277"/>
    </row>
    <row r="1966" spans="16:34" s="185" customFormat="1">
      <c r="P1966" s="277"/>
      <c r="Q1966" s="277"/>
      <c r="R1966" s="277"/>
      <c r="S1966" s="291">
        <v>43522</v>
      </c>
      <c r="T1966" s="279">
        <v>1883</v>
      </c>
      <c r="U1966" s="277"/>
      <c r="V1966" s="277"/>
      <c r="W1966" s="277"/>
      <c r="X1966" s="277"/>
      <c r="Y1966" s="277"/>
      <c r="Z1966" s="277"/>
      <c r="AA1966" s="277"/>
      <c r="AB1966" s="277"/>
      <c r="AC1966" s="277"/>
      <c r="AD1966" s="277"/>
      <c r="AE1966" s="277"/>
      <c r="AF1966" s="277"/>
      <c r="AG1966" s="277"/>
      <c r="AH1966" s="277"/>
    </row>
    <row r="1967" spans="16:34" s="185" customFormat="1">
      <c r="P1967" s="277"/>
      <c r="Q1967" s="277"/>
      <c r="R1967" s="277"/>
      <c r="S1967" s="291">
        <v>43523</v>
      </c>
      <c r="T1967" s="279">
        <v>1884</v>
      </c>
      <c r="U1967" s="277"/>
      <c r="V1967" s="277"/>
      <c r="W1967" s="277"/>
      <c r="X1967" s="277"/>
      <c r="Y1967" s="277"/>
      <c r="Z1967" s="277"/>
      <c r="AA1967" s="277"/>
      <c r="AB1967" s="277"/>
      <c r="AC1967" s="277"/>
      <c r="AD1967" s="277"/>
      <c r="AE1967" s="277"/>
      <c r="AF1967" s="277"/>
      <c r="AG1967" s="277"/>
      <c r="AH1967" s="277"/>
    </row>
    <row r="1968" spans="16:34" s="185" customFormat="1">
      <c r="P1968" s="277"/>
      <c r="Q1968" s="277"/>
      <c r="R1968" s="277"/>
      <c r="S1968" s="291">
        <v>43524</v>
      </c>
      <c r="T1968" s="279">
        <v>1885</v>
      </c>
      <c r="U1968" s="277"/>
      <c r="V1968" s="277"/>
      <c r="W1968" s="277"/>
      <c r="X1968" s="277"/>
      <c r="Y1968" s="277"/>
      <c r="Z1968" s="277"/>
      <c r="AA1968" s="277"/>
      <c r="AB1968" s="277"/>
      <c r="AC1968" s="277"/>
      <c r="AD1968" s="277"/>
      <c r="AE1968" s="277"/>
      <c r="AF1968" s="277"/>
      <c r="AG1968" s="277"/>
      <c r="AH1968" s="277"/>
    </row>
    <row r="1969" spans="16:34" s="185" customFormat="1">
      <c r="P1969" s="277"/>
      <c r="Q1969" s="277"/>
      <c r="R1969" s="277"/>
      <c r="S1969" s="291">
        <v>43525</v>
      </c>
      <c r="T1969" s="279">
        <v>1886</v>
      </c>
      <c r="U1969" s="277"/>
      <c r="V1969" s="277"/>
      <c r="W1969" s="277"/>
      <c r="X1969" s="277"/>
      <c r="Y1969" s="277"/>
      <c r="Z1969" s="277"/>
      <c r="AA1969" s="277"/>
      <c r="AB1969" s="277"/>
      <c r="AC1969" s="277"/>
      <c r="AD1969" s="277"/>
      <c r="AE1969" s="277"/>
      <c r="AF1969" s="277"/>
      <c r="AG1969" s="277"/>
      <c r="AH1969" s="277"/>
    </row>
    <row r="1970" spans="16:34" s="185" customFormat="1">
      <c r="P1970" s="277"/>
      <c r="Q1970" s="277"/>
      <c r="R1970" s="277"/>
      <c r="S1970" s="291">
        <v>43526</v>
      </c>
      <c r="T1970" s="279">
        <v>1887</v>
      </c>
      <c r="U1970" s="277"/>
      <c r="V1970" s="277"/>
      <c r="W1970" s="277"/>
      <c r="X1970" s="277"/>
      <c r="Y1970" s="277"/>
      <c r="Z1970" s="277"/>
      <c r="AA1970" s="277"/>
      <c r="AB1970" s="277"/>
      <c r="AC1970" s="277"/>
      <c r="AD1970" s="277"/>
      <c r="AE1970" s="277"/>
      <c r="AF1970" s="277"/>
      <c r="AG1970" s="277"/>
      <c r="AH1970" s="277"/>
    </row>
    <row r="1971" spans="16:34" s="185" customFormat="1">
      <c r="P1971" s="277"/>
      <c r="Q1971" s="277"/>
      <c r="R1971" s="277"/>
      <c r="S1971" s="291">
        <v>43527</v>
      </c>
      <c r="T1971" s="279">
        <v>1888</v>
      </c>
      <c r="U1971" s="277"/>
      <c r="V1971" s="277"/>
      <c r="W1971" s="277"/>
      <c r="X1971" s="277"/>
      <c r="Y1971" s="277"/>
      <c r="Z1971" s="277"/>
      <c r="AA1971" s="277"/>
      <c r="AB1971" s="277"/>
      <c r="AC1971" s="277"/>
      <c r="AD1971" s="277"/>
      <c r="AE1971" s="277"/>
      <c r="AF1971" s="277"/>
      <c r="AG1971" s="277"/>
      <c r="AH1971" s="277"/>
    </row>
    <row r="1972" spans="16:34" s="185" customFormat="1">
      <c r="P1972" s="277"/>
      <c r="Q1972" s="277"/>
      <c r="R1972" s="277"/>
      <c r="S1972" s="291">
        <v>43528</v>
      </c>
      <c r="T1972" s="279">
        <v>1889</v>
      </c>
      <c r="U1972" s="277"/>
      <c r="V1972" s="277"/>
      <c r="W1972" s="277"/>
      <c r="X1972" s="277"/>
      <c r="Y1972" s="277"/>
      <c r="Z1972" s="277"/>
      <c r="AA1972" s="277"/>
      <c r="AB1972" s="277"/>
      <c r="AC1972" s="277"/>
      <c r="AD1972" s="277"/>
      <c r="AE1972" s="277"/>
      <c r="AF1972" s="277"/>
      <c r="AG1972" s="277"/>
      <c r="AH1972" s="277"/>
    </row>
    <row r="1973" spans="16:34" s="185" customFormat="1">
      <c r="P1973" s="277"/>
      <c r="Q1973" s="277"/>
      <c r="R1973" s="277"/>
      <c r="S1973" s="291">
        <v>43529</v>
      </c>
      <c r="T1973" s="279">
        <v>1890</v>
      </c>
      <c r="U1973" s="277"/>
      <c r="V1973" s="277"/>
      <c r="W1973" s="277"/>
      <c r="X1973" s="277"/>
      <c r="Y1973" s="277"/>
      <c r="Z1973" s="277"/>
      <c r="AA1973" s="277"/>
      <c r="AB1973" s="277"/>
      <c r="AC1973" s="277"/>
      <c r="AD1973" s="277"/>
      <c r="AE1973" s="277"/>
      <c r="AF1973" s="277"/>
      <c r="AG1973" s="277"/>
      <c r="AH1973" s="277"/>
    </row>
    <row r="1974" spans="16:34" s="185" customFormat="1">
      <c r="P1974" s="277"/>
      <c r="Q1974" s="277"/>
      <c r="R1974" s="277"/>
      <c r="S1974" s="291">
        <v>43530</v>
      </c>
      <c r="T1974" s="279">
        <v>1891</v>
      </c>
      <c r="U1974" s="277"/>
      <c r="V1974" s="277"/>
      <c r="W1974" s="277"/>
      <c r="X1974" s="277"/>
      <c r="Y1974" s="277"/>
      <c r="Z1974" s="277"/>
      <c r="AA1974" s="277"/>
      <c r="AB1974" s="277"/>
      <c r="AC1974" s="277"/>
      <c r="AD1974" s="277"/>
      <c r="AE1974" s="277"/>
      <c r="AF1974" s="277"/>
      <c r="AG1974" s="277"/>
      <c r="AH1974" s="277"/>
    </row>
    <row r="1975" spans="16:34" s="185" customFormat="1">
      <c r="P1975" s="277"/>
      <c r="Q1975" s="277"/>
      <c r="R1975" s="277"/>
      <c r="S1975" s="291">
        <v>43531</v>
      </c>
      <c r="T1975" s="279">
        <v>1892</v>
      </c>
      <c r="U1975" s="277"/>
      <c r="V1975" s="277"/>
      <c r="W1975" s="277"/>
      <c r="X1975" s="277"/>
      <c r="Y1975" s="277"/>
      <c r="Z1975" s="277"/>
      <c r="AA1975" s="277"/>
      <c r="AB1975" s="277"/>
      <c r="AC1975" s="277"/>
      <c r="AD1975" s="277"/>
      <c r="AE1975" s="277"/>
      <c r="AF1975" s="277"/>
      <c r="AG1975" s="277"/>
      <c r="AH1975" s="277"/>
    </row>
    <row r="1976" spans="16:34" s="185" customFormat="1">
      <c r="P1976" s="277"/>
      <c r="Q1976" s="277"/>
      <c r="R1976" s="277"/>
      <c r="S1976" s="291">
        <v>43532</v>
      </c>
      <c r="T1976" s="279">
        <v>1893</v>
      </c>
      <c r="U1976" s="277"/>
      <c r="V1976" s="277"/>
      <c r="W1976" s="277"/>
      <c r="X1976" s="277"/>
      <c r="Y1976" s="277"/>
      <c r="Z1976" s="277"/>
      <c r="AA1976" s="277"/>
      <c r="AB1976" s="277"/>
      <c r="AC1976" s="277"/>
      <c r="AD1976" s="277"/>
      <c r="AE1976" s="277"/>
      <c r="AF1976" s="277"/>
      <c r="AG1976" s="277"/>
      <c r="AH1976" s="277"/>
    </row>
    <row r="1977" spans="16:34" s="185" customFormat="1">
      <c r="P1977" s="277"/>
      <c r="Q1977" s="277"/>
      <c r="R1977" s="277"/>
      <c r="S1977" s="291">
        <v>43533</v>
      </c>
      <c r="T1977" s="279">
        <v>1894</v>
      </c>
      <c r="U1977" s="277"/>
      <c r="V1977" s="277"/>
      <c r="W1977" s="277"/>
      <c r="X1977" s="277"/>
      <c r="Y1977" s="277"/>
      <c r="Z1977" s="277"/>
      <c r="AA1977" s="277"/>
      <c r="AB1977" s="277"/>
      <c r="AC1977" s="277"/>
      <c r="AD1977" s="277"/>
      <c r="AE1977" s="277"/>
      <c r="AF1977" s="277"/>
      <c r="AG1977" s="277"/>
      <c r="AH1977" s="277"/>
    </row>
    <row r="1978" spans="16:34" s="185" customFormat="1">
      <c r="P1978" s="277"/>
      <c r="Q1978" s="277"/>
      <c r="R1978" s="277"/>
      <c r="S1978" s="291">
        <v>43534</v>
      </c>
      <c r="T1978" s="279">
        <v>1895</v>
      </c>
      <c r="U1978" s="277"/>
      <c r="V1978" s="277"/>
      <c r="W1978" s="277"/>
      <c r="X1978" s="277"/>
      <c r="Y1978" s="277"/>
      <c r="Z1978" s="277"/>
      <c r="AA1978" s="277"/>
      <c r="AB1978" s="277"/>
      <c r="AC1978" s="277"/>
      <c r="AD1978" s="277"/>
      <c r="AE1978" s="277"/>
      <c r="AF1978" s="277"/>
      <c r="AG1978" s="277"/>
      <c r="AH1978" s="277"/>
    </row>
    <row r="1979" spans="16:34" s="185" customFormat="1">
      <c r="P1979" s="277"/>
      <c r="Q1979" s="277"/>
      <c r="R1979" s="277"/>
      <c r="S1979" s="291">
        <v>43535</v>
      </c>
      <c r="T1979" s="279">
        <v>1896</v>
      </c>
      <c r="U1979" s="277"/>
      <c r="V1979" s="277"/>
      <c r="W1979" s="277"/>
      <c r="X1979" s="277"/>
      <c r="Y1979" s="277"/>
      <c r="Z1979" s="277"/>
      <c r="AA1979" s="277"/>
      <c r="AB1979" s="277"/>
      <c r="AC1979" s="277"/>
      <c r="AD1979" s="277"/>
      <c r="AE1979" s="277"/>
      <c r="AF1979" s="277"/>
      <c r="AG1979" s="277"/>
      <c r="AH1979" s="277"/>
    </row>
    <row r="1980" spans="16:34" s="185" customFormat="1">
      <c r="P1980" s="277"/>
      <c r="Q1980" s="277"/>
      <c r="R1980" s="277"/>
      <c r="S1980" s="291">
        <v>43536</v>
      </c>
      <c r="T1980" s="279">
        <v>1897</v>
      </c>
      <c r="U1980" s="277"/>
      <c r="V1980" s="277"/>
      <c r="W1980" s="277"/>
      <c r="X1980" s="277"/>
      <c r="Y1980" s="277"/>
      <c r="Z1980" s="277"/>
      <c r="AA1980" s="277"/>
      <c r="AB1980" s="277"/>
      <c r="AC1980" s="277"/>
      <c r="AD1980" s="277"/>
      <c r="AE1980" s="277"/>
      <c r="AF1980" s="277"/>
      <c r="AG1980" s="277"/>
      <c r="AH1980" s="277"/>
    </row>
    <row r="1981" spans="16:34" s="185" customFormat="1">
      <c r="P1981" s="277"/>
      <c r="Q1981" s="277"/>
      <c r="R1981" s="277"/>
      <c r="S1981" s="291">
        <v>43537</v>
      </c>
      <c r="T1981" s="279">
        <v>1898</v>
      </c>
      <c r="U1981" s="277"/>
      <c r="V1981" s="277"/>
      <c r="W1981" s="277"/>
      <c r="X1981" s="277"/>
      <c r="Y1981" s="277"/>
      <c r="Z1981" s="277"/>
      <c r="AA1981" s="277"/>
      <c r="AB1981" s="277"/>
      <c r="AC1981" s="277"/>
      <c r="AD1981" s="277"/>
      <c r="AE1981" s="277"/>
      <c r="AF1981" s="277"/>
      <c r="AG1981" s="277"/>
      <c r="AH1981" s="277"/>
    </row>
    <row r="1982" spans="16:34" s="185" customFormat="1">
      <c r="P1982" s="277"/>
      <c r="Q1982" s="277"/>
      <c r="R1982" s="277"/>
      <c r="S1982" s="291">
        <v>43538</v>
      </c>
      <c r="T1982" s="279">
        <v>1899</v>
      </c>
      <c r="U1982" s="277"/>
      <c r="V1982" s="277"/>
      <c r="W1982" s="277"/>
      <c r="X1982" s="277"/>
      <c r="Y1982" s="277"/>
      <c r="Z1982" s="277"/>
      <c r="AA1982" s="277"/>
      <c r="AB1982" s="277"/>
      <c r="AC1982" s="277"/>
      <c r="AD1982" s="277"/>
      <c r="AE1982" s="277"/>
      <c r="AF1982" s="277"/>
      <c r="AG1982" s="277"/>
      <c r="AH1982" s="277"/>
    </row>
    <row r="1983" spans="16:34" s="185" customFormat="1">
      <c r="P1983" s="277"/>
      <c r="Q1983" s="277"/>
      <c r="R1983" s="277"/>
      <c r="S1983" s="291">
        <v>43539</v>
      </c>
      <c r="T1983" s="279">
        <v>1900</v>
      </c>
      <c r="U1983" s="277"/>
      <c r="V1983" s="277"/>
      <c r="W1983" s="277"/>
      <c r="X1983" s="277"/>
      <c r="Y1983" s="277"/>
      <c r="Z1983" s="277"/>
      <c r="AA1983" s="277"/>
      <c r="AB1983" s="277"/>
      <c r="AC1983" s="277"/>
      <c r="AD1983" s="277"/>
      <c r="AE1983" s="277"/>
      <c r="AF1983" s="277"/>
      <c r="AG1983" s="277"/>
      <c r="AH1983" s="277"/>
    </row>
    <row r="1984" spans="16:34" s="185" customFormat="1">
      <c r="P1984" s="277"/>
      <c r="Q1984" s="277"/>
      <c r="R1984" s="277"/>
      <c r="S1984" s="291">
        <v>43540</v>
      </c>
      <c r="T1984" s="279">
        <v>1901</v>
      </c>
      <c r="U1984" s="277"/>
      <c r="V1984" s="277"/>
      <c r="W1984" s="277"/>
      <c r="X1984" s="277"/>
      <c r="Y1984" s="277"/>
      <c r="Z1984" s="277"/>
      <c r="AA1984" s="277"/>
      <c r="AB1984" s="277"/>
      <c r="AC1984" s="277"/>
      <c r="AD1984" s="277"/>
      <c r="AE1984" s="277"/>
      <c r="AF1984" s="277"/>
      <c r="AG1984" s="277"/>
      <c r="AH1984" s="277"/>
    </row>
    <row r="1985" spans="16:34" s="185" customFormat="1">
      <c r="P1985" s="277"/>
      <c r="Q1985" s="277"/>
      <c r="R1985" s="277"/>
      <c r="S1985" s="291">
        <v>43541</v>
      </c>
      <c r="T1985" s="279">
        <v>1902</v>
      </c>
      <c r="U1985" s="277"/>
      <c r="V1985" s="277"/>
      <c r="W1985" s="277"/>
      <c r="X1985" s="277"/>
      <c r="Y1985" s="277"/>
      <c r="Z1985" s="277"/>
      <c r="AA1985" s="277"/>
      <c r="AB1985" s="277"/>
      <c r="AC1985" s="277"/>
      <c r="AD1985" s="277"/>
      <c r="AE1985" s="277"/>
      <c r="AF1985" s="277"/>
      <c r="AG1985" s="277"/>
      <c r="AH1985" s="277"/>
    </row>
    <row r="1986" spans="16:34" s="185" customFormat="1">
      <c r="P1986" s="277"/>
      <c r="Q1986" s="277"/>
      <c r="R1986" s="277"/>
      <c r="S1986" s="291">
        <v>43542</v>
      </c>
      <c r="T1986" s="279">
        <v>1903</v>
      </c>
      <c r="U1986" s="277"/>
      <c r="V1986" s="277"/>
      <c r="W1986" s="277"/>
      <c r="X1986" s="277"/>
      <c r="Y1986" s="277"/>
      <c r="Z1986" s="277"/>
      <c r="AA1986" s="277"/>
      <c r="AB1986" s="277"/>
      <c r="AC1986" s="277"/>
      <c r="AD1986" s="277"/>
      <c r="AE1986" s="277"/>
      <c r="AF1986" s="277"/>
      <c r="AG1986" s="277"/>
      <c r="AH1986" s="277"/>
    </row>
    <row r="1987" spans="16:34" s="185" customFormat="1">
      <c r="P1987" s="277"/>
      <c r="Q1987" s="277"/>
      <c r="R1987" s="277"/>
      <c r="S1987" s="291">
        <v>43543</v>
      </c>
      <c r="T1987" s="279">
        <v>1904</v>
      </c>
      <c r="U1987" s="277"/>
      <c r="V1987" s="277"/>
      <c r="W1987" s="277"/>
      <c r="X1987" s="277"/>
      <c r="Y1987" s="277"/>
      <c r="Z1987" s="277"/>
      <c r="AA1987" s="277"/>
      <c r="AB1987" s="277"/>
      <c r="AC1987" s="277"/>
      <c r="AD1987" s="277"/>
      <c r="AE1987" s="277"/>
      <c r="AF1987" s="277"/>
      <c r="AG1987" s="277"/>
      <c r="AH1987" s="277"/>
    </row>
    <row r="1988" spans="16:34" s="185" customFormat="1">
      <c r="P1988" s="277"/>
      <c r="Q1988" s="277"/>
      <c r="R1988" s="277"/>
      <c r="S1988" s="291">
        <v>43544</v>
      </c>
      <c r="T1988" s="279">
        <v>1905</v>
      </c>
      <c r="U1988" s="277"/>
      <c r="V1988" s="277"/>
      <c r="W1988" s="277"/>
      <c r="X1988" s="277"/>
      <c r="Y1988" s="277"/>
      <c r="Z1988" s="277"/>
      <c r="AA1988" s="277"/>
      <c r="AB1988" s="277"/>
      <c r="AC1988" s="277"/>
      <c r="AD1988" s="277"/>
      <c r="AE1988" s="277"/>
      <c r="AF1988" s="277"/>
      <c r="AG1988" s="277"/>
      <c r="AH1988" s="277"/>
    </row>
    <row r="1989" spans="16:34" s="185" customFormat="1">
      <c r="P1989" s="277"/>
      <c r="Q1989" s="277"/>
      <c r="R1989" s="277"/>
      <c r="S1989" s="291">
        <v>43545</v>
      </c>
      <c r="T1989" s="279">
        <v>1906</v>
      </c>
      <c r="U1989" s="277"/>
      <c r="V1989" s="277"/>
      <c r="W1989" s="277"/>
      <c r="X1989" s="277"/>
      <c r="Y1989" s="277"/>
      <c r="Z1989" s="277"/>
      <c r="AA1989" s="277"/>
      <c r="AB1989" s="277"/>
      <c r="AC1989" s="277"/>
      <c r="AD1989" s="277"/>
      <c r="AE1989" s="277"/>
      <c r="AF1989" s="277"/>
      <c r="AG1989" s="277"/>
      <c r="AH1989" s="277"/>
    </row>
    <row r="1990" spans="16:34" s="185" customFormat="1">
      <c r="P1990" s="277"/>
      <c r="Q1990" s="277"/>
      <c r="R1990" s="277"/>
      <c r="S1990" s="291">
        <v>43546</v>
      </c>
      <c r="T1990" s="279">
        <v>1907</v>
      </c>
      <c r="U1990" s="277"/>
      <c r="V1990" s="277"/>
      <c r="W1990" s="277"/>
      <c r="X1990" s="277"/>
      <c r="Y1990" s="277"/>
      <c r="Z1990" s="277"/>
      <c r="AA1990" s="277"/>
      <c r="AB1990" s="277"/>
      <c r="AC1990" s="277"/>
      <c r="AD1990" s="277"/>
      <c r="AE1990" s="277"/>
      <c r="AF1990" s="277"/>
      <c r="AG1990" s="277"/>
      <c r="AH1990" s="277"/>
    </row>
    <row r="1991" spans="16:34" s="185" customFormat="1">
      <c r="P1991" s="277"/>
      <c r="Q1991" s="277"/>
      <c r="R1991" s="277"/>
      <c r="S1991" s="291">
        <v>43547</v>
      </c>
      <c r="T1991" s="279">
        <v>1908</v>
      </c>
      <c r="U1991" s="277"/>
      <c r="V1991" s="277"/>
      <c r="W1991" s="277"/>
      <c r="X1991" s="277"/>
      <c r="Y1991" s="277"/>
      <c r="Z1991" s="277"/>
      <c r="AA1991" s="277"/>
      <c r="AB1991" s="277"/>
      <c r="AC1991" s="277"/>
      <c r="AD1991" s="277"/>
      <c r="AE1991" s="277"/>
      <c r="AF1991" s="277"/>
      <c r="AG1991" s="277"/>
      <c r="AH1991" s="277"/>
    </row>
    <row r="1992" spans="16:34" s="185" customFormat="1">
      <c r="P1992" s="277"/>
      <c r="Q1992" s="277"/>
      <c r="R1992" s="277"/>
      <c r="S1992" s="291">
        <v>43548</v>
      </c>
      <c r="T1992" s="279">
        <v>1909</v>
      </c>
      <c r="U1992" s="277"/>
      <c r="V1992" s="277"/>
      <c r="W1992" s="277"/>
      <c r="X1992" s="277"/>
      <c r="Y1992" s="277"/>
      <c r="Z1992" s="277"/>
      <c r="AA1992" s="277"/>
      <c r="AB1992" s="277"/>
      <c r="AC1992" s="277"/>
      <c r="AD1992" s="277"/>
      <c r="AE1992" s="277"/>
      <c r="AF1992" s="277"/>
      <c r="AG1992" s="277"/>
      <c r="AH1992" s="277"/>
    </row>
    <row r="1993" spans="16:34" s="185" customFormat="1">
      <c r="P1993" s="277"/>
      <c r="Q1993" s="277"/>
      <c r="R1993" s="277"/>
      <c r="S1993" s="291">
        <v>43549</v>
      </c>
      <c r="T1993" s="279">
        <v>1910</v>
      </c>
      <c r="U1993" s="277"/>
      <c r="V1993" s="277"/>
      <c r="W1993" s="277"/>
      <c r="X1993" s="277"/>
      <c r="Y1993" s="277"/>
      <c r="Z1993" s="277"/>
      <c r="AA1993" s="277"/>
      <c r="AB1993" s="277"/>
      <c r="AC1993" s="277"/>
      <c r="AD1993" s="277"/>
      <c r="AE1993" s="277"/>
      <c r="AF1993" s="277"/>
      <c r="AG1993" s="277"/>
      <c r="AH1993" s="277"/>
    </row>
    <row r="1994" spans="16:34" s="185" customFormat="1">
      <c r="P1994" s="277"/>
      <c r="Q1994" s="277"/>
      <c r="R1994" s="277"/>
      <c r="S1994" s="291">
        <v>43550</v>
      </c>
      <c r="T1994" s="279">
        <v>1911</v>
      </c>
      <c r="U1994" s="277"/>
      <c r="V1994" s="277"/>
      <c r="W1994" s="277"/>
      <c r="X1994" s="277"/>
      <c r="Y1994" s="277"/>
      <c r="Z1994" s="277"/>
      <c r="AA1994" s="277"/>
      <c r="AB1994" s="277"/>
      <c r="AC1994" s="277"/>
      <c r="AD1994" s="277"/>
      <c r="AE1994" s="277"/>
      <c r="AF1994" s="277"/>
      <c r="AG1994" s="277"/>
      <c r="AH1994" s="277"/>
    </row>
    <row r="1995" spans="16:34" s="185" customFormat="1">
      <c r="P1995" s="277"/>
      <c r="Q1995" s="277"/>
      <c r="R1995" s="277"/>
      <c r="S1995" s="291">
        <v>43551</v>
      </c>
      <c r="T1995" s="279">
        <v>1912</v>
      </c>
      <c r="U1995" s="277"/>
      <c r="V1995" s="277"/>
      <c r="W1995" s="277"/>
      <c r="X1995" s="277"/>
      <c r="Y1995" s="277"/>
      <c r="Z1995" s="277"/>
      <c r="AA1995" s="277"/>
      <c r="AB1995" s="277"/>
      <c r="AC1995" s="277"/>
      <c r="AD1995" s="277"/>
      <c r="AE1995" s="277"/>
      <c r="AF1995" s="277"/>
      <c r="AG1995" s="277"/>
      <c r="AH1995" s="277"/>
    </row>
    <row r="1996" spans="16:34" s="185" customFormat="1">
      <c r="P1996" s="277"/>
      <c r="Q1996" s="277"/>
      <c r="R1996" s="277"/>
      <c r="S1996" s="291">
        <v>43552</v>
      </c>
      <c r="T1996" s="279">
        <v>1913</v>
      </c>
      <c r="U1996" s="277"/>
      <c r="V1996" s="277"/>
      <c r="W1996" s="277"/>
      <c r="X1996" s="277"/>
      <c r="Y1996" s="277"/>
      <c r="Z1996" s="277"/>
      <c r="AA1996" s="277"/>
      <c r="AB1996" s="277"/>
      <c r="AC1996" s="277"/>
      <c r="AD1996" s="277"/>
      <c r="AE1996" s="277"/>
      <c r="AF1996" s="277"/>
      <c r="AG1996" s="277"/>
      <c r="AH1996" s="277"/>
    </row>
    <row r="1997" spans="16:34" s="185" customFormat="1">
      <c r="P1997" s="277"/>
      <c r="Q1997" s="277"/>
      <c r="R1997" s="277"/>
      <c r="S1997" s="291">
        <v>43553</v>
      </c>
      <c r="T1997" s="279">
        <v>1914</v>
      </c>
      <c r="U1997" s="277"/>
      <c r="V1997" s="277"/>
      <c r="W1997" s="277"/>
      <c r="X1997" s="277"/>
      <c r="Y1997" s="277"/>
      <c r="Z1997" s="277"/>
      <c r="AA1997" s="277"/>
      <c r="AB1997" s="277"/>
      <c r="AC1997" s="277"/>
      <c r="AD1997" s="277"/>
      <c r="AE1997" s="277"/>
      <c r="AF1997" s="277"/>
      <c r="AG1997" s="277"/>
      <c r="AH1997" s="277"/>
    </row>
    <row r="1998" spans="16:34" s="185" customFormat="1">
      <c r="P1998" s="277"/>
      <c r="Q1998" s="277"/>
      <c r="R1998" s="277"/>
      <c r="S1998" s="291">
        <v>43554</v>
      </c>
      <c r="T1998" s="279">
        <v>1915</v>
      </c>
      <c r="U1998" s="277"/>
      <c r="V1998" s="277"/>
      <c r="W1998" s="277"/>
      <c r="X1998" s="277"/>
      <c r="Y1998" s="277"/>
      <c r="Z1998" s="277"/>
      <c r="AA1998" s="277"/>
      <c r="AB1998" s="277"/>
      <c r="AC1998" s="277"/>
      <c r="AD1998" s="277"/>
      <c r="AE1998" s="277"/>
      <c r="AF1998" s="277"/>
      <c r="AG1998" s="277"/>
      <c r="AH1998" s="277"/>
    </row>
    <row r="1999" spans="16:34" s="185" customFormat="1">
      <c r="P1999" s="277"/>
      <c r="Q1999" s="277"/>
      <c r="R1999" s="277"/>
      <c r="S1999" s="291">
        <v>43555</v>
      </c>
      <c r="T1999" s="279">
        <v>1916</v>
      </c>
      <c r="U1999" s="277"/>
      <c r="V1999" s="277"/>
      <c r="W1999" s="277"/>
      <c r="X1999" s="277"/>
      <c r="Y1999" s="277"/>
      <c r="Z1999" s="277"/>
      <c r="AA1999" s="277"/>
      <c r="AB1999" s="277"/>
      <c r="AC1999" s="277"/>
      <c r="AD1999" s="277"/>
      <c r="AE1999" s="277"/>
      <c r="AF1999" s="277"/>
      <c r="AG1999" s="277"/>
      <c r="AH1999" s="277"/>
    </row>
    <row r="2000" spans="16:34" s="185" customFormat="1">
      <c r="P2000" s="277"/>
      <c r="Q2000" s="277"/>
      <c r="R2000" s="277"/>
      <c r="S2000" s="291">
        <v>43556</v>
      </c>
      <c r="T2000" s="279">
        <v>1917</v>
      </c>
      <c r="U2000" s="277"/>
      <c r="V2000" s="277"/>
      <c r="W2000" s="277"/>
      <c r="X2000" s="277"/>
      <c r="Y2000" s="277"/>
      <c r="Z2000" s="277"/>
      <c r="AA2000" s="277"/>
      <c r="AB2000" s="277"/>
      <c r="AC2000" s="277"/>
      <c r="AD2000" s="277"/>
      <c r="AE2000" s="277"/>
      <c r="AF2000" s="277"/>
      <c r="AG2000" s="277"/>
      <c r="AH2000" s="277"/>
    </row>
    <row r="2001" spans="16:34" s="185" customFormat="1">
      <c r="P2001" s="277"/>
      <c r="Q2001" s="277"/>
      <c r="R2001" s="277"/>
      <c r="S2001" s="291">
        <v>43557</v>
      </c>
      <c r="T2001" s="279">
        <v>1918</v>
      </c>
      <c r="U2001" s="277"/>
      <c r="V2001" s="277"/>
      <c r="W2001" s="277"/>
      <c r="X2001" s="277"/>
      <c r="Y2001" s="277"/>
      <c r="Z2001" s="277"/>
      <c r="AA2001" s="277"/>
      <c r="AB2001" s="277"/>
      <c r="AC2001" s="277"/>
      <c r="AD2001" s="277"/>
      <c r="AE2001" s="277"/>
      <c r="AF2001" s="277"/>
      <c r="AG2001" s="277"/>
      <c r="AH2001" s="277"/>
    </row>
    <row r="2002" spans="16:34" s="185" customFormat="1">
      <c r="P2002" s="277"/>
      <c r="Q2002" s="277"/>
      <c r="R2002" s="277"/>
      <c r="S2002" s="291">
        <v>43558</v>
      </c>
      <c r="T2002" s="279">
        <v>1919</v>
      </c>
      <c r="U2002" s="277"/>
      <c r="V2002" s="277"/>
      <c r="W2002" s="277"/>
      <c r="X2002" s="277"/>
      <c r="Y2002" s="277"/>
      <c r="Z2002" s="277"/>
      <c r="AA2002" s="277"/>
      <c r="AB2002" s="277"/>
      <c r="AC2002" s="277"/>
      <c r="AD2002" s="277"/>
      <c r="AE2002" s="277"/>
      <c r="AF2002" s="277"/>
      <c r="AG2002" s="277"/>
      <c r="AH2002" s="277"/>
    </row>
    <row r="2003" spans="16:34" s="185" customFormat="1">
      <c r="P2003" s="277"/>
      <c r="Q2003" s="277"/>
      <c r="R2003" s="277"/>
      <c r="S2003" s="291">
        <v>43559</v>
      </c>
      <c r="T2003" s="279">
        <v>1920</v>
      </c>
      <c r="U2003" s="277"/>
      <c r="V2003" s="277"/>
      <c r="W2003" s="277"/>
      <c r="X2003" s="277"/>
      <c r="Y2003" s="277"/>
      <c r="Z2003" s="277"/>
      <c r="AA2003" s="277"/>
      <c r="AB2003" s="277"/>
      <c r="AC2003" s="277"/>
      <c r="AD2003" s="277"/>
      <c r="AE2003" s="277"/>
      <c r="AF2003" s="277"/>
      <c r="AG2003" s="277"/>
      <c r="AH2003" s="277"/>
    </row>
    <row r="2004" spans="16:34" s="185" customFormat="1">
      <c r="P2004" s="277"/>
      <c r="Q2004" s="277"/>
      <c r="R2004" s="277"/>
      <c r="S2004" s="291">
        <v>43560</v>
      </c>
      <c r="T2004" s="279">
        <v>1921</v>
      </c>
      <c r="U2004" s="277"/>
      <c r="V2004" s="277"/>
      <c r="W2004" s="277"/>
      <c r="X2004" s="277"/>
      <c r="Y2004" s="277"/>
      <c r="Z2004" s="277"/>
      <c r="AA2004" s="277"/>
      <c r="AB2004" s="277"/>
      <c r="AC2004" s="277"/>
      <c r="AD2004" s="277"/>
      <c r="AE2004" s="277"/>
      <c r="AF2004" s="277"/>
      <c r="AG2004" s="277"/>
      <c r="AH2004" s="277"/>
    </row>
    <row r="2005" spans="16:34" s="185" customFormat="1">
      <c r="P2005" s="277"/>
      <c r="Q2005" s="277"/>
      <c r="R2005" s="277"/>
      <c r="S2005" s="291">
        <v>43561</v>
      </c>
      <c r="T2005" s="279">
        <v>1922</v>
      </c>
      <c r="U2005" s="277"/>
      <c r="V2005" s="277"/>
      <c r="W2005" s="277"/>
      <c r="X2005" s="277"/>
      <c r="Y2005" s="277"/>
      <c r="Z2005" s="277"/>
      <c r="AA2005" s="277"/>
      <c r="AB2005" s="277"/>
      <c r="AC2005" s="277"/>
      <c r="AD2005" s="277"/>
      <c r="AE2005" s="277"/>
      <c r="AF2005" s="277"/>
      <c r="AG2005" s="277"/>
      <c r="AH2005" s="277"/>
    </row>
    <row r="2006" spans="16:34" s="185" customFormat="1">
      <c r="P2006" s="277"/>
      <c r="Q2006" s="277"/>
      <c r="R2006" s="277"/>
      <c r="S2006" s="291">
        <v>43562</v>
      </c>
      <c r="T2006" s="279">
        <v>1923</v>
      </c>
      <c r="U2006" s="277"/>
      <c r="V2006" s="277"/>
      <c r="W2006" s="277"/>
      <c r="X2006" s="277"/>
      <c r="Y2006" s="277"/>
      <c r="Z2006" s="277"/>
      <c r="AA2006" s="277"/>
      <c r="AB2006" s="277"/>
      <c r="AC2006" s="277"/>
      <c r="AD2006" s="277"/>
      <c r="AE2006" s="277"/>
      <c r="AF2006" s="277"/>
      <c r="AG2006" s="277"/>
      <c r="AH2006" s="277"/>
    </row>
    <row r="2007" spans="16:34" s="185" customFormat="1">
      <c r="P2007" s="277"/>
      <c r="Q2007" s="277"/>
      <c r="R2007" s="277"/>
      <c r="S2007" s="291">
        <v>43563</v>
      </c>
      <c r="T2007" s="279">
        <v>1924</v>
      </c>
      <c r="U2007" s="277"/>
      <c r="V2007" s="277"/>
      <c r="W2007" s="277"/>
      <c r="X2007" s="277"/>
      <c r="Y2007" s="277"/>
      <c r="Z2007" s="277"/>
      <c r="AA2007" s="277"/>
      <c r="AB2007" s="277"/>
      <c r="AC2007" s="277"/>
      <c r="AD2007" s="277"/>
      <c r="AE2007" s="277"/>
      <c r="AF2007" s="277"/>
      <c r="AG2007" s="277"/>
      <c r="AH2007" s="277"/>
    </row>
    <row r="2008" spans="16:34" s="185" customFormat="1">
      <c r="P2008" s="277"/>
      <c r="Q2008" s="277"/>
      <c r="R2008" s="277"/>
      <c r="S2008" s="291">
        <v>43564</v>
      </c>
      <c r="T2008" s="279">
        <v>1925</v>
      </c>
      <c r="U2008" s="277"/>
      <c r="V2008" s="277"/>
      <c r="W2008" s="277"/>
      <c r="X2008" s="277"/>
      <c r="Y2008" s="277"/>
      <c r="Z2008" s="277"/>
      <c r="AA2008" s="277"/>
      <c r="AB2008" s="277"/>
      <c r="AC2008" s="277"/>
      <c r="AD2008" s="277"/>
      <c r="AE2008" s="277"/>
      <c r="AF2008" s="277"/>
      <c r="AG2008" s="277"/>
      <c r="AH2008" s="277"/>
    </row>
    <row r="2009" spans="16:34" s="185" customFormat="1">
      <c r="P2009" s="277"/>
      <c r="Q2009" s="277"/>
      <c r="R2009" s="277"/>
      <c r="S2009" s="291">
        <v>43565</v>
      </c>
      <c r="T2009" s="279">
        <v>1926</v>
      </c>
      <c r="U2009" s="277"/>
      <c r="V2009" s="277"/>
      <c r="W2009" s="277"/>
      <c r="X2009" s="277"/>
      <c r="Y2009" s="277"/>
      <c r="Z2009" s="277"/>
      <c r="AA2009" s="277"/>
      <c r="AB2009" s="277"/>
      <c r="AC2009" s="277"/>
      <c r="AD2009" s="277"/>
      <c r="AE2009" s="277"/>
      <c r="AF2009" s="277"/>
      <c r="AG2009" s="277"/>
      <c r="AH2009" s="277"/>
    </row>
    <row r="2010" spans="16:34" s="185" customFormat="1">
      <c r="P2010" s="277"/>
      <c r="Q2010" s="277"/>
      <c r="R2010" s="277"/>
      <c r="S2010" s="291">
        <v>43566</v>
      </c>
      <c r="T2010" s="279">
        <v>1927</v>
      </c>
      <c r="U2010" s="277"/>
      <c r="V2010" s="277"/>
      <c r="W2010" s="277"/>
      <c r="X2010" s="277"/>
      <c r="Y2010" s="277"/>
      <c r="Z2010" s="277"/>
      <c r="AA2010" s="277"/>
      <c r="AB2010" s="277"/>
      <c r="AC2010" s="277"/>
      <c r="AD2010" s="277"/>
      <c r="AE2010" s="277"/>
      <c r="AF2010" s="277"/>
      <c r="AG2010" s="277"/>
      <c r="AH2010" s="277"/>
    </row>
    <row r="2011" spans="16:34" s="185" customFormat="1">
      <c r="P2011" s="277"/>
      <c r="Q2011" s="277"/>
      <c r="R2011" s="277"/>
      <c r="S2011" s="291">
        <v>43567</v>
      </c>
      <c r="T2011" s="279">
        <v>1928</v>
      </c>
      <c r="U2011" s="277"/>
      <c r="V2011" s="277"/>
      <c r="W2011" s="277"/>
      <c r="X2011" s="277"/>
      <c r="Y2011" s="277"/>
      <c r="Z2011" s="277"/>
      <c r="AA2011" s="277"/>
      <c r="AB2011" s="277"/>
      <c r="AC2011" s="277"/>
      <c r="AD2011" s="277"/>
      <c r="AE2011" s="277"/>
      <c r="AF2011" s="277"/>
      <c r="AG2011" s="277"/>
      <c r="AH2011" s="277"/>
    </row>
    <row r="2012" spans="16:34" s="185" customFormat="1">
      <c r="P2012" s="277"/>
      <c r="Q2012" s="277"/>
      <c r="R2012" s="277"/>
      <c r="S2012" s="291">
        <v>43568</v>
      </c>
      <c r="T2012" s="279">
        <v>1929</v>
      </c>
      <c r="U2012" s="277"/>
      <c r="V2012" s="277"/>
      <c r="W2012" s="277"/>
      <c r="X2012" s="277"/>
      <c r="Y2012" s="277"/>
      <c r="Z2012" s="277"/>
      <c r="AA2012" s="277"/>
      <c r="AB2012" s="277"/>
      <c r="AC2012" s="277"/>
      <c r="AD2012" s="277"/>
      <c r="AE2012" s="277"/>
      <c r="AF2012" s="277"/>
      <c r="AG2012" s="277"/>
      <c r="AH2012" s="277"/>
    </row>
    <row r="2013" spans="16:34" s="185" customFormat="1">
      <c r="P2013" s="277"/>
      <c r="Q2013" s="277"/>
      <c r="R2013" s="277"/>
      <c r="S2013" s="291">
        <v>43569</v>
      </c>
      <c r="T2013" s="279">
        <v>1930</v>
      </c>
      <c r="U2013" s="277"/>
      <c r="V2013" s="277"/>
      <c r="W2013" s="277"/>
      <c r="X2013" s="277"/>
      <c r="Y2013" s="277"/>
      <c r="Z2013" s="277"/>
      <c r="AA2013" s="277"/>
      <c r="AB2013" s="277"/>
      <c r="AC2013" s="277"/>
      <c r="AD2013" s="277"/>
      <c r="AE2013" s="277"/>
      <c r="AF2013" s="277"/>
      <c r="AG2013" s="277"/>
      <c r="AH2013" s="277"/>
    </row>
    <row r="2014" spans="16:34" s="185" customFormat="1">
      <c r="P2014" s="277"/>
      <c r="Q2014" s="277"/>
      <c r="R2014" s="277"/>
      <c r="S2014" s="291">
        <v>43570</v>
      </c>
      <c r="T2014" s="279">
        <v>1931</v>
      </c>
      <c r="U2014" s="277"/>
      <c r="V2014" s="277"/>
      <c r="W2014" s="277"/>
      <c r="X2014" s="277"/>
      <c r="Y2014" s="277"/>
      <c r="Z2014" s="277"/>
      <c r="AA2014" s="277"/>
      <c r="AB2014" s="277"/>
      <c r="AC2014" s="277"/>
      <c r="AD2014" s="277"/>
      <c r="AE2014" s="277"/>
      <c r="AF2014" s="277"/>
      <c r="AG2014" s="277"/>
      <c r="AH2014" s="277"/>
    </row>
    <row r="2015" spans="16:34" s="185" customFormat="1">
      <c r="P2015" s="277"/>
      <c r="Q2015" s="277"/>
      <c r="R2015" s="277"/>
      <c r="S2015" s="291">
        <v>43571</v>
      </c>
      <c r="T2015" s="279">
        <v>1932</v>
      </c>
      <c r="U2015" s="277"/>
      <c r="V2015" s="277"/>
      <c r="W2015" s="277"/>
      <c r="X2015" s="277"/>
      <c r="Y2015" s="277"/>
      <c r="Z2015" s="277"/>
      <c r="AA2015" s="277"/>
      <c r="AB2015" s="277"/>
      <c r="AC2015" s="277"/>
      <c r="AD2015" s="277"/>
      <c r="AE2015" s="277"/>
      <c r="AF2015" s="277"/>
      <c r="AG2015" s="277"/>
      <c r="AH2015" s="277"/>
    </row>
    <row r="2016" spans="16:34" s="185" customFormat="1">
      <c r="P2016" s="277"/>
      <c r="Q2016" s="277"/>
      <c r="R2016" s="277"/>
      <c r="S2016" s="291">
        <v>43572</v>
      </c>
      <c r="T2016" s="279">
        <v>1933</v>
      </c>
      <c r="U2016" s="277"/>
      <c r="V2016" s="277"/>
      <c r="W2016" s="277"/>
      <c r="X2016" s="277"/>
      <c r="Y2016" s="277"/>
      <c r="Z2016" s="277"/>
      <c r="AA2016" s="277"/>
      <c r="AB2016" s="277"/>
      <c r="AC2016" s="277"/>
      <c r="AD2016" s="277"/>
      <c r="AE2016" s="277"/>
      <c r="AF2016" s="277"/>
      <c r="AG2016" s="277"/>
      <c r="AH2016" s="277"/>
    </row>
    <row r="2017" spans="16:34" s="185" customFormat="1">
      <c r="P2017" s="277"/>
      <c r="Q2017" s="277"/>
      <c r="R2017" s="277"/>
      <c r="S2017" s="291">
        <v>43573</v>
      </c>
      <c r="T2017" s="279">
        <v>1934</v>
      </c>
      <c r="U2017" s="277"/>
      <c r="V2017" s="277"/>
      <c r="W2017" s="277"/>
      <c r="X2017" s="277"/>
      <c r="Y2017" s="277"/>
      <c r="Z2017" s="277"/>
      <c r="AA2017" s="277"/>
      <c r="AB2017" s="277"/>
      <c r="AC2017" s="277"/>
      <c r="AD2017" s="277"/>
      <c r="AE2017" s="277"/>
      <c r="AF2017" s="277"/>
      <c r="AG2017" s="277"/>
      <c r="AH2017" s="277"/>
    </row>
    <row r="2018" spans="16:34" s="185" customFormat="1">
      <c r="P2018" s="277"/>
      <c r="Q2018" s="277"/>
      <c r="R2018" s="277"/>
      <c r="S2018" s="291">
        <v>43574</v>
      </c>
      <c r="T2018" s="279">
        <v>1935</v>
      </c>
      <c r="U2018" s="277"/>
      <c r="V2018" s="277"/>
      <c r="W2018" s="277"/>
      <c r="X2018" s="277"/>
      <c r="Y2018" s="277"/>
      <c r="Z2018" s="277"/>
      <c r="AA2018" s="277"/>
      <c r="AB2018" s="277"/>
      <c r="AC2018" s="277"/>
      <c r="AD2018" s="277"/>
      <c r="AE2018" s="277"/>
      <c r="AF2018" s="277"/>
      <c r="AG2018" s="277"/>
      <c r="AH2018" s="277"/>
    </row>
    <row r="2019" spans="16:34" s="185" customFormat="1">
      <c r="P2019" s="277"/>
      <c r="Q2019" s="277"/>
      <c r="R2019" s="277"/>
      <c r="S2019" s="291">
        <v>43575</v>
      </c>
      <c r="T2019" s="279">
        <v>1936</v>
      </c>
      <c r="U2019" s="277"/>
      <c r="V2019" s="277"/>
      <c r="W2019" s="277"/>
      <c r="X2019" s="277"/>
      <c r="Y2019" s="277"/>
      <c r="Z2019" s="277"/>
      <c r="AA2019" s="277"/>
      <c r="AB2019" s="277"/>
      <c r="AC2019" s="277"/>
      <c r="AD2019" s="277"/>
      <c r="AE2019" s="277"/>
      <c r="AF2019" s="277"/>
      <c r="AG2019" s="277"/>
      <c r="AH2019" s="277"/>
    </row>
    <row r="2020" spans="16:34" s="185" customFormat="1">
      <c r="P2020" s="277"/>
      <c r="Q2020" s="277"/>
      <c r="R2020" s="277"/>
      <c r="S2020" s="291">
        <v>43576</v>
      </c>
      <c r="T2020" s="279">
        <v>1937</v>
      </c>
      <c r="U2020" s="277"/>
      <c r="V2020" s="277"/>
      <c r="W2020" s="277"/>
      <c r="X2020" s="277"/>
      <c r="Y2020" s="277"/>
      <c r="Z2020" s="277"/>
      <c r="AA2020" s="277"/>
      <c r="AB2020" s="277"/>
      <c r="AC2020" s="277"/>
      <c r="AD2020" s="277"/>
      <c r="AE2020" s="277"/>
      <c r="AF2020" s="277"/>
      <c r="AG2020" s="277"/>
      <c r="AH2020" s="277"/>
    </row>
    <row r="2021" spans="16:34" s="185" customFormat="1">
      <c r="P2021" s="277"/>
      <c r="Q2021" s="277"/>
      <c r="R2021" s="277"/>
      <c r="S2021" s="291">
        <v>43577</v>
      </c>
      <c r="T2021" s="279">
        <v>1938</v>
      </c>
      <c r="U2021" s="277"/>
      <c r="V2021" s="277"/>
      <c r="W2021" s="277"/>
      <c r="X2021" s="277"/>
      <c r="Y2021" s="277"/>
      <c r="Z2021" s="277"/>
      <c r="AA2021" s="277"/>
      <c r="AB2021" s="277"/>
      <c r="AC2021" s="277"/>
      <c r="AD2021" s="277"/>
      <c r="AE2021" s="277"/>
      <c r="AF2021" s="277"/>
      <c r="AG2021" s="277"/>
      <c r="AH2021" s="277"/>
    </row>
    <row r="2022" spans="16:34" s="185" customFormat="1">
      <c r="P2022" s="277"/>
      <c r="Q2022" s="277"/>
      <c r="R2022" s="277"/>
      <c r="S2022" s="291">
        <v>43578</v>
      </c>
      <c r="T2022" s="279">
        <v>1939</v>
      </c>
      <c r="U2022" s="277"/>
      <c r="V2022" s="277"/>
      <c r="W2022" s="277"/>
      <c r="X2022" s="277"/>
      <c r="Y2022" s="277"/>
      <c r="Z2022" s="277"/>
      <c r="AA2022" s="277"/>
      <c r="AB2022" s="277"/>
      <c r="AC2022" s="277"/>
      <c r="AD2022" s="277"/>
      <c r="AE2022" s="277"/>
      <c r="AF2022" s="277"/>
      <c r="AG2022" s="277"/>
      <c r="AH2022" s="277"/>
    </row>
    <row r="2023" spans="16:34" s="185" customFormat="1">
      <c r="P2023" s="277"/>
      <c r="Q2023" s="277"/>
      <c r="R2023" s="277"/>
      <c r="S2023" s="291">
        <v>43579</v>
      </c>
      <c r="T2023" s="279">
        <v>1940</v>
      </c>
      <c r="U2023" s="277"/>
      <c r="V2023" s="277"/>
      <c r="W2023" s="277"/>
      <c r="X2023" s="277"/>
      <c r="Y2023" s="277"/>
      <c r="Z2023" s="277"/>
      <c r="AA2023" s="277"/>
      <c r="AB2023" s="277"/>
      <c r="AC2023" s="277"/>
      <c r="AD2023" s="277"/>
      <c r="AE2023" s="277"/>
      <c r="AF2023" s="277"/>
      <c r="AG2023" s="277"/>
      <c r="AH2023" s="277"/>
    </row>
    <row r="2024" spans="16:34" s="185" customFormat="1">
      <c r="P2024" s="277"/>
      <c r="Q2024" s="277"/>
      <c r="R2024" s="277"/>
      <c r="S2024" s="291">
        <v>43580</v>
      </c>
      <c r="T2024" s="279">
        <v>1941</v>
      </c>
      <c r="U2024" s="277"/>
      <c r="V2024" s="277"/>
      <c r="W2024" s="277"/>
      <c r="X2024" s="277"/>
      <c r="Y2024" s="277"/>
      <c r="Z2024" s="277"/>
      <c r="AA2024" s="277"/>
      <c r="AB2024" s="277"/>
      <c r="AC2024" s="277"/>
      <c r="AD2024" s="277"/>
      <c r="AE2024" s="277"/>
      <c r="AF2024" s="277"/>
      <c r="AG2024" s="277"/>
      <c r="AH2024" s="277"/>
    </row>
    <row r="2025" spans="16:34" s="185" customFormat="1">
      <c r="P2025" s="277"/>
      <c r="Q2025" s="277"/>
      <c r="R2025" s="277"/>
      <c r="S2025" s="291">
        <v>43581</v>
      </c>
      <c r="T2025" s="279">
        <v>1942</v>
      </c>
      <c r="U2025" s="277"/>
      <c r="V2025" s="277"/>
      <c r="W2025" s="277"/>
      <c r="X2025" s="277"/>
      <c r="Y2025" s="277"/>
      <c r="Z2025" s="277"/>
      <c r="AA2025" s="277"/>
      <c r="AB2025" s="277"/>
      <c r="AC2025" s="277"/>
      <c r="AD2025" s="277"/>
      <c r="AE2025" s="277"/>
      <c r="AF2025" s="277"/>
      <c r="AG2025" s="277"/>
      <c r="AH2025" s="277"/>
    </row>
    <row r="2026" spans="16:34" s="185" customFormat="1">
      <c r="P2026" s="277"/>
      <c r="Q2026" s="277"/>
      <c r="R2026" s="277"/>
      <c r="S2026" s="291">
        <v>43582</v>
      </c>
      <c r="T2026" s="279">
        <v>1943</v>
      </c>
      <c r="U2026" s="277"/>
      <c r="V2026" s="277"/>
      <c r="W2026" s="277"/>
      <c r="X2026" s="277"/>
      <c r="Y2026" s="277"/>
      <c r="Z2026" s="277"/>
      <c r="AA2026" s="277"/>
      <c r="AB2026" s="277"/>
      <c r="AC2026" s="277"/>
      <c r="AD2026" s="277"/>
      <c r="AE2026" s="277"/>
      <c r="AF2026" s="277"/>
      <c r="AG2026" s="277"/>
      <c r="AH2026" s="277"/>
    </row>
    <row r="2027" spans="16:34" s="185" customFormat="1">
      <c r="P2027" s="277"/>
      <c r="Q2027" s="277"/>
      <c r="R2027" s="277"/>
      <c r="S2027" s="291">
        <v>43583</v>
      </c>
      <c r="T2027" s="279">
        <v>1944</v>
      </c>
      <c r="U2027" s="277"/>
      <c r="V2027" s="277"/>
      <c r="W2027" s="277"/>
      <c r="X2027" s="277"/>
      <c r="Y2027" s="277"/>
      <c r="Z2027" s="277"/>
      <c r="AA2027" s="277"/>
      <c r="AB2027" s="277"/>
      <c r="AC2027" s="277"/>
      <c r="AD2027" s="277"/>
      <c r="AE2027" s="277"/>
      <c r="AF2027" s="277"/>
      <c r="AG2027" s="277"/>
      <c r="AH2027" s="277"/>
    </row>
    <row r="2028" spans="16:34" s="185" customFormat="1">
      <c r="P2028" s="277"/>
      <c r="Q2028" s="277"/>
      <c r="R2028" s="277"/>
      <c r="S2028" s="291">
        <v>43584</v>
      </c>
      <c r="T2028" s="279">
        <v>1945</v>
      </c>
      <c r="U2028" s="277"/>
      <c r="V2028" s="277"/>
      <c r="W2028" s="277"/>
      <c r="X2028" s="277"/>
      <c r="Y2028" s="277"/>
      <c r="Z2028" s="277"/>
      <c r="AA2028" s="277"/>
      <c r="AB2028" s="277"/>
      <c r="AC2028" s="277"/>
      <c r="AD2028" s="277"/>
      <c r="AE2028" s="277"/>
      <c r="AF2028" s="277"/>
      <c r="AG2028" s="277"/>
      <c r="AH2028" s="277"/>
    </row>
    <row r="2029" spans="16:34" s="185" customFormat="1">
      <c r="P2029" s="277"/>
      <c r="Q2029" s="277"/>
      <c r="R2029" s="277"/>
      <c r="S2029" s="291">
        <v>43585</v>
      </c>
      <c r="T2029" s="279">
        <v>1946</v>
      </c>
      <c r="U2029" s="277"/>
      <c r="V2029" s="277"/>
      <c r="W2029" s="277"/>
      <c r="X2029" s="277"/>
      <c r="Y2029" s="277"/>
      <c r="Z2029" s="277"/>
      <c r="AA2029" s="277"/>
      <c r="AB2029" s="277"/>
      <c r="AC2029" s="277"/>
      <c r="AD2029" s="277"/>
      <c r="AE2029" s="277"/>
      <c r="AF2029" s="277"/>
      <c r="AG2029" s="277"/>
      <c r="AH2029" s="277"/>
    </row>
    <row r="2030" spans="16:34" s="185" customFormat="1">
      <c r="P2030" s="277"/>
      <c r="Q2030" s="277"/>
      <c r="R2030" s="277"/>
      <c r="S2030" s="291">
        <v>43586</v>
      </c>
      <c r="T2030" s="279">
        <v>1947</v>
      </c>
      <c r="U2030" s="277"/>
      <c r="V2030" s="277"/>
      <c r="W2030" s="277"/>
      <c r="X2030" s="277"/>
      <c r="Y2030" s="277"/>
      <c r="Z2030" s="277"/>
      <c r="AA2030" s="277"/>
      <c r="AB2030" s="277"/>
      <c r="AC2030" s="277"/>
      <c r="AD2030" s="277"/>
      <c r="AE2030" s="277"/>
      <c r="AF2030" s="277"/>
      <c r="AG2030" s="277"/>
      <c r="AH2030" s="277"/>
    </row>
    <row r="2031" spans="16:34" s="185" customFormat="1">
      <c r="P2031" s="277"/>
      <c r="Q2031" s="277"/>
      <c r="R2031" s="277"/>
      <c r="S2031" s="291">
        <v>43587</v>
      </c>
      <c r="T2031" s="279">
        <v>1948</v>
      </c>
      <c r="U2031" s="277"/>
      <c r="V2031" s="277"/>
      <c r="W2031" s="277"/>
      <c r="X2031" s="277"/>
      <c r="Y2031" s="277"/>
      <c r="Z2031" s="277"/>
      <c r="AA2031" s="277"/>
      <c r="AB2031" s="277"/>
      <c r="AC2031" s="277"/>
      <c r="AD2031" s="277"/>
      <c r="AE2031" s="277"/>
      <c r="AF2031" s="277"/>
      <c r="AG2031" s="277"/>
      <c r="AH2031" s="277"/>
    </row>
    <row r="2032" spans="16:34" s="185" customFormat="1">
      <c r="P2032" s="277"/>
      <c r="Q2032" s="277"/>
      <c r="R2032" s="277"/>
      <c r="S2032" s="291">
        <v>43588</v>
      </c>
      <c r="T2032" s="279">
        <v>1949</v>
      </c>
      <c r="U2032" s="277"/>
      <c r="V2032" s="277"/>
      <c r="W2032" s="277"/>
      <c r="X2032" s="277"/>
      <c r="Y2032" s="277"/>
      <c r="Z2032" s="277"/>
      <c r="AA2032" s="277"/>
      <c r="AB2032" s="277"/>
      <c r="AC2032" s="277"/>
      <c r="AD2032" s="277"/>
      <c r="AE2032" s="277"/>
      <c r="AF2032" s="277"/>
      <c r="AG2032" s="277"/>
      <c r="AH2032" s="277"/>
    </row>
    <row r="2033" spans="16:34" s="185" customFormat="1">
      <c r="P2033" s="277"/>
      <c r="Q2033" s="277"/>
      <c r="R2033" s="277"/>
      <c r="S2033" s="291">
        <v>43589</v>
      </c>
      <c r="T2033" s="279">
        <v>1950</v>
      </c>
      <c r="U2033" s="277"/>
      <c r="V2033" s="277"/>
      <c r="W2033" s="277"/>
      <c r="X2033" s="277"/>
      <c r="Y2033" s="277"/>
      <c r="Z2033" s="277"/>
      <c r="AA2033" s="277"/>
      <c r="AB2033" s="277"/>
      <c r="AC2033" s="277"/>
      <c r="AD2033" s="277"/>
      <c r="AE2033" s="277"/>
      <c r="AF2033" s="277"/>
      <c r="AG2033" s="277"/>
      <c r="AH2033" s="277"/>
    </row>
    <row r="2034" spans="16:34" s="185" customFormat="1">
      <c r="P2034" s="277"/>
      <c r="Q2034" s="277"/>
      <c r="R2034" s="277"/>
      <c r="S2034" s="291">
        <v>43590</v>
      </c>
      <c r="T2034" s="279">
        <v>1951</v>
      </c>
      <c r="U2034" s="277"/>
      <c r="V2034" s="277"/>
      <c r="W2034" s="277"/>
      <c r="X2034" s="277"/>
      <c r="Y2034" s="277"/>
      <c r="Z2034" s="277"/>
      <c r="AA2034" s="277"/>
      <c r="AB2034" s="277"/>
      <c r="AC2034" s="277"/>
      <c r="AD2034" s="277"/>
      <c r="AE2034" s="277"/>
      <c r="AF2034" s="277"/>
      <c r="AG2034" s="277"/>
      <c r="AH2034" s="277"/>
    </row>
    <row r="2035" spans="16:34" s="185" customFormat="1">
      <c r="P2035" s="277"/>
      <c r="Q2035" s="277"/>
      <c r="R2035" s="277"/>
      <c r="S2035" s="291">
        <v>43591</v>
      </c>
      <c r="T2035" s="279">
        <v>1952</v>
      </c>
      <c r="U2035" s="277"/>
      <c r="V2035" s="277"/>
      <c r="W2035" s="277"/>
      <c r="X2035" s="277"/>
      <c r="Y2035" s="277"/>
      <c r="Z2035" s="277"/>
      <c r="AA2035" s="277"/>
      <c r="AB2035" s="277"/>
      <c r="AC2035" s="277"/>
      <c r="AD2035" s="277"/>
      <c r="AE2035" s="277"/>
      <c r="AF2035" s="277"/>
      <c r="AG2035" s="277"/>
      <c r="AH2035" s="277"/>
    </row>
    <row r="2036" spans="16:34" s="185" customFormat="1">
      <c r="P2036" s="277"/>
      <c r="Q2036" s="277"/>
      <c r="R2036" s="277"/>
      <c r="S2036" s="291">
        <v>43592</v>
      </c>
      <c r="T2036" s="279">
        <v>1953</v>
      </c>
      <c r="U2036" s="277"/>
      <c r="V2036" s="277"/>
      <c r="W2036" s="277"/>
      <c r="X2036" s="277"/>
      <c r="Y2036" s="277"/>
      <c r="Z2036" s="277"/>
      <c r="AA2036" s="277"/>
      <c r="AB2036" s="277"/>
      <c r="AC2036" s="277"/>
      <c r="AD2036" s="277"/>
      <c r="AE2036" s="277"/>
      <c r="AF2036" s="277"/>
      <c r="AG2036" s="277"/>
      <c r="AH2036" s="277"/>
    </row>
    <row r="2037" spans="16:34" s="185" customFormat="1">
      <c r="P2037" s="277"/>
      <c r="Q2037" s="277"/>
      <c r="R2037" s="277"/>
      <c r="S2037" s="291">
        <v>43593</v>
      </c>
      <c r="T2037" s="279">
        <v>1954</v>
      </c>
      <c r="U2037" s="277"/>
      <c r="V2037" s="277"/>
      <c r="W2037" s="277"/>
      <c r="X2037" s="277"/>
      <c r="Y2037" s="277"/>
      <c r="Z2037" s="277"/>
      <c r="AA2037" s="277"/>
      <c r="AB2037" s="277"/>
      <c r="AC2037" s="277"/>
      <c r="AD2037" s="277"/>
      <c r="AE2037" s="277"/>
      <c r="AF2037" s="277"/>
      <c r="AG2037" s="277"/>
      <c r="AH2037" s="277"/>
    </row>
    <row r="2038" spans="16:34" s="185" customFormat="1">
      <c r="P2038" s="277"/>
      <c r="Q2038" s="277"/>
      <c r="R2038" s="277"/>
      <c r="S2038" s="291">
        <v>43594</v>
      </c>
      <c r="T2038" s="279">
        <v>1955</v>
      </c>
      <c r="U2038" s="277"/>
      <c r="V2038" s="277"/>
      <c r="W2038" s="277"/>
      <c r="X2038" s="277"/>
      <c r="Y2038" s="277"/>
      <c r="Z2038" s="277"/>
      <c r="AA2038" s="277"/>
      <c r="AB2038" s="277"/>
      <c r="AC2038" s="277"/>
      <c r="AD2038" s="277"/>
      <c r="AE2038" s="277"/>
      <c r="AF2038" s="277"/>
      <c r="AG2038" s="277"/>
      <c r="AH2038" s="277"/>
    </row>
    <row r="2039" spans="16:34" s="185" customFormat="1">
      <c r="P2039" s="277"/>
      <c r="Q2039" s="277"/>
      <c r="R2039" s="277"/>
      <c r="S2039" s="291">
        <v>43595</v>
      </c>
      <c r="T2039" s="279">
        <v>1956</v>
      </c>
      <c r="U2039" s="277"/>
      <c r="V2039" s="277"/>
      <c r="W2039" s="277"/>
      <c r="X2039" s="277"/>
      <c r="Y2039" s="277"/>
      <c r="Z2039" s="277"/>
      <c r="AA2039" s="277"/>
      <c r="AB2039" s="277"/>
      <c r="AC2039" s="277"/>
      <c r="AD2039" s="277"/>
      <c r="AE2039" s="277"/>
      <c r="AF2039" s="277"/>
      <c r="AG2039" s="277"/>
      <c r="AH2039" s="277"/>
    </row>
    <row r="2040" spans="16:34" s="185" customFormat="1">
      <c r="P2040" s="277"/>
      <c r="Q2040" s="277"/>
      <c r="R2040" s="277"/>
      <c r="S2040" s="291">
        <v>43596</v>
      </c>
      <c r="T2040" s="279">
        <v>1957</v>
      </c>
      <c r="U2040" s="277"/>
      <c r="V2040" s="277"/>
      <c r="W2040" s="277"/>
      <c r="X2040" s="277"/>
      <c r="Y2040" s="277"/>
      <c r="Z2040" s="277"/>
      <c r="AA2040" s="277"/>
      <c r="AB2040" s="277"/>
      <c r="AC2040" s="277"/>
      <c r="AD2040" s="277"/>
      <c r="AE2040" s="277"/>
      <c r="AF2040" s="277"/>
      <c r="AG2040" s="277"/>
      <c r="AH2040" s="277"/>
    </row>
    <row r="2041" spans="16:34" s="185" customFormat="1">
      <c r="P2041" s="277"/>
      <c r="Q2041" s="277"/>
      <c r="R2041" s="277"/>
      <c r="S2041" s="291">
        <v>43597</v>
      </c>
      <c r="T2041" s="279">
        <v>1958</v>
      </c>
      <c r="U2041" s="277"/>
      <c r="V2041" s="277"/>
      <c r="W2041" s="277"/>
      <c r="X2041" s="277"/>
      <c r="Y2041" s="277"/>
      <c r="Z2041" s="277"/>
      <c r="AA2041" s="277"/>
      <c r="AB2041" s="277"/>
      <c r="AC2041" s="277"/>
      <c r="AD2041" s="277"/>
      <c r="AE2041" s="277"/>
      <c r="AF2041" s="277"/>
      <c r="AG2041" s="277"/>
      <c r="AH2041" s="277"/>
    </row>
    <row r="2042" spans="16:34" s="185" customFormat="1">
      <c r="P2042" s="277"/>
      <c r="Q2042" s="277"/>
      <c r="R2042" s="277"/>
      <c r="S2042" s="291">
        <v>43598</v>
      </c>
      <c r="T2042" s="279">
        <v>1959</v>
      </c>
      <c r="U2042" s="277"/>
      <c r="V2042" s="277"/>
      <c r="W2042" s="277"/>
      <c r="X2042" s="277"/>
      <c r="Y2042" s="277"/>
      <c r="Z2042" s="277"/>
      <c r="AA2042" s="277"/>
      <c r="AB2042" s="277"/>
      <c r="AC2042" s="277"/>
      <c r="AD2042" s="277"/>
      <c r="AE2042" s="277"/>
      <c r="AF2042" s="277"/>
      <c r="AG2042" s="277"/>
      <c r="AH2042" s="277"/>
    </row>
    <row r="2043" spans="16:34" s="185" customFormat="1">
      <c r="P2043" s="277"/>
      <c r="Q2043" s="277"/>
      <c r="R2043" s="277"/>
      <c r="S2043" s="291">
        <v>43599</v>
      </c>
      <c r="T2043" s="279">
        <v>1960</v>
      </c>
      <c r="U2043" s="277"/>
      <c r="V2043" s="277"/>
      <c r="W2043" s="277"/>
      <c r="X2043" s="277"/>
      <c r="Y2043" s="277"/>
      <c r="Z2043" s="277"/>
      <c r="AA2043" s="277"/>
      <c r="AB2043" s="277"/>
      <c r="AC2043" s="277"/>
      <c r="AD2043" s="277"/>
      <c r="AE2043" s="277"/>
      <c r="AF2043" s="277"/>
      <c r="AG2043" s="277"/>
      <c r="AH2043" s="277"/>
    </row>
    <row r="2044" spans="16:34" s="185" customFormat="1">
      <c r="P2044" s="277"/>
      <c r="Q2044" s="277"/>
      <c r="R2044" s="277"/>
      <c r="S2044" s="291">
        <v>43600</v>
      </c>
      <c r="T2044" s="279">
        <v>1961</v>
      </c>
      <c r="U2044" s="277"/>
      <c r="V2044" s="277"/>
      <c r="W2044" s="277"/>
      <c r="X2044" s="277"/>
      <c r="Y2044" s="277"/>
      <c r="Z2044" s="277"/>
      <c r="AA2044" s="277"/>
      <c r="AB2044" s="277"/>
      <c r="AC2044" s="277"/>
      <c r="AD2044" s="277"/>
      <c r="AE2044" s="277"/>
      <c r="AF2044" s="277"/>
      <c r="AG2044" s="277"/>
      <c r="AH2044" s="277"/>
    </row>
    <row r="2045" spans="16:34" s="185" customFormat="1">
      <c r="P2045" s="277"/>
      <c r="Q2045" s="277"/>
      <c r="R2045" s="277"/>
      <c r="S2045" s="291">
        <v>43601</v>
      </c>
      <c r="T2045" s="279">
        <v>1962</v>
      </c>
      <c r="U2045" s="277"/>
      <c r="V2045" s="277"/>
      <c r="W2045" s="277"/>
      <c r="X2045" s="277"/>
      <c r="Y2045" s="277"/>
      <c r="Z2045" s="277"/>
      <c r="AA2045" s="277"/>
      <c r="AB2045" s="277"/>
      <c r="AC2045" s="277"/>
      <c r="AD2045" s="277"/>
      <c r="AE2045" s="277"/>
      <c r="AF2045" s="277"/>
      <c r="AG2045" s="277"/>
      <c r="AH2045" s="277"/>
    </row>
    <row r="2046" spans="16:34" s="185" customFormat="1">
      <c r="P2046" s="277"/>
      <c r="Q2046" s="277"/>
      <c r="R2046" s="277"/>
      <c r="S2046" s="291">
        <v>43602</v>
      </c>
      <c r="T2046" s="279">
        <v>1963</v>
      </c>
      <c r="U2046" s="277"/>
      <c r="V2046" s="277"/>
      <c r="W2046" s="277"/>
      <c r="X2046" s="277"/>
      <c r="Y2046" s="277"/>
      <c r="Z2046" s="277"/>
      <c r="AA2046" s="277"/>
      <c r="AB2046" s="277"/>
      <c r="AC2046" s="277"/>
      <c r="AD2046" s="277"/>
      <c r="AE2046" s="277"/>
      <c r="AF2046" s="277"/>
      <c r="AG2046" s="277"/>
      <c r="AH2046" s="277"/>
    </row>
    <row r="2047" spans="16:34" s="185" customFormat="1">
      <c r="P2047" s="277"/>
      <c r="Q2047" s="277"/>
      <c r="R2047" s="277"/>
      <c r="S2047" s="291">
        <v>43603</v>
      </c>
      <c r="T2047" s="279">
        <v>1964</v>
      </c>
      <c r="U2047" s="277"/>
      <c r="V2047" s="277"/>
      <c r="W2047" s="277"/>
      <c r="X2047" s="277"/>
      <c r="Y2047" s="277"/>
      <c r="Z2047" s="277"/>
      <c r="AA2047" s="277"/>
      <c r="AB2047" s="277"/>
      <c r="AC2047" s="277"/>
      <c r="AD2047" s="277"/>
      <c r="AE2047" s="277"/>
      <c r="AF2047" s="277"/>
      <c r="AG2047" s="277"/>
      <c r="AH2047" s="277"/>
    </row>
    <row r="2048" spans="16:34" s="185" customFormat="1">
      <c r="P2048" s="277"/>
      <c r="Q2048" s="277"/>
      <c r="R2048" s="277"/>
      <c r="S2048" s="291">
        <v>43604</v>
      </c>
      <c r="T2048" s="279">
        <v>1965</v>
      </c>
      <c r="U2048" s="277"/>
      <c r="V2048" s="277"/>
      <c r="W2048" s="277"/>
      <c r="X2048" s="277"/>
      <c r="Y2048" s="277"/>
      <c r="Z2048" s="277"/>
      <c r="AA2048" s="277"/>
      <c r="AB2048" s="277"/>
      <c r="AC2048" s="277"/>
      <c r="AD2048" s="277"/>
      <c r="AE2048" s="277"/>
      <c r="AF2048" s="277"/>
      <c r="AG2048" s="277"/>
      <c r="AH2048" s="277"/>
    </row>
    <row r="2049" spans="16:34" s="185" customFormat="1">
      <c r="P2049" s="277"/>
      <c r="Q2049" s="277"/>
      <c r="R2049" s="277"/>
      <c r="S2049" s="291">
        <v>43605</v>
      </c>
      <c r="T2049" s="279">
        <v>1966</v>
      </c>
      <c r="U2049" s="277"/>
      <c r="V2049" s="277"/>
      <c r="W2049" s="277"/>
      <c r="X2049" s="277"/>
      <c r="Y2049" s="277"/>
      <c r="Z2049" s="277"/>
      <c r="AA2049" s="277"/>
      <c r="AB2049" s="277"/>
      <c r="AC2049" s="277"/>
      <c r="AD2049" s="277"/>
      <c r="AE2049" s="277"/>
      <c r="AF2049" s="277"/>
      <c r="AG2049" s="277"/>
      <c r="AH2049" s="277"/>
    </row>
    <row r="2050" spans="16:34" s="185" customFormat="1">
      <c r="P2050" s="277"/>
      <c r="Q2050" s="277"/>
      <c r="R2050" s="277"/>
      <c r="S2050" s="291">
        <v>43606</v>
      </c>
      <c r="T2050" s="279">
        <v>1967</v>
      </c>
      <c r="U2050" s="277"/>
      <c r="V2050" s="277"/>
      <c r="W2050" s="277"/>
      <c r="X2050" s="277"/>
      <c r="Y2050" s="277"/>
      <c r="Z2050" s="277"/>
      <c r="AA2050" s="277"/>
      <c r="AB2050" s="277"/>
      <c r="AC2050" s="277"/>
      <c r="AD2050" s="277"/>
      <c r="AE2050" s="277"/>
      <c r="AF2050" s="277"/>
      <c r="AG2050" s="277"/>
      <c r="AH2050" s="277"/>
    </row>
    <row r="2051" spans="16:34" s="185" customFormat="1">
      <c r="P2051" s="277"/>
      <c r="Q2051" s="277"/>
      <c r="R2051" s="277"/>
      <c r="S2051" s="291">
        <v>43607</v>
      </c>
      <c r="T2051" s="279">
        <v>1968</v>
      </c>
      <c r="U2051" s="277"/>
      <c r="V2051" s="277"/>
      <c r="W2051" s="277"/>
      <c r="X2051" s="277"/>
      <c r="Y2051" s="277"/>
      <c r="Z2051" s="277"/>
      <c r="AA2051" s="277"/>
      <c r="AB2051" s="277"/>
      <c r="AC2051" s="277"/>
      <c r="AD2051" s="277"/>
      <c r="AE2051" s="277"/>
      <c r="AF2051" s="277"/>
      <c r="AG2051" s="277"/>
      <c r="AH2051" s="277"/>
    </row>
    <row r="2052" spans="16:34" s="185" customFormat="1">
      <c r="P2052" s="277"/>
      <c r="Q2052" s="277"/>
      <c r="R2052" s="277"/>
      <c r="S2052" s="291">
        <v>43608</v>
      </c>
      <c r="T2052" s="279">
        <v>1969</v>
      </c>
      <c r="U2052" s="277"/>
      <c r="V2052" s="277"/>
      <c r="W2052" s="277"/>
      <c r="X2052" s="277"/>
      <c r="Y2052" s="277"/>
      <c r="Z2052" s="277"/>
      <c r="AA2052" s="277"/>
      <c r="AB2052" s="277"/>
      <c r="AC2052" s="277"/>
      <c r="AD2052" s="277"/>
      <c r="AE2052" s="277"/>
      <c r="AF2052" s="277"/>
      <c r="AG2052" s="277"/>
      <c r="AH2052" s="277"/>
    </row>
    <row r="2053" spans="16:34" s="185" customFormat="1">
      <c r="P2053" s="277"/>
      <c r="Q2053" s="277"/>
      <c r="R2053" s="277"/>
      <c r="S2053" s="291">
        <v>43609</v>
      </c>
      <c r="T2053" s="279">
        <v>1970</v>
      </c>
      <c r="U2053" s="277"/>
      <c r="V2053" s="277"/>
      <c r="W2053" s="277"/>
      <c r="X2053" s="277"/>
      <c r="Y2053" s="277"/>
      <c r="Z2053" s="277"/>
      <c r="AA2053" s="277"/>
      <c r="AB2053" s="277"/>
      <c r="AC2053" s="277"/>
      <c r="AD2053" s="277"/>
      <c r="AE2053" s="277"/>
      <c r="AF2053" s="277"/>
      <c r="AG2053" s="277"/>
      <c r="AH2053" s="277"/>
    </row>
    <row r="2054" spans="16:34" s="185" customFormat="1">
      <c r="P2054" s="277"/>
      <c r="Q2054" s="277"/>
      <c r="R2054" s="277"/>
      <c r="S2054" s="291">
        <v>43610</v>
      </c>
      <c r="T2054" s="279">
        <v>1971</v>
      </c>
      <c r="U2054" s="277"/>
      <c r="V2054" s="277"/>
      <c r="W2054" s="277"/>
      <c r="X2054" s="277"/>
      <c r="Y2054" s="277"/>
      <c r="Z2054" s="277"/>
      <c r="AA2054" s="277"/>
      <c r="AB2054" s="277"/>
      <c r="AC2054" s="277"/>
      <c r="AD2054" s="277"/>
      <c r="AE2054" s="277"/>
      <c r="AF2054" s="277"/>
      <c r="AG2054" s="277"/>
      <c r="AH2054" s="277"/>
    </row>
    <row r="2055" spans="16:34" s="185" customFormat="1">
      <c r="P2055" s="277"/>
      <c r="Q2055" s="277"/>
      <c r="R2055" s="277"/>
      <c r="S2055" s="291">
        <v>43611</v>
      </c>
      <c r="T2055" s="279">
        <v>1972</v>
      </c>
      <c r="U2055" s="277"/>
      <c r="V2055" s="277"/>
      <c r="W2055" s="277"/>
      <c r="X2055" s="277"/>
      <c r="Y2055" s="277"/>
      <c r="Z2055" s="277"/>
      <c r="AA2055" s="277"/>
      <c r="AB2055" s="277"/>
      <c r="AC2055" s="277"/>
      <c r="AD2055" s="277"/>
      <c r="AE2055" s="277"/>
      <c r="AF2055" s="277"/>
      <c r="AG2055" s="277"/>
      <c r="AH2055" s="277"/>
    </row>
    <row r="2056" spans="16:34" s="185" customFormat="1">
      <c r="P2056" s="277"/>
      <c r="Q2056" s="277"/>
      <c r="R2056" s="277"/>
      <c r="S2056" s="291">
        <v>43612</v>
      </c>
      <c r="T2056" s="279">
        <v>1973</v>
      </c>
      <c r="U2056" s="277"/>
      <c r="V2056" s="277"/>
      <c r="W2056" s="277"/>
      <c r="X2056" s="277"/>
      <c r="Y2056" s="277"/>
      <c r="Z2056" s="277"/>
      <c r="AA2056" s="277"/>
      <c r="AB2056" s="277"/>
      <c r="AC2056" s="277"/>
      <c r="AD2056" s="277"/>
      <c r="AE2056" s="277"/>
      <c r="AF2056" s="277"/>
      <c r="AG2056" s="277"/>
      <c r="AH2056" s="277"/>
    </row>
    <row r="2057" spans="16:34" s="185" customFormat="1">
      <c r="P2057" s="277"/>
      <c r="Q2057" s="277"/>
      <c r="R2057" s="277"/>
      <c r="S2057" s="291">
        <v>43613</v>
      </c>
      <c r="T2057" s="279">
        <v>1974</v>
      </c>
      <c r="U2057" s="277"/>
      <c r="V2057" s="277"/>
      <c r="W2057" s="277"/>
      <c r="X2057" s="277"/>
      <c r="Y2057" s="277"/>
      <c r="Z2057" s="277"/>
      <c r="AA2057" s="277"/>
      <c r="AB2057" s="277"/>
      <c r="AC2057" s="277"/>
      <c r="AD2057" s="277"/>
      <c r="AE2057" s="277"/>
      <c r="AF2057" s="277"/>
      <c r="AG2057" s="277"/>
      <c r="AH2057" s="277"/>
    </row>
    <row r="2058" spans="16:34" s="185" customFormat="1">
      <c r="P2058" s="277"/>
      <c r="Q2058" s="277"/>
      <c r="R2058" s="277"/>
      <c r="S2058" s="291">
        <v>43614</v>
      </c>
      <c r="T2058" s="279">
        <v>1975</v>
      </c>
      <c r="U2058" s="277"/>
      <c r="V2058" s="277"/>
      <c r="W2058" s="277"/>
      <c r="X2058" s="277"/>
      <c r="Y2058" s="277"/>
      <c r="Z2058" s="277"/>
      <c r="AA2058" s="277"/>
      <c r="AB2058" s="277"/>
      <c r="AC2058" s="277"/>
      <c r="AD2058" s="277"/>
      <c r="AE2058" s="277"/>
      <c r="AF2058" s="277"/>
      <c r="AG2058" s="277"/>
      <c r="AH2058" s="277"/>
    </row>
    <row r="2059" spans="16:34" s="185" customFormat="1">
      <c r="P2059" s="277"/>
      <c r="Q2059" s="277"/>
      <c r="R2059" s="277"/>
      <c r="S2059" s="291">
        <v>43615</v>
      </c>
      <c r="T2059" s="279">
        <v>1976</v>
      </c>
      <c r="U2059" s="277"/>
      <c r="V2059" s="277"/>
      <c r="W2059" s="277"/>
      <c r="X2059" s="277"/>
      <c r="Y2059" s="277"/>
      <c r="Z2059" s="277"/>
      <c r="AA2059" s="277"/>
      <c r="AB2059" s="277"/>
      <c r="AC2059" s="277"/>
      <c r="AD2059" s="277"/>
      <c r="AE2059" s="277"/>
      <c r="AF2059" s="277"/>
      <c r="AG2059" s="277"/>
      <c r="AH2059" s="277"/>
    </row>
    <row r="2060" spans="16:34" s="185" customFormat="1">
      <c r="P2060" s="277"/>
      <c r="Q2060" s="277"/>
      <c r="R2060" s="277"/>
      <c r="S2060" s="291">
        <v>43616</v>
      </c>
      <c r="T2060" s="279">
        <v>1977</v>
      </c>
      <c r="U2060" s="277"/>
      <c r="V2060" s="277"/>
      <c r="W2060" s="277"/>
      <c r="X2060" s="277"/>
      <c r="Y2060" s="277"/>
      <c r="Z2060" s="277"/>
      <c r="AA2060" s="277"/>
      <c r="AB2060" s="277"/>
      <c r="AC2060" s="277"/>
      <c r="AD2060" s="277"/>
      <c r="AE2060" s="277"/>
      <c r="AF2060" s="277"/>
      <c r="AG2060" s="277"/>
      <c r="AH2060" s="277"/>
    </row>
    <row r="2061" spans="16:34" s="185" customFormat="1">
      <c r="P2061" s="277"/>
      <c r="Q2061" s="277"/>
      <c r="R2061" s="277"/>
      <c r="S2061" s="291">
        <v>43617</v>
      </c>
      <c r="T2061" s="279">
        <v>1978</v>
      </c>
      <c r="U2061" s="277"/>
      <c r="V2061" s="277"/>
      <c r="W2061" s="277"/>
      <c r="X2061" s="277"/>
      <c r="Y2061" s="277"/>
      <c r="Z2061" s="277"/>
      <c r="AA2061" s="277"/>
      <c r="AB2061" s="277"/>
      <c r="AC2061" s="277"/>
      <c r="AD2061" s="277"/>
      <c r="AE2061" s="277"/>
      <c r="AF2061" s="277"/>
      <c r="AG2061" s="277"/>
      <c r="AH2061" s="277"/>
    </row>
    <row r="2062" spans="16:34" s="185" customFormat="1">
      <c r="P2062" s="277"/>
      <c r="Q2062" s="277"/>
      <c r="R2062" s="277"/>
      <c r="S2062" s="291">
        <v>43618</v>
      </c>
      <c r="T2062" s="279">
        <v>1979</v>
      </c>
      <c r="U2062" s="277"/>
      <c r="V2062" s="277"/>
      <c r="W2062" s="277"/>
      <c r="X2062" s="277"/>
      <c r="Y2062" s="277"/>
      <c r="Z2062" s="277"/>
      <c r="AA2062" s="277"/>
      <c r="AB2062" s="277"/>
      <c r="AC2062" s="277"/>
      <c r="AD2062" s="277"/>
      <c r="AE2062" s="277"/>
      <c r="AF2062" s="277"/>
      <c r="AG2062" s="277"/>
      <c r="AH2062" s="277"/>
    </row>
    <row r="2063" spans="16:34" s="185" customFormat="1">
      <c r="P2063" s="277"/>
      <c r="Q2063" s="277"/>
      <c r="R2063" s="277"/>
      <c r="S2063" s="291">
        <v>43619</v>
      </c>
      <c r="T2063" s="279">
        <v>1980</v>
      </c>
      <c r="U2063" s="277"/>
      <c r="V2063" s="277"/>
      <c r="W2063" s="277"/>
      <c r="X2063" s="277"/>
      <c r="Y2063" s="277"/>
      <c r="Z2063" s="277"/>
      <c r="AA2063" s="277"/>
      <c r="AB2063" s="277"/>
      <c r="AC2063" s="277"/>
      <c r="AD2063" s="277"/>
      <c r="AE2063" s="277"/>
      <c r="AF2063" s="277"/>
      <c r="AG2063" s="277"/>
      <c r="AH2063" s="277"/>
    </row>
    <row r="2064" spans="16:34" s="185" customFormat="1">
      <c r="P2064" s="277"/>
      <c r="Q2064" s="277"/>
      <c r="R2064" s="277"/>
      <c r="S2064" s="291">
        <v>43620</v>
      </c>
      <c r="T2064" s="279">
        <v>1981</v>
      </c>
      <c r="U2064" s="277"/>
      <c r="V2064" s="277"/>
      <c r="W2064" s="277"/>
      <c r="X2064" s="277"/>
      <c r="Y2064" s="277"/>
      <c r="Z2064" s="277"/>
      <c r="AA2064" s="277"/>
      <c r="AB2064" s="277"/>
      <c r="AC2064" s="277"/>
      <c r="AD2064" s="277"/>
      <c r="AE2064" s="277"/>
      <c r="AF2064" s="277"/>
      <c r="AG2064" s="277"/>
      <c r="AH2064" s="277"/>
    </row>
    <row r="2065" spans="16:34" s="185" customFormat="1">
      <c r="P2065" s="277"/>
      <c r="Q2065" s="277"/>
      <c r="R2065" s="277"/>
      <c r="S2065" s="291">
        <v>43621</v>
      </c>
      <c r="T2065" s="279">
        <v>1982</v>
      </c>
      <c r="U2065" s="277"/>
      <c r="V2065" s="277"/>
      <c r="W2065" s="277"/>
      <c r="X2065" s="277"/>
      <c r="Y2065" s="277"/>
      <c r="Z2065" s="277"/>
      <c r="AA2065" s="277"/>
      <c r="AB2065" s="277"/>
      <c r="AC2065" s="277"/>
      <c r="AD2065" s="277"/>
      <c r="AE2065" s="277"/>
      <c r="AF2065" s="277"/>
      <c r="AG2065" s="277"/>
      <c r="AH2065" s="277"/>
    </row>
    <row r="2066" spans="16:34" s="185" customFormat="1">
      <c r="P2066" s="277"/>
      <c r="Q2066" s="277"/>
      <c r="R2066" s="277"/>
      <c r="S2066" s="291">
        <v>43622</v>
      </c>
      <c r="T2066" s="279">
        <v>1983</v>
      </c>
      <c r="U2066" s="277"/>
      <c r="V2066" s="277"/>
      <c r="W2066" s="277"/>
      <c r="X2066" s="277"/>
      <c r="Y2066" s="277"/>
      <c r="Z2066" s="277"/>
      <c r="AA2066" s="277"/>
      <c r="AB2066" s="277"/>
      <c r="AC2066" s="277"/>
      <c r="AD2066" s="277"/>
      <c r="AE2066" s="277"/>
      <c r="AF2066" s="277"/>
      <c r="AG2066" s="277"/>
      <c r="AH2066" s="277"/>
    </row>
    <row r="2067" spans="16:34" s="185" customFormat="1">
      <c r="P2067" s="277"/>
      <c r="Q2067" s="277"/>
      <c r="R2067" s="277"/>
      <c r="S2067" s="291">
        <v>43623</v>
      </c>
      <c r="T2067" s="279">
        <v>1984</v>
      </c>
      <c r="U2067" s="277"/>
      <c r="V2067" s="277"/>
      <c r="W2067" s="277"/>
      <c r="X2067" s="277"/>
      <c r="Y2067" s="277"/>
      <c r="Z2067" s="277"/>
      <c r="AA2067" s="277"/>
      <c r="AB2067" s="277"/>
      <c r="AC2067" s="277"/>
      <c r="AD2067" s="277"/>
      <c r="AE2067" s="277"/>
      <c r="AF2067" s="277"/>
      <c r="AG2067" s="277"/>
      <c r="AH2067" s="277"/>
    </row>
    <row r="2068" spans="16:34" s="185" customFormat="1">
      <c r="P2068" s="277"/>
      <c r="Q2068" s="277"/>
      <c r="R2068" s="277"/>
      <c r="S2068" s="291">
        <v>43624</v>
      </c>
      <c r="T2068" s="279">
        <v>1985</v>
      </c>
      <c r="U2068" s="277"/>
      <c r="V2068" s="277"/>
      <c r="W2068" s="277"/>
      <c r="X2068" s="277"/>
      <c r="Y2068" s="277"/>
      <c r="Z2068" s="277"/>
      <c r="AA2068" s="277"/>
      <c r="AB2068" s="277"/>
      <c r="AC2068" s="277"/>
      <c r="AD2068" s="277"/>
      <c r="AE2068" s="277"/>
      <c r="AF2068" s="277"/>
      <c r="AG2068" s="277"/>
      <c r="AH2068" s="277"/>
    </row>
    <row r="2069" spans="16:34" s="185" customFormat="1">
      <c r="P2069" s="277"/>
      <c r="Q2069" s="277"/>
      <c r="R2069" s="277"/>
      <c r="S2069" s="291">
        <v>43625</v>
      </c>
      <c r="T2069" s="279">
        <v>1986</v>
      </c>
      <c r="U2069" s="277"/>
      <c r="V2069" s="277"/>
      <c r="W2069" s="277"/>
      <c r="X2069" s="277"/>
      <c r="Y2069" s="277"/>
      <c r="Z2069" s="277"/>
      <c r="AA2069" s="277"/>
      <c r="AB2069" s="277"/>
      <c r="AC2069" s="277"/>
      <c r="AD2069" s="277"/>
      <c r="AE2069" s="277"/>
      <c r="AF2069" s="277"/>
      <c r="AG2069" s="277"/>
      <c r="AH2069" s="277"/>
    </row>
    <row r="2070" spans="16:34" s="185" customFormat="1">
      <c r="P2070" s="277"/>
      <c r="Q2070" s="277"/>
      <c r="R2070" s="277"/>
      <c r="S2070" s="291">
        <v>43626</v>
      </c>
      <c r="T2070" s="279">
        <v>1987</v>
      </c>
      <c r="U2070" s="277"/>
      <c r="V2070" s="277"/>
      <c r="W2070" s="277"/>
      <c r="X2070" s="277"/>
      <c r="Y2070" s="277"/>
      <c r="Z2070" s="277"/>
      <c r="AA2070" s="277"/>
      <c r="AB2070" s="277"/>
      <c r="AC2070" s="277"/>
      <c r="AD2070" s="277"/>
      <c r="AE2070" s="277"/>
      <c r="AF2070" s="277"/>
      <c r="AG2070" s="277"/>
      <c r="AH2070" s="277"/>
    </row>
    <row r="2071" spans="16:34" s="185" customFormat="1">
      <c r="P2071" s="277"/>
      <c r="Q2071" s="277"/>
      <c r="R2071" s="277"/>
      <c r="S2071" s="291">
        <v>43627</v>
      </c>
      <c r="T2071" s="279">
        <v>1988</v>
      </c>
      <c r="U2071" s="277"/>
      <c r="V2071" s="277"/>
      <c r="W2071" s="277"/>
      <c r="X2071" s="277"/>
      <c r="Y2071" s="277"/>
      <c r="Z2071" s="277"/>
      <c r="AA2071" s="277"/>
      <c r="AB2071" s="277"/>
      <c r="AC2071" s="277"/>
      <c r="AD2071" s="277"/>
      <c r="AE2071" s="277"/>
      <c r="AF2071" s="277"/>
      <c r="AG2071" s="277"/>
      <c r="AH2071" s="277"/>
    </row>
    <row r="2072" spans="16:34" s="185" customFormat="1">
      <c r="P2072" s="277"/>
      <c r="Q2072" s="277"/>
      <c r="R2072" s="277"/>
      <c r="S2072" s="291">
        <v>43628</v>
      </c>
      <c r="T2072" s="279">
        <v>1989</v>
      </c>
      <c r="U2072" s="277"/>
      <c r="V2072" s="277"/>
      <c r="W2072" s="277"/>
      <c r="X2072" s="277"/>
      <c r="Y2072" s="277"/>
      <c r="Z2072" s="277"/>
      <c r="AA2072" s="277"/>
      <c r="AB2072" s="277"/>
      <c r="AC2072" s="277"/>
      <c r="AD2072" s="277"/>
      <c r="AE2072" s="277"/>
      <c r="AF2072" s="277"/>
      <c r="AG2072" s="277"/>
      <c r="AH2072" s="277"/>
    </row>
    <row r="2073" spans="16:34" s="185" customFormat="1">
      <c r="P2073" s="277"/>
      <c r="Q2073" s="277"/>
      <c r="R2073" s="277"/>
      <c r="S2073" s="291">
        <v>43629</v>
      </c>
      <c r="T2073" s="279">
        <v>1990</v>
      </c>
      <c r="U2073" s="277"/>
      <c r="V2073" s="277"/>
      <c r="W2073" s="277"/>
      <c r="X2073" s="277"/>
      <c r="Y2073" s="277"/>
      <c r="Z2073" s="277"/>
      <c r="AA2073" s="277"/>
      <c r="AB2073" s="277"/>
      <c r="AC2073" s="277"/>
      <c r="AD2073" s="277"/>
      <c r="AE2073" s="277"/>
      <c r="AF2073" s="277"/>
      <c r="AG2073" s="277"/>
      <c r="AH2073" s="277"/>
    </row>
    <row r="2074" spans="16:34" s="185" customFormat="1">
      <c r="P2074" s="277"/>
      <c r="Q2074" s="277"/>
      <c r="R2074" s="277"/>
      <c r="S2074" s="291">
        <v>43630</v>
      </c>
      <c r="T2074" s="279">
        <v>1991</v>
      </c>
      <c r="U2074" s="277"/>
      <c r="V2074" s="277"/>
      <c r="W2074" s="277"/>
      <c r="X2074" s="277"/>
      <c r="Y2074" s="277"/>
      <c r="Z2074" s="277"/>
      <c r="AA2074" s="277"/>
      <c r="AB2074" s="277"/>
      <c r="AC2074" s="277"/>
      <c r="AD2074" s="277"/>
      <c r="AE2074" s="277"/>
      <c r="AF2074" s="277"/>
      <c r="AG2074" s="277"/>
      <c r="AH2074" s="277"/>
    </row>
    <row r="2075" spans="16:34" s="185" customFormat="1">
      <c r="P2075" s="277"/>
      <c r="Q2075" s="277"/>
      <c r="R2075" s="277"/>
      <c r="S2075" s="291">
        <v>43631</v>
      </c>
      <c r="T2075" s="279">
        <v>1992</v>
      </c>
      <c r="U2075" s="277"/>
      <c r="V2075" s="277"/>
      <c r="W2075" s="277"/>
      <c r="X2075" s="277"/>
      <c r="Y2075" s="277"/>
      <c r="Z2075" s="277"/>
      <c r="AA2075" s="277"/>
      <c r="AB2075" s="277"/>
      <c r="AC2075" s="277"/>
      <c r="AD2075" s="277"/>
      <c r="AE2075" s="277"/>
      <c r="AF2075" s="277"/>
      <c r="AG2075" s="277"/>
      <c r="AH2075" s="277"/>
    </row>
    <row r="2076" spans="16:34" s="185" customFormat="1">
      <c r="P2076" s="277"/>
      <c r="Q2076" s="277"/>
      <c r="R2076" s="277"/>
      <c r="S2076" s="291">
        <v>43632</v>
      </c>
      <c r="T2076" s="279">
        <v>1993</v>
      </c>
      <c r="U2076" s="277"/>
      <c r="V2076" s="277"/>
      <c r="W2076" s="277"/>
      <c r="X2076" s="277"/>
      <c r="Y2076" s="277"/>
      <c r="Z2076" s="277"/>
      <c r="AA2076" s="277"/>
      <c r="AB2076" s="277"/>
      <c r="AC2076" s="277"/>
      <c r="AD2076" s="277"/>
      <c r="AE2076" s="277"/>
      <c r="AF2076" s="277"/>
      <c r="AG2076" s="277"/>
      <c r="AH2076" s="277"/>
    </row>
    <row r="2077" spans="16:34" s="185" customFormat="1">
      <c r="P2077" s="277"/>
      <c r="Q2077" s="277"/>
      <c r="R2077" s="277"/>
      <c r="S2077" s="291">
        <v>43633</v>
      </c>
      <c r="T2077" s="279">
        <v>1994</v>
      </c>
      <c r="U2077" s="277"/>
      <c r="V2077" s="277"/>
      <c r="W2077" s="277"/>
      <c r="X2077" s="277"/>
      <c r="Y2077" s="277"/>
      <c r="Z2077" s="277"/>
      <c r="AA2077" s="277"/>
      <c r="AB2077" s="277"/>
      <c r="AC2077" s="277"/>
      <c r="AD2077" s="277"/>
      <c r="AE2077" s="277"/>
      <c r="AF2077" s="277"/>
      <c r="AG2077" s="277"/>
      <c r="AH2077" s="277"/>
    </row>
    <row r="2078" spans="16:34" s="185" customFormat="1">
      <c r="P2078" s="277"/>
      <c r="Q2078" s="277"/>
      <c r="R2078" s="277"/>
      <c r="S2078" s="291">
        <v>43634</v>
      </c>
      <c r="T2078" s="279">
        <v>1995</v>
      </c>
      <c r="U2078" s="277"/>
      <c r="V2078" s="277"/>
      <c r="W2078" s="277"/>
      <c r="X2078" s="277"/>
      <c r="Y2078" s="277"/>
      <c r="Z2078" s="277"/>
      <c r="AA2078" s="277"/>
      <c r="AB2078" s="277"/>
      <c r="AC2078" s="277"/>
      <c r="AD2078" s="277"/>
      <c r="AE2078" s="277"/>
      <c r="AF2078" s="277"/>
      <c r="AG2078" s="277"/>
      <c r="AH2078" s="277"/>
    </row>
    <row r="2079" spans="16:34" s="185" customFormat="1">
      <c r="P2079" s="277"/>
      <c r="Q2079" s="277"/>
      <c r="R2079" s="277"/>
      <c r="S2079" s="291">
        <v>43635</v>
      </c>
      <c r="T2079" s="279">
        <v>1996</v>
      </c>
      <c r="U2079" s="277"/>
      <c r="V2079" s="277"/>
      <c r="W2079" s="277"/>
      <c r="X2079" s="277"/>
      <c r="Y2079" s="277"/>
      <c r="Z2079" s="277"/>
      <c r="AA2079" s="277"/>
      <c r="AB2079" s="277"/>
      <c r="AC2079" s="277"/>
      <c r="AD2079" s="277"/>
      <c r="AE2079" s="277"/>
      <c r="AF2079" s="277"/>
      <c r="AG2079" s="277"/>
      <c r="AH2079" s="277"/>
    </row>
    <row r="2080" spans="16:34" s="185" customFormat="1">
      <c r="P2080" s="277"/>
      <c r="Q2080" s="277"/>
      <c r="R2080" s="277"/>
      <c r="S2080" s="291">
        <v>43636</v>
      </c>
      <c r="T2080" s="279">
        <v>1997</v>
      </c>
      <c r="U2080" s="277"/>
      <c r="V2080" s="277"/>
      <c r="W2080" s="277"/>
      <c r="X2080" s="277"/>
      <c r="Y2080" s="277"/>
      <c r="Z2080" s="277"/>
      <c r="AA2080" s="277"/>
      <c r="AB2080" s="277"/>
      <c r="AC2080" s="277"/>
      <c r="AD2080" s="277"/>
      <c r="AE2080" s="277"/>
      <c r="AF2080" s="277"/>
      <c r="AG2080" s="277"/>
      <c r="AH2080" s="277"/>
    </row>
    <row r="2081" spans="16:34" s="185" customFormat="1">
      <c r="P2081" s="277"/>
      <c r="Q2081" s="277"/>
      <c r="R2081" s="277"/>
      <c r="S2081" s="291">
        <v>43637</v>
      </c>
      <c r="T2081" s="279">
        <v>1998</v>
      </c>
      <c r="U2081" s="277"/>
      <c r="V2081" s="277"/>
      <c r="W2081" s="277"/>
      <c r="X2081" s="277"/>
      <c r="Y2081" s="277"/>
      <c r="Z2081" s="277"/>
      <c r="AA2081" s="277"/>
      <c r="AB2081" s="277"/>
      <c r="AC2081" s="277"/>
      <c r="AD2081" s="277"/>
      <c r="AE2081" s="277"/>
      <c r="AF2081" s="277"/>
      <c r="AG2081" s="277"/>
      <c r="AH2081" s="277"/>
    </row>
    <row r="2082" spans="16:34" s="185" customFormat="1">
      <c r="P2082" s="277"/>
      <c r="Q2082" s="277"/>
      <c r="R2082" s="277"/>
      <c r="S2082" s="291">
        <v>43638</v>
      </c>
      <c r="T2082" s="279">
        <v>1999</v>
      </c>
      <c r="U2082" s="277"/>
      <c r="V2082" s="277"/>
      <c r="W2082" s="277"/>
      <c r="X2082" s="277"/>
      <c r="Y2082" s="277"/>
      <c r="Z2082" s="277"/>
      <c r="AA2082" s="277"/>
      <c r="AB2082" s="277"/>
      <c r="AC2082" s="277"/>
      <c r="AD2082" s="277"/>
      <c r="AE2082" s="277"/>
      <c r="AF2082" s="277"/>
      <c r="AG2082" s="277"/>
      <c r="AH2082" s="277"/>
    </row>
    <row r="2083" spans="16:34" s="185" customFormat="1">
      <c r="P2083" s="277"/>
      <c r="Q2083" s="277"/>
      <c r="R2083" s="277"/>
      <c r="S2083" s="291">
        <v>43639</v>
      </c>
      <c r="T2083" s="279">
        <v>2000</v>
      </c>
      <c r="U2083" s="277"/>
      <c r="V2083" s="277"/>
      <c r="W2083" s="277"/>
      <c r="X2083" s="277"/>
      <c r="Y2083" s="277"/>
      <c r="Z2083" s="277"/>
      <c r="AA2083" s="277"/>
      <c r="AB2083" s="277"/>
      <c r="AC2083" s="277"/>
      <c r="AD2083" s="277"/>
      <c r="AE2083" s="277"/>
      <c r="AF2083" s="277"/>
      <c r="AG2083" s="277"/>
      <c r="AH2083" s="277"/>
    </row>
    <row r="2084" spans="16:34" s="185" customFormat="1">
      <c r="P2084" s="277"/>
      <c r="Q2084" s="277"/>
      <c r="R2084" s="277"/>
      <c r="S2084" s="291">
        <v>43640</v>
      </c>
      <c r="T2084" s="279">
        <v>2001</v>
      </c>
      <c r="U2084" s="277"/>
      <c r="V2084" s="277"/>
      <c r="W2084" s="277"/>
      <c r="X2084" s="277"/>
      <c r="Y2084" s="277"/>
      <c r="Z2084" s="277"/>
      <c r="AA2084" s="277"/>
      <c r="AB2084" s="277"/>
      <c r="AC2084" s="277"/>
      <c r="AD2084" s="277"/>
      <c r="AE2084" s="277"/>
      <c r="AF2084" s="277"/>
      <c r="AG2084" s="277"/>
      <c r="AH2084" s="277"/>
    </row>
    <row r="2085" spans="16:34" s="185" customFormat="1">
      <c r="P2085" s="277"/>
      <c r="Q2085" s="277"/>
      <c r="R2085" s="277"/>
      <c r="S2085" s="291">
        <v>43641</v>
      </c>
      <c r="T2085" s="279">
        <v>2002</v>
      </c>
      <c r="U2085" s="277"/>
      <c r="V2085" s="277"/>
      <c r="W2085" s="277"/>
      <c r="X2085" s="277"/>
      <c r="Y2085" s="277"/>
      <c r="Z2085" s="277"/>
      <c r="AA2085" s="277"/>
      <c r="AB2085" s="277"/>
      <c r="AC2085" s="277"/>
      <c r="AD2085" s="277"/>
      <c r="AE2085" s="277"/>
      <c r="AF2085" s="277"/>
      <c r="AG2085" s="277"/>
      <c r="AH2085" s="277"/>
    </row>
    <row r="2086" spans="16:34" s="185" customFormat="1">
      <c r="P2086" s="277"/>
      <c r="Q2086" s="277"/>
      <c r="R2086" s="277"/>
      <c r="S2086" s="291">
        <v>43642</v>
      </c>
      <c r="T2086" s="279">
        <v>2003</v>
      </c>
      <c r="U2086" s="277"/>
      <c r="V2086" s="277"/>
      <c r="W2086" s="277"/>
      <c r="X2086" s="277"/>
      <c r="Y2086" s="277"/>
      <c r="Z2086" s="277"/>
      <c r="AA2086" s="277"/>
      <c r="AB2086" s="277"/>
      <c r="AC2086" s="277"/>
      <c r="AD2086" s="277"/>
      <c r="AE2086" s="277"/>
      <c r="AF2086" s="277"/>
      <c r="AG2086" s="277"/>
      <c r="AH2086" s="277"/>
    </row>
    <row r="2087" spans="16:34" s="185" customFormat="1">
      <c r="P2087" s="277"/>
      <c r="Q2087" s="277"/>
      <c r="R2087" s="277"/>
      <c r="S2087" s="291">
        <v>43643</v>
      </c>
      <c r="T2087" s="279">
        <v>2004</v>
      </c>
      <c r="U2087" s="277"/>
      <c r="V2087" s="277"/>
      <c r="W2087" s="277"/>
      <c r="X2087" s="277"/>
      <c r="Y2087" s="277"/>
      <c r="Z2087" s="277"/>
      <c r="AA2087" s="277"/>
      <c r="AB2087" s="277"/>
      <c r="AC2087" s="277"/>
      <c r="AD2087" s="277"/>
      <c r="AE2087" s="277"/>
      <c r="AF2087" s="277"/>
      <c r="AG2087" s="277"/>
      <c r="AH2087" s="277"/>
    </row>
    <row r="2088" spans="16:34" s="185" customFormat="1">
      <c r="P2088" s="277"/>
      <c r="Q2088" s="277"/>
      <c r="R2088" s="277"/>
      <c r="S2088" s="291">
        <v>43644</v>
      </c>
      <c r="T2088" s="279">
        <v>2005</v>
      </c>
      <c r="U2088" s="277"/>
      <c r="V2088" s="277"/>
      <c r="W2088" s="277"/>
      <c r="X2088" s="277"/>
      <c r="Y2088" s="277"/>
      <c r="Z2088" s="277"/>
      <c r="AA2088" s="277"/>
      <c r="AB2088" s="277"/>
      <c r="AC2088" s="277"/>
      <c r="AD2088" s="277"/>
      <c r="AE2088" s="277"/>
      <c r="AF2088" s="277"/>
      <c r="AG2088" s="277"/>
      <c r="AH2088" s="277"/>
    </row>
    <row r="2089" spans="16:34" s="185" customFormat="1">
      <c r="P2089" s="277"/>
      <c r="Q2089" s="277"/>
      <c r="R2089" s="277"/>
      <c r="S2089" s="291">
        <v>43645</v>
      </c>
      <c r="T2089" s="279">
        <v>2006</v>
      </c>
      <c r="U2089" s="277"/>
      <c r="V2089" s="277"/>
      <c r="W2089" s="277"/>
      <c r="X2089" s="277"/>
      <c r="Y2089" s="277"/>
      <c r="Z2089" s="277"/>
      <c r="AA2089" s="277"/>
      <c r="AB2089" s="277"/>
      <c r="AC2089" s="277"/>
      <c r="AD2089" s="277"/>
      <c r="AE2089" s="277"/>
      <c r="AF2089" s="277"/>
      <c r="AG2089" s="277"/>
      <c r="AH2089" s="277"/>
    </row>
    <row r="2090" spans="16:34" s="185" customFormat="1">
      <c r="P2090" s="277"/>
      <c r="Q2090" s="277"/>
      <c r="R2090" s="277"/>
      <c r="S2090" s="291">
        <v>43646</v>
      </c>
      <c r="T2090" s="279">
        <v>2007</v>
      </c>
      <c r="U2090" s="277"/>
      <c r="V2090" s="277"/>
      <c r="W2090" s="277"/>
      <c r="X2090" s="277"/>
      <c r="Y2090" s="277"/>
      <c r="Z2090" s="277"/>
      <c r="AA2090" s="277"/>
      <c r="AB2090" s="277"/>
      <c r="AC2090" s="277"/>
      <c r="AD2090" s="277"/>
      <c r="AE2090" s="277"/>
      <c r="AF2090" s="277"/>
      <c r="AG2090" s="277"/>
      <c r="AH2090" s="277"/>
    </row>
    <row r="2091" spans="16:34" s="185" customFormat="1">
      <c r="P2091" s="277"/>
      <c r="Q2091" s="277"/>
      <c r="R2091" s="277"/>
      <c r="S2091" s="291">
        <v>43647</v>
      </c>
      <c r="T2091" s="279">
        <v>2008</v>
      </c>
      <c r="U2091" s="277"/>
      <c r="V2091" s="277"/>
      <c r="W2091" s="277"/>
      <c r="X2091" s="277"/>
      <c r="Y2091" s="277"/>
      <c r="Z2091" s="277"/>
      <c r="AA2091" s="277"/>
      <c r="AB2091" s="277"/>
      <c r="AC2091" s="277"/>
      <c r="AD2091" s="277"/>
      <c r="AE2091" s="277"/>
      <c r="AF2091" s="277"/>
      <c r="AG2091" s="277"/>
      <c r="AH2091" s="277"/>
    </row>
    <row r="2092" spans="16:34" s="185" customFormat="1">
      <c r="P2092" s="277"/>
      <c r="Q2092" s="277"/>
      <c r="R2092" s="277"/>
      <c r="S2092" s="291">
        <v>43648</v>
      </c>
      <c r="T2092" s="279">
        <v>2009</v>
      </c>
      <c r="U2092" s="277"/>
      <c r="V2092" s="277"/>
      <c r="W2092" s="277"/>
      <c r="X2092" s="277"/>
      <c r="Y2092" s="277"/>
      <c r="Z2092" s="277"/>
      <c r="AA2092" s="277"/>
      <c r="AB2092" s="277"/>
      <c r="AC2092" s="277"/>
      <c r="AD2092" s="277"/>
      <c r="AE2092" s="277"/>
      <c r="AF2092" s="277"/>
      <c r="AG2092" s="277"/>
      <c r="AH2092" s="277"/>
    </row>
    <row r="2093" spans="16:34" s="185" customFormat="1">
      <c r="P2093" s="277"/>
      <c r="Q2093" s="277"/>
      <c r="R2093" s="277"/>
      <c r="S2093" s="291">
        <v>43649</v>
      </c>
      <c r="T2093" s="279">
        <v>2010</v>
      </c>
      <c r="U2093" s="277"/>
      <c r="V2093" s="277"/>
      <c r="W2093" s="277"/>
      <c r="X2093" s="277"/>
      <c r="Y2093" s="277"/>
      <c r="Z2093" s="277"/>
      <c r="AA2093" s="277"/>
      <c r="AB2093" s="277"/>
      <c r="AC2093" s="277"/>
      <c r="AD2093" s="277"/>
      <c r="AE2093" s="277"/>
      <c r="AF2093" s="277"/>
      <c r="AG2093" s="277"/>
      <c r="AH2093" s="277"/>
    </row>
    <row r="2094" spans="16:34" s="185" customFormat="1">
      <c r="P2094" s="277"/>
      <c r="Q2094" s="277"/>
      <c r="R2094" s="277"/>
      <c r="S2094" s="291">
        <v>43650</v>
      </c>
      <c r="T2094" s="279">
        <v>2011</v>
      </c>
      <c r="U2094" s="277"/>
      <c r="V2094" s="277"/>
      <c r="W2094" s="277"/>
      <c r="X2094" s="277"/>
      <c r="Y2094" s="277"/>
      <c r="Z2094" s="277"/>
      <c r="AA2094" s="277"/>
      <c r="AB2094" s="277"/>
      <c r="AC2094" s="277"/>
      <c r="AD2094" s="277"/>
      <c r="AE2094" s="277"/>
      <c r="AF2094" s="277"/>
      <c r="AG2094" s="277"/>
      <c r="AH2094" s="277"/>
    </row>
    <row r="2095" spans="16:34" s="185" customFormat="1">
      <c r="P2095" s="277"/>
      <c r="Q2095" s="277"/>
      <c r="R2095" s="277"/>
      <c r="S2095" s="291">
        <v>43651</v>
      </c>
      <c r="T2095" s="279">
        <v>2012</v>
      </c>
      <c r="U2095" s="277"/>
      <c r="V2095" s="277"/>
      <c r="W2095" s="277"/>
      <c r="X2095" s="277"/>
      <c r="Y2095" s="277"/>
      <c r="Z2095" s="277"/>
      <c r="AA2095" s="277"/>
      <c r="AB2095" s="277"/>
      <c r="AC2095" s="277"/>
      <c r="AD2095" s="277"/>
      <c r="AE2095" s="277"/>
      <c r="AF2095" s="277"/>
      <c r="AG2095" s="277"/>
      <c r="AH2095" s="277"/>
    </row>
    <row r="2096" spans="16:34" s="185" customFormat="1">
      <c r="P2096" s="277"/>
      <c r="Q2096" s="277"/>
      <c r="R2096" s="277"/>
      <c r="S2096" s="291">
        <v>43652</v>
      </c>
      <c r="T2096" s="279">
        <v>2013</v>
      </c>
      <c r="U2096" s="277"/>
      <c r="V2096" s="277"/>
      <c r="W2096" s="277"/>
      <c r="X2096" s="277"/>
      <c r="Y2096" s="277"/>
      <c r="Z2096" s="277"/>
      <c r="AA2096" s="277"/>
      <c r="AB2096" s="277"/>
      <c r="AC2096" s="277"/>
      <c r="AD2096" s="277"/>
      <c r="AE2096" s="277"/>
      <c r="AF2096" s="277"/>
      <c r="AG2096" s="277"/>
      <c r="AH2096" s="277"/>
    </row>
    <row r="2097" spans="16:34" s="185" customFormat="1">
      <c r="P2097" s="277"/>
      <c r="Q2097" s="277"/>
      <c r="R2097" s="277"/>
      <c r="S2097" s="291">
        <v>43653</v>
      </c>
      <c r="T2097" s="279">
        <v>2014</v>
      </c>
      <c r="U2097" s="277"/>
      <c r="V2097" s="277"/>
      <c r="W2097" s="277"/>
      <c r="X2097" s="277"/>
      <c r="Y2097" s="277"/>
      <c r="Z2097" s="277"/>
      <c r="AA2097" s="277"/>
      <c r="AB2097" s="277"/>
      <c r="AC2097" s="277"/>
      <c r="AD2097" s="277"/>
      <c r="AE2097" s="277"/>
      <c r="AF2097" s="277"/>
      <c r="AG2097" s="277"/>
      <c r="AH2097" s="277"/>
    </row>
    <row r="2098" spans="16:34" s="185" customFormat="1">
      <c r="P2098" s="277"/>
      <c r="Q2098" s="277"/>
      <c r="R2098" s="277"/>
      <c r="S2098" s="291">
        <v>43654</v>
      </c>
      <c r="T2098" s="279">
        <v>2015</v>
      </c>
      <c r="U2098" s="277"/>
      <c r="V2098" s="277"/>
      <c r="W2098" s="277"/>
      <c r="X2098" s="277"/>
      <c r="Y2098" s="277"/>
      <c r="Z2098" s="277"/>
      <c r="AA2098" s="277"/>
      <c r="AB2098" s="277"/>
      <c r="AC2098" s="277"/>
      <c r="AD2098" s="277"/>
      <c r="AE2098" s="277"/>
      <c r="AF2098" s="277"/>
      <c r="AG2098" s="277"/>
      <c r="AH2098" s="277"/>
    </row>
    <row r="2099" spans="16:34" s="185" customFormat="1">
      <c r="P2099" s="277"/>
      <c r="Q2099" s="277"/>
      <c r="R2099" s="277"/>
      <c r="S2099" s="291">
        <v>43655</v>
      </c>
      <c r="T2099" s="279">
        <v>2016</v>
      </c>
      <c r="U2099" s="277"/>
      <c r="V2099" s="277"/>
      <c r="W2099" s="277"/>
      <c r="X2099" s="277"/>
      <c r="Y2099" s="277"/>
      <c r="Z2099" s="277"/>
      <c r="AA2099" s="277"/>
      <c r="AB2099" s="277"/>
      <c r="AC2099" s="277"/>
      <c r="AD2099" s="277"/>
      <c r="AE2099" s="277"/>
      <c r="AF2099" s="277"/>
      <c r="AG2099" s="277"/>
      <c r="AH2099" s="277"/>
    </row>
    <row r="2100" spans="16:34" s="185" customFormat="1">
      <c r="P2100" s="277"/>
      <c r="Q2100" s="277"/>
      <c r="R2100" s="277"/>
      <c r="S2100" s="291">
        <v>43656</v>
      </c>
      <c r="T2100" s="279">
        <v>2017</v>
      </c>
      <c r="U2100" s="277"/>
      <c r="V2100" s="277"/>
      <c r="W2100" s="277"/>
      <c r="X2100" s="277"/>
      <c r="Y2100" s="277"/>
      <c r="Z2100" s="277"/>
      <c r="AA2100" s="277"/>
      <c r="AB2100" s="277"/>
      <c r="AC2100" s="277"/>
      <c r="AD2100" s="277"/>
      <c r="AE2100" s="277"/>
      <c r="AF2100" s="277"/>
      <c r="AG2100" s="277"/>
      <c r="AH2100" s="277"/>
    </row>
    <row r="2101" spans="16:34" s="185" customFormat="1">
      <c r="P2101" s="277"/>
      <c r="Q2101" s="277"/>
      <c r="R2101" s="277"/>
      <c r="S2101" s="291">
        <v>43657</v>
      </c>
      <c r="T2101" s="279">
        <v>2018</v>
      </c>
      <c r="U2101" s="277"/>
      <c r="V2101" s="277"/>
      <c r="W2101" s="277"/>
      <c r="X2101" s="277"/>
      <c r="Y2101" s="277"/>
      <c r="Z2101" s="277"/>
      <c r="AA2101" s="277"/>
      <c r="AB2101" s="277"/>
      <c r="AC2101" s="277"/>
      <c r="AD2101" s="277"/>
      <c r="AE2101" s="277"/>
      <c r="AF2101" s="277"/>
      <c r="AG2101" s="277"/>
      <c r="AH2101" s="277"/>
    </row>
    <row r="2102" spans="16:34" s="185" customFormat="1">
      <c r="P2102" s="277"/>
      <c r="Q2102" s="277"/>
      <c r="R2102" s="277"/>
      <c r="S2102" s="291">
        <v>43658</v>
      </c>
      <c r="T2102" s="279">
        <v>2019</v>
      </c>
      <c r="U2102" s="277"/>
      <c r="V2102" s="277"/>
      <c r="W2102" s="277"/>
      <c r="X2102" s="277"/>
      <c r="Y2102" s="277"/>
      <c r="Z2102" s="277"/>
      <c r="AA2102" s="277"/>
      <c r="AB2102" s="277"/>
      <c r="AC2102" s="277"/>
      <c r="AD2102" s="277"/>
      <c r="AE2102" s="277"/>
      <c r="AF2102" s="277"/>
      <c r="AG2102" s="277"/>
      <c r="AH2102" s="277"/>
    </row>
    <row r="2103" spans="16:34" s="185" customFormat="1">
      <c r="P2103" s="277"/>
      <c r="Q2103" s="277"/>
      <c r="R2103" s="277"/>
      <c r="S2103" s="291">
        <v>43659</v>
      </c>
      <c r="T2103" s="279">
        <v>2020</v>
      </c>
      <c r="U2103" s="277"/>
      <c r="V2103" s="277"/>
      <c r="W2103" s="277"/>
      <c r="X2103" s="277"/>
      <c r="Y2103" s="277"/>
      <c r="Z2103" s="277"/>
      <c r="AA2103" s="277"/>
      <c r="AB2103" s="277"/>
      <c r="AC2103" s="277"/>
      <c r="AD2103" s="277"/>
      <c r="AE2103" s="277"/>
      <c r="AF2103" s="277"/>
      <c r="AG2103" s="277"/>
      <c r="AH2103" s="277"/>
    </row>
    <row r="2104" spans="16:34" s="185" customFormat="1">
      <c r="P2104" s="277"/>
      <c r="Q2104" s="277"/>
      <c r="R2104" s="277"/>
      <c r="S2104" s="291">
        <v>43660</v>
      </c>
      <c r="T2104" s="279">
        <v>2021</v>
      </c>
      <c r="U2104" s="277"/>
      <c r="V2104" s="277"/>
      <c r="W2104" s="277"/>
      <c r="X2104" s="277"/>
      <c r="Y2104" s="277"/>
      <c r="Z2104" s="277"/>
      <c r="AA2104" s="277"/>
      <c r="AB2104" s="277"/>
      <c r="AC2104" s="277"/>
      <c r="AD2104" s="277"/>
      <c r="AE2104" s="277"/>
      <c r="AF2104" s="277"/>
      <c r="AG2104" s="277"/>
      <c r="AH2104" s="277"/>
    </row>
    <row r="2105" spans="16:34" s="185" customFormat="1">
      <c r="P2105" s="277"/>
      <c r="Q2105" s="277"/>
      <c r="R2105" s="277"/>
      <c r="S2105" s="291">
        <v>43661</v>
      </c>
      <c r="T2105" s="279">
        <v>2022</v>
      </c>
      <c r="U2105" s="277"/>
      <c r="V2105" s="277"/>
      <c r="W2105" s="277"/>
      <c r="X2105" s="277"/>
      <c r="Y2105" s="277"/>
      <c r="Z2105" s="277"/>
      <c r="AA2105" s="277"/>
      <c r="AB2105" s="277"/>
      <c r="AC2105" s="277"/>
      <c r="AD2105" s="277"/>
      <c r="AE2105" s="277"/>
      <c r="AF2105" s="277"/>
      <c r="AG2105" s="277"/>
      <c r="AH2105" s="277"/>
    </row>
    <row r="2106" spans="16:34" s="185" customFormat="1">
      <c r="P2106" s="277"/>
      <c r="Q2106" s="277"/>
      <c r="R2106" s="277"/>
      <c r="S2106" s="291">
        <v>43662</v>
      </c>
      <c r="T2106" s="279">
        <v>2023</v>
      </c>
      <c r="U2106" s="277"/>
      <c r="V2106" s="277"/>
      <c r="W2106" s="277"/>
      <c r="X2106" s="277"/>
      <c r="Y2106" s="277"/>
      <c r="Z2106" s="277"/>
      <c r="AA2106" s="277"/>
      <c r="AB2106" s="277"/>
      <c r="AC2106" s="277"/>
      <c r="AD2106" s="277"/>
      <c r="AE2106" s="277"/>
      <c r="AF2106" s="277"/>
      <c r="AG2106" s="277"/>
      <c r="AH2106" s="277"/>
    </row>
    <row r="2107" spans="16:34" s="185" customFormat="1">
      <c r="P2107" s="277"/>
      <c r="Q2107" s="277"/>
      <c r="R2107" s="277"/>
      <c r="S2107" s="291">
        <v>43663</v>
      </c>
      <c r="T2107" s="279">
        <v>2024</v>
      </c>
      <c r="U2107" s="277"/>
      <c r="V2107" s="277"/>
      <c r="W2107" s="277"/>
      <c r="X2107" s="277"/>
      <c r="Y2107" s="277"/>
      <c r="Z2107" s="277"/>
      <c r="AA2107" s="277"/>
      <c r="AB2107" s="277"/>
      <c r="AC2107" s="277"/>
      <c r="AD2107" s="277"/>
      <c r="AE2107" s="277"/>
      <c r="AF2107" s="277"/>
      <c r="AG2107" s="277"/>
      <c r="AH2107" s="277"/>
    </row>
    <row r="2108" spans="16:34" s="185" customFormat="1">
      <c r="P2108" s="277"/>
      <c r="Q2108" s="277"/>
      <c r="R2108" s="277"/>
      <c r="S2108" s="291">
        <v>43664</v>
      </c>
      <c r="T2108" s="279">
        <v>2025</v>
      </c>
      <c r="U2108" s="277"/>
      <c r="V2108" s="277"/>
      <c r="W2108" s="277"/>
      <c r="X2108" s="277"/>
      <c r="Y2108" s="277"/>
      <c r="Z2108" s="277"/>
      <c r="AA2108" s="277"/>
      <c r="AB2108" s="277"/>
      <c r="AC2108" s="277"/>
      <c r="AD2108" s="277"/>
      <c r="AE2108" s="277"/>
      <c r="AF2108" s="277"/>
      <c r="AG2108" s="277"/>
      <c r="AH2108" s="277"/>
    </row>
    <row r="2109" spans="16:34" s="185" customFormat="1">
      <c r="P2109" s="277"/>
      <c r="Q2109" s="277"/>
      <c r="R2109" s="277"/>
      <c r="S2109" s="291">
        <v>43665</v>
      </c>
      <c r="T2109" s="279">
        <v>2026</v>
      </c>
      <c r="U2109" s="277"/>
      <c r="V2109" s="277"/>
      <c r="W2109" s="277"/>
      <c r="X2109" s="277"/>
      <c r="Y2109" s="277"/>
      <c r="Z2109" s="277"/>
      <c r="AA2109" s="277"/>
      <c r="AB2109" s="277"/>
      <c r="AC2109" s="277"/>
      <c r="AD2109" s="277"/>
      <c r="AE2109" s="277"/>
      <c r="AF2109" s="277"/>
      <c r="AG2109" s="277"/>
      <c r="AH2109" s="277"/>
    </row>
    <row r="2110" spans="16:34" s="185" customFormat="1">
      <c r="P2110" s="277"/>
      <c r="Q2110" s="277"/>
      <c r="R2110" s="277"/>
      <c r="S2110" s="291">
        <v>43666</v>
      </c>
      <c r="T2110" s="279">
        <v>2027</v>
      </c>
      <c r="U2110" s="277"/>
      <c r="V2110" s="277"/>
      <c r="W2110" s="277"/>
      <c r="X2110" s="277"/>
      <c r="Y2110" s="277"/>
      <c r="Z2110" s="277"/>
      <c r="AA2110" s="277"/>
      <c r="AB2110" s="277"/>
      <c r="AC2110" s="277"/>
      <c r="AD2110" s="277"/>
      <c r="AE2110" s="277"/>
      <c r="AF2110" s="277"/>
      <c r="AG2110" s="277"/>
      <c r="AH2110" s="277"/>
    </row>
    <row r="2111" spans="16:34" s="185" customFormat="1">
      <c r="P2111" s="277"/>
      <c r="Q2111" s="277"/>
      <c r="R2111" s="277"/>
      <c r="S2111" s="291">
        <v>43667</v>
      </c>
      <c r="T2111" s="279">
        <v>2028</v>
      </c>
      <c r="U2111" s="277"/>
      <c r="V2111" s="277"/>
      <c r="W2111" s="277"/>
      <c r="X2111" s="277"/>
      <c r="Y2111" s="277"/>
      <c r="Z2111" s="277"/>
      <c r="AA2111" s="277"/>
      <c r="AB2111" s="277"/>
      <c r="AC2111" s="277"/>
      <c r="AD2111" s="277"/>
      <c r="AE2111" s="277"/>
      <c r="AF2111" s="277"/>
      <c r="AG2111" s="277"/>
      <c r="AH2111" s="277"/>
    </row>
    <row r="2112" spans="16:34" s="185" customFormat="1">
      <c r="P2112" s="277"/>
      <c r="Q2112" s="277"/>
      <c r="R2112" s="277"/>
      <c r="S2112" s="291">
        <v>43668</v>
      </c>
      <c r="T2112" s="279">
        <v>2029</v>
      </c>
      <c r="U2112" s="277"/>
      <c r="V2112" s="277"/>
      <c r="W2112" s="277"/>
      <c r="X2112" s="277"/>
      <c r="Y2112" s="277"/>
      <c r="Z2112" s="277"/>
      <c r="AA2112" s="277"/>
      <c r="AB2112" s="277"/>
      <c r="AC2112" s="277"/>
      <c r="AD2112" s="277"/>
      <c r="AE2112" s="277"/>
      <c r="AF2112" s="277"/>
      <c r="AG2112" s="277"/>
      <c r="AH2112" s="277"/>
    </row>
    <row r="2113" spans="16:34" s="185" customFormat="1">
      <c r="P2113" s="277"/>
      <c r="Q2113" s="277"/>
      <c r="R2113" s="277"/>
      <c r="S2113" s="291">
        <v>43669</v>
      </c>
      <c r="T2113" s="279">
        <v>2030</v>
      </c>
      <c r="U2113" s="277"/>
      <c r="V2113" s="277"/>
      <c r="W2113" s="277"/>
      <c r="X2113" s="277"/>
      <c r="Y2113" s="277"/>
      <c r="Z2113" s="277"/>
      <c r="AA2113" s="277"/>
      <c r="AB2113" s="277"/>
      <c r="AC2113" s="277"/>
      <c r="AD2113" s="277"/>
      <c r="AE2113" s="277"/>
      <c r="AF2113" s="277"/>
      <c r="AG2113" s="277"/>
      <c r="AH2113" s="277"/>
    </row>
    <row r="2114" spans="16:34" s="185" customFormat="1">
      <c r="P2114" s="277"/>
      <c r="Q2114" s="277"/>
      <c r="R2114" s="277"/>
      <c r="S2114" s="291">
        <v>43670</v>
      </c>
      <c r="T2114" s="279">
        <v>2031</v>
      </c>
      <c r="U2114" s="277"/>
      <c r="V2114" s="277"/>
      <c r="W2114" s="277"/>
      <c r="X2114" s="277"/>
      <c r="Y2114" s="277"/>
      <c r="Z2114" s="277"/>
      <c r="AA2114" s="277"/>
      <c r="AB2114" s="277"/>
      <c r="AC2114" s="277"/>
      <c r="AD2114" s="277"/>
      <c r="AE2114" s="277"/>
      <c r="AF2114" s="277"/>
      <c r="AG2114" s="277"/>
      <c r="AH2114" s="277"/>
    </row>
    <row r="2115" spans="16:34" s="185" customFormat="1">
      <c r="P2115" s="277"/>
      <c r="Q2115" s="277"/>
      <c r="R2115" s="277"/>
      <c r="S2115" s="291">
        <v>43671</v>
      </c>
      <c r="T2115" s="279">
        <v>2032</v>
      </c>
      <c r="U2115" s="277"/>
      <c r="V2115" s="277"/>
      <c r="W2115" s="277"/>
      <c r="X2115" s="277"/>
      <c r="Y2115" s="277"/>
      <c r="Z2115" s="277"/>
      <c r="AA2115" s="277"/>
      <c r="AB2115" s="277"/>
      <c r="AC2115" s="277"/>
      <c r="AD2115" s="277"/>
      <c r="AE2115" s="277"/>
      <c r="AF2115" s="277"/>
      <c r="AG2115" s="277"/>
      <c r="AH2115" s="277"/>
    </row>
    <row r="2116" spans="16:34" s="185" customFormat="1">
      <c r="P2116" s="277"/>
      <c r="Q2116" s="277"/>
      <c r="R2116" s="277"/>
      <c r="S2116" s="291">
        <v>43672</v>
      </c>
      <c r="T2116" s="279">
        <v>2033</v>
      </c>
      <c r="U2116" s="277"/>
      <c r="V2116" s="277"/>
      <c r="W2116" s="277"/>
      <c r="X2116" s="277"/>
      <c r="Y2116" s="277"/>
      <c r="Z2116" s="277"/>
      <c r="AA2116" s="277"/>
      <c r="AB2116" s="277"/>
      <c r="AC2116" s="277"/>
      <c r="AD2116" s="277"/>
      <c r="AE2116" s="277"/>
      <c r="AF2116" s="277"/>
      <c r="AG2116" s="277"/>
      <c r="AH2116" s="277"/>
    </row>
    <row r="2117" spans="16:34" s="185" customFormat="1">
      <c r="P2117" s="277"/>
      <c r="Q2117" s="277"/>
      <c r="R2117" s="277"/>
      <c r="S2117" s="291">
        <v>43673</v>
      </c>
      <c r="T2117" s="279">
        <v>2034</v>
      </c>
      <c r="U2117" s="277"/>
      <c r="V2117" s="277"/>
      <c r="W2117" s="277"/>
      <c r="X2117" s="277"/>
      <c r="Y2117" s="277"/>
      <c r="Z2117" s="277"/>
      <c r="AA2117" s="277"/>
      <c r="AB2117" s="277"/>
      <c r="AC2117" s="277"/>
      <c r="AD2117" s="277"/>
      <c r="AE2117" s="277"/>
      <c r="AF2117" s="277"/>
      <c r="AG2117" s="277"/>
      <c r="AH2117" s="277"/>
    </row>
    <row r="2118" spans="16:34" s="185" customFormat="1">
      <c r="P2118" s="277"/>
      <c r="Q2118" s="277"/>
      <c r="R2118" s="277"/>
      <c r="S2118" s="291">
        <v>43674</v>
      </c>
      <c r="T2118" s="279">
        <v>2035</v>
      </c>
      <c r="U2118" s="277"/>
      <c r="V2118" s="277"/>
      <c r="W2118" s="277"/>
      <c r="X2118" s="277"/>
      <c r="Y2118" s="277"/>
      <c r="Z2118" s="277"/>
      <c r="AA2118" s="277"/>
      <c r="AB2118" s="277"/>
      <c r="AC2118" s="277"/>
      <c r="AD2118" s="277"/>
      <c r="AE2118" s="277"/>
      <c r="AF2118" s="277"/>
      <c r="AG2118" s="277"/>
      <c r="AH2118" s="277"/>
    </row>
    <row r="2119" spans="16:34" s="185" customFormat="1">
      <c r="P2119" s="277"/>
      <c r="Q2119" s="277"/>
      <c r="R2119" s="277"/>
      <c r="S2119" s="291">
        <v>43675</v>
      </c>
      <c r="T2119" s="279">
        <v>2036</v>
      </c>
      <c r="U2119" s="277"/>
      <c r="V2119" s="277"/>
      <c r="W2119" s="277"/>
      <c r="X2119" s="277"/>
      <c r="Y2119" s="277"/>
      <c r="Z2119" s="277"/>
      <c r="AA2119" s="277"/>
      <c r="AB2119" s="277"/>
      <c r="AC2119" s="277"/>
      <c r="AD2119" s="277"/>
      <c r="AE2119" s="277"/>
      <c r="AF2119" s="277"/>
      <c r="AG2119" s="277"/>
      <c r="AH2119" s="277"/>
    </row>
    <row r="2120" spans="16:34" s="185" customFormat="1">
      <c r="P2120" s="277"/>
      <c r="Q2120" s="277"/>
      <c r="R2120" s="277"/>
      <c r="S2120" s="291">
        <v>43676</v>
      </c>
      <c r="T2120" s="279">
        <v>2037</v>
      </c>
      <c r="U2120" s="277"/>
      <c r="V2120" s="277"/>
      <c r="W2120" s="277"/>
      <c r="X2120" s="277"/>
      <c r="Y2120" s="277"/>
      <c r="Z2120" s="277"/>
      <c r="AA2120" s="277"/>
      <c r="AB2120" s="277"/>
      <c r="AC2120" s="277"/>
      <c r="AD2120" s="277"/>
      <c r="AE2120" s="277"/>
      <c r="AF2120" s="277"/>
      <c r="AG2120" s="277"/>
      <c r="AH2120" s="277"/>
    </row>
    <row r="2121" spans="16:34" s="185" customFormat="1">
      <c r="P2121" s="277"/>
      <c r="Q2121" s="277"/>
      <c r="R2121" s="277"/>
      <c r="S2121" s="291">
        <v>43677</v>
      </c>
      <c r="T2121" s="279">
        <v>2038</v>
      </c>
      <c r="U2121" s="277"/>
      <c r="V2121" s="277"/>
      <c r="W2121" s="277"/>
      <c r="X2121" s="277"/>
      <c r="Y2121" s="277"/>
      <c r="Z2121" s="277"/>
      <c r="AA2121" s="277"/>
      <c r="AB2121" s="277"/>
      <c r="AC2121" s="277"/>
      <c r="AD2121" s="277"/>
      <c r="AE2121" s="277"/>
      <c r="AF2121" s="277"/>
      <c r="AG2121" s="277"/>
      <c r="AH2121" s="277"/>
    </row>
    <row r="2122" spans="16:34" s="185" customFormat="1">
      <c r="P2122" s="277"/>
      <c r="Q2122" s="277"/>
      <c r="R2122" s="277"/>
      <c r="S2122" s="291">
        <v>43678</v>
      </c>
      <c r="T2122" s="279">
        <v>2039</v>
      </c>
      <c r="U2122" s="277"/>
      <c r="V2122" s="277"/>
      <c r="W2122" s="277"/>
      <c r="X2122" s="277"/>
      <c r="Y2122" s="277"/>
      <c r="Z2122" s="277"/>
      <c r="AA2122" s="277"/>
      <c r="AB2122" s="277"/>
      <c r="AC2122" s="277"/>
      <c r="AD2122" s="277"/>
      <c r="AE2122" s="277"/>
      <c r="AF2122" s="277"/>
      <c r="AG2122" s="277"/>
      <c r="AH2122" s="277"/>
    </row>
    <row r="2123" spans="16:34" s="185" customFormat="1">
      <c r="P2123" s="277"/>
      <c r="Q2123" s="277"/>
      <c r="R2123" s="277"/>
      <c r="S2123" s="291">
        <v>43679</v>
      </c>
      <c r="T2123" s="279">
        <v>2040</v>
      </c>
      <c r="U2123" s="277"/>
      <c r="V2123" s="277"/>
      <c r="W2123" s="277"/>
      <c r="X2123" s="277"/>
      <c r="Y2123" s="277"/>
      <c r="Z2123" s="277"/>
      <c r="AA2123" s="277"/>
      <c r="AB2123" s="277"/>
      <c r="AC2123" s="277"/>
      <c r="AD2123" s="277"/>
      <c r="AE2123" s="277"/>
      <c r="AF2123" s="277"/>
      <c r="AG2123" s="277"/>
      <c r="AH2123" s="277"/>
    </row>
    <row r="2124" spans="16:34" s="185" customFormat="1">
      <c r="P2124" s="277"/>
      <c r="Q2124" s="277"/>
      <c r="R2124" s="277"/>
      <c r="S2124" s="291">
        <v>43680</v>
      </c>
      <c r="T2124" s="279">
        <v>2041</v>
      </c>
      <c r="U2124" s="277"/>
      <c r="V2124" s="277"/>
      <c r="W2124" s="277"/>
      <c r="X2124" s="277"/>
      <c r="Y2124" s="277"/>
      <c r="Z2124" s="277"/>
      <c r="AA2124" s="277"/>
      <c r="AB2124" s="277"/>
      <c r="AC2124" s="277"/>
      <c r="AD2124" s="277"/>
      <c r="AE2124" s="277"/>
      <c r="AF2124" s="277"/>
      <c r="AG2124" s="277"/>
      <c r="AH2124" s="277"/>
    </row>
    <row r="2125" spans="16:34" s="185" customFormat="1">
      <c r="P2125" s="277"/>
      <c r="Q2125" s="277"/>
      <c r="R2125" s="277"/>
      <c r="S2125" s="291">
        <v>43681</v>
      </c>
      <c r="T2125" s="279">
        <v>2042</v>
      </c>
      <c r="U2125" s="277"/>
      <c r="V2125" s="277"/>
      <c r="W2125" s="277"/>
      <c r="X2125" s="277"/>
      <c r="Y2125" s="277"/>
      <c r="Z2125" s="277"/>
      <c r="AA2125" s="277"/>
      <c r="AB2125" s="277"/>
      <c r="AC2125" s="277"/>
      <c r="AD2125" s="277"/>
      <c r="AE2125" s="277"/>
      <c r="AF2125" s="277"/>
      <c r="AG2125" s="277"/>
      <c r="AH2125" s="277"/>
    </row>
    <row r="2126" spans="16:34" s="185" customFormat="1">
      <c r="P2126" s="277"/>
      <c r="Q2126" s="277"/>
      <c r="R2126" s="277"/>
      <c r="S2126" s="291">
        <v>43682</v>
      </c>
      <c r="T2126" s="279">
        <v>2043</v>
      </c>
      <c r="U2126" s="277"/>
      <c r="V2126" s="277"/>
      <c r="W2126" s="277"/>
      <c r="X2126" s="277"/>
      <c r="Y2126" s="277"/>
      <c r="Z2126" s="277"/>
      <c r="AA2126" s="277"/>
      <c r="AB2126" s="277"/>
      <c r="AC2126" s="277"/>
      <c r="AD2126" s="277"/>
      <c r="AE2126" s="277"/>
      <c r="AF2126" s="277"/>
      <c r="AG2126" s="277"/>
      <c r="AH2126" s="277"/>
    </row>
    <row r="2127" spans="16:34" s="185" customFormat="1">
      <c r="P2127" s="277"/>
      <c r="Q2127" s="277"/>
      <c r="R2127" s="277"/>
      <c r="S2127" s="291">
        <v>43683</v>
      </c>
      <c r="T2127" s="279">
        <v>2044</v>
      </c>
      <c r="U2127" s="277"/>
      <c r="V2127" s="277"/>
      <c r="W2127" s="277"/>
      <c r="X2127" s="277"/>
      <c r="Y2127" s="277"/>
      <c r="Z2127" s="277"/>
      <c r="AA2127" s="277"/>
      <c r="AB2127" s="277"/>
      <c r="AC2127" s="277"/>
      <c r="AD2127" s="277"/>
      <c r="AE2127" s="277"/>
      <c r="AF2127" s="277"/>
      <c r="AG2127" s="277"/>
      <c r="AH2127" s="277"/>
    </row>
    <row r="2128" spans="16:34" s="185" customFormat="1">
      <c r="P2128" s="277"/>
      <c r="Q2128" s="277"/>
      <c r="R2128" s="277"/>
      <c r="S2128" s="291">
        <v>43684</v>
      </c>
      <c r="T2128" s="279">
        <v>2045</v>
      </c>
      <c r="U2128" s="277"/>
      <c r="V2128" s="277"/>
      <c r="W2128" s="277"/>
      <c r="X2128" s="277"/>
      <c r="Y2128" s="277"/>
      <c r="Z2128" s="277"/>
      <c r="AA2128" s="277"/>
      <c r="AB2128" s="277"/>
      <c r="AC2128" s="277"/>
      <c r="AD2128" s="277"/>
      <c r="AE2128" s="277"/>
      <c r="AF2128" s="277"/>
      <c r="AG2128" s="277"/>
      <c r="AH2128" s="277"/>
    </row>
    <row r="2129" spans="16:34" s="185" customFormat="1">
      <c r="P2129" s="277"/>
      <c r="Q2129" s="277"/>
      <c r="R2129" s="277"/>
      <c r="S2129" s="291">
        <v>43685</v>
      </c>
      <c r="T2129" s="279">
        <v>2046</v>
      </c>
      <c r="U2129" s="277"/>
      <c r="V2129" s="277"/>
      <c r="W2129" s="277"/>
      <c r="X2129" s="277"/>
      <c r="Y2129" s="277"/>
      <c r="Z2129" s="277"/>
      <c r="AA2129" s="277"/>
      <c r="AB2129" s="277"/>
      <c r="AC2129" s="277"/>
      <c r="AD2129" s="277"/>
      <c r="AE2129" s="277"/>
      <c r="AF2129" s="277"/>
      <c r="AG2129" s="277"/>
      <c r="AH2129" s="277"/>
    </row>
    <row r="2130" spans="16:34" s="185" customFormat="1">
      <c r="P2130" s="277"/>
      <c r="Q2130" s="277"/>
      <c r="R2130" s="277"/>
      <c r="S2130" s="291">
        <v>43686</v>
      </c>
      <c r="T2130" s="279">
        <v>2047</v>
      </c>
      <c r="U2130" s="277"/>
      <c r="V2130" s="277"/>
      <c r="W2130" s="277"/>
      <c r="X2130" s="277"/>
      <c r="Y2130" s="277"/>
      <c r="Z2130" s="277"/>
      <c r="AA2130" s="277"/>
      <c r="AB2130" s="277"/>
      <c r="AC2130" s="277"/>
      <c r="AD2130" s="277"/>
      <c r="AE2130" s="277"/>
      <c r="AF2130" s="277"/>
      <c r="AG2130" s="277"/>
      <c r="AH2130" s="277"/>
    </row>
    <row r="2131" spans="16:34" s="185" customFormat="1">
      <c r="P2131" s="277"/>
      <c r="Q2131" s="277"/>
      <c r="R2131" s="277"/>
      <c r="S2131" s="291">
        <v>43687</v>
      </c>
      <c r="T2131" s="279">
        <v>2048</v>
      </c>
      <c r="U2131" s="277"/>
      <c r="V2131" s="277"/>
      <c r="W2131" s="277"/>
      <c r="X2131" s="277"/>
      <c r="Y2131" s="277"/>
      <c r="Z2131" s="277"/>
      <c r="AA2131" s="277"/>
      <c r="AB2131" s="277"/>
      <c r="AC2131" s="277"/>
      <c r="AD2131" s="277"/>
      <c r="AE2131" s="277"/>
      <c r="AF2131" s="277"/>
      <c r="AG2131" s="277"/>
      <c r="AH2131" s="277"/>
    </row>
    <row r="2132" spans="16:34" s="185" customFormat="1">
      <c r="P2132" s="277"/>
      <c r="Q2132" s="277"/>
      <c r="R2132" s="277"/>
      <c r="S2132" s="291">
        <v>43688</v>
      </c>
      <c r="T2132" s="279">
        <v>2049</v>
      </c>
      <c r="U2132" s="277"/>
      <c r="V2132" s="277"/>
      <c r="W2132" s="277"/>
      <c r="X2132" s="277"/>
      <c r="Y2132" s="277"/>
      <c r="Z2132" s="277"/>
      <c r="AA2132" s="277"/>
      <c r="AB2132" s="277"/>
      <c r="AC2132" s="277"/>
      <c r="AD2132" s="277"/>
      <c r="AE2132" s="277"/>
      <c r="AF2132" s="277"/>
      <c r="AG2132" s="277"/>
      <c r="AH2132" s="277"/>
    </row>
    <row r="2133" spans="16:34" s="185" customFormat="1">
      <c r="P2133" s="277"/>
      <c r="Q2133" s="277"/>
      <c r="R2133" s="277"/>
      <c r="S2133" s="291">
        <v>43689</v>
      </c>
      <c r="T2133" s="279">
        <v>2050</v>
      </c>
      <c r="U2133" s="277"/>
      <c r="V2133" s="277"/>
      <c r="W2133" s="277"/>
      <c r="X2133" s="277"/>
      <c r="Y2133" s="277"/>
      <c r="Z2133" s="277"/>
      <c r="AA2133" s="277"/>
      <c r="AB2133" s="277"/>
      <c r="AC2133" s="277"/>
      <c r="AD2133" s="277"/>
      <c r="AE2133" s="277"/>
      <c r="AF2133" s="277"/>
      <c r="AG2133" s="277"/>
      <c r="AH2133" s="277"/>
    </row>
    <row r="2134" spans="16:34" s="185" customFormat="1">
      <c r="P2134" s="277"/>
      <c r="Q2134" s="277"/>
      <c r="R2134" s="277"/>
      <c r="S2134" s="291">
        <v>43690</v>
      </c>
      <c r="T2134" s="279">
        <v>2051</v>
      </c>
      <c r="U2134" s="277"/>
      <c r="V2134" s="277"/>
      <c r="W2134" s="277"/>
      <c r="X2134" s="277"/>
      <c r="Y2134" s="277"/>
      <c r="Z2134" s="277"/>
      <c r="AA2134" s="277"/>
      <c r="AB2134" s="277"/>
      <c r="AC2134" s="277"/>
      <c r="AD2134" s="277"/>
      <c r="AE2134" s="277"/>
      <c r="AF2134" s="277"/>
      <c r="AG2134" s="277"/>
      <c r="AH2134" s="277"/>
    </row>
    <row r="2135" spans="16:34" s="185" customFormat="1">
      <c r="P2135" s="277"/>
      <c r="Q2135" s="277"/>
      <c r="R2135" s="277"/>
      <c r="S2135" s="291">
        <v>43691</v>
      </c>
      <c r="T2135" s="279">
        <v>2052</v>
      </c>
      <c r="U2135" s="277"/>
      <c r="V2135" s="277"/>
      <c r="W2135" s="277"/>
      <c r="X2135" s="277"/>
      <c r="Y2135" s="277"/>
      <c r="Z2135" s="277"/>
      <c r="AA2135" s="277"/>
      <c r="AB2135" s="277"/>
      <c r="AC2135" s="277"/>
      <c r="AD2135" s="277"/>
      <c r="AE2135" s="277"/>
      <c r="AF2135" s="277"/>
      <c r="AG2135" s="277"/>
      <c r="AH2135" s="277"/>
    </row>
    <row r="2136" spans="16:34" s="185" customFormat="1">
      <c r="P2136" s="277"/>
      <c r="Q2136" s="277"/>
      <c r="R2136" s="277"/>
      <c r="S2136" s="291">
        <v>43692</v>
      </c>
      <c r="T2136" s="279">
        <v>2053</v>
      </c>
      <c r="U2136" s="277"/>
      <c r="V2136" s="277"/>
      <c r="W2136" s="277"/>
      <c r="X2136" s="277"/>
      <c r="Y2136" s="277"/>
      <c r="Z2136" s="277"/>
      <c r="AA2136" s="277"/>
      <c r="AB2136" s="277"/>
      <c r="AC2136" s="277"/>
      <c r="AD2136" s="277"/>
      <c r="AE2136" s="277"/>
      <c r="AF2136" s="277"/>
      <c r="AG2136" s="277"/>
      <c r="AH2136" s="277"/>
    </row>
    <row r="2137" spans="16:34" s="185" customFormat="1">
      <c r="P2137" s="277"/>
      <c r="Q2137" s="277"/>
      <c r="R2137" s="277"/>
      <c r="S2137" s="291">
        <v>43693</v>
      </c>
      <c r="T2137" s="279">
        <v>2054</v>
      </c>
      <c r="U2137" s="277"/>
      <c r="V2137" s="277"/>
      <c r="W2137" s="277"/>
      <c r="X2137" s="277"/>
      <c r="Y2137" s="277"/>
      <c r="Z2137" s="277"/>
      <c r="AA2137" s="277"/>
      <c r="AB2137" s="277"/>
      <c r="AC2137" s="277"/>
      <c r="AD2137" s="277"/>
      <c r="AE2137" s="277"/>
      <c r="AF2137" s="277"/>
      <c r="AG2137" s="277"/>
      <c r="AH2137" s="277"/>
    </row>
    <row r="2138" spans="16:34" s="185" customFormat="1">
      <c r="P2138" s="277"/>
      <c r="Q2138" s="277"/>
      <c r="R2138" s="277"/>
      <c r="S2138" s="291">
        <v>43694</v>
      </c>
      <c r="T2138" s="279">
        <v>2055</v>
      </c>
      <c r="U2138" s="277"/>
      <c r="V2138" s="277"/>
      <c r="W2138" s="277"/>
      <c r="X2138" s="277"/>
      <c r="Y2138" s="277"/>
      <c r="Z2138" s="277"/>
      <c r="AA2138" s="277"/>
      <c r="AB2138" s="277"/>
      <c r="AC2138" s="277"/>
      <c r="AD2138" s="277"/>
      <c r="AE2138" s="277"/>
      <c r="AF2138" s="277"/>
      <c r="AG2138" s="277"/>
      <c r="AH2138" s="277"/>
    </row>
    <row r="2139" spans="16:34" s="185" customFormat="1">
      <c r="P2139" s="277"/>
      <c r="Q2139" s="277"/>
      <c r="R2139" s="277"/>
      <c r="S2139" s="291">
        <v>43695</v>
      </c>
      <c r="T2139" s="279">
        <v>2056</v>
      </c>
      <c r="U2139" s="277"/>
      <c r="V2139" s="277"/>
      <c r="W2139" s="277"/>
      <c r="X2139" s="277"/>
      <c r="Y2139" s="277"/>
      <c r="Z2139" s="277"/>
      <c r="AA2139" s="277"/>
      <c r="AB2139" s="277"/>
      <c r="AC2139" s="277"/>
      <c r="AD2139" s="277"/>
      <c r="AE2139" s="277"/>
      <c r="AF2139" s="277"/>
      <c r="AG2139" s="277"/>
      <c r="AH2139" s="277"/>
    </row>
    <row r="2140" spans="16:34" s="185" customFormat="1">
      <c r="P2140" s="277"/>
      <c r="Q2140" s="277"/>
      <c r="R2140" s="277"/>
      <c r="S2140" s="291">
        <v>43696</v>
      </c>
      <c r="T2140" s="279">
        <v>2057</v>
      </c>
      <c r="U2140" s="277"/>
      <c r="V2140" s="277"/>
      <c r="W2140" s="277"/>
      <c r="X2140" s="277"/>
      <c r="Y2140" s="277"/>
      <c r="Z2140" s="277"/>
      <c r="AA2140" s="277"/>
      <c r="AB2140" s="277"/>
      <c r="AC2140" s="277"/>
      <c r="AD2140" s="277"/>
      <c r="AE2140" s="277"/>
      <c r="AF2140" s="277"/>
      <c r="AG2140" s="277"/>
      <c r="AH2140" s="277"/>
    </row>
    <row r="2141" spans="16:34" s="185" customFormat="1">
      <c r="P2141" s="277"/>
      <c r="Q2141" s="277"/>
      <c r="R2141" s="277"/>
      <c r="S2141" s="291">
        <v>43697</v>
      </c>
      <c r="T2141" s="279">
        <v>2058</v>
      </c>
      <c r="U2141" s="277"/>
      <c r="V2141" s="277"/>
      <c r="W2141" s="277"/>
      <c r="X2141" s="277"/>
      <c r="Y2141" s="277"/>
      <c r="Z2141" s="277"/>
      <c r="AA2141" s="277"/>
      <c r="AB2141" s="277"/>
      <c r="AC2141" s="277"/>
      <c r="AD2141" s="277"/>
      <c r="AE2141" s="277"/>
      <c r="AF2141" s="277"/>
      <c r="AG2141" s="277"/>
      <c r="AH2141" s="277"/>
    </row>
    <row r="2142" spans="16:34" s="185" customFormat="1">
      <c r="P2142" s="277"/>
      <c r="Q2142" s="277"/>
      <c r="R2142" s="277"/>
      <c r="S2142" s="291">
        <v>43698</v>
      </c>
      <c r="T2142" s="279">
        <v>2059</v>
      </c>
      <c r="U2142" s="277"/>
      <c r="V2142" s="277"/>
      <c r="W2142" s="277"/>
      <c r="X2142" s="277"/>
      <c r="Y2142" s="277"/>
      <c r="Z2142" s="277"/>
      <c r="AA2142" s="277"/>
      <c r="AB2142" s="277"/>
      <c r="AC2142" s="277"/>
      <c r="AD2142" s="277"/>
      <c r="AE2142" s="277"/>
      <c r="AF2142" s="277"/>
      <c r="AG2142" s="277"/>
      <c r="AH2142" s="277"/>
    </row>
    <row r="2143" spans="16:34" s="185" customFormat="1">
      <c r="P2143" s="277"/>
      <c r="Q2143" s="277"/>
      <c r="R2143" s="277"/>
      <c r="S2143" s="291">
        <v>43699</v>
      </c>
      <c r="T2143" s="279">
        <v>2060</v>
      </c>
      <c r="U2143" s="277"/>
      <c r="V2143" s="277"/>
      <c r="W2143" s="277"/>
      <c r="X2143" s="277"/>
      <c r="Y2143" s="277"/>
      <c r="Z2143" s="277"/>
      <c r="AA2143" s="277"/>
      <c r="AB2143" s="277"/>
      <c r="AC2143" s="277"/>
      <c r="AD2143" s="277"/>
      <c r="AE2143" s="277"/>
      <c r="AF2143" s="277"/>
      <c r="AG2143" s="277"/>
      <c r="AH2143" s="277"/>
    </row>
    <row r="2144" spans="16:34" s="185" customFormat="1">
      <c r="P2144" s="277"/>
      <c r="Q2144" s="277"/>
      <c r="R2144" s="277"/>
      <c r="S2144" s="291">
        <v>43700</v>
      </c>
      <c r="T2144" s="279">
        <v>2061</v>
      </c>
      <c r="U2144" s="277"/>
      <c r="V2144" s="277"/>
      <c r="W2144" s="277"/>
      <c r="X2144" s="277"/>
      <c r="Y2144" s="277"/>
      <c r="Z2144" s="277"/>
      <c r="AA2144" s="277"/>
      <c r="AB2144" s="277"/>
      <c r="AC2144" s="277"/>
      <c r="AD2144" s="277"/>
      <c r="AE2144" s="277"/>
      <c r="AF2144" s="277"/>
      <c r="AG2144" s="277"/>
      <c r="AH2144" s="277"/>
    </row>
    <row r="2145" spans="16:34" s="185" customFormat="1">
      <c r="P2145" s="277"/>
      <c r="Q2145" s="277"/>
      <c r="R2145" s="277"/>
      <c r="S2145" s="291">
        <v>43701</v>
      </c>
      <c r="T2145" s="279">
        <v>2062</v>
      </c>
      <c r="U2145" s="277"/>
      <c r="V2145" s="277"/>
      <c r="W2145" s="277"/>
      <c r="X2145" s="277"/>
      <c r="Y2145" s="277"/>
      <c r="Z2145" s="277"/>
      <c r="AA2145" s="277"/>
      <c r="AB2145" s="277"/>
      <c r="AC2145" s="277"/>
      <c r="AD2145" s="277"/>
      <c r="AE2145" s="277"/>
      <c r="AF2145" s="277"/>
      <c r="AG2145" s="277"/>
      <c r="AH2145" s="277"/>
    </row>
    <row r="2146" spans="16:34" s="185" customFormat="1">
      <c r="P2146" s="277"/>
      <c r="Q2146" s="277"/>
      <c r="R2146" s="277"/>
      <c r="S2146" s="291">
        <v>43702</v>
      </c>
      <c r="T2146" s="279">
        <v>2063</v>
      </c>
      <c r="U2146" s="277"/>
      <c r="V2146" s="277"/>
      <c r="W2146" s="277"/>
      <c r="X2146" s="277"/>
      <c r="Y2146" s="277"/>
      <c r="Z2146" s="277"/>
      <c r="AA2146" s="277"/>
      <c r="AB2146" s="277"/>
      <c r="AC2146" s="277"/>
      <c r="AD2146" s="277"/>
      <c r="AE2146" s="277"/>
      <c r="AF2146" s="277"/>
      <c r="AG2146" s="277"/>
      <c r="AH2146" s="277"/>
    </row>
    <row r="2147" spans="16:34" s="185" customFormat="1">
      <c r="P2147" s="277"/>
      <c r="Q2147" s="277"/>
      <c r="R2147" s="277"/>
      <c r="S2147" s="291">
        <v>43703</v>
      </c>
      <c r="T2147" s="279">
        <v>2064</v>
      </c>
      <c r="U2147" s="277"/>
      <c r="V2147" s="277"/>
      <c r="W2147" s="277"/>
      <c r="X2147" s="277"/>
      <c r="Y2147" s="277"/>
      <c r="Z2147" s="277"/>
      <c r="AA2147" s="277"/>
      <c r="AB2147" s="277"/>
      <c r="AC2147" s="277"/>
      <c r="AD2147" s="277"/>
      <c r="AE2147" s="277"/>
      <c r="AF2147" s="277"/>
      <c r="AG2147" s="277"/>
      <c r="AH2147" s="277"/>
    </row>
    <row r="2148" spans="16:34" s="185" customFormat="1">
      <c r="P2148" s="277"/>
      <c r="Q2148" s="277"/>
      <c r="R2148" s="277"/>
      <c r="S2148" s="291">
        <v>43704</v>
      </c>
      <c r="T2148" s="279">
        <v>2065</v>
      </c>
      <c r="U2148" s="277"/>
      <c r="V2148" s="277"/>
      <c r="W2148" s="277"/>
      <c r="X2148" s="277"/>
      <c r="Y2148" s="277"/>
      <c r="Z2148" s="277"/>
      <c r="AA2148" s="277"/>
      <c r="AB2148" s="277"/>
      <c r="AC2148" s="277"/>
      <c r="AD2148" s="277"/>
      <c r="AE2148" s="277"/>
      <c r="AF2148" s="277"/>
      <c r="AG2148" s="277"/>
      <c r="AH2148" s="277"/>
    </row>
    <row r="2149" spans="16:34" s="185" customFormat="1">
      <c r="P2149" s="277"/>
      <c r="Q2149" s="277"/>
      <c r="R2149" s="277"/>
      <c r="S2149" s="291">
        <v>43705</v>
      </c>
      <c r="T2149" s="279">
        <v>2066</v>
      </c>
      <c r="U2149" s="277"/>
      <c r="V2149" s="277"/>
      <c r="W2149" s="277"/>
      <c r="X2149" s="277"/>
      <c r="Y2149" s="277"/>
      <c r="Z2149" s="277"/>
      <c r="AA2149" s="277"/>
      <c r="AB2149" s="277"/>
      <c r="AC2149" s="277"/>
      <c r="AD2149" s="277"/>
      <c r="AE2149" s="277"/>
      <c r="AF2149" s="277"/>
      <c r="AG2149" s="277"/>
      <c r="AH2149" s="277"/>
    </row>
    <row r="2150" spans="16:34" s="185" customFormat="1">
      <c r="P2150" s="277"/>
      <c r="Q2150" s="277"/>
      <c r="R2150" s="277"/>
      <c r="S2150" s="291">
        <v>43706</v>
      </c>
      <c r="T2150" s="279">
        <v>2067</v>
      </c>
      <c r="U2150" s="277"/>
      <c r="V2150" s="277"/>
      <c r="W2150" s="277"/>
      <c r="X2150" s="277"/>
      <c r="Y2150" s="277"/>
      <c r="Z2150" s="277"/>
      <c r="AA2150" s="277"/>
      <c r="AB2150" s="277"/>
      <c r="AC2150" s="277"/>
      <c r="AD2150" s="277"/>
      <c r="AE2150" s="277"/>
      <c r="AF2150" s="277"/>
      <c r="AG2150" s="277"/>
      <c r="AH2150" s="277"/>
    </row>
    <row r="2151" spans="16:34" s="185" customFormat="1">
      <c r="P2151" s="277"/>
      <c r="Q2151" s="277"/>
      <c r="R2151" s="277"/>
      <c r="S2151" s="291">
        <v>43707</v>
      </c>
      <c r="T2151" s="279">
        <v>2068</v>
      </c>
      <c r="U2151" s="277"/>
      <c r="V2151" s="277"/>
      <c r="W2151" s="277"/>
      <c r="X2151" s="277"/>
      <c r="Y2151" s="277"/>
      <c r="Z2151" s="277"/>
      <c r="AA2151" s="277"/>
      <c r="AB2151" s="277"/>
      <c r="AC2151" s="277"/>
      <c r="AD2151" s="277"/>
      <c r="AE2151" s="277"/>
      <c r="AF2151" s="277"/>
      <c r="AG2151" s="277"/>
      <c r="AH2151" s="277"/>
    </row>
    <row r="2152" spans="16:34" s="185" customFormat="1">
      <c r="P2152" s="277"/>
      <c r="Q2152" s="277"/>
      <c r="R2152" s="277"/>
      <c r="S2152" s="291">
        <v>43708</v>
      </c>
      <c r="T2152" s="279">
        <v>2069</v>
      </c>
      <c r="U2152" s="277"/>
      <c r="V2152" s="277"/>
      <c r="W2152" s="277"/>
      <c r="X2152" s="277"/>
      <c r="Y2152" s="277"/>
      <c r="Z2152" s="277"/>
      <c r="AA2152" s="277"/>
      <c r="AB2152" s="277"/>
      <c r="AC2152" s="277"/>
      <c r="AD2152" s="277"/>
      <c r="AE2152" s="277"/>
      <c r="AF2152" s="277"/>
      <c r="AG2152" s="277"/>
      <c r="AH2152" s="277"/>
    </row>
    <row r="2153" spans="16:34" s="185" customFormat="1">
      <c r="P2153" s="277"/>
      <c r="Q2153" s="277"/>
      <c r="R2153" s="277"/>
      <c r="S2153" s="291">
        <v>43709</v>
      </c>
      <c r="T2153" s="279">
        <v>2070</v>
      </c>
      <c r="U2153" s="277"/>
      <c r="V2153" s="277"/>
      <c r="W2153" s="277"/>
      <c r="X2153" s="277"/>
      <c r="Y2153" s="277"/>
      <c r="Z2153" s="277"/>
      <c r="AA2153" s="277"/>
      <c r="AB2153" s="277"/>
      <c r="AC2153" s="277"/>
      <c r="AD2153" s="277"/>
      <c r="AE2153" s="277"/>
      <c r="AF2153" s="277"/>
      <c r="AG2153" s="277"/>
      <c r="AH2153" s="277"/>
    </row>
    <row r="2154" spans="16:34" s="185" customFormat="1">
      <c r="P2154" s="277"/>
      <c r="Q2154" s="277"/>
      <c r="R2154" s="277"/>
      <c r="S2154" s="291">
        <v>43710</v>
      </c>
      <c r="T2154" s="279">
        <v>2071</v>
      </c>
      <c r="U2154" s="277"/>
      <c r="V2154" s="277"/>
      <c r="W2154" s="277"/>
      <c r="X2154" s="277"/>
      <c r="Y2154" s="277"/>
      <c r="Z2154" s="277"/>
      <c r="AA2154" s="277"/>
      <c r="AB2154" s="277"/>
      <c r="AC2154" s="277"/>
      <c r="AD2154" s="277"/>
      <c r="AE2154" s="277"/>
      <c r="AF2154" s="277"/>
      <c r="AG2154" s="277"/>
      <c r="AH2154" s="277"/>
    </row>
    <row r="2155" spans="16:34" s="185" customFormat="1">
      <c r="P2155" s="277"/>
      <c r="Q2155" s="277"/>
      <c r="R2155" s="277"/>
      <c r="S2155" s="291">
        <v>43711</v>
      </c>
      <c r="T2155" s="279">
        <v>2072</v>
      </c>
      <c r="U2155" s="277"/>
      <c r="V2155" s="277"/>
      <c r="W2155" s="277"/>
      <c r="X2155" s="277"/>
      <c r="Y2155" s="277"/>
      <c r="Z2155" s="277"/>
      <c r="AA2155" s="277"/>
      <c r="AB2155" s="277"/>
      <c r="AC2155" s="277"/>
      <c r="AD2155" s="277"/>
      <c r="AE2155" s="277"/>
      <c r="AF2155" s="277"/>
      <c r="AG2155" s="277"/>
      <c r="AH2155" s="277"/>
    </row>
    <row r="2156" spans="16:34" s="185" customFormat="1">
      <c r="P2156" s="277"/>
      <c r="Q2156" s="277"/>
      <c r="R2156" s="277"/>
      <c r="S2156" s="291">
        <v>43712</v>
      </c>
      <c r="T2156" s="279">
        <v>2073</v>
      </c>
      <c r="U2156" s="277"/>
      <c r="V2156" s="277"/>
      <c r="W2156" s="277"/>
      <c r="X2156" s="277"/>
      <c r="Y2156" s="277"/>
      <c r="Z2156" s="277"/>
      <c r="AA2156" s="277"/>
      <c r="AB2156" s="277"/>
      <c r="AC2156" s="277"/>
      <c r="AD2156" s="277"/>
      <c r="AE2156" s="277"/>
      <c r="AF2156" s="277"/>
      <c r="AG2156" s="277"/>
      <c r="AH2156" s="277"/>
    </row>
    <row r="2157" spans="16:34" s="185" customFormat="1">
      <c r="P2157" s="277"/>
      <c r="Q2157" s="277"/>
      <c r="R2157" s="277"/>
      <c r="S2157" s="291">
        <v>43713</v>
      </c>
      <c r="T2157" s="279">
        <v>2074</v>
      </c>
      <c r="U2157" s="277"/>
      <c r="V2157" s="277"/>
      <c r="W2157" s="277"/>
      <c r="X2157" s="277"/>
      <c r="Y2157" s="277"/>
      <c r="Z2157" s="277"/>
      <c r="AA2157" s="277"/>
      <c r="AB2157" s="277"/>
      <c r="AC2157" s="277"/>
      <c r="AD2157" s="277"/>
      <c r="AE2157" s="277"/>
      <c r="AF2157" s="277"/>
      <c r="AG2157" s="277"/>
      <c r="AH2157" s="277"/>
    </row>
    <row r="2158" spans="16:34" s="185" customFormat="1">
      <c r="P2158" s="277"/>
      <c r="Q2158" s="277"/>
      <c r="R2158" s="277"/>
      <c r="S2158" s="291">
        <v>43714</v>
      </c>
      <c r="T2158" s="279">
        <v>2075</v>
      </c>
      <c r="U2158" s="277"/>
      <c r="V2158" s="277"/>
      <c r="W2158" s="277"/>
      <c r="X2158" s="277"/>
      <c r="Y2158" s="277"/>
      <c r="Z2158" s="277"/>
      <c r="AA2158" s="277"/>
      <c r="AB2158" s="277"/>
      <c r="AC2158" s="277"/>
      <c r="AD2158" s="277"/>
      <c r="AE2158" s="277"/>
      <c r="AF2158" s="277"/>
      <c r="AG2158" s="277"/>
      <c r="AH2158" s="277"/>
    </row>
    <row r="2159" spans="16:34" s="185" customFormat="1">
      <c r="P2159" s="277"/>
      <c r="Q2159" s="277"/>
      <c r="R2159" s="277"/>
      <c r="S2159" s="291">
        <v>43715</v>
      </c>
      <c r="T2159" s="279">
        <v>2076</v>
      </c>
      <c r="U2159" s="277"/>
      <c r="V2159" s="277"/>
      <c r="W2159" s="277"/>
      <c r="X2159" s="277"/>
      <c r="Y2159" s="277"/>
      <c r="Z2159" s="277"/>
      <c r="AA2159" s="277"/>
      <c r="AB2159" s="277"/>
      <c r="AC2159" s="277"/>
      <c r="AD2159" s="277"/>
      <c r="AE2159" s="277"/>
      <c r="AF2159" s="277"/>
      <c r="AG2159" s="277"/>
      <c r="AH2159" s="277"/>
    </row>
    <row r="2160" spans="16:34" s="185" customFormat="1">
      <c r="P2160" s="277"/>
      <c r="Q2160" s="277"/>
      <c r="R2160" s="277"/>
      <c r="S2160" s="291">
        <v>43716</v>
      </c>
      <c r="T2160" s="279">
        <v>2077</v>
      </c>
      <c r="U2160" s="277"/>
      <c r="V2160" s="277"/>
      <c r="W2160" s="277"/>
      <c r="X2160" s="277"/>
      <c r="Y2160" s="277"/>
      <c r="Z2160" s="277"/>
      <c r="AA2160" s="277"/>
      <c r="AB2160" s="277"/>
      <c r="AC2160" s="277"/>
      <c r="AD2160" s="277"/>
      <c r="AE2160" s="277"/>
      <c r="AF2160" s="277"/>
      <c r="AG2160" s="277"/>
      <c r="AH2160" s="277"/>
    </row>
    <row r="2161" spans="16:34" s="185" customFormat="1">
      <c r="P2161" s="277"/>
      <c r="Q2161" s="277"/>
      <c r="R2161" s="277"/>
      <c r="S2161" s="291">
        <v>43717</v>
      </c>
      <c r="T2161" s="279">
        <v>2078</v>
      </c>
      <c r="U2161" s="277"/>
      <c r="V2161" s="277"/>
      <c r="W2161" s="277"/>
      <c r="X2161" s="277"/>
      <c r="Y2161" s="277"/>
      <c r="Z2161" s="277"/>
      <c r="AA2161" s="277"/>
      <c r="AB2161" s="277"/>
      <c r="AC2161" s="277"/>
      <c r="AD2161" s="277"/>
      <c r="AE2161" s="277"/>
      <c r="AF2161" s="277"/>
      <c r="AG2161" s="277"/>
      <c r="AH2161" s="277"/>
    </row>
    <row r="2162" spans="16:34" s="185" customFormat="1">
      <c r="P2162" s="277"/>
      <c r="Q2162" s="277"/>
      <c r="R2162" s="277"/>
      <c r="S2162" s="291">
        <v>43718</v>
      </c>
      <c r="T2162" s="279">
        <v>2079</v>
      </c>
      <c r="U2162" s="277"/>
      <c r="V2162" s="277"/>
      <c r="W2162" s="277"/>
      <c r="X2162" s="277"/>
      <c r="Y2162" s="277"/>
      <c r="Z2162" s="277"/>
      <c r="AA2162" s="277"/>
      <c r="AB2162" s="277"/>
      <c r="AC2162" s="277"/>
      <c r="AD2162" s="277"/>
      <c r="AE2162" s="277"/>
      <c r="AF2162" s="277"/>
      <c r="AG2162" s="277"/>
      <c r="AH2162" s="277"/>
    </row>
    <row r="2163" spans="16:34" s="185" customFormat="1">
      <c r="P2163" s="277"/>
      <c r="Q2163" s="277"/>
      <c r="R2163" s="277"/>
      <c r="S2163" s="291">
        <v>43719</v>
      </c>
      <c r="T2163" s="279">
        <v>2080</v>
      </c>
      <c r="U2163" s="277"/>
      <c r="V2163" s="277"/>
      <c r="W2163" s="277"/>
      <c r="X2163" s="277"/>
      <c r="Y2163" s="277"/>
      <c r="Z2163" s="277"/>
      <c r="AA2163" s="277"/>
      <c r="AB2163" s="277"/>
      <c r="AC2163" s="277"/>
      <c r="AD2163" s="277"/>
      <c r="AE2163" s="277"/>
      <c r="AF2163" s="277"/>
      <c r="AG2163" s="277"/>
      <c r="AH2163" s="277"/>
    </row>
    <row r="2164" spans="16:34" s="185" customFormat="1">
      <c r="P2164" s="277"/>
      <c r="Q2164" s="277"/>
      <c r="R2164" s="277"/>
      <c r="S2164" s="291">
        <v>43720</v>
      </c>
      <c r="T2164" s="279">
        <v>2081</v>
      </c>
      <c r="U2164" s="277"/>
      <c r="V2164" s="277"/>
      <c r="W2164" s="277"/>
      <c r="X2164" s="277"/>
      <c r="Y2164" s="277"/>
      <c r="Z2164" s="277"/>
      <c r="AA2164" s="277"/>
      <c r="AB2164" s="277"/>
      <c r="AC2164" s="277"/>
      <c r="AD2164" s="277"/>
      <c r="AE2164" s="277"/>
      <c r="AF2164" s="277"/>
      <c r="AG2164" s="277"/>
      <c r="AH2164" s="277"/>
    </row>
    <row r="2165" spans="16:34" s="185" customFormat="1">
      <c r="P2165" s="277"/>
      <c r="Q2165" s="277"/>
      <c r="R2165" s="277"/>
      <c r="S2165" s="291">
        <v>43721</v>
      </c>
      <c r="T2165" s="279">
        <v>2082</v>
      </c>
      <c r="U2165" s="277"/>
      <c r="V2165" s="277"/>
      <c r="W2165" s="277"/>
      <c r="X2165" s="277"/>
      <c r="Y2165" s="277"/>
      <c r="Z2165" s="277"/>
      <c r="AA2165" s="277"/>
      <c r="AB2165" s="277"/>
      <c r="AC2165" s="277"/>
      <c r="AD2165" s="277"/>
      <c r="AE2165" s="277"/>
      <c r="AF2165" s="277"/>
      <c r="AG2165" s="277"/>
      <c r="AH2165" s="277"/>
    </row>
    <row r="2166" spans="16:34" s="185" customFormat="1">
      <c r="P2166" s="277"/>
      <c r="Q2166" s="277"/>
      <c r="R2166" s="277"/>
      <c r="S2166" s="291">
        <v>43722</v>
      </c>
      <c r="T2166" s="279">
        <v>2083</v>
      </c>
      <c r="U2166" s="277"/>
      <c r="V2166" s="277"/>
      <c r="W2166" s="277"/>
      <c r="X2166" s="277"/>
      <c r="Y2166" s="277"/>
      <c r="Z2166" s="277"/>
      <c r="AA2166" s="277"/>
      <c r="AB2166" s="277"/>
      <c r="AC2166" s="277"/>
      <c r="AD2166" s="277"/>
      <c r="AE2166" s="277"/>
      <c r="AF2166" s="277"/>
      <c r="AG2166" s="277"/>
      <c r="AH2166" s="277"/>
    </row>
    <row r="2167" spans="16:34" s="185" customFormat="1">
      <c r="P2167" s="277"/>
      <c r="Q2167" s="277"/>
      <c r="R2167" s="277"/>
      <c r="S2167" s="291">
        <v>43723</v>
      </c>
      <c r="T2167" s="279">
        <v>2084</v>
      </c>
      <c r="U2167" s="277"/>
      <c r="V2167" s="277"/>
      <c r="W2167" s="277"/>
      <c r="X2167" s="277"/>
      <c r="Y2167" s="277"/>
      <c r="Z2167" s="277"/>
      <c r="AA2167" s="277"/>
      <c r="AB2167" s="277"/>
      <c r="AC2167" s="277"/>
      <c r="AD2167" s="277"/>
      <c r="AE2167" s="277"/>
      <c r="AF2167" s="277"/>
      <c r="AG2167" s="277"/>
      <c r="AH2167" s="277"/>
    </row>
    <row r="2168" spans="16:34" s="185" customFormat="1">
      <c r="P2168" s="277"/>
      <c r="Q2168" s="277"/>
      <c r="R2168" s="277"/>
      <c r="S2168" s="291">
        <v>43724</v>
      </c>
      <c r="T2168" s="279">
        <v>2085</v>
      </c>
      <c r="U2168" s="277"/>
      <c r="V2168" s="277"/>
      <c r="W2168" s="277"/>
      <c r="X2168" s="277"/>
      <c r="Y2168" s="277"/>
      <c r="Z2168" s="277"/>
      <c r="AA2168" s="277"/>
      <c r="AB2168" s="277"/>
      <c r="AC2168" s="277"/>
      <c r="AD2168" s="277"/>
      <c r="AE2168" s="277"/>
      <c r="AF2168" s="277"/>
      <c r="AG2168" s="277"/>
      <c r="AH2168" s="277"/>
    </row>
    <row r="2169" spans="16:34" s="185" customFormat="1">
      <c r="P2169" s="277"/>
      <c r="Q2169" s="277"/>
      <c r="R2169" s="277"/>
      <c r="S2169" s="291">
        <v>43725</v>
      </c>
      <c r="T2169" s="279">
        <v>2086</v>
      </c>
      <c r="U2169" s="277"/>
      <c r="V2169" s="277"/>
      <c r="W2169" s="277"/>
      <c r="X2169" s="277"/>
      <c r="Y2169" s="277"/>
      <c r="Z2169" s="277"/>
      <c r="AA2169" s="277"/>
      <c r="AB2169" s="277"/>
      <c r="AC2169" s="277"/>
      <c r="AD2169" s="277"/>
      <c r="AE2169" s="277"/>
      <c r="AF2169" s="277"/>
      <c r="AG2169" s="277"/>
      <c r="AH2169" s="277"/>
    </row>
    <row r="2170" spans="16:34" s="185" customFormat="1">
      <c r="P2170" s="277"/>
      <c r="Q2170" s="277"/>
      <c r="R2170" s="277"/>
      <c r="S2170" s="291">
        <v>43726</v>
      </c>
      <c r="T2170" s="279">
        <v>2087</v>
      </c>
      <c r="U2170" s="277"/>
      <c r="V2170" s="277"/>
      <c r="W2170" s="277"/>
      <c r="X2170" s="277"/>
      <c r="Y2170" s="277"/>
      <c r="Z2170" s="277"/>
      <c r="AA2170" s="277"/>
      <c r="AB2170" s="277"/>
      <c r="AC2170" s="277"/>
      <c r="AD2170" s="277"/>
      <c r="AE2170" s="277"/>
      <c r="AF2170" s="277"/>
      <c r="AG2170" s="277"/>
      <c r="AH2170" s="277"/>
    </row>
    <row r="2171" spans="16:34" s="185" customFormat="1">
      <c r="P2171" s="277"/>
      <c r="Q2171" s="277"/>
      <c r="R2171" s="277"/>
      <c r="S2171" s="291">
        <v>43727</v>
      </c>
      <c r="T2171" s="279">
        <v>2088</v>
      </c>
      <c r="U2171" s="277"/>
      <c r="V2171" s="277"/>
      <c r="W2171" s="277"/>
      <c r="X2171" s="277"/>
      <c r="Y2171" s="277"/>
      <c r="Z2171" s="277"/>
      <c r="AA2171" s="277"/>
      <c r="AB2171" s="277"/>
      <c r="AC2171" s="277"/>
      <c r="AD2171" s="277"/>
      <c r="AE2171" s="277"/>
      <c r="AF2171" s="277"/>
      <c r="AG2171" s="277"/>
      <c r="AH2171" s="277"/>
    </row>
    <row r="2172" spans="16:34" s="185" customFormat="1">
      <c r="P2172" s="277"/>
      <c r="Q2172" s="277"/>
      <c r="R2172" s="277"/>
      <c r="S2172" s="291">
        <v>43728</v>
      </c>
      <c r="T2172" s="279">
        <v>2089</v>
      </c>
      <c r="U2172" s="277"/>
      <c r="V2172" s="277"/>
      <c r="W2172" s="277"/>
      <c r="X2172" s="277"/>
      <c r="Y2172" s="277"/>
      <c r="Z2172" s="277"/>
      <c r="AA2172" s="277"/>
      <c r="AB2172" s="277"/>
      <c r="AC2172" s="277"/>
      <c r="AD2172" s="277"/>
      <c r="AE2172" s="277"/>
      <c r="AF2172" s="277"/>
      <c r="AG2172" s="277"/>
      <c r="AH2172" s="277"/>
    </row>
    <row r="2173" spans="16:34" s="185" customFormat="1">
      <c r="P2173" s="277"/>
      <c r="Q2173" s="277"/>
      <c r="R2173" s="277"/>
      <c r="S2173" s="291">
        <v>43729</v>
      </c>
      <c r="T2173" s="279">
        <v>2090</v>
      </c>
      <c r="U2173" s="277"/>
      <c r="V2173" s="277"/>
      <c r="W2173" s="277"/>
      <c r="X2173" s="277"/>
      <c r="Y2173" s="277"/>
      <c r="Z2173" s="277"/>
      <c r="AA2173" s="277"/>
      <c r="AB2173" s="277"/>
      <c r="AC2173" s="277"/>
      <c r="AD2173" s="277"/>
      <c r="AE2173" s="277"/>
      <c r="AF2173" s="277"/>
      <c r="AG2173" s="277"/>
      <c r="AH2173" s="277"/>
    </row>
    <row r="2174" spans="16:34" s="185" customFormat="1">
      <c r="P2174" s="277"/>
      <c r="Q2174" s="277"/>
      <c r="R2174" s="277"/>
      <c r="S2174" s="291">
        <v>43730</v>
      </c>
      <c r="T2174" s="279">
        <v>2091</v>
      </c>
      <c r="U2174" s="277"/>
      <c r="V2174" s="277"/>
      <c r="W2174" s="277"/>
      <c r="X2174" s="277"/>
      <c r="Y2174" s="277"/>
      <c r="Z2174" s="277"/>
      <c r="AA2174" s="277"/>
      <c r="AB2174" s="277"/>
      <c r="AC2174" s="277"/>
      <c r="AD2174" s="277"/>
      <c r="AE2174" s="277"/>
      <c r="AF2174" s="277"/>
      <c r="AG2174" s="277"/>
      <c r="AH2174" s="277"/>
    </row>
    <row r="2175" spans="16:34" s="185" customFormat="1">
      <c r="P2175" s="277"/>
      <c r="Q2175" s="277"/>
      <c r="R2175" s="277"/>
      <c r="S2175" s="291">
        <v>43731</v>
      </c>
      <c r="T2175" s="279">
        <v>2092</v>
      </c>
      <c r="U2175" s="277"/>
      <c r="V2175" s="277"/>
      <c r="W2175" s="277"/>
      <c r="X2175" s="277"/>
      <c r="Y2175" s="277"/>
      <c r="Z2175" s="277"/>
      <c r="AA2175" s="277"/>
      <c r="AB2175" s="277"/>
      <c r="AC2175" s="277"/>
      <c r="AD2175" s="277"/>
      <c r="AE2175" s="277"/>
      <c r="AF2175" s="277"/>
      <c r="AG2175" s="277"/>
      <c r="AH2175" s="277"/>
    </row>
    <row r="2176" spans="16:34" s="185" customFormat="1">
      <c r="P2176" s="277"/>
      <c r="Q2176" s="277"/>
      <c r="R2176" s="277"/>
      <c r="S2176" s="291">
        <v>43732</v>
      </c>
      <c r="T2176" s="279">
        <v>2093</v>
      </c>
      <c r="U2176" s="277"/>
      <c r="V2176" s="277"/>
      <c r="W2176" s="277"/>
      <c r="X2176" s="277"/>
      <c r="Y2176" s="277"/>
      <c r="Z2176" s="277"/>
      <c r="AA2176" s="277"/>
      <c r="AB2176" s="277"/>
      <c r="AC2176" s="277"/>
      <c r="AD2176" s="277"/>
      <c r="AE2176" s="277"/>
      <c r="AF2176" s="277"/>
      <c r="AG2176" s="277"/>
      <c r="AH2176" s="277"/>
    </row>
    <row r="2177" spans="16:34" s="185" customFormat="1">
      <c r="P2177" s="277"/>
      <c r="Q2177" s="277"/>
      <c r="R2177" s="277"/>
      <c r="S2177" s="291">
        <v>43733</v>
      </c>
      <c r="T2177" s="279">
        <v>2094</v>
      </c>
      <c r="U2177" s="277"/>
      <c r="V2177" s="277"/>
      <c r="W2177" s="277"/>
      <c r="X2177" s="277"/>
      <c r="Y2177" s="277"/>
      <c r="Z2177" s="277"/>
      <c r="AA2177" s="277"/>
      <c r="AB2177" s="277"/>
      <c r="AC2177" s="277"/>
      <c r="AD2177" s="277"/>
      <c r="AE2177" s="277"/>
      <c r="AF2177" s="277"/>
      <c r="AG2177" s="277"/>
      <c r="AH2177" s="277"/>
    </row>
    <row r="2178" spans="16:34" s="185" customFormat="1">
      <c r="P2178" s="277"/>
      <c r="Q2178" s="277"/>
      <c r="R2178" s="277"/>
      <c r="S2178" s="291">
        <v>43734</v>
      </c>
      <c r="T2178" s="279">
        <v>2095</v>
      </c>
      <c r="U2178" s="277"/>
      <c r="V2178" s="277"/>
      <c r="W2178" s="277"/>
      <c r="X2178" s="277"/>
      <c r="Y2178" s="277"/>
      <c r="Z2178" s="277"/>
      <c r="AA2178" s="277"/>
      <c r="AB2178" s="277"/>
      <c r="AC2178" s="277"/>
      <c r="AD2178" s="277"/>
      <c r="AE2178" s="277"/>
      <c r="AF2178" s="277"/>
      <c r="AG2178" s="277"/>
      <c r="AH2178" s="277"/>
    </row>
    <row r="2179" spans="16:34" s="185" customFormat="1">
      <c r="P2179" s="277"/>
      <c r="Q2179" s="277"/>
      <c r="R2179" s="277"/>
      <c r="S2179" s="291">
        <v>43735</v>
      </c>
      <c r="T2179" s="279">
        <v>2096</v>
      </c>
      <c r="U2179" s="277"/>
      <c r="V2179" s="277"/>
      <c r="W2179" s="277"/>
      <c r="X2179" s="277"/>
      <c r="Y2179" s="277"/>
      <c r="Z2179" s="277"/>
      <c r="AA2179" s="277"/>
      <c r="AB2179" s="277"/>
      <c r="AC2179" s="277"/>
      <c r="AD2179" s="277"/>
      <c r="AE2179" s="277"/>
      <c r="AF2179" s="277"/>
      <c r="AG2179" s="277"/>
      <c r="AH2179" s="277"/>
    </row>
    <row r="2180" spans="16:34" s="185" customFormat="1">
      <c r="P2180" s="277"/>
      <c r="Q2180" s="277"/>
      <c r="R2180" s="277"/>
      <c r="S2180" s="291">
        <v>43736</v>
      </c>
      <c r="T2180" s="279">
        <v>2097</v>
      </c>
      <c r="U2180" s="277"/>
      <c r="V2180" s="277"/>
      <c r="W2180" s="277"/>
      <c r="X2180" s="277"/>
      <c r="Y2180" s="277"/>
      <c r="Z2180" s="277"/>
      <c r="AA2180" s="277"/>
      <c r="AB2180" s="277"/>
      <c r="AC2180" s="277"/>
      <c r="AD2180" s="277"/>
      <c r="AE2180" s="277"/>
      <c r="AF2180" s="277"/>
      <c r="AG2180" s="277"/>
      <c r="AH2180" s="277"/>
    </row>
    <row r="2181" spans="16:34" s="185" customFormat="1">
      <c r="P2181" s="277"/>
      <c r="Q2181" s="277"/>
      <c r="R2181" s="277"/>
      <c r="S2181" s="291">
        <v>43737</v>
      </c>
      <c r="T2181" s="279">
        <v>2098</v>
      </c>
      <c r="U2181" s="277"/>
      <c r="V2181" s="277"/>
      <c r="W2181" s="277"/>
      <c r="X2181" s="277"/>
      <c r="Y2181" s="277"/>
      <c r="Z2181" s="277"/>
      <c r="AA2181" s="277"/>
      <c r="AB2181" s="277"/>
      <c r="AC2181" s="277"/>
      <c r="AD2181" s="277"/>
      <c r="AE2181" s="277"/>
      <c r="AF2181" s="277"/>
      <c r="AG2181" s="277"/>
      <c r="AH2181" s="277"/>
    </row>
    <row r="2182" spans="16:34" s="185" customFormat="1">
      <c r="P2182" s="277"/>
      <c r="Q2182" s="277"/>
      <c r="R2182" s="277"/>
      <c r="S2182" s="291">
        <v>43738</v>
      </c>
      <c r="T2182" s="279">
        <v>2099</v>
      </c>
      <c r="U2182" s="277"/>
      <c r="V2182" s="277"/>
      <c r="W2182" s="277"/>
      <c r="X2182" s="277"/>
      <c r="Y2182" s="277"/>
      <c r="Z2182" s="277"/>
      <c r="AA2182" s="277"/>
      <c r="AB2182" s="277"/>
      <c r="AC2182" s="277"/>
      <c r="AD2182" s="277"/>
      <c r="AE2182" s="277"/>
      <c r="AF2182" s="277"/>
      <c r="AG2182" s="277"/>
      <c r="AH2182" s="277"/>
    </row>
    <row r="2183" spans="16:34" s="185" customFormat="1">
      <c r="P2183" s="277"/>
      <c r="Q2183" s="277"/>
      <c r="R2183" s="277"/>
      <c r="S2183" s="291">
        <v>43739</v>
      </c>
      <c r="T2183" s="279">
        <v>2100</v>
      </c>
      <c r="U2183" s="277"/>
      <c r="V2183" s="277"/>
      <c r="W2183" s="277"/>
      <c r="X2183" s="277"/>
      <c r="Y2183" s="277"/>
      <c r="Z2183" s="277"/>
      <c r="AA2183" s="277"/>
      <c r="AB2183" s="277"/>
      <c r="AC2183" s="277"/>
      <c r="AD2183" s="277"/>
      <c r="AE2183" s="277"/>
      <c r="AF2183" s="277"/>
      <c r="AG2183" s="277"/>
      <c r="AH2183" s="277"/>
    </row>
    <row r="2184" spans="16:34" s="185" customFormat="1">
      <c r="P2184" s="277"/>
      <c r="Q2184" s="277"/>
      <c r="R2184" s="277"/>
      <c r="S2184" s="291">
        <v>43740</v>
      </c>
      <c r="T2184" s="279">
        <v>2101</v>
      </c>
      <c r="U2184" s="277"/>
      <c r="V2184" s="277"/>
      <c r="W2184" s="277"/>
      <c r="X2184" s="277"/>
      <c r="Y2184" s="277"/>
      <c r="Z2184" s="277"/>
      <c r="AA2184" s="277"/>
      <c r="AB2184" s="277"/>
      <c r="AC2184" s="277"/>
      <c r="AD2184" s="277"/>
      <c r="AE2184" s="277"/>
      <c r="AF2184" s="277"/>
      <c r="AG2184" s="277"/>
      <c r="AH2184" s="277"/>
    </row>
    <row r="2185" spans="16:34" s="185" customFormat="1">
      <c r="P2185" s="277"/>
      <c r="Q2185" s="277"/>
      <c r="R2185" s="277"/>
      <c r="S2185" s="291">
        <v>43741</v>
      </c>
      <c r="T2185" s="279">
        <v>2102</v>
      </c>
      <c r="U2185" s="277"/>
      <c r="V2185" s="277"/>
      <c r="W2185" s="277"/>
      <c r="X2185" s="277"/>
      <c r="Y2185" s="277"/>
      <c r="Z2185" s="277"/>
      <c r="AA2185" s="277"/>
      <c r="AB2185" s="277"/>
      <c r="AC2185" s="277"/>
      <c r="AD2185" s="277"/>
      <c r="AE2185" s="277"/>
      <c r="AF2185" s="277"/>
      <c r="AG2185" s="277"/>
      <c r="AH2185" s="277"/>
    </row>
    <row r="2186" spans="16:34" s="185" customFormat="1">
      <c r="P2186" s="277"/>
      <c r="Q2186" s="277"/>
      <c r="R2186" s="277"/>
      <c r="S2186" s="291">
        <v>43742</v>
      </c>
      <c r="T2186" s="279">
        <v>2103</v>
      </c>
      <c r="U2186" s="277"/>
      <c r="V2186" s="277"/>
      <c r="W2186" s="277"/>
      <c r="X2186" s="277"/>
      <c r="Y2186" s="277"/>
      <c r="Z2186" s="277"/>
      <c r="AA2186" s="277"/>
      <c r="AB2186" s="277"/>
      <c r="AC2186" s="277"/>
      <c r="AD2186" s="277"/>
      <c r="AE2186" s="277"/>
      <c r="AF2186" s="277"/>
      <c r="AG2186" s="277"/>
      <c r="AH2186" s="277"/>
    </row>
    <row r="2187" spans="16:34" s="185" customFormat="1">
      <c r="P2187" s="277"/>
      <c r="Q2187" s="277"/>
      <c r="R2187" s="277"/>
      <c r="S2187" s="291">
        <v>43743</v>
      </c>
      <c r="T2187" s="279">
        <v>2104</v>
      </c>
      <c r="U2187" s="277"/>
      <c r="V2187" s="277"/>
      <c r="W2187" s="277"/>
      <c r="X2187" s="277"/>
      <c r="Y2187" s="277"/>
      <c r="Z2187" s="277"/>
      <c r="AA2187" s="277"/>
      <c r="AB2187" s="277"/>
      <c r="AC2187" s="277"/>
      <c r="AD2187" s="277"/>
      <c r="AE2187" s="277"/>
      <c r="AF2187" s="277"/>
      <c r="AG2187" s="277"/>
      <c r="AH2187" s="277"/>
    </row>
    <row r="2188" spans="16:34" s="185" customFormat="1">
      <c r="P2188" s="277"/>
      <c r="Q2188" s="277"/>
      <c r="R2188" s="277"/>
      <c r="S2188" s="291">
        <v>43744</v>
      </c>
      <c r="T2188" s="279">
        <v>2105</v>
      </c>
      <c r="U2188" s="277"/>
      <c r="V2188" s="277"/>
      <c r="W2188" s="277"/>
      <c r="X2188" s="277"/>
      <c r="Y2188" s="277"/>
      <c r="Z2188" s="277"/>
      <c r="AA2188" s="277"/>
      <c r="AB2188" s="277"/>
      <c r="AC2188" s="277"/>
      <c r="AD2188" s="277"/>
      <c r="AE2188" s="277"/>
      <c r="AF2188" s="277"/>
      <c r="AG2188" s="277"/>
      <c r="AH2188" s="277"/>
    </row>
    <row r="2189" spans="16:34" s="185" customFormat="1">
      <c r="P2189" s="277"/>
      <c r="Q2189" s="277"/>
      <c r="R2189" s="277"/>
      <c r="S2189" s="291">
        <v>43745</v>
      </c>
      <c r="T2189" s="279">
        <v>2106</v>
      </c>
      <c r="U2189" s="277"/>
      <c r="V2189" s="277"/>
      <c r="W2189" s="277"/>
      <c r="X2189" s="277"/>
      <c r="Y2189" s="277"/>
      <c r="Z2189" s="277"/>
      <c r="AA2189" s="277"/>
      <c r="AB2189" s="277"/>
      <c r="AC2189" s="277"/>
      <c r="AD2189" s="277"/>
      <c r="AE2189" s="277"/>
      <c r="AF2189" s="277"/>
      <c r="AG2189" s="277"/>
      <c r="AH2189" s="277"/>
    </row>
    <row r="2190" spans="16:34" s="185" customFormat="1">
      <c r="P2190" s="277"/>
      <c r="Q2190" s="277"/>
      <c r="R2190" s="277"/>
      <c r="S2190" s="291">
        <v>43746</v>
      </c>
      <c r="T2190" s="279">
        <v>2107</v>
      </c>
      <c r="U2190" s="277"/>
      <c r="V2190" s="277"/>
      <c r="W2190" s="277"/>
      <c r="X2190" s="277"/>
      <c r="Y2190" s="277"/>
      <c r="Z2190" s="277"/>
      <c r="AA2190" s="277"/>
      <c r="AB2190" s="277"/>
      <c r="AC2190" s="277"/>
      <c r="AD2190" s="277"/>
      <c r="AE2190" s="277"/>
      <c r="AF2190" s="277"/>
      <c r="AG2190" s="277"/>
      <c r="AH2190" s="277"/>
    </row>
    <row r="2191" spans="16:34" s="185" customFormat="1">
      <c r="P2191" s="277"/>
      <c r="Q2191" s="277"/>
      <c r="R2191" s="277"/>
      <c r="S2191" s="291">
        <v>43747</v>
      </c>
      <c r="T2191" s="279">
        <v>2108</v>
      </c>
      <c r="U2191" s="277"/>
      <c r="V2191" s="277"/>
      <c r="W2191" s="277"/>
      <c r="X2191" s="277"/>
      <c r="Y2191" s="277"/>
      <c r="Z2191" s="277"/>
      <c r="AA2191" s="277"/>
      <c r="AB2191" s="277"/>
      <c r="AC2191" s="277"/>
      <c r="AD2191" s="277"/>
      <c r="AE2191" s="277"/>
      <c r="AF2191" s="277"/>
      <c r="AG2191" s="277"/>
      <c r="AH2191" s="277"/>
    </row>
    <row r="2192" spans="16:34" s="185" customFormat="1">
      <c r="P2192" s="277"/>
      <c r="Q2192" s="277"/>
      <c r="R2192" s="277"/>
      <c r="S2192" s="291">
        <v>43748</v>
      </c>
      <c r="T2192" s="279">
        <v>2109</v>
      </c>
      <c r="U2192" s="277"/>
      <c r="V2192" s="277"/>
      <c r="W2192" s="277"/>
      <c r="X2192" s="277"/>
      <c r="Y2192" s="277"/>
      <c r="Z2192" s="277"/>
      <c r="AA2192" s="277"/>
      <c r="AB2192" s="277"/>
      <c r="AC2192" s="277"/>
      <c r="AD2192" s="277"/>
      <c r="AE2192" s="277"/>
      <c r="AF2192" s="277"/>
      <c r="AG2192" s="277"/>
      <c r="AH2192" s="277"/>
    </row>
    <row r="2193" spans="16:34" s="185" customFormat="1">
      <c r="P2193" s="277"/>
      <c r="Q2193" s="277"/>
      <c r="R2193" s="277"/>
      <c r="S2193" s="291">
        <v>43749</v>
      </c>
      <c r="T2193" s="279">
        <v>2110</v>
      </c>
      <c r="U2193" s="277"/>
      <c r="V2193" s="277"/>
      <c r="W2193" s="277"/>
      <c r="X2193" s="277"/>
      <c r="Y2193" s="277"/>
      <c r="Z2193" s="277"/>
      <c r="AA2193" s="277"/>
      <c r="AB2193" s="277"/>
      <c r="AC2193" s="277"/>
      <c r="AD2193" s="277"/>
      <c r="AE2193" s="277"/>
      <c r="AF2193" s="277"/>
      <c r="AG2193" s="277"/>
      <c r="AH2193" s="277"/>
    </row>
    <row r="2194" spans="16:34" s="185" customFormat="1">
      <c r="P2194" s="277"/>
      <c r="Q2194" s="277"/>
      <c r="R2194" s="277"/>
      <c r="S2194" s="291">
        <v>43750</v>
      </c>
      <c r="T2194" s="279">
        <v>2111</v>
      </c>
      <c r="U2194" s="277"/>
      <c r="V2194" s="277"/>
      <c r="W2194" s="277"/>
      <c r="X2194" s="277"/>
      <c r="Y2194" s="277"/>
      <c r="Z2194" s="277"/>
      <c r="AA2194" s="277"/>
      <c r="AB2194" s="277"/>
      <c r="AC2194" s="277"/>
      <c r="AD2194" s="277"/>
      <c r="AE2194" s="277"/>
      <c r="AF2194" s="277"/>
      <c r="AG2194" s="277"/>
      <c r="AH2194" s="277"/>
    </row>
    <row r="2195" spans="16:34" s="185" customFormat="1">
      <c r="P2195" s="277"/>
      <c r="Q2195" s="277"/>
      <c r="R2195" s="277"/>
      <c r="S2195" s="291">
        <v>43751</v>
      </c>
      <c r="T2195" s="279">
        <v>2112</v>
      </c>
      <c r="U2195" s="277"/>
      <c r="V2195" s="277"/>
      <c r="W2195" s="277"/>
      <c r="X2195" s="277"/>
      <c r="Y2195" s="277"/>
      <c r="Z2195" s="277"/>
      <c r="AA2195" s="277"/>
      <c r="AB2195" s="277"/>
      <c r="AC2195" s="277"/>
      <c r="AD2195" s="277"/>
      <c r="AE2195" s="277"/>
      <c r="AF2195" s="277"/>
      <c r="AG2195" s="277"/>
      <c r="AH2195" s="277"/>
    </row>
    <row r="2196" spans="16:34" s="185" customFormat="1">
      <c r="P2196" s="277"/>
      <c r="Q2196" s="277"/>
      <c r="R2196" s="277"/>
      <c r="S2196" s="291">
        <v>43752</v>
      </c>
      <c r="T2196" s="279">
        <v>2113</v>
      </c>
      <c r="U2196" s="277"/>
      <c r="V2196" s="277"/>
      <c r="W2196" s="277"/>
      <c r="X2196" s="277"/>
      <c r="Y2196" s="277"/>
      <c r="Z2196" s="277"/>
      <c r="AA2196" s="277"/>
      <c r="AB2196" s="277"/>
      <c r="AC2196" s="277"/>
      <c r="AD2196" s="277"/>
      <c r="AE2196" s="277"/>
      <c r="AF2196" s="277"/>
      <c r="AG2196" s="277"/>
      <c r="AH2196" s="277"/>
    </row>
    <row r="2197" spans="16:34" s="185" customFormat="1">
      <c r="P2197" s="277"/>
      <c r="Q2197" s="277"/>
      <c r="R2197" s="277"/>
      <c r="S2197" s="291">
        <v>43753</v>
      </c>
      <c r="T2197" s="279">
        <v>2114</v>
      </c>
      <c r="U2197" s="277"/>
      <c r="V2197" s="277"/>
      <c r="W2197" s="277"/>
      <c r="X2197" s="277"/>
      <c r="Y2197" s="277"/>
      <c r="Z2197" s="277"/>
      <c r="AA2197" s="277"/>
      <c r="AB2197" s="277"/>
      <c r="AC2197" s="277"/>
      <c r="AD2197" s="277"/>
      <c r="AE2197" s="277"/>
      <c r="AF2197" s="277"/>
      <c r="AG2197" s="277"/>
      <c r="AH2197" s="277"/>
    </row>
    <row r="2198" spans="16:34" s="185" customFormat="1">
      <c r="P2198" s="277"/>
      <c r="Q2198" s="277"/>
      <c r="R2198" s="277"/>
      <c r="S2198" s="291">
        <v>43754</v>
      </c>
      <c r="T2198" s="279">
        <v>2115</v>
      </c>
      <c r="U2198" s="277"/>
      <c r="V2198" s="277"/>
      <c r="W2198" s="277"/>
      <c r="X2198" s="277"/>
      <c r="Y2198" s="277"/>
      <c r="Z2198" s="277"/>
      <c r="AA2198" s="277"/>
      <c r="AB2198" s="277"/>
      <c r="AC2198" s="277"/>
      <c r="AD2198" s="277"/>
      <c r="AE2198" s="277"/>
      <c r="AF2198" s="277"/>
      <c r="AG2198" s="277"/>
      <c r="AH2198" s="277"/>
    </row>
    <row r="2199" spans="16:34" s="185" customFormat="1">
      <c r="P2199" s="277"/>
      <c r="Q2199" s="277"/>
      <c r="R2199" s="277"/>
      <c r="S2199" s="291">
        <v>43755</v>
      </c>
      <c r="T2199" s="279">
        <v>2116</v>
      </c>
      <c r="U2199" s="277"/>
      <c r="V2199" s="277"/>
      <c r="W2199" s="277"/>
      <c r="X2199" s="277"/>
      <c r="Y2199" s="277"/>
      <c r="Z2199" s="277"/>
      <c r="AA2199" s="277"/>
      <c r="AB2199" s="277"/>
      <c r="AC2199" s="277"/>
      <c r="AD2199" s="277"/>
      <c r="AE2199" s="277"/>
      <c r="AF2199" s="277"/>
      <c r="AG2199" s="277"/>
      <c r="AH2199" s="277"/>
    </row>
    <row r="2200" spans="16:34" s="185" customFormat="1">
      <c r="P2200" s="277"/>
      <c r="Q2200" s="277"/>
      <c r="R2200" s="277"/>
      <c r="S2200" s="291">
        <v>43756</v>
      </c>
      <c r="T2200" s="279">
        <v>2117</v>
      </c>
      <c r="U2200" s="277"/>
      <c r="V2200" s="277"/>
      <c r="W2200" s="277"/>
      <c r="X2200" s="277"/>
      <c r="Y2200" s="277"/>
      <c r="Z2200" s="277"/>
      <c r="AA2200" s="277"/>
      <c r="AB2200" s="277"/>
      <c r="AC2200" s="277"/>
      <c r="AD2200" s="277"/>
      <c r="AE2200" s="277"/>
      <c r="AF2200" s="277"/>
      <c r="AG2200" s="277"/>
      <c r="AH2200" s="277"/>
    </row>
    <row r="2201" spans="16:34" s="185" customFormat="1">
      <c r="P2201" s="277"/>
      <c r="Q2201" s="277"/>
      <c r="R2201" s="277"/>
      <c r="S2201" s="291">
        <v>43757</v>
      </c>
      <c r="T2201" s="279">
        <v>2118</v>
      </c>
      <c r="U2201" s="277"/>
      <c r="V2201" s="277"/>
      <c r="W2201" s="277"/>
      <c r="X2201" s="277"/>
      <c r="Y2201" s="277"/>
      <c r="Z2201" s="277"/>
      <c r="AA2201" s="277"/>
      <c r="AB2201" s="277"/>
      <c r="AC2201" s="277"/>
      <c r="AD2201" s="277"/>
      <c r="AE2201" s="277"/>
      <c r="AF2201" s="277"/>
      <c r="AG2201" s="277"/>
      <c r="AH2201" s="277"/>
    </row>
    <row r="2202" spans="16:34" s="185" customFormat="1">
      <c r="P2202" s="277"/>
      <c r="Q2202" s="277"/>
      <c r="R2202" s="277"/>
      <c r="S2202" s="291">
        <v>43758</v>
      </c>
      <c r="T2202" s="279">
        <v>2119</v>
      </c>
      <c r="U2202" s="277"/>
      <c r="V2202" s="277"/>
      <c r="W2202" s="277"/>
      <c r="X2202" s="277"/>
      <c r="Y2202" s="277"/>
      <c r="Z2202" s="277"/>
      <c r="AA2202" s="277"/>
      <c r="AB2202" s="277"/>
      <c r="AC2202" s="277"/>
      <c r="AD2202" s="277"/>
      <c r="AE2202" s="277"/>
      <c r="AF2202" s="277"/>
      <c r="AG2202" s="277"/>
      <c r="AH2202" s="277"/>
    </row>
    <row r="2203" spans="16:34" s="185" customFormat="1">
      <c r="P2203" s="277"/>
      <c r="Q2203" s="277"/>
      <c r="R2203" s="277"/>
      <c r="S2203" s="291">
        <v>43759</v>
      </c>
      <c r="T2203" s="279">
        <v>2120</v>
      </c>
      <c r="U2203" s="277"/>
      <c r="V2203" s="277"/>
      <c r="W2203" s="277"/>
      <c r="X2203" s="277"/>
      <c r="Y2203" s="277"/>
      <c r="Z2203" s="277"/>
      <c r="AA2203" s="277"/>
      <c r="AB2203" s="277"/>
      <c r="AC2203" s="277"/>
      <c r="AD2203" s="277"/>
      <c r="AE2203" s="277"/>
      <c r="AF2203" s="277"/>
      <c r="AG2203" s="277"/>
      <c r="AH2203" s="277"/>
    </row>
    <row r="2204" spans="16:34" s="185" customFormat="1">
      <c r="P2204" s="277"/>
      <c r="Q2204" s="277"/>
      <c r="R2204" s="277"/>
      <c r="S2204" s="291">
        <v>43760</v>
      </c>
      <c r="T2204" s="279">
        <v>2121</v>
      </c>
      <c r="U2204" s="277"/>
      <c r="V2204" s="277"/>
      <c r="W2204" s="277"/>
      <c r="X2204" s="277"/>
      <c r="Y2204" s="277"/>
      <c r="Z2204" s="277"/>
      <c r="AA2204" s="277"/>
      <c r="AB2204" s="277"/>
      <c r="AC2204" s="277"/>
      <c r="AD2204" s="277"/>
      <c r="AE2204" s="277"/>
      <c r="AF2204" s="277"/>
      <c r="AG2204" s="277"/>
      <c r="AH2204" s="277"/>
    </row>
    <row r="2205" spans="16:34" s="185" customFormat="1">
      <c r="P2205" s="277"/>
      <c r="Q2205" s="277"/>
      <c r="R2205" s="277"/>
      <c r="S2205" s="291">
        <v>43761</v>
      </c>
      <c r="T2205" s="279">
        <v>2122</v>
      </c>
      <c r="U2205" s="277"/>
      <c r="V2205" s="277"/>
      <c r="W2205" s="277"/>
      <c r="X2205" s="277"/>
      <c r="Y2205" s="277"/>
      <c r="Z2205" s="277"/>
      <c r="AA2205" s="277"/>
      <c r="AB2205" s="277"/>
      <c r="AC2205" s="277"/>
      <c r="AD2205" s="277"/>
      <c r="AE2205" s="277"/>
      <c r="AF2205" s="277"/>
      <c r="AG2205" s="277"/>
      <c r="AH2205" s="277"/>
    </row>
    <row r="2206" spans="16:34" s="185" customFormat="1">
      <c r="P2206" s="277"/>
      <c r="Q2206" s="277"/>
      <c r="R2206" s="277"/>
      <c r="S2206" s="291">
        <v>43762</v>
      </c>
      <c r="T2206" s="279">
        <v>2123</v>
      </c>
      <c r="U2206" s="277"/>
      <c r="V2206" s="277"/>
      <c r="W2206" s="277"/>
      <c r="X2206" s="277"/>
      <c r="Y2206" s="277"/>
      <c r="Z2206" s="277"/>
      <c r="AA2206" s="277"/>
      <c r="AB2206" s="277"/>
      <c r="AC2206" s="277"/>
      <c r="AD2206" s="277"/>
      <c r="AE2206" s="277"/>
      <c r="AF2206" s="277"/>
      <c r="AG2206" s="277"/>
      <c r="AH2206" s="277"/>
    </row>
    <row r="2207" spans="16:34" s="185" customFormat="1">
      <c r="P2207" s="277"/>
      <c r="Q2207" s="277"/>
      <c r="R2207" s="277"/>
      <c r="S2207" s="291">
        <v>43763</v>
      </c>
      <c r="T2207" s="279">
        <v>2124</v>
      </c>
      <c r="U2207" s="277"/>
      <c r="V2207" s="277"/>
      <c r="W2207" s="277"/>
      <c r="X2207" s="277"/>
      <c r="Y2207" s="277"/>
      <c r="Z2207" s="277"/>
      <c r="AA2207" s="277"/>
      <c r="AB2207" s="277"/>
      <c r="AC2207" s="277"/>
      <c r="AD2207" s="277"/>
      <c r="AE2207" s="277"/>
      <c r="AF2207" s="277"/>
      <c r="AG2207" s="277"/>
      <c r="AH2207" s="277"/>
    </row>
    <row r="2208" spans="16:34" s="185" customFormat="1">
      <c r="P2208" s="277"/>
      <c r="Q2208" s="277"/>
      <c r="R2208" s="277"/>
      <c r="S2208" s="291">
        <v>43764</v>
      </c>
      <c r="T2208" s="279">
        <v>2125</v>
      </c>
      <c r="U2208" s="277"/>
      <c r="V2208" s="277"/>
      <c r="W2208" s="277"/>
      <c r="X2208" s="277"/>
      <c r="Y2208" s="277"/>
      <c r="Z2208" s="277"/>
      <c r="AA2208" s="277"/>
      <c r="AB2208" s="277"/>
      <c r="AC2208" s="277"/>
      <c r="AD2208" s="277"/>
      <c r="AE2208" s="277"/>
      <c r="AF2208" s="277"/>
      <c r="AG2208" s="277"/>
      <c r="AH2208" s="277"/>
    </row>
    <row r="2209" spans="16:34" s="185" customFormat="1">
      <c r="P2209" s="277"/>
      <c r="Q2209" s="277"/>
      <c r="R2209" s="277"/>
      <c r="S2209" s="291">
        <v>43765</v>
      </c>
      <c r="T2209" s="279">
        <v>2126</v>
      </c>
      <c r="U2209" s="277"/>
      <c r="V2209" s="277"/>
      <c r="W2209" s="277"/>
      <c r="X2209" s="277"/>
      <c r="Y2209" s="277"/>
      <c r="Z2209" s="277"/>
      <c r="AA2209" s="277"/>
      <c r="AB2209" s="277"/>
      <c r="AC2209" s="277"/>
      <c r="AD2209" s="277"/>
      <c r="AE2209" s="277"/>
      <c r="AF2209" s="277"/>
      <c r="AG2209" s="277"/>
      <c r="AH2209" s="277"/>
    </row>
    <row r="2210" spans="16:34" s="185" customFormat="1">
      <c r="P2210" s="277"/>
      <c r="Q2210" s="277"/>
      <c r="R2210" s="277"/>
      <c r="S2210" s="291">
        <v>43766</v>
      </c>
      <c r="T2210" s="279">
        <v>2127</v>
      </c>
      <c r="U2210" s="277"/>
      <c r="V2210" s="277"/>
      <c r="W2210" s="277"/>
      <c r="X2210" s="277"/>
      <c r="Y2210" s="277"/>
      <c r="Z2210" s="277"/>
      <c r="AA2210" s="277"/>
      <c r="AB2210" s="277"/>
      <c r="AC2210" s="277"/>
      <c r="AD2210" s="277"/>
      <c r="AE2210" s="277"/>
      <c r="AF2210" s="277"/>
      <c r="AG2210" s="277"/>
      <c r="AH2210" s="277"/>
    </row>
    <row r="2211" spans="16:34" s="185" customFormat="1">
      <c r="P2211" s="277"/>
      <c r="Q2211" s="277"/>
      <c r="R2211" s="277"/>
      <c r="S2211" s="291">
        <v>43767</v>
      </c>
      <c r="T2211" s="279">
        <v>2128</v>
      </c>
      <c r="U2211" s="277"/>
      <c r="V2211" s="277"/>
      <c r="W2211" s="277"/>
      <c r="X2211" s="277"/>
      <c r="Y2211" s="277"/>
      <c r="Z2211" s="277"/>
      <c r="AA2211" s="277"/>
      <c r="AB2211" s="277"/>
      <c r="AC2211" s="277"/>
      <c r="AD2211" s="277"/>
      <c r="AE2211" s="277"/>
      <c r="AF2211" s="277"/>
      <c r="AG2211" s="277"/>
      <c r="AH2211" s="277"/>
    </row>
    <row r="2212" spans="16:34" s="185" customFormat="1">
      <c r="P2212" s="277"/>
      <c r="Q2212" s="277"/>
      <c r="R2212" s="277"/>
      <c r="S2212" s="291">
        <v>43768</v>
      </c>
      <c r="T2212" s="279">
        <v>2129</v>
      </c>
      <c r="U2212" s="277"/>
      <c r="V2212" s="277"/>
      <c r="W2212" s="277"/>
      <c r="X2212" s="277"/>
      <c r="Y2212" s="277"/>
      <c r="Z2212" s="277"/>
      <c r="AA2212" s="277"/>
      <c r="AB2212" s="277"/>
      <c r="AC2212" s="277"/>
      <c r="AD2212" s="277"/>
      <c r="AE2212" s="277"/>
      <c r="AF2212" s="277"/>
      <c r="AG2212" s="277"/>
      <c r="AH2212" s="277"/>
    </row>
    <row r="2213" spans="16:34" s="185" customFormat="1">
      <c r="P2213" s="277"/>
      <c r="Q2213" s="277"/>
      <c r="R2213" s="277"/>
      <c r="S2213" s="291">
        <v>43769</v>
      </c>
      <c r="T2213" s="279">
        <v>2130</v>
      </c>
      <c r="U2213" s="277"/>
      <c r="V2213" s="277"/>
      <c r="W2213" s="277"/>
      <c r="X2213" s="277"/>
      <c r="Y2213" s="277"/>
      <c r="Z2213" s="277"/>
      <c r="AA2213" s="277"/>
      <c r="AB2213" s="277"/>
      <c r="AC2213" s="277"/>
      <c r="AD2213" s="277"/>
      <c r="AE2213" s="277"/>
      <c r="AF2213" s="277"/>
      <c r="AG2213" s="277"/>
      <c r="AH2213" s="277"/>
    </row>
    <row r="2214" spans="16:34" s="185" customFormat="1">
      <c r="P2214" s="277"/>
      <c r="Q2214" s="277"/>
      <c r="R2214" s="277"/>
      <c r="S2214" s="291">
        <v>43770</v>
      </c>
      <c r="T2214" s="279">
        <v>2131</v>
      </c>
      <c r="U2214" s="277"/>
      <c r="V2214" s="277"/>
      <c r="W2214" s="277"/>
      <c r="X2214" s="277"/>
      <c r="Y2214" s="277"/>
      <c r="Z2214" s="277"/>
      <c r="AA2214" s="277"/>
      <c r="AB2214" s="277"/>
      <c r="AC2214" s="277"/>
      <c r="AD2214" s="277"/>
      <c r="AE2214" s="277"/>
      <c r="AF2214" s="277"/>
      <c r="AG2214" s="277"/>
      <c r="AH2214" s="277"/>
    </row>
    <row r="2215" spans="16:34" s="185" customFormat="1">
      <c r="P2215" s="277"/>
      <c r="Q2215" s="277"/>
      <c r="R2215" s="277"/>
      <c r="S2215" s="291">
        <v>43771</v>
      </c>
      <c r="T2215" s="279">
        <v>2132</v>
      </c>
      <c r="U2215" s="277"/>
      <c r="V2215" s="277"/>
      <c r="W2215" s="277"/>
      <c r="X2215" s="277"/>
      <c r="Y2215" s="277"/>
      <c r="Z2215" s="277"/>
      <c r="AA2215" s="277"/>
      <c r="AB2215" s="277"/>
      <c r="AC2215" s="277"/>
      <c r="AD2215" s="277"/>
      <c r="AE2215" s="277"/>
      <c r="AF2215" s="277"/>
      <c r="AG2215" s="277"/>
      <c r="AH2215" s="277"/>
    </row>
    <row r="2216" spans="16:34" s="185" customFormat="1">
      <c r="P2216" s="277"/>
      <c r="Q2216" s="277"/>
      <c r="R2216" s="277"/>
      <c r="S2216" s="291">
        <v>43772</v>
      </c>
      <c r="T2216" s="279">
        <v>2133</v>
      </c>
      <c r="U2216" s="277"/>
      <c r="V2216" s="277"/>
      <c r="W2216" s="277"/>
      <c r="X2216" s="277"/>
      <c r="Y2216" s="277"/>
      <c r="Z2216" s="277"/>
      <c r="AA2216" s="277"/>
      <c r="AB2216" s="277"/>
      <c r="AC2216" s="277"/>
      <c r="AD2216" s="277"/>
      <c r="AE2216" s="277"/>
      <c r="AF2216" s="277"/>
      <c r="AG2216" s="277"/>
      <c r="AH2216" s="277"/>
    </row>
    <row r="2217" spans="16:34" s="185" customFormat="1">
      <c r="P2217" s="277"/>
      <c r="Q2217" s="277"/>
      <c r="R2217" s="277"/>
      <c r="S2217" s="291">
        <v>43773</v>
      </c>
      <c r="T2217" s="279">
        <v>2134</v>
      </c>
      <c r="U2217" s="277"/>
      <c r="V2217" s="277"/>
      <c r="W2217" s="277"/>
      <c r="X2217" s="277"/>
      <c r="Y2217" s="277"/>
      <c r="Z2217" s="277"/>
      <c r="AA2217" s="277"/>
      <c r="AB2217" s="277"/>
      <c r="AC2217" s="277"/>
      <c r="AD2217" s="277"/>
      <c r="AE2217" s="277"/>
      <c r="AF2217" s="277"/>
      <c r="AG2217" s="277"/>
      <c r="AH2217" s="277"/>
    </row>
    <row r="2218" spans="16:34" s="185" customFormat="1">
      <c r="P2218" s="277"/>
      <c r="Q2218" s="277"/>
      <c r="R2218" s="277"/>
      <c r="S2218" s="291">
        <v>43774</v>
      </c>
      <c r="T2218" s="279">
        <v>2135</v>
      </c>
      <c r="U2218" s="277"/>
      <c r="V2218" s="277"/>
      <c r="W2218" s="277"/>
      <c r="X2218" s="277"/>
      <c r="Y2218" s="277"/>
      <c r="Z2218" s="277"/>
      <c r="AA2218" s="277"/>
      <c r="AB2218" s="277"/>
      <c r="AC2218" s="277"/>
      <c r="AD2218" s="277"/>
      <c r="AE2218" s="277"/>
      <c r="AF2218" s="277"/>
      <c r="AG2218" s="277"/>
      <c r="AH2218" s="277"/>
    </row>
    <row r="2219" spans="16:34" s="185" customFormat="1">
      <c r="P2219" s="277"/>
      <c r="Q2219" s="277"/>
      <c r="R2219" s="277"/>
      <c r="S2219" s="291">
        <v>43775</v>
      </c>
      <c r="T2219" s="279">
        <v>2136</v>
      </c>
      <c r="U2219" s="277"/>
      <c r="V2219" s="277"/>
      <c r="W2219" s="277"/>
      <c r="X2219" s="277"/>
      <c r="Y2219" s="277"/>
      <c r="Z2219" s="277"/>
      <c r="AA2219" s="277"/>
      <c r="AB2219" s="277"/>
      <c r="AC2219" s="277"/>
      <c r="AD2219" s="277"/>
      <c r="AE2219" s="277"/>
      <c r="AF2219" s="277"/>
      <c r="AG2219" s="277"/>
      <c r="AH2219" s="277"/>
    </row>
    <row r="2220" spans="16:34" s="185" customFormat="1">
      <c r="P2220" s="277"/>
      <c r="Q2220" s="277"/>
      <c r="R2220" s="277"/>
      <c r="S2220" s="291">
        <v>43776</v>
      </c>
      <c r="T2220" s="279">
        <v>2137</v>
      </c>
      <c r="U2220" s="277"/>
      <c r="V2220" s="277"/>
      <c r="W2220" s="277"/>
      <c r="X2220" s="277"/>
      <c r="Y2220" s="277"/>
      <c r="Z2220" s="277"/>
      <c r="AA2220" s="277"/>
      <c r="AB2220" s="277"/>
      <c r="AC2220" s="277"/>
      <c r="AD2220" s="277"/>
      <c r="AE2220" s="277"/>
      <c r="AF2220" s="277"/>
      <c r="AG2220" s="277"/>
      <c r="AH2220" s="277"/>
    </row>
    <row r="2221" spans="16:34" s="185" customFormat="1">
      <c r="P2221" s="277"/>
      <c r="Q2221" s="277"/>
      <c r="R2221" s="277"/>
      <c r="S2221" s="291">
        <v>43777</v>
      </c>
      <c r="T2221" s="279">
        <v>2138</v>
      </c>
      <c r="U2221" s="277"/>
      <c r="V2221" s="277"/>
      <c r="W2221" s="277"/>
      <c r="X2221" s="277"/>
      <c r="Y2221" s="277"/>
      <c r="Z2221" s="277"/>
      <c r="AA2221" s="277"/>
      <c r="AB2221" s="277"/>
      <c r="AC2221" s="277"/>
      <c r="AD2221" s="277"/>
      <c r="AE2221" s="277"/>
      <c r="AF2221" s="277"/>
      <c r="AG2221" s="277"/>
      <c r="AH2221" s="277"/>
    </row>
    <row r="2222" spans="16:34" s="185" customFormat="1">
      <c r="P2222" s="277"/>
      <c r="Q2222" s="277"/>
      <c r="R2222" s="277"/>
      <c r="S2222" s="291">
        <v>43778</v>
      </c>
      <c r="T2222" s="279">
        <v>2139</v>
      </c>
      <c r="U2222" s="277"/>
      <c r="V2222" s="277"/>
      <c r="W2222" s="277"/>
      <c r="X2222" s="277"/>
      <c r="Y2222" s="277"/>
      <c r="Z2222" s="277"/>
      <c r="AA2222" s="277"/>
      <c r="AB2222" s="277"/>
      <c r="AC2222" s="277"/>
      <c r="AD2222" s="277"/>
      <c r="AE2222" s="277"/>
      <c r="AF2222" s="277"/>
      <c r="AG2222" s="277"/>
      <c r="AH2222" s="277"/>
    </row>
    <row r="2223" spans="16:34" s="185" customFormat="1">
      <c r="P2223" s="277"/>
      <c r="Q2223" s="277"/>
      <c r="R2223" s="277"/>
      <c r="S2223" s="291">
        <v>43779</v>
      </c>
      <c r="T2223" s="279">
        <v>2140</v>
      </c>
      <c r="U2223" s="277"/>
      <c r="V2223" s="277"/>
      <c r="W2223" s="277"/>
      <c r="X2223" s="277"/>
      <c r="Y2223" s="277"/>
      <c r="Z2223" s="277"/>
      <c r="AA2223" s="277"/>
      <c r="AB2223" s="277"/>
      <c r="AC2223" s="277"/>
      <c r="AD2223" s="277"/>
      <c r="AE2223" s="277"/>
      <c r="AF2223" s="277"/>
      <c r="AG2223" s="277"/>
      <c r="AH2223" s="277"/>
    </row>
    <row r="2224" spans="16:34" s="185" customFormat="1">
      <c r="P2224" s="277"/>
      <c r="Q2224" s="277"/>
      <c r="R2224" s="277"/>
      <c r="S2224" s="291">
        <v>43780</v>
      </c>
      <c r="T2224" s="279">
        <v>2141</v>
      </c>
      <c r="U2224" s="277"/>
      <c r="V2224" s="277"/>
      <c r="W2224" s="277"/>
      <c r="X2224" s="277"/>
      <c r="Y2224" s="277"/>
      <c r="Z2224" s="277"/>
      <c r="AA2224" s="277"/>
      <c r="AB2224" s="277"/>
      <c r="AC2224" s="277"/>
      <c r="AD2224" s="277"/>
      <c r="AE2224" s="277"/>
      <c r="AF2224" s="277"/>
      <c r="AG2224" s="277"/>
      <c r="AH2224" s="277"/>
    </row>
    <row r="2225" spans="16:34" s="185" customFormat="1">
      <c r="P2225" s="277"/>
      <c r="Q2225" s="277"/>
      <c r="R2225" s="277"/>
      <c r="S2225" s="291">
        <v>43781</v>
      </c>
      <c r="T2225" s="279">
        <v>2142</v>
      </c>
      <c r="U2225" s="277"/>
      <c r="V2225" s="277"/>
      <c r="W2225" s="277"/>
      <c r="X2225" s="277"/>
      <c r="Y2225" s="277"/>
      <c r="Z2225" s="277"/>
      <c r="AA2225" s="277"/>
      <c r="AB2225" s="277"/>
      <c r="AC2225" s="277"/>
      <c r="AD2225" s="277"/>
      <c r="AE2225" s="277"/>
      <c r="AF2225" s="277"/>
      <c r="AG2225" s="277"/>
      <c r="AH2225" s="277"/>
    </row>
    <row r="2226" spans="16:34" s="185" customFormat="1">
      <c r="P2226" s="277"/>
      <c r="Q2226" s="277"/>
      <c r="R2226" s="277"/>
      <c r="S2226" s="291">
        <v>43782</v>
      </c>
      <c r="T2226" s="279">
        <v>2143</v>
      </c>
      <c r="U2226" s="277"/>
      <c r="V2226" s="277"/>
      <c r="W2226" s="277"/>
      <c r="X2226" s="277"/>
      <c r="Y2226" s="277"/>
      <c r="Z2226" s="277"/>
      <c r="AA2226" s="277"/>
      <c r="AB2226" s="277"/>
      <c r="AC2226" s="277"/>
      <c r="AD2226" s="277"/>
      <c r="AE2226" s="277"/>
      <c r="AF2226" s="277"/>
      <c r="AG2226" s="277"/>
      <c r="AH2226" s="277"/>
    </row>
    <row r="2227" spans="16:34" s="185" customFormat="1">
      <c r="P2227" s="277"/>
      <c r="Q2227" s="277"/>
      <c r="R2227" s="277"/>
      <c r="S2227" s="291">
        <v>43783</v>
      </c>
      <c r="T2227" s="279">
        <v>2144</v>
      </c>
      <c r="U2227" s="277"/>
      <c r="V2227" s="277"/>
      <c r="W2227" s="277"/>
      <c r="X2227" s="277"/>
      <c r="Y2227" s="277"/>
      <c r="Z2227" s="277"/>
      <c r="AA2227" s="277"/>
      <c r="AB2227" s="277"/>
      <c r="AC2227" s="277"/>
      <c r="AD2227" s="277"/>
      <c r="AE2227" s="277"/>
      <c r="AF2227" s="277"/>
      <c r="AG2227" s="277"/>
      <c r="AH2227" s="277"/>
    </row>
    <row r="2228" spans="16:34" s="185" customFormat="1">
      <c r="P2228" s="277"/>
      <c r="Q2228" s="277"/>
      <c r="R2228" s="277"/>
      <c r="S2228" s="291">
        <v>43784</v>
      </c>
      <c r="T2228" s="279">
        <v>2145</v>
      </c>
      <c r="U2228" s="277"/>
      <c r="V2228" s="277"/>
      <c r="W2228" s="277"/>
      <c r="X2228" s="277"/>
      <c r="Y2228" s="277"/>
      <c r="Z2228" s="277"/>
      <c r="AA2228" s="277"/>
      <c r="AB2228" s="277"/>
      <c r="AC2228" s="277"/>
      <c r="AD2228" s="277"/>
      <c r="AE2228" s="277"/>
      <c r="AF2228" s="277"/>
      <c r="AG2228" s="277"/>
      <c r="AH2228" s="277"/>
    </row>
    <row r="2229" spans="16:34" s="185" customFormat="1">
      <c r="P2229" s="277"/>
      <c r="Q2229" s="277"/>
      <c r="R2229" s="277"/>
      <c r="S2229" s="291">
        <v>43785</v>
      </c>
      <c r="T2229" s="279">
        <v>2146</v>
      </c>
      <c r="U2229" s="277"/>
      <c r="V2229" s="277"/>
      <c r="W2229" s="277"/>
      <c r="X2229" s="277"/>
      <c r="Y2229" s="277"/>
      <c r="Z2229" s="277"/>
      <c r="AA2229" s="277"/>
      <c r="AB2229" s="277"/>
      <c r="AC2229" s="277"/>
      <c r="AD2229" s="277"/>
      <c r="AE2229" s="277"/>
      <c r="AF2229" s="277"/>
      <c r="AG2229" s="277"/>
      <c r="AH2229" s="277"/>
    </row>
    <row r="2230" spans="16:34" s="185" customFormat="1">
      <c r="P2230" s="277"/>
      <c r="Q2230" s="277"/>
      <c r="R2230" s="277"/>
      <c r="S2230" s="291">
        <v>43786</v>
      </c>
      <c r="T2230" s="279">
        <v>2147</v>
      </c>
      <c r="U2230" s="277"/>
      <c r="V2230" s="277"/>
      <c r="W2230" s="277"/>
      <c r="X2230" s="277"/>
      <c r="Y2230" s="277"/>
      <c r="Z2230" s="277"/>
      <c r="AA2230" s="277"/>
      <c r="AB2230" s="277"/>
      <c r="AC2230" s="277"/>
      <c r="AD2230" s="277"/>
      <c r="AE2230" s="277"/>
      <c r="AF2230" s="277"/>
      <c r="AG2230" s="277"/>
      <c r="AH2230" s="277"/>
    </row>
    <row r="2231" spans="16:34" s="185" customFormat="1">
      <c r="P2231" s="277"/>
      <c r="Q2231" s="277"/>
      <c r="R2231" s="277"/>
      <c r="S2231" s="291">
        <v>43787</v>
      </c>
      <c r="T2231" s="279">
        <v>2148</v>
      </c>
      <c r="U2231" s="277"/>
      <c r="V2231" s="277"/>
      <c r="W2231" s="277"/>
      <c r="X2231" s="277"/>
      <c r="Y2231" s="277"/>
      <c r="Z2231" s="277"/>
      <c r="AA2231" s="277"/>
      <c r="AB2231" s="277"/>
      <c r="AC2231" s="277"/>
      <c r="AD2231" s="277"/>
      <c r="AE2231" s="277"/>
      <c r="AF2231" s="277"/>
      <c r="AG2231" s="277"/>
      <c r="AH2231" s="277"/>
    </row>
    <row r="2232" spans="16:34" s="185" customFormat="1">
      <c r="P2232" s="277"/>
      <c r="Q2232" s="277"/>
      <c r="R2232" s="277"/>
      <c r="S2232" s="291">
        <v>43788</v>
      </c>
      <c r="T2232" s="279">
        <v>2149</v>
      </c>
      <c r="U2232" s="277"/>
      <c r="V2232" s="277"/>
      <c r="W2232" s="277"/>
      <c r="X2232" s="277"/>
      <c r="Y2232" s="277"/>
      <c r="Z2232" s="277"/>
      <c r="AA2232" s="277"/>
      <c r="AB2232" s="277"/>
      <c r="AC2232" s="277"/>
      <c r="AD2232" s="277"/>
      <c r="AE2232" s="277"/>
      <c r="AF2232" s="277"/>
      <c r="AG2232" s="277"/>
      <c r="AH2232" s="277"/>
    </row>
    <row r="2233" spans="16:34" s="185" customFormat="1">
      <c r="P2233" s="277"/>
      <c r="Q2233" s="277"/>
      <c r="R2233" s="277"/>
      <c r="S2233" s="291">
        <v>43789</v>
      </c>
      <c r="T2233" s="279">
        <v>2150</v>
      </c>
      <c r="U2233" s="277"/>
      <c r="V2233" s="277"/>
      <c r="W2233" s="277"/>
      <c r="X2233" s="277"/>
      <c r="Y2233" s="277"/>
      <c r="Z2233" s="277"/>
      <c r="AA2233" s="277"/>
      <c r="AB2233" s="277"/>
      <c r="AC2233" s="277"/>
      <c r="AD2233" s="277"/>
      <c r="AE2233" s="277"/>
      <c r="AF2233" s="277"/>
      <c r="AG2233" s="277"/>
      <c r="AH2233" s="277"/>
    </row>
    <row r="2234" spans="16:34" s="185" customFormat="1">
      <c r="P2234" s="277"/>
      <c r="Q2234" s="277"/>
      <c r="R2234" s="277"/>
      <c r="S2234" s="291">
        <v>43790</v>
      </c>
      <c r="T2234" s="279">
        <v>2151</v>
      </c>
      <c r="U2234" s="277"/>
      <c r="V2234" s="277"/>
      <c r="W2234" s="277"/>
      <c r="X2234" s="277"/>
      <c r="Y2234" s="277"/>
      <c r="Z2234" s="277"/>
      <c r="AA2234" s="277"/>
      <c r="AB2234" s="277"/>
      <c r="AC2234" s="277"/>
      <c r="AD2234" s="277"/>
      <c r="AE2234" s="277"/>
      <c r="AF2234" s="277"/>
      <c r="AG2234" s="277"/>
      <c r="AH2234" s="277"/>
    </row>
    <row r="2235" spans="16:34" s="185" customFormat="1">
      <c r="P2235" s="277"/>
      <c r="Q2235" s="277"/>
      <c r="R2235" s="277"/>
      <c r="S2235" s="291">
        <v>43791</v>
      </c>
      <c r="T2235" s="279">
        <v>2152</v>
      </c>
      <c r="U2235" s="277"/>
      <c r="V2235" s="277"/>
      <c r="W2235" s="277"/>
      <c r="X2235" s="277"/>
      <c r="Y2235" s="277"/>
      <c r="Z2235" s="277"/>
      <c r="AA2235" s="277"/>
      <c r="AB2235" s="277"/>
      <c r="AC2235" s="277"/>
      <c r="AD2235" s="277"/>
      <c r="AE2235" s="277"/>
      <c r="AF2235" s="277"/>
      <c r="AG2235" s="277"/>
      <c r="AH2235" s="277"/>
    </row>
    <row r="2236" spans="16:34" s="185" customFormat="1">
      <c r="P2236" s="277"/>
      <c r="Q2236" s="277"/>
      <c r="R2236" s="277"/>
      <c r="S2236" s="291">
        <v>43792</v>
      </c>
      <c r="T2236" s="279">
        <v>2153</v>
      </c>
      <c r="U2236" s="277"/>
      <c r="V2236" s="277"/>
      <c r="W2236" s="277"/>
      <c r="X2236" s="277"/>
      <c r="Y2236" s="277"/>
      <c r="Z2236" s="277"/>
      <c r="AA2236" s="277"/>
      <c r="AB2236" s="277"/>
      <c r="AC2236" s="277"/>
      <c r="AD2236" s="277"/>
      <c r="AE2236" s="277"/>
      <c r="AF2236" s="277"/>
      <c r="AG2236" s="277"/>
      <c r="AH2236" s="277"/>
    </row>
    <row r="2237" spans="16:34" s="185" customFormat="1">
      <c r="P2237" s="277"/>
      <c r="Q2237" s="277"/>
      <c r="R2237" s="277"/>
      <c r="S2237" s="291">
        <v>43793</v>
      </c>
      <c r="T2237" s="279">
        <v>2154</v>
      </c>
      <c r="U2237" s="277"/>
      <c r="V2237" s="277"/>
      <c r="W2237" s="277"/>
      <c r="X2237" s="277"/>
      <c r="Y2237" s="277"/>
      <c r="Z2237" s="277"/>
      <c r="AA2237" s="277"/>
      <c r="AB2237" s="277"/>
      <c r="AC2237" s="277"/>
      <c r="AD2237" s="277"/>
      <c r="AE2237" s="277"/>
      <c r="AF2237" s="277"/>
      <c r="AG2237" s="277"/>
      <c r="AH2237" s="277"/>
    </row>
    <row r="2238" spans="16:34" s="185" customFormat="1">
      <c r="P2238" s="277"/>
      <c r="Q2238" s="277"/>
      <c r="R2238" s="277"/>
      <c r="S2238" s="291">
        <v>43794</v>
      </c>
      <c r="T2238" s="279">
        <v>2155</v>
      </c>
      <c r="U2238" s="277"/>
      <c r="V2238" s="277"/>
      <c r="W2238" s="277"/>
      <c r="X2238" s="277"/>
      <c r="Y2238" s="277"/>
      <c r="Z2238" s="277"/>
      <c r="AA2238" s="277"/>
      <c r="AB2238" s="277"/>
      <c r="AC2238" s="277"/>
      <c r="AD2238" s="277"/>
      <c r="AE2238" s="277"/>
      <c r="AF2238" s="277"/>
      <c r="AG2238" s="277"/>
      <c r="AH2238" s="277"/>
    </row>
    <row r="2239" spans="16:34" s="185" customFormat="1">
      <c r="P2239" s="277"/>
      <c r="Q2239" s="277"/>
      <c r="R2239" s="277"/>
      <c r="S2239" s="291">
        <v>43795</v>
      </c>
      <c r="T2239" s="279">
        <v>2156</v>
      </c>
      <c r="U2239" s="277"/>
      <c r="V2239" s="277"/>
      <c r="W2239" s="277"/>
      <c r="X2239" s="277"/>
      <c r="Y2239" s="277"/>
      <c r="Z2239" s="277"/>
      <c r="AA2239" s="277"/>
      <c r="AB2239" s="277"/>
      <c r="AC2239" s="277"/>
      <c r="AD2239" s="277"/>
      <c r="AE2239" s="277"/>
      <c r="AF2239" s="277"/>
      <c r="AG2239" s="277"/>
      <c r="AH2239" s="277"/>
    </row>
    <row r="2240" spans="16:34" s="185" customFormat="1">
      <c r="P2240" s="277"/>
      <c r="Q2240" s="277"/>
      <c r="R2240" s="277"/>
      <c r="S2240" s="291">
        <v>43796</v>
      </c>
      <c r="T2240" s="279">
        <v>2157</v>
      </c>
      <c r="U2240" s="277"/>
      <c r="V2240" s="277"/>
      <c r="W2240" s="277"/>
      <c r="X2240" s="277"/>
      <c r="Y2240" s="277"/>
      <c r="Z2240" s="277"/>
      <c r="AA2240" s="277"/>
      <c r="AB2240" s="277"/>
      <c r="AC2240" s="277"/>
      <c r="AD2240" s="277"/>
      <c r="AE2240" s="277"/>
      <c r="AF2240" s="277"/>
      <c r="AG2240" s="277"/>
      <c r="AH2240" s="277"/>
    </row>
    <row r="2241" spans="16:34" s="185" customFormat="1">
      <c r="P2241" s="277"/>
      <c r="Q2241" s="277"/>
      <c r="R2241" s="277"/>
      <c r="S2241" s="291">
        <v>43797</v>
      </c>
      <c r="T2241" s="279">
        <v>2158</v>
      </c>
      <c r="U2241" s="277"/>
      <c r="V2241" s="277"/>
      <c r="W2241" s="277"/>
      <c r="X2241" s="277"/>
      <c r="Y2241" s="277"/>
      <c r="Z2241" s="277"/>
      <c r="AA2241" s="277"/>
      <c r="AB2241" s="277"/>
      <c r="AC2241" s="277"/>
      <c r="AD2241" s="277"/>
      <c r="AE2241" s="277"/>
      <c r="AF2241" s="277"/>
      <c r="AG2241" s="277"/>
      <c r="AH2241" s="277"/>
    </row>
    <row r="2242" spans="16:34" s="185" customFormat="1">
      <c r="P2242" s="277"/>
      <c r="Q2242" s="277"/>
      <c r="R2242" s="277"/>
      <c r="S2242" s="291">
        <v>43798</v>
      </c>
      <c r="T2242" s="279">
        <v>2159</v>
      </c>
      <c r="U2242" s="277"/>
      <c r="V2242" s="277"/>
      <c r="W2242" s="277"/>
      <c r="X2242" s="277"/>
      <c r="Y2242" s="277"/>
      <c r="Z2242" s="277"/>
      <c r="AA2242" s="277"/>
      <c r="AB2242" s="277"/>
      <c r="AC2242" s="277"/>
      <c r="AD2242" s="277"/>
      <c r="AE2242" s="277"/>
      <c r="AF2242" s="277"/>
      <c r="AG2242" s="277"/>
      <c r="AH2242" s="277"/>
    </row>
    <row r="2243" spans="16:34" s="185" customFormat="1">
      <c r="P2243" s="277"/>
      <c r="Q2243" s="277"/>
      <c r="R2243" s="277"/>
      <c r="S2243" s="291">
        <v>43799</v>
      </c>
      <c r="T2243" s="279">
        <v>2160</v>
      </c>
      <c r="U2243" s="277"/>
      <c r="V2243" s="277"/>
      <c r="W2243" s="277"/>
      <c r="X2243" s="277"/>
      <c r="Y2243" s="277"/>
      <c r="Z2243" s="277"/>
      <c r="AA2243" s="277"/>
      <c r="AB2243" s="277"/>
      <c r="AC2243" s="277"/>
      <c r="AD2243" s="277"/>
      <c r="AE2243" s="277"/>
      <c r="AF2243" s="277"/>
      <c r="AG2243" s="277"/>
      <c r="AH2243" s="277"/>
    </row>
    <row r="2244" spans="16:34" s="185" customFormat="1">
      <c r="P2244" s="277"/>
      <c r="Q2244" s="277"/>
      <c r="R2244" s="277"/>
      <c r="S2244" s="291">
        <v>43800</v>
      </c>
      <c r="T2244" s="279">
        <v>2161</v>
      </c>
      <c r="U2244" s="277"/>
      <c r="V2244" s="277"/>
      <c r="W2244" s="277"/>
      <c r="X2244" s="277"/>
      <c r="Y2244" s="277"/>
      <c r="Z2244" s="277"/>
      <c r="AA2244" s="277"/>
      <c r="AB2244" s="277"/>
      <c r="AC2244" s="277"/>
      <c r="AD2244" s="277"/>
      <c r="AE2244" s="277"/>
      <c r="AF2244" s="277"/>
      <c r="AG2244" s="277"/>
      <c r="AH2244" s="277"/>
    </row>
    <row r="2245" spans="16:34" s="185" customFormat="1">
      <c r="P2245" s="277"/>
      <c r="Q2245" s="277"/>
      <c r="R2245" s="277"/>
      <c r="S2245" s="291">
        <v>43801</v>
      </c>
      <c r="T2245" s="279">
        <v>2162</v>
      </c>
      <c r="U2245" s="277"/>
      <c r="V2245" s="277"/>
      <c r="W2245" s="277"/>
      <c r="X2245" s="277"/>
      <c r="Y2245" s="277"/>
      <c r="Z2245" s="277"/>
      <c r="AA2245" s="277"/>
      <c r="AB2245" s="277"/>
      <c r="AC2245" s="277"/>
      <c r="AD2245" s="277"/>
      <c r="AE2245" s="277"/>
      <c r="AF2245" s="277"/>
      <c r="AG2245" s="277"/>
      <c r="AH2245" s="277"/>
    </row>
    <row r="2246" spans="16:34" s="185" customFormat="1">
      <c r="P2246" s="277"/>
      <c r="Q2246" s="277"/>
      <c r="R2246" s="277"/>
      <c r="S2246" s="291">
        <v>43802</v>
      </c>
      <c r="T2246" s="279">
        <v>2163</v>
      </c>
      <c r="U2246" s="277"/>
      <c r="V2246" s="277"/>
      <c r="W2246" s="277"/>
      <c r="X2246" s="277"/>
      <c r="Y2246" s="277"/>
      <c r="Z2246" s="277"/>
      <c r="AA2246" s="277"/>
      <c r="AB2246" s="277"/>
      <c r="AC2246" s="277"/>
      <c r="AD2246" s="277"/>
      <c r="AE2246" s="277"/>
      <c r="AF2246" s="277"/>
      <c r="AG2246" s="277"/>
      <c r="AH2246" s="277"/>
    </row>
    <row r="2247" spans="16:34" s="185" customFormat="1">
      <c r="P2247" s="277"/>
      <c r="Q2247" s="277"/>
      <c r="R2247" s="277"/>
      <c r="S2247" s="291">
        <v>43803</v>
      </c>
      <c r="T2247" s="279">
        <v>2164</v>
      </c>
      <c r="U2247" s="277"/>
      <c r="V2247" s="277"/>
      <c r="W2247" s="277"/>
      <c r="X2247" s="277"/>
      <c r="Y2247" s="277"/>
      <c r="Z2247" s="277"/>
      <c r="AA2247" s="277"/>
      <c r="AB2247" s="277"/>
      <c r="AC2247" s="277"/>
      <c r="AD2247" s="277"/>
      <c r="AE2247" s="277"/>
      <c r="AF2247" s="277"/>
      <c r="AG2247" s="277"/>
      <c r="AH2247" s="277"/>
    </row>
    <row r="2248" spans="16:34" s="185" customFormat="1">
      <c r="P2248" s="277"/>
      <c r="Q2248" s="277"/>
      <c r="R2248" s="277"/>
      <c r="S2248" s="291">
        <v>43804</v>
      </c>
      <c r="T2248" s="279">
        <v>2165</v>
      </c>
      <c r="U2248" s="277"/>
      <c r="V2248" s="277"/>
      <c r="W2248" s="277"/>
      <c r="X2248" s="277"/>
      <c r="Y2248" s="277"/>
      <c r="Z2248" s="277"/>
      <c r="AA2248" s="277"/>
      <c r="AB2248" s="277"/>
      <c r="AC2248" s="277"/>
      <c r="AD2248" s="277"/>
      <c r="AE2248" s="277"/>
      <c r="AF2248" s="277"/>
      <c r="AG2248" s="277"/>
      <c r="AH2248" s="277"/>
    </row>
    <row r="2249" spans="16:34" s="185" customFormat="1">
      <c r="P2249" s="277"/>
      <c r="Q2249" s="277"/>
      <c r="R2249" s="277"/>
      <c r="S2249" s="291">
        <v>43805</v>
      </c>
      <c r="T2249" s="279">
        <v>2166</v>
      </c>
      <c r="U2249" s="277"/>
      <c r="V2249" s="277"/>
      <c r="W2249" s="277"/>
      <c r="X2249" s="277"/>
      <c r="Y2249" s="277"/>
      <c r="Z2249" s="277"/>
      <c r="AA2249" s="277"/>
      <c r="AB2249" s="277"/>
      <c r="AC2249" s="277"/>
      <c r="AD2249" s="277"/>
      <c r="AE2249" s="277"/>
      <c r="AF2249" s="277"/>
      <c r="AG2249" s="277"/>
      <c r="AH2249" s="277"/>
    </row>
    <row r="2250" spans="16:34" s="185" customFormat="1">
      <c r="P2250" s="277"/>
      <c r="Q2250" s="277"/>
      <c r="R2250" s="277"/>
      <c r="S2250" s="291">
        <v>43806</v>
      </c>
      <c r="T2250" s="279">
        <v>2167</v>
      </c>
      <c r="U2250" s="277"/>
      <c r="V2250" s="277"/>
      <c r="W2250" s="277"/>
      <c r="X2250" s="277"/>
      <c r="Y2250" s="277"/>
      <c r="Z2250" s="277"/>
      <c r="AA2250" s="277"/>
      <c r="AB2250" s="277"/>
      <c r="AC2250" s="277"/>
      <c r="AD2250" s="277"/>
      <c r="AE2250" s="277"/>
      <c r="AF2250" s="277"/>
      <c r="AG2250" s="277"/>
      <c r="AH2250" s="277"/>
    </row>
    <row r="2251" spans="16:34" s="185" customFormat="1">
      <c r="P2251" s="277"/>
      <c r="Q2251" s="277"/>
      <c r="R2251" s="277"/>
      <c r="S2251" s="291">
        <v>43807</v>
      </c>
      <c r="T2251" s="279">
        <v>2168</v>
      </c>
      <c r="U2251" s="277"/>
      <c r="V2251" s="277"/>
      <c r="W2251" s="277"/>
      <c r="X2251" s="277"/>
      <c r="Y2251" s="277"/>
      <c r="Z2251" s="277"/>
      <c r="AA2251" s="277"/>
      <c r="AB2251" s="277"/>
      <c r="AC2251" s="277"/>
      <c r="AD2251" s="277"/>
      <c r="AE2251" s="277"/>
      <c r="AF2251" s="277"/>
      <c r="AG2251" s="277"/>
      <c r="AH2251" s="277"/>
    </row>
    <row r="2252" spans="16:34" s="185" customFormat="1">
      <c r="P2252" s="277"/>
      <c r="Q2252" s="277"/>
      <c r="R2252" s="277"/>
      <c r="S2252" s="291">
        <v>43808</v>
      </c>
      <c r="T2252" s="279">
        <v>2169</v>
      </c>
      <c r="U2252" s="277"/>
      <c r="V2252" s="277"/>
      <c r="W2252" s="277"/>
      <c r="X2252" s="277"/>
      <c r="Y2252" s="277"/>
      <c r="Z2252" s="277"/>
      <c r="AA2252" s="277"/>
      <c r="AB2252" s="277"/>
      <c r="AC2252" s="277"/>
      <c r="AD2252" s="277"/>
      <c r="AE2252" s="277"/>
      <c r="AF2252" s="277"/>
      <c r="AG2252" s="277"/>
      <c r="AH2252" s="277"/>
    </row>
    <row r="2253" spans="16:34" s="185" customFormat="1">
      <c r="P2253" s="277"/>
      <c r="Q2253" s="277"/>
      <c r="R2253" s="277"/>
      <c r="S2253" s="291">
        <v>43809</v>
      </c>
      <c r="T2253" s="279">
        <v>2170</v>
      </c>
      <c r="U2253" s="277"/>
      <c r="V2253" s="277"/>
      <c r="W2253" s="277"/>
      <c r="X2253" s="277"/>
      <c r="Y2253" s="277"/>
      <c r="Z2253" s="277"/>
      <c r="AA2253" s="277"/>
      <c r="AB2253" s="277"/>
      <c r="AC2253" s="277"/>
      <c r="AD2253" s="277"/>
      <c r="AE2253" s="277"/>
      <c r="AF2253" s="277"/>
      <c r="AG2253" s="277"/>
      <c r="AH2253" s="277"/>
    </row>
    <row r="2254" spans="16:34" s="185" customFormat="1">
      <c r="P2254" s="277"/>
      <c r="Q2254" s="277"/>
      <c r="R2254" s="277"/>
      <c r="S2254" s="291">
        <v>43810</v>
      </c>
      <c r="T2254" s="279">
        <v>2171</v>
      </c>
      <c r="U2254" s="277"/>
      <c r="V2254" s="277"/>
      <c r="W2254" s="277"/>
      <c r="X2254" s="277"/>
      <c r="Y2254" s="277"/>
      <c r="Z2254" s="277"/>
      <c r="AA2254" s="277"/>
      <c r="AB2254" s="277"/>
      <c r="AC2254" s="277"/>
      <c r="AD2254" s="277"/>
      <c r="AE2254" s="277"/>
      <c r="AF2254" s="277"/>
      <c r="AG2254" s="277"/>
      <c r="AH2254" s="277"/>
    </row>
    <row r="2255" spans="16:34" s="185" customFormat="1">
      <c r="P2255" s="277"/>
      <c r="Q2255" s="277"/>
      <c r="R2255" s="277"/>
      <c r="S2255" s="291">
        <v>43811</v>
      </c>
      <c r="T2255" s="279">
        <v>2172</v>
      </c>
      <c r="U2255" s="277"/>
      <c r="V2255" s="277"/>
      <c r="W2255" s="277"/>
      <c r="X2255" s="277"/>
      <c r="Y2255" s="277"/>
      <c r="Z2255" s="277"/>
      <c r="AA2255" s="277"/>
      <c r="AB2255" s="277"/>
      <c r="AC2255" s="277"/>
      <c r="AD2255" s="277"/>
      <c r="AE2255" s="277"/>
      <c r="AF2255" s="277"/>
      <c r="AG2255" s="277"/>
      <c r="AH2255" s="277"/>
    </row>
    <row r="2256" spans="16:34" s="185" customFormat="1">
      <c r="P2256" s="277"/>
      <c r="Q2256" s="277"/>
      <c r="R2256" s="277"/>
      <c r="S2256" s="291">
        <v>43812</v>
      </c>
      <c r="T2256" s="279">
        <v>2173</v>
      </c>
      <c r="U2256" s="277"/>
      <c r="V2256" s="277"/>
      <c r="W2256" s="277"/>
      <c r="X2256" s="277"/>
      <c r="Y2256" s="277"/>
      <c r="Z2256" s="277"/>
      <c r="AA2256" s="277"/>
      <c r="AB2256" s="277"/>
      <c r="AC2256" s="277"/>
      <c r="AD2256" s="277"/>
      <c r="AE2256" s="277"/>
      <c r="AF2256" s="277"/>
      <c r="AG2256" s="277"/>
      <c r="AH2256" s="277"/>
    </row>
    <row r="2257" spans="16:34" s="185" customFormat="1">
      <c r="P2257" s="277"/>
      <c r="Q2257" s="277"/>
      <c r="R2257" s="277"/>
      <c r="S2257" s="291">
        <v>43813</v>
      </c>
      <c r="T2257" s="279">
        <v>2174</v>
      </c>
      <c r="U2257" s="277"/>
      <c r="V2257" s="277"/>
      <c r="W2257" s="277"/>
      <c r="X2257" s="277"/>
      <c r="Y2257" s="277"/>
      <c r="Z2257" s="277"/>
      <c r="AA2257" s="277"/>
      <c r="AB2257" s="277"/>
      <c r="AC2257" s="277"/>
      <c r="AD2257" s="277"/>
      <c r="AE2257" s="277"/>
      <c r="AF2257" s="277"/>
      <c r="AG2257" s="277"/>
      <c r="AH2257" s="277"/>
    </row>
    <row r="2258" spans="16:34" s="185" customFormat="1">
      <c r="P2258" s="277"/>
      <c r="Q2258" s="277"/>
      <c r="R2258" s="277"/>
      <c r="S2258" s="291">
        <v>43814</v>
      </c>
      <c r="T2258" s="279">
        <v>2175</v>
      </c>
      <c r="U2258" s="277"/>
      <c r="V2258" s="277"/>
      <c r="W2258" s="277"/>
      <c r="X2258" s="277"/>
      <c r="Y2258" s="277"/>
      <c r="Z2258" s="277"/>
      <c r="AA2258" s="277"/>
      <c r="AB2258" s="277"/>
      <c r="AC2258" s="277"/>
      <c r="AD2258" s="277"/>
      <c r="AE2258" s="277"/>
      <c r="AF2258" s="277"/>
      <c r="AG2258" s="277"/>
      <c r="AH2258" s="277"/>
    </row>
    <row r="2259" spans="16:34" s="185" customFormat="1">
      <c r="P2259" s="277"/>
      <c r="Q2259" s="277"/>
      <c r="R2259" s="277"/>
      <c r="S2259" s="291">
        <v>43815</v>
      </c>
      <c r="T2259" s="279">
        <v>2176</v>
      </c>
      <c r="U2259" s="277"/>
      <c r="V2259" s="277"/>
      <c r="W2259" s="277"/>
      <c r="X2259" s="277"/>
      <c r="Y2259" s="277"/>
      <c r="Z2259" s="277"/>
      <c r="AA2259" s="277"/>
      <c r="AB2259" s="277"/>
      <c r="AC2259" s="277"/>
      <c r="AD2259" s="277"/>
      <c r="AE2259" s="277"/>
      <c r="AF2259" s="277"/>
      <c r="AG2259" s="277"/>
      <c r="AH2259" s="277"/>
    </row>
    <row r="2260" spans="16:34" s="185" customFormat="1">
      <c r="P2260" s="277"/>
      <c r="Q2260" s="277"/>
      <c r="R2260" s="277"/>
      <c r="S2260" s="291">
        <v>43816</v>
      </c>
      <c r="T2260" s="279">
        <v>2177</v>
      </c>
      <c r="U2260" s="277"/>
      <c r="V2260" s="277"/>
      <c r="W2260" s="277"/>
      <c r="X2260" s="277"/>
      <c r="Y2260" s="277"/>
      <c r="Z2260" s="277"/>
      <c r="AA2260" s="277"/>
      <c r="AB2260" s="277"/>
      <c r="AC2260" s="277"/>
      <c r="AD2260" s="277"/>
      <c r="AE2260" s="277"/>
      <c r="AF2260" s="277"/>
      <c r="AG2260" s="277"/>
      <c r="AH2260" s="277"/>
    </row>
    <row r="2261" spans="16:34" s="185" customFormat="1">
      <c r="P2261" s="277"/>
      <c r="Q2261" s="277"/>
      <c r="R2261" s="277"/>
      <c r="S2261" s="291">
        <v>43817</v>
      </c>
      <c r="T2261" s="279">
        <v>2178</v>
      </c>
      <c r="U2261" s="277"/>
      <c r="V2261" s="277"/>
      <c r="W2261" s="277"/>
      <c r="X2261" s="277"/>
      <c r="Y2261" s="277"/>
      <c r="Z2261" s="277"/>
      <c r="AA2261" s="277"/>
      <c r="AB2261" s="277"/>
      <c r="AC2261" s="277"/>
      <c r="AD2261" s="277"/>
      <c r="AE2261" s="277"/>
      <c r="AF2261" s="277"/>
      <c r="AG2261" s="277"/>
      <c r="AH2261" s="277"/>
    </row>
    <row r="2262" spans="16:34" s="185" customFormat="1">
      <c r="P2262" s="277"/>
      <c r="Q2262" s="277"/>
      <c r="R2262" s="277"/>
      <c r="S2262" s="291">
        <v>43818</v>
      </c>
      <c r="T2262" s="279">
        <v>2179</v>
      </c>
      <c r="U2262" s="277"/>
      <c r="V2262" s="277"/>
      <c r="W2262" s="277"/>
      <c r="X2262" s="277"/>
      <c r="Y2262" s="277"/>
      <c r="Z2262" s="277"/>
      <c r="AA2262" s="277"/>
      <c r="AB2262" s="277"/>
      <c r="AC2262" s="277"/>
      <c r="AD2262" s="277"/>
      <c r="AE2262" s="277"/>
      <c r="AF2262" s="277"/>
      <c r="AG2262" s="277"/>
      <c r="AH2262" s="277"/>
    </row>
    <row r="2263" spans="16:34" s="185" customFormat="1">
      <c r="P2263" s="277"/>
      <c r="Q2263" s="277"/>
      <c r="R2263" s="277"/>
      <c r="S2263" s="291">
        <v>43819</v>
      </c>
      <c r="T2263" s="279">
        <v>2180</v>
      </c>
      <c r="U2263" s="277"/>
      <c r="V2263" s="277"/>
      <c r="W2263" s="277"/>
      <c r="X2263" s="277"/>
      <c r="Y2263" s="277"/>
      <c r="Z2263" s="277"/>
      <c r="AA2263" s="277"/>
      <c r="AB2263" s="277"/>
      <c r="AC2263" s="277"/>
      <c r="AD2263" s="277"/>
      <c r="AE2263" s="277"/>
      <c r="AF2263" s="277"/>
      <c r="AG2263" s="277"/>
      <c r="AH2263" s="277"/>
    </row>
    <row r="2264" spans="16:34" s="185" customFormat="1">
      <c r="P2264" s="277"/>
      <c r="Q2264" s="277"/>
      <c r="R2264" s="277"/>
      <c r="S2264" s="291">
        <v>43820</v>
      </c>
      <c r="T2264" s="279">
        <v>2181</v>
      </c>
      <c r="U2264" s="277"/>
      <c r="V2264" s="277"/>
      <c r="W2264" s="277"/>
      <c r="X2264" s="277"/>
      <c r="Y2264" s="277"/>
      <c r="Z2264" s="277"/>
      <c r="AA2264" s="277"/>
      <c r="AB2264" s="277"/>
      <c r="AC2264" s="277"/>
      <c r="AD2264" s="277"/>
      <c r="AE2264" s="277"/>
      <c r="AF2264" s="277"/>
      <c r="AG2264" s="277"/>
      <c r="AH2264" s="277"/>
    </row>
    <row r="2265" spans="16:34" s="185" customFormat="1">
      <c r="P2265" s="277"/>
      <c r="Q2265" s="277"/>
      <c r="R2265" s="277"/>
      <c r="S2265" s="291">
        <v>43821</v>
      </c>
      <c r="T2265" s="279">
        <v>2182</v>
      </c>
      <c r="U2265" s="277"/>
      <c r="V2265" s="277"/>
      <c r="W2265" s="277"/>
      <c r="X2265" s="277"/>
      <c r="Y2265" s="277"/>
      <c r="Z2265" s="277"/>
      <c r="AA2265" s="277"/>
      <c r="AB2265" s="277"/>
      <c r="AC2265" s="277"/>
      <c r="AD2265" s="277"/>
      <c r="AE2265" s="277"/>
      <c r="AF2265" s="277"/>
      <c r="AG2265" s="277"/>
      <c r="AH2265" s="277"/>
    </row>
    <row r="2266" spans="16:34" s="185" customFormat="1">
      <c r="P2266" s="277"/>
      <c r="Q2266" s="277"/>
      <c r="R2266" s="277"/>
      <c r="S2266" s="291">
        <v>43822</v>
      </c>
      <c r="T2266" s="279">
        <v>2183</v>
      </c>
      <c r="U2266" s="277"/>
      <c r="V2266" s="277"/>
      <c r="W2266" s="277"/>
      <c r="X2266" s="277"/>
      <c r="Y2266" s="277"/>
      <c r="Z2266" s="277"/>
      <c r="AA2266" s="277"/>
      <c r="AB2266" s="277"/>
      <c r="AC2266" s="277"/>
      <c r="AD2266" s="277"/>
      <c r="AE2266" s="277"/>
      <c r="AF2266" s="277"/>
      <c r="AG2266" s="277"/>
      <c r="AH2266" s="277"/>
    </row>
    <row r="2267" spans="16:34" s="185" customFormat="1">
      <c r="P2267" s="277"/>
      <c r="Q2267" s="277"/>
      <c r="R2267" s="277"/>
      <c r="S2267" s="291">
        <v>43823</v>
      </c>
      <c r="T2267" s="279">
        <v>2184</v>
      </c>
      <c r="U2267" s="277"/>
      <c r="V2267" s="277"/>
      <c r="W2267" s="277"/>
      <c r="X2267" s="277"/>
      <c r="Y2267" s="277"/>
      <c r="Z2267" s="277"/>
      <c r="AA2267" s="277"/>
      <c r="AB2267" s="277"/>
      <c r="AC2267" s="277"/>
      <c r="AD2267" s="277"/>
      <c r="AE2267" s="277"/>
      <c r="AF2267" s="277"/>
      <c r="AG2267" s="277"/>
      <c r="AH2267" s="277"/>
    </row>
    <row r="2268" spans="16:34" s="185" customFormat="1">
      <c r="P2268" s="277"/>
      <c r="Q2268" s="277"/>
      <c r="R2268" s="277"/>
      <c r="S2268" s="291">
        <v>43824</v>
      </c>
      <c r="T2268" s="279">
        <v>2185</v>
      </c>
      <c r="U2268" s="277"/>
      <c r="V2268" s="277"/>
      <c r="W2268" s="277"/>
      <c r="X2268" s="277"/>
      <c r="Y2268" s="277"/>
      <c r="Z2268" s="277"/>
      <c r="AA2268" s="277"/>
      <c r="AB2268" s="277"/>
      <c r="AC2268" s="277"/>
      <c r="AD2268" s="277"/>
      <c r="AE2268" s="277"/>
      <c r="AF2268" s="277"/>
      <c r="AG2268" s="277"/>
      <c r="AH2268" s="277"/>
    </row>
    <row r="2269" spans="16:34" s="185" customFormat="1">
      <c r="P2269" s="277"/>
      <c r="Q2269" s="277"/>
      <c r="R2269" s="277"/>
      <c r="S2269" s="291">
        <v>43825</v>
      </c>
      <c r="T2269" s="279">
        <v>2186</v>
      </c>
      <c r="U2269" s="277"/>
      <c r="V2269" s="277"/>
      <c r="W2269" s="277"/>
      <c r="X2269" s="277"/>
      <c r="Y2269" s="277"/>
      <c r="Z2269" s="277"/>
      <c r="AA2269" s="277"/>
      <c r="AB2269" s="277"/>
      <c r="AC2269" s="277"/>
      <c r="AD2269" s="277"/>
      <c r="AE2269" s="277"/>
      <c r="AF2269" s="277"/>
      <c r="AG2269" s="277"/>
      <c r="AH2269" s="277"/>
    </row>
    <row r="2270" spans="16:34" s="185" customFormat="1">
      <c r="P2270" s="277"/>
      <c r="Q2270" s="277"/>
      <c r="R2270" s="277"/>
      <c r="S2270" s="291">
        <v>43826</v>
      </c>
      <c r="T2270" s="279">
        <v>2187</v>
      </c>
      <c r="U2270" s="277"/>
      <c r="V2270" s="277"/>
      <c r="W2270" s="277"/>
      <c r="X2270" s="277"/>
      <c r="Y2270" s="277"/>
      <c r="Z2270" s="277"/>
      <c r="AA2270" s="277"/>
      <c r="AB2270" s="277"/>
      <c r="AC2270" s="277"/>
      <c r="AD2270" s="277"/>
      <c r="AE2270" s="277"/>
      <c r="AF2270" s="277"/>
      <c r="AG2270" s="277"/>
      <c r="AH2270" s="277"/>
    </row>
    <row r="2271" spans="16:34" s="185" customFormat="1">
      <c r="P2271" s="277"/>
      <c r="Q2271" s="277"/>
      <c r="R2271" s="277"/>
      <c r="S2271" s="291">
        <v>43827</v>
      </c>
      <c r="T2271" s="279">
        <v>2188</v>
      </c>
      <c r="U2271" s="277"/>
      <c r="V2271" s="277"/>
      <c r="W2271" s="277"/>
      <c r="X2271" s="277"/>
      <c r="Y2271" s="277"/>
      <c r="Z2271" s="277"/>
      <c r="AA2271" s="277"/>
      <c r="AB2271" s="277"/>
      <c r="AC2271" s="277"/>
      <c r="AD2271" s="277"/>
      <c r="AE2271" s="277"/>
      <c r="AF2271" s="277"/>
      <c r="AG2271" s="277"/>
      <c r="AH2271" s="277"/>
    </row>
    <row r="2272" spans="16:34" s="185" customFormat="1">
      <c r="P2272" s="277"/>
      <c r="Q2272" s="277"/>
      <c r="R2272" s="277"/>
      <c r="S2272" s="291">
        <v>43828</v>
      </c>
      <c r="T2272" s="279">
        <v>2189</v>
      </c>
      <c r="U2272" s="277"/>
      <c r="V2272" s="277"/>
      <c r="W2272" s="277"/>
      <c r="X2272" s="277"/>
      <c r="Y2272" s="277"/>
      <c r="Z2272" s="277"/>
      <c r="AA2272" s="277"/>
      <c r="AB2272" s="277"/>
      <c r="AC2272" s="277"/>
      <c r="AD2272" s="277"/>
      <c r="AE2272" s="277"/>
      <c r="AF2272" s="277"/>
      <c r="AG2272" s="277"/>
      <c r="AH2272" s="277"/>
    </row>
    <row r="2273" spans="16:34" s="185" customFormat="1">
      <c r="P2273" s="277"/>
      <c r="Q2273" s="277"/>
      <c r="R2273" s="277"/>
      <c r="S2273" s="291">
        <v>43829</v>
      </c>
      <c r="T2273" s="279">
        <v>2190</v>
      </c>
      <c r="U2273" s="277"/>
      <c r="V2273" s="277"/>
      <c r="W2273" s="277"/>
      <c r="X2273" s="277"/>
      <c r="Y2273" s="277"/>
      <c r="Z2273" s="277"/>
      <c r="AA2273" s="277"/>
      <c r="AB2273" s="277"/>
      <c r="AC2273" s="277"/>
      <c r="AD2273" s="277"/>
      <c r="AE2273" s="277"/>
      <c r="AF2273" s="277"/>
      <c r="AG2273" s="277"/>
      <c r="AH2273" s="277"/>
    </row>
    <row r="2274" spans="16:34" s="185" customFormat="1">
      <c r="P2274" s="277"/>
      <c r="Q2274" s="277"/>
      <c r="R2274" s="277"/>
      <c r="S2274" s="291">
        <v>43830</v>
      </c>
      <c r="T2274" s="279">
        <v>2191</v>
      </c>
      <c r="U2274" s="277"/>
      <c r="V2274" s="277"/>
      <c r="W2274" s="277"/>
      <c r="X2274" s="277"/>
      <c r="Y2274" s="277"/>
      <c r="Z2274" s="277"/>
      <c r="AA2274" s="277"/>
      <c r="AB2274" s="277"/>
      <c r="AC2274" s="277"/>
      <c r="AD2274" s="277"/>
      <c r="AE2274" s="277"/>
      <c r="AF2274" s="277"/>
      <c r="AG2274" s="277"/>
      <c r="AH2274" s="277"/>
    </row>
    <row r="2275" spans="16:34" s="185" customFormat="1">
      <c r="P2275" s="277"/>
      <c r="Q2275" s="277"/>
      <c r="R2275" s="277"/>
      <c r="S2275" s="291">
        <v>43831</v>
      </c>
      <c r="T2275" s="279">
        <v>2192</v>
      </c>
      <c r="U2275" s="277"/>
      <c r="V2275" s="277"/>
      <c r="W2275" s="277"/>
      <c r="X2275" s="277"/>
      <c r="Y2275" s="277"/>
      <c r="Z2275" s="277"/>
      <c r="AA2275" s="277"/>
      <c r="AB2275" s="277"/>
      <c r="AC2275" s="277"/>
      <c r="AD2275" s="277"/>
      <c r="AE2275" s="277"/>
      <c r="AF2275" s="277"/>
      <c r="AG2275" s="277"/>
      <c r="AH2275" s="277"/>
    </row>
    <row r="2276" spans="16:34" s="185" customFormat="1">
      <c r="P2276" s="277"/>
      <c r="Q2276" s="277"/>
      <c r="R2276" s="277"/>
      <c r="S2276" s="291">
        <v>43832</v>
      </c>
      <c r="T2276" s="279">
        <v>2193</v>
      </c>
      <c r="U2276" s="277"/>
      <c r="V2276" s="277"/>
      <c r="W2276" s="277"/>
      <c r="X2276" s="277"/>
      <c r="Y2276" s="277"/>
      <c r="Z2276" s="277"/>
      <c r="AA2276" s="277"/>
      <c r="AB2276" s="277"/>
      <c r="AC2276" s="277"/>
      <c r="AD2276" s="277"/>
      <c r="AE2276" s="277"/>
      <c r="AF2276" s="277"/>
      <c r="AG2276" s="277"/>
      <c r="AH2276" s="277"/>
    </row>
    <row r="2277" spans="16:34" s="185" customFormat="1">
      <c r="P2277" s="277"/>
      <c r="Q2277" s="277"/>
      <c r="R2277" s="277"/>
      <c r="S2277" s="291">
        <v>43833</v>
      </c>
      <c r="T2277" s="279">
        <v>2194</v>
      </c>
      <c r="U2277" s="277"/>
      <c r="V2277" s="277"/>
      <c r="W2277" s="277"/>
      <c r="X2277" s="277"/>
      <c r="Y2277" s="277"/>
      <c r="Z2277" s="277"/>
      <c r="AA2277" s="277"/>
      <c r="AB2277" s="277"/>
      <c r="AC2277" s="277"/>
      <c r="AD2277" s="277"/>
      <c r="AE2277" s="277"/>
      <c r="AF2277" s="277"/>
      <c r="AG2277" s="277"/>
      <c r="AH2277" s="277"/>
    </row>
    <row r="2278" spans="16:34" s="185" customFormat="1">
      <c r="P2278" s="277"/>
      <c r="Q2278" s="277"/>
      <c r="R2278" s="277"/>
      <c r="S2278" s="291">
        <v>43834</v>
      </c>
      <c r="T2278" s="279">
        <v>2195</v>
      </c>
      <c r="U2278" s="277"/>
      <c r="V2278" s="277"/>
      <c r="W2278" s="277"/>
      <c r="X2278" s="277"/>
      <c r="Y2278" s="277"/>
      <c r="Z2278" s="277"/>
      <c r="AA2278" s="277"/>
      <c r="AB2278" s="277"/>
      <c r="AC2278" s="277"/>
      <c r="AD2278" s="277"/>
      <c r="AE2278" s="277"/>
      <c r="AF2278" s="277"/>
      <c r="AG2278" s="277"/>
      <c r="AH2278" s="277"/>
    </row>
    <row r="2279" spans="16:34" s="185" customFormat="1">
      <c r="P2279" s="277"/>
      <c r="Q2279" s="277"/>
      <c r="R2279" s="277"/>
      <c r="S2279" s="291">
        <v>43835</v>
      </c>
      <c r="T2279" s="279">
        <v>2196</v>
      </c>
      <c r="U2279" s="277"/>
      <c r="V2279" s="277"/>
      <c r="W2279" s="277"/>
      <c r="X2279" s="277"/>
      <c r="Y2279" s="277"/>
      <c r="Z2279" s="277"/>
      <c r="AA2279" s="277"/>
      <c r="AB2279" s="277"/>
      <c r="AC2279" s="277"/>
      <c r="AD2279" s="277"/>
      <c r="AE2279" s="277"/>
      <c r="AF2279" s="277"/>
      <c r="AG2279" s="277"/>
      <c r="AH2279" s="277"/>
    </row>
    <row r="2280" spans="16:34" s="185" customFormat="1">
      <c r="P2280" s="277"/>
      <c r="Q2280" s="277"/>
      <c r="R2280" s="277"/>
      <c r="S2280" s="291">
        <v>43836</v>
      </c>
      <c r="T2280" s="279">
        <v>2197</v>
      </c>
      <c r="U2280" s="277"/>
      <c r="V2280" s="277"/>
      <c r="W2280" s="277"/>
      <c r="X2280" s="277"/>
      <c r="Y2280" s="277"/>
      <c r="Z2280" s="277"/>
      <c r="AA2280" s="277"/>
      <c r="AB2280" s="277"/>
      <c r="AC2280" s="277"/>
      <c r="AD2280" s="277"/>
      <c r="AE2280" s="277"/>
      <c r="AF2280" s="277"/>
      <c r="AG2280" s="277"/>
      <c r="AH2280" s="277"/>
    </row>
    <row r="2281" spans="16:34" s="185" customFormat="1">
      <c r="P2281" s="277"/>
      <c r="Q2281" s="277"/>
      <c r="R2281" s="277"/>
      <c r="S2281" s="291">
        <v>43837</v>
      </c>
      <c r="T2281" s="279">
        <v>2198</v>
      </c>
      <c r="U2281" s="277"/>
      <c r="V2281" s="277"/>
      <c r="W2281" s="277"/>
      <c r="X2281" s="277"/>
      <c r="Y2281" s="277"/>
      <c r="Z2281" s="277"/>
      <c r="AA2281" s="277"/>
      <c r="AB2281" s="277"/>
      <c r="AC2281" s="277"/>
      <c r="AD2281" s="277"/>
      <c r="AE2281" s="277"/>
      <c r="AF2281" s="277"/>
      <c r="AG2281" s="277"/>
      <c r="AH2281" s="277"/>
    </row>
    <row r="2282" spans="16:34" s="185" customFormat="1">
      <c r="P2282" s="277"/>
      <c r="Q2282" s="277"/>
      <c r="R2282" s="277"/>
      <c r="S2282" s="291">
        <v>43838</v>
      </c>
      <c r="T2282" s="279">
        <v>2199</v>
      </c>
      <c r="U2282" s="277"/>
      <c r="V2282" s="277"/>
      <c r="W2282" s="277"/>
      <c r="X2282" s="277"/>
      <c r="Y2282" s="277"/>
      <c r="Z2282" s="277"/>
      <c r="AA2282" s="277"/>
      <c r="AB2282" s="277"/>
      <c r="AC2282" s="277"/>
      <c r="AD2282" s="277"/>
      <c r="AE2282" s="277"/>
      <c r="AF2282" s="277"/>
      <c r="AG2282" s="277"/>
      <c r="AH2282" s="277"/>
    </row>
    <row r="2283" spans="16:34" s="185" customFormat="1">
      <c r="P2283" s="277"/>
      <c r="Q2283" s="277"/>
      <c r="R2283" s="277"/>
      <c r="S2283" s="291">
        <v>43839</v>
      </c>
      <c r="T2283" s="279">
        <v>2200</v>
      </c>
      <c r="U2283" s="277"/>
      <c r="V2283" s="277"/>
      <c r="W2283" s="277"/>
      <c r="X2283" s="277"/>
      <c r="Y2283" s="277"/>
      <c r="Z2283" s="277"/>
      <c r="AA2283" s="277"/>
      <c r="AB2283" s="277"/>
      <c r="AC2283" s="277"/>
      <c r="AD2283" s="277"/>
      <c r="AE2283" s="277"/>
      <c r="AF2283" s="277"/>
      <c r="AG2283" s="277"/>
      <c r="AH2283" s="277"/>
    </row>
    <row r="2284" spans="16:34" s="185" customFormat="1">
      <c r="P2284" s="277"/>
      <c r="Q2284" s="277"/>
      <c r="R2284" s="277"/>
      <c r="S2284" s="291">
        <v>43840</v>
      </c>
      <c r="T2284" s="279">
        <v>2201</v>
      </c>
      <c r="U2284" s="277"/>
      <c r="V2284" s="277"/>
      <c r="W2284" s="277"/>
      <c r="X2284" s="277"/>
      <c r="Y2284" s="277"/>
      <c r="Z2284" s="277"/>
      <c r="AA2284" s="277"/>
      <c r="AB2284" s="277"/>
      <c r="AC2284" s="277"/>
      <c r="AD2284" s="277"/>
      <c r="AE2284" s="277"/>
      <c r="AF2284" s="277"/>
      <c r="AG2284" s="277"/>
      <c r="AH2284" s="277"/>
    </row>
    <row r="2285" spans="16:34" s="185" customFormat="1">
      <c r="P2285" s="277"/>
      <c r="Q2285" s="277"/>
      <c r="R2285" s="277"/>
      <c r="S2285" s="291">
        <v>43841</v>
      </c>
      <c r="T2285" s="279">
        <v>2202</v>
      </c>
      <c r="U2285" s="277"/>
      <c r="V2285" s="277"/>
      <c r="W2285" s="277"/>
      <c r="X2285" s="277"/>
      <c r="Y2285" s="277"/>
      <c r="Z2285" s="277"/>
      <c r="AA2285" s="277"/>
      <c r="AB2285" s="277"/>
      <c r="AC2285" s="277"/>
      <c r="AD2285" s="277"/>
      <c r="AE2285" s="277"/>
      <c r="AF2285" s="277"/>
      <c r="AG2285" s="277"/>
      <c r="AH2285" s="277"/>
    </row>
    <row r="2286" spans="16:34" s="185" customFormat="1">
      <c r="P2286" s="277"/>
      <c r="Q2286" s="277"/>
      <c r="R2286" s="277"/>
      <c r="S2286" s="291">
        <v>43842</v>
      </c>
      <c r="T2286" s="279">
        <v>2203</v>
      </c>
      <c r="U2286" s="277"/>
      <c r="V2286" s="277"/>
      <c r="W2286" s="277"/>
      <c r="X2286" s="277"/>
      <c r="Y2286" s="277"/>
      <c r="Z2286" s="277"/>
      <c r="AA2286" s="277"/>
      <c r="AB2286" s="277"/>
      <c r="AC2286" s="277"/>
      <c r="AD2286" s="277"/>
      <c r="AE2286" s="277"/>
      <c r="AF2286" s="277"/>
      <c r="AG2286" s="277"/>
      <c r="AH2286" s="277"/>
    </row>
    <row r="2287" spans="16:34" s="185" customFormat="1">
      <c r="P2287" s="277"/>
      <c r="Q2287" s="277"/>
      <c r="R2287" s="277"/>
      <c r="S2287" s="291">
        <v>43843</v>
      </c>
      <c r="T2287" s="279">
        <v>2204</v>
      </c>
      <c r="U2287" s="277"/>
      <c r="V2287" s="277"/>
      <c r="W2287" s="277"/>
      <c r="X2287" s="277"/>
      <c r="Y2287" s="277"/>
      <c r="Z2287" s="277"/>
      <c r="AA2287" s="277"/>
      <c r="AB2287" s="277"/>
      <c r="AC2287" s="277"/>
      <c r="AD2287" s="277"/>
      <c r="AE2287" s="277"/>
      <c r="AF2287" s="277"/>
      <c r="AG2287" s="277"/>
      <c r="AH2287" s="277"/>
    </row>
    <row r="2288" spans="16:34" s="185" customFormat="1">
      <c r="P2288" s="277"/>
      <c r="Q2288" s="277"/>
      <c r="R2288" s="277"/>
      <c r="S2288" s="291">
        <v>43844</v>
      </c>
      <c r="T2288" s="279">
        <v>2205</v>
      </c>
      <c r="U2288" s="277"/>
      <c r="V2288" s="277"/>
      <c r="W2288" s="277"/>
      <c r="X2288" s="277"/>
      <c r="Y2288" s="277"/>
      <c r="Z2288" s="277"/>
      <c r="AA2288" s="277"/>
      <c r="AB2288" s="277"/>
      <c r="AC2288" s="277"/>
      <c r="AD2288" s="277"/>
      <c r="AE2288" s="277"/>
      <c r="AF2288" s="277"/>
      <c r="AG2288" s="277"/>
      <c r="AH2288" s="277"/>
    </row>
    <row r="2289" spans="16:34" s="185" customFormat="1">
      <c r="P2289" s="277"/>
      <c r="Q2289" s="277"/>
      <c r="R2289" s="277"/>
      <c r="S2289" s="291">
        <v>43845</v>
      </c>
      <c r="T2289" s="279">
        <v>2206</v>
      </c>
      <c r="U2289" s="277"/>
      <c r="V2289" s="277"/>
      <c r="W2289" s="277"/>
      <c r="X2289" s="277"/>
      <c r="Y2289" s="277"/>
      <c r="Z2289" s="277"/>
      <c r="AA2289" s="277"/>
      <c r="AB2289" s="277"/>
      <c r="AC2289" s="277"/>
      <c r="AD2289" s="277"/>
      <c r="AE2289" s="277"/>
      <c r="AF2289" s="277"/>
      <c r="AG2289" s="277"/>
      <c r="AH2289" s="277"/>
    </row>
    <row r="2290" spans="16:34" s="185" customFormat="1">
      <c r="P2290" s="277"/>
      <c r="Q2290" s="277"/>
      <c r="R2290" s="277"/>
      <c r="S2290" s="291">
        <v>43846</v>
      </c>
      <c r="T2290" s="279">
        <v>2207</v>
      </c>
      <c r="U2290" s="277"/>
      <c r="V2290" s="277"/>
      <c r="W2290" s="277"/>
      <c r="X2290" s="277"/>
      <c r="Y2290" s="277"/>
      <c r="Z2290" s="277"/>
      <c r="AA2290" s="277"/>
      <c r="AB2290" s="277"/>
      <c r="AC2290" s="277"/>
      <c r="AD2290" s="277"/>
      <c r="AE2290" s="277"/>
      <c r="AF2290" s="277"/>
      <c r="AG2290" s="277"/>
      <c r="AH2290" s="277"/>
    </row>
    <row r="2291" spans="16:34" s="185" customFormat="1">
      <c r="P2291" s="277"/>
      <c r="Q2291" s="277"/>
      <c r="R2291" s="277"/>
      <c r="S2291" s="291">
        <v>43847</v>
      </c>
      <c r="T2291" s="279">
        <v>2208</v>
      </c>
      <c r="U2291" s="277"/>
      <c r="V2291" s="277"/>
      <c r="W2291" s="277"/>
      <c r="X2291" s="277"/>
      <c r="Y2291" s="277"/>
      <c r="Z2291" s="277"/>
      <c r="AA2291" s="277"/>
      <c r="AB2291" s="277"/>
      <c r="AC2291" s="277"/>
      <c r="AD2291" s="277"/>
      <c r="AE2291" s="277"/>
      <c r="AF2291" s="277"/>
      <c r="AG2291" s="277"/>
      <c r="AH2291" s="277"/>
    </row>
    <row r="2292" spans="16:34" s="185" customFormat="1">
      <c r="P2292" s="277"/>
      <c r="Q2292" s="277"/>
      <c r="R2292" s="277"/>
      <c r="S2292" s="291">
        <v>43848</v>
      </c>
      <c r="T2292" s="279">
        <v>2209</v>
      </c>
      <c r="U2292" s="277"/>
      <c r="V2292" s="277"/>
      <c r="W2292" s="277"/>
      <c r="X2292" s="277"/>
      <c r="Y2292" s="277"/>
      <c r="Z2292" s="277"/>
      <c r="AA2292" s="277"/>
      <c r="AB2292" s="277"/>
      <c r="AC2292" s="277"/>
      <c r="AD2292" s="277"/>
      <c r="AE2292" s="277"/>
      <c r="AF2292" s="277"/>
      <c r="AG2292" s="277"/>
      <c r="AH2292" s="277"/>
    </row>
    <row r="2293" spans="16:34" s="185" customFormat="1">
      <c r="P2293" s="277"/>
      <c r="Q2293" s="277"/>
      <c r="R2293" s="277"/>
      <c r="S2293" s="291">
        <v>43849</v>
      </c>
      <c r="T2293" s="279">
        <v>2210</v>
      </c>
      <c r="U2293" s="277"/>
      <c r="V2293" s="277"/>
      <c r="W2293" s="277"/>
      <c r="X2293" s="277"/>
      <c r="Y2293" s="277"/>
      <c r="Z2293" s="277"/>
      <c r="AA2293" s="277"/>
      <c r="AB2293" s="277"/>
      <c r="AC2293" s="277"/>
      <c r="AD2293" s="277"/>
      <c r="AE2293" s="277"/>
      <c r="AF2293" s="277"/>
      <c r="AG2293" s="277"/>
      <c r="AH2293" s="277"/>
    </row>
    <row r="2294" spans="16:34" s="185" customFormat="1">
      <c r="P2294" s="277"/>
      <c r="Q2294" s="277"/>
      <c r="R2294" s="277"/>
      <c r="S2294" s="291">
        <v>43850</v>
      </c>
      <c r="T2294" s="279">
        <v>2211</v>
      </c>
      <c r="U2294" s="277"/>
      <c r="V2294" s="277"/>
      <c r="W2294" s="277"/>
      <c r="X2294" s="277"/>
      <c r="Y2294" s="277"/>
      <c r="Z2294" s="277"/>
      <c r="AA2294" s="277"/>
      <c r="AB2294" s="277"/>
      <c r="AC2294" s="277"/>
      <c r="AD2294" s="277"/>
      <c r="AE2294" s="277"/>
      <c r="AF2294" s="277"/>
      <c r="AG2294" s="277"/>
      <c r="AH2294" s="277"/>
    </row>
    <row r="2295" spans="16:34" s="185" customFormat="1">
      <c r="P2295" s="277"/>
      <c r="Q2295" s="277"/>
      <c r="R2295" s="277"/>
      <c r="S2295" s="291">
        <v>43851</v>
      </c>
      <c r="T2295" s="279">
        <v>2212</v>
      </c>
      <c r="U2295" s="277"/>
      <c r="V2295" s="277"/>
      <c r="W2295" s="277"/>
      <c r="X2295" s="277"/>
      <c r="Y2295" s="277"/>
      <c r="Z2295" s="277"/>
      <c r="AA2295" s="277"/>
      <c r="AB2295" s="277"/>
      <c r="AC2295" s="277"/>
      <c r="AD2295" s="277"/>
      <c r="AE2295" s="277"/>
      <c r="AF2295" s="277"/>
      <c r="AG2295" s="277"/>
      <c r="AH2295" s="277"/>
    </row>
    <row r="2296" spans="16:34" s="185" customFormat="1">
      <c r="P2296" s="277"/>
      <c r="Q2296" s="277"/>
      <c r="R2296" s="277"/>
      <c r="S2296" s="291">
        <v>43852</v>
      </c>
      <c r="T2296" s="279">
        <v>2213</v>
      </c>
      <c r="U2296" s="277"/>
      <c r="V2296" s="277"/>
      <c r="W2296" s="277"/>
      <c r="X2296" s="277"/>
      <c r="Y2296" s="277"/>
      <c r="Z2296" s="277"/>
      <c r="AA2296" s="277"/>
      <c r="AB2296" s="277"/>
      <c r="AC2296" s="277"/>
      <c r="AD2296" s="277"/>
      <c r="AE2296" s="277"/>
      <c r="AF2296" s="277"/>
      <c r="AG2296" s="277"/>
      <c r="AH2296" s="277"/>
    </row>
    <row r="2297" spans="16:34" s="185" customFormat="1">
      <c r="P2297" s="277"/>
      <c r="Q2297" s="277"/>
      <c r="R2297" s="277"/>
      <c r="S2297" s="291">
        <v>43853</v>
      </c>
      <c r="T2297" s="279">
        <v>2214</v>
      </c>
      <c r="U2297" s="277"/>
      <c r="V2297" s="277"/>
      <c r="W2297" s="277"/>
      <c r="X2297" s="277"/>
      <c r="Y2297" s="277"/>
      <c r="Z2297" s="277"/>
      <c r="AA2297" s="277"/>
      <c r="AB2297" s="277"/>
      <c r="AC2297" s="277"/>
      <c r="AD2297" s="277"/>
      <c r="AE2297" s="277"/>
      <c r="AF2297" s="277"/>
      <c r="AG2297" s="277"/>
      <c r="AH2297" s="277"/>
    </row>
    <row r="2298" spans="16:34" s="185" customFormat="1">
      <c r="P2298" s="277"/>
      <c r="Q2298" s="277"/>
      <c r="R2298" s="277"/>
      <c r="S2298" s="291">
        <v>43854</v>
      </c>
      <c r="T2298" s="279">
        <v>2215</v>
      </c>
      <c r="U2298" s="277"/>
      <c r="V2298" s="277"/>
      <c r="W2298" s="277"/>
      <c r="X2298" s="277"/>
      <c r="Y2298" s="277"/>
      <c r="Z2298" s="277"/>
      <c r="AA2298" s="277"/>
      <c r="AB2298" s="277"/>
      <c r="AC2298" s="277"/>
      <c r="AD2298" s="277"/>
      <c r="AE2298" s="277"/>
      <c r="AF2298" s="277"/>
      <c r="AG2298" s="277"/>
      <c r="AH2298" s="277"/>
    </row>
    <row r="2299" spans="16:34" s="185" customFormat="1">
      <c r="P2299" s="277"/>
      <c r="Q2299" s="277"/>
      <c r="R2299" s="277"/>
      <c r="S2299" s="291">
        <v>43855</v>
      </c>
      <c r="T2299" s="279">
        <v>2216</v>
      </c>
      <c r="U2299" s="277"/>
      <c r="V2299" s="277"/>
      <c r="W2299" s="277"/>
      <c r="X2299" s="277"/>
      <c r="Y2299" s="277"/>
      <c r="Z2299" s="277"/>
      <c r="AA2299" s="277"/>
      <c r="AB2299" s="277"/>
      <c r="AC2299" s="277"/>
      <c r="AD2299" s="277"/>
      <c r="AE2299" s="277"/>
      <c r="AF2299" s="277"/>
      <c r="AG2299" s="277"/>
      <c r="AH2299" s="277"/>
    </row>
    <row r="2300" spans="16:34" s="185" customFormat="1">
      <c r="P2300" s="277"/>
      <c r="Q2300" s="277"/>
      <c r="R2300" s="277"/>
      <c r="S2300" s="291">
        <v>43856</v>
      </c>
      <c r="T2300" s="279">
        <v>2217</v>
      </c>
      <c r="U2300" s="277"/>
      <c r="V2300" s="277"/>
      <c r="W2300" s="277"/>
      <c r="X2300" s="277"/>
      <c r="Y2300" s="277"/>
      <c r="Z2300" s="277"/>
      <c r="AA2300" s="277"/>
      <c r="AB2300" s="277"/>
      <c r="AC2300" s="277"/>
      <c r="AD2300" s="277"/>
      <c r="AE2300" s="277"/>
      <c r="AF2300" s="277"/>
      <c r="AG2300" s="277"/>
      <c r="AH2300" s="277"/>
    </row>
    <row r="2301" spans="16:34" s="185" customFormat="1">
      <c r="P2301" s="277"/>
      <c r="Q2301" s="277"/>
      <c r="R2301" s="277"/>
      <c r="S2301" s="291">
        <v>43857</v>
      </c>
      <c r="T2301" s="279">
        <v>2218</v>
      </c>
      <c r="U2301" s="277"/>
      <c r="V2301" s="277"/>
      <c r="W2301" s="277"/>
      <c r="X2301" s="277"/>
      <c r="Y2301" s="277"/>
      <c r="Z2301" s="277"/>
      <c r="AA2301" s="277"/>
      <c r="AB2301" s="277"/>
      <c r="AC2301" s="277"/>
      <c r="AD2301" s="277"/>
      <c r="AE2301" s="277"/>
      <c r="AF2301" s="277"/>
      <c r="AG2301" s="277"/>
      <c r="AH2301" s="277"/>
    </row>
    <row r="2302" spans="16:34" s="185" customFormat="1">
      <c r="P2302" s="277"/>
      <c r="Q2302" s="277"/>
      <c r="R2302" s="277"/>
      <c r="S2302" s="291">
        <v>43858</v>
      </c>
      <c r="T2302" s="279">
        <v>2219</v>
      </c>
      <c r="U2302" s="277"/>
      <c r="V2302" s="277"/>
      <c r="W2302" s="277"/>
      <c r="X2302" s="277"/>
      <c r="Y2302" s="277"/>
      <c r="Z2302" s="277"/>
      <c r="AA2302" s="277"/>
      <c r="AB2302" s="277"/>
      <c r="AC2302" s="277"/>
      <c r="AD2302" s="277"/>
      <c r="AE2302" s="277"/>
      <c r="AF2302" s="277"/>
      <c r="AG2302" s="277"/>
      <c r="AH2302" s="277"/>
    </row>
    <row r="2303" spans="16:34" s="185" customFormat="1">
      <c r="P2303" s="277"/>
      <c r="Q2303" s="277"/>
      <c r="R2303" s="277"/>
      <c r="S2303" s="291">
        <v>43859</v>
      </c>
      <c r="T2303" s="279">
        <v>2220</v>
      </c>
      <c r="U2303" s="277"/>
      <c r="V2303" s="277"/>
      <c r="W2303" s="277"/>
      <c r="X2303" s="277"/>
      <c r="Y2303" s="277"/>
      <c r="Z2303" s="277"/>
      <c r="AA2303" s="277"/>
      <c r="AB2303" s="277"/>
      <c r="AC2303" s="277"/>
      <c r="AD2303" s="277"/>
      <c r="AE2303" s="277"/>
      <c r="AF2303" s="277"/>
      <c r="AG2303" s="277"/>
      <c r="AH2303" s="277"/>
    </row>
    <row r="2304" spans="16:34" s="185" customFormat="1">
      <c r="P2304" s="277"/>
      <c r="Q2304" s="277"/>
      <c r="R2304" s="277"/>
      <c r="S2304" s="291">
        <v>43860</v>
      </c>
      <c r="T2304" s="279">
        <v>2221</v>
      </c>
      <c r="U2304" s="277"/>
      <c r="V2304" s="277"/>
      <c r="W2304" s="277"/>
      <c r="X2304" s="277"/>
      <c r="Y2304" s="277"/>
      <c r="Z2304" s="277"/>
      <c r="AA2304" s="277"/>
      <c r="AB2304" s="277"/>
      <c r="AC2304" s="277"/>
      <c r="AD2304" s="277"/>
      <c r="AE2304" s="277"/>
      <c r="AF2304" s="277"/>
      <c r="AG2304" s="277"/>
      <c r="AH2304" s="277"/>
    </row>
    <row r="2305" spans="16:34" s="185" customFormat="1">
      <c r="P2305" s="277"/>
      <c r="Q2305" s="277"/>
      <c r="R2305" s="277"/>
      <c r="S2305" s="291">
        <v>43861</v>
      </c>
      <c r="T2305" s="279">
        <v>2222</v>
      </c>
      <c r="U2305" s="277"/>
      <c r="V2305" s="277"/>
      <c r="W2305" s="277"/>
      <c r="X2305" s="277"/>
      <c r="Y2305" s="277"/>
      <c r="Z2305" s="277"/>
      <c r="AA2305" s="277"/>
      <c r="AB2305" s="277"/>
      <c r="AC2305" s="277"/>
      <c r="AD2305" s="277"/>
      <c r="AE2305" s="277"/>
      <c r="AF2305" s="277"/>
      <c r="AG2305" s="277"/>
      <c r="AH2305" s="277"/>
    </row>
    <row r="2306" spans="16:34" s="185" customFormat="1">
      <c r="P2306" s="277"/>
      <c r="Q2306" s="277"/>
      <c r="R2306" s="277"/>
      <c r="S2306" s="291">
        <v>43862</v>
      </c>
      <c r="T2306" s="279">
        <v>2223</v>
      </c>
      <c r="U2306" s="277"/>
      <c r="V2306" s="277"/>
      <c r="W2306" s="277"/>
      <c r="X2306" s="277"/>
      <c r="Y2306" s="277"/>
      <c r="Z2306" s="277"/>
      <c r="AA2306" s="277"/>
      <c r="AB2306" s="277"/>
      <c r="AC2306" s="277"/>
      <c r="AD2306" s="277"/>
      <c r="AE2306" s="277"/>
      <c r="AF2306" s="277"/>
      <c r="AG2306" s="277"/>
      <c r="AH2306" s="277"/>
    </row>
    <row r="2307" spans="16:34" s="185" customFormat="1">
      <c r="P2307" s="277"/>
      <c r="Q2307" s="277"/>
      <c r="R2307" s="277"/>
      <c r="S2307" s="291">
        <v>43863</v>
      </c>
      <c r="T2307" s="279">
        <v>2224</v>
      </c>
      <c r="U2307" s="277"/>
      <c r="V2307" s="277"/>
      <c r="W2307" s="277"/>
      <c r="X2307" s="277"/>
      <c r="Y2307" s="277"/>
      <c r="Z2307" s="277"/>
      <c r="AA2307" s="277"/>
      <c r="AB2307" s="277"/>
      <c r="AC2307" s="277"/>
      <c r="AD2307" s="277"/>
      <c r="AE2307" s="277"/>
      <c r="AF2307" s="277"/>
      <c r="AG2307" s="277"/>
      <c r="AH2307" s="277"/>
    </row>
    <row r="2308" spans="16:34" s="185" customFormat="1">
      <c r="P2308" s="277"/>
      <c r="Q2308" s="277"/>
      <c r="R2308" s="277"/>
      <c r="S2308" s="291">
        <v>43864</v>
      </c>
      <c r="T2308" s="279">
        <v>2225</v>
      </c>
      <c r="U2308" s="277"/>
      <c r="V2308" s="277"/>
      <c r="W2308" s="277"/>
      <c r="X2308" s="277"/>
      <c r="Y2308" s="277"/>
      <c r="Z2308" s="277"/>
      <c r="AA2308" s="277"/>
      <c r="AB2308" s="277"/>
      <c r="AC2308" s="277"/>
      <c r="AD2308" s="277"/>
      <c r="AE2308" s="277"/>
      <c r="AF2308" s="277"/>
      <c r="AG2308" s="277"/>
      <c r="AH2308" s="277"/>
    </row>
    <row r="2309" spans="16:34" s="185" customFormat="1">
      <c r="P2309" s="277"/>
      <c r="Q2309" s="277"/>
      <c r="R2309" s="277"/>
      <c r="S2309" s="291">
        <v>43865</v>
      </c>
      <c r="T2309" s="279">
        <v>2226</v>
      </c>
      <c r="U2309" s="277"/>
      <c r="V2309" s="277"/>
      <c r="W2309" s="277"/>
      <c r="X2309" s="277"/>
      <c r="Y2309" s="277"/>
      <c r="Z2309" s="277"/>
      <c r="AA2309" s="277"/>
      <c r="AB2309" s="277"/>
      <c r="AC2309" s="277"/>
      <c r="AD2309" s="277"/>
      <c r="AE2309" s="277"/>
      <c r="AF2309" s="277"/>
      <c r="AG2309" s="277"/>
      <c r="AH2309" s="277"/>
    </row>
    <row r="2310" spans="16:34" s="185" customFormat="1">
      <c r="P2310" s="277"/>
      <c r="Q2310" s="277"/>
      <c r="R2310" s="277"/>
      <c r="S2310" s="291">
        <v>43866</v>
      </c>
      <c r="T2310" s="279">
        <v>2227</v>
      </c>
      <c r="U2310" s="277"/>
      <c r="V2310" s="277"/>
      <c r="W2310" s="277"/>
      <c r="X2310" s="277"/>
      <c r="Y2310" s="277"/>
      <c r="Z2310" s="277"/>
      <c r="AA2310" s="277"/>
      <c r="AB2310" s="277"/>
      <c r="AC2310" s="277"/>
      <c r="AD2310" s="277"/>
      <c r="AE2310" s="277"/>
      <c r="AF2310" s="277"/>
      <c r="AG2310" s="277"/>
      <c r="AH2310" s="277"/>
    </row>
    <row r="2311" spans="16:34" s="185" customFormat="1">
      <c r="P2311" s="277"/>
      <c r="Q2311" s="277"/>
      <c r="R2311" s="277"/>
      <c r="S2311" s="291">
        <v>43867</v>
      </c>
      <c r="T2311" s="279">
        <v>2228</v>
      </c>
      <c r="U2311" s="277"/>
      <c r="V2311" s="277"/>
      <c r="W2311" s="277"/>
      <c r="X2311" s="277"/>
      <c r="Y2311" s="277"/>
      <c r="Z2311" s="277"/>
      <c r="AA2311" s="277"/>
      <c r="AB2311" s="277"/>
      <c r="AC2311" s="277"/>
      <c r="AD2311" s="277"/>
      <c r="AE2311" s="277"/>
      <c r="AF2311" s="277"/>
      <c r="AG2311" s="277"/>
      <c r="AH2311" s="277"/>
    </row>
    <row r="2312" spans="16:34" s="185" customFormat="1">
      <c r="P2312" s="277"/>
      <c r="Q2312" s="277"/>
      <c r="R2312" s="277"/>
      <c r="S2312" s="291">
        <v>43868</v>
      </c>
      <c r="T2312" s="279">
        <v>2229</v>
      </c>
      <c r="U2312" s="277"/>
      <c r="V2312" s="277"/>
      <c r="W2312" s="277"/>
      <c r="X2312" s="277"/>
      <c r="Y2312" s="277"/>
      <c r="Z2312" s="277"/>
      <c r="AA2312" s="277"/>
      <c r="AB2312" s="277"/>
      <c r="AC2312" s="277"/>
      <c r="AD2312" s="277"/>
      <c r="AE2312" s="277"/>
      <c r="AF2312" s="277"/>
      <c r="AG2312" s="277"/>
      <c r="AH2312" s="277"/>
    </row>
    <row r="2313" spans="16:34" s="185" customFormat="1">
      <c r="P2313" s="277"/>
      <c r="Q2313" s="277"/>
      <c r="R2313" s="277"/>
      <c r="S2313" s="291">
        <v>43869</v>
      </c>
      <c r="T2313" s="279">
        <v>2230</v>
      </c>
      <c r="U2313" s="277"/>
      <c r="V2313" s="277"/>
      <c r="W2313" s="277"/>
      <c r="X2313" s="277"/>
      <c r="Y2313" s="277"/>
      <c r="Z2313" s="277"/>
      <c r="AA2313" s="277"/>
      <c r="AB2313" s="277"/>
      <c r="AC2313" s="277"/>
      <c r="AD2313" s="277"/>
      <c r="AE2313" s="277"/>
      <c r="AF2313" s="277"/>
      <c r="AG2313" s="277"/>
      <c r="AH2313" s="277"/>
    </row>
    <row r="2314" spans="16:34" s="185" customFormat="1">
      <c r="P2314" s="277"/>
      <c r="Q2314" s="277"/>
      <c r="R2314" s="277"/>
      <c r="S2314" s="291">
        <v>43870</v>
      </c>
      <c r="T2314" s="279">
        <v>2231</v>
      </c>
      <c r="U2314" s="277"/>
      <c r="V2314" s="277"/>
      <c r="W2314" s="277"/>
      <c r="X2314" s="277"/>
      <c r="Y2314" s="277"/>
      <c r="Z2314" s="277"/>
      <c r="AA2314" s="277"/>
      <c r="AB2314" s="277"/>
      <c r="AC2314" s="277"/>
      <c r="AD2314" s="277"/>
      <c r="AE2314" s="277"/>
      <c r="AF2314" s="277"/>
      <c r="AG2314" s="277"/>
      <c r="AH2314" s="277"/>
    </row>
    <row r="2315" spans="16:34" s="185" customFormat="1">
      <c r="P2315" s="277"/>
      <c r="Q2315" s="277"/>
      <c r="R2315" s="277"/>
      <c r="S2315" s="291">
        <v>43871</v>
      </c>
      <c r="T2315" s="279">
        <v>2232</v>
      </c>
      <c r="U2315" s="277"/>
      <c r="V2315" s="277"/>
      <c r="W2315" s="277"/>
      <c r="X2315" s="277"/>
      <c r="Y2315" s="277"/>
      <c r="Z2315" s="277"/>
      <c r="AA2315" s="277"/>
      <c r="AB2315" s="277"/>
      <c r="AC2315" s="277"/>
      <c r="AD2315" s="277"/>
      <c r="AE2315" s="277"/>
      <c r="AF2315" s="277"/>
      <c r="AG2315" s="277"/>
      <c r="AH2315" s="277"/>
    </row>
    <row r="2316" spans="16:34" s="185" customFormat="1">
      <c r="P2316" s="277"/>
      <c r="Q2316" s="277"/>
      <c r="R2316" s="277"/>
      <c r="S2316" s="291">
        <v>43872</v>
      </c>
      <c r="T2316" s="279">
        <v>2233</v>
      </c>
      <c r="U2316" s="277"/>
      <c r="V2316" s="277"/>
      <c r="W2316" s="277"/>
      <c r="X2316" s="277"/>
      <c r="Y2316" s="277"/>
      <c r="Z2316" s="277"/>
      <c r="AA2316" s="277"/>
      <c r="AB2316" s="277"/>
      <c r="AC2316" s="277"/>
      <c r="AD2316" s="277"/>
      <c r="AE2316" s="277"/>
      <c r="AF2316" s="277"/>
      <c r="AG2316" s="277"/>
      <c r="AH2316" s="277"/>
    </row>
    <row r="2317" spans="16:34" s="185" customFormat="1">
      <c r="P2317" s="277"/>
      <c r="Q2317" s="277"/>
      <c r="R2317" s="277"/>
      <c r="S2317" s="291">
        <v>43873</v>
      </c>
      <c r="T2317" s="279">
        <v>2234</v>
      </c>
      <c r="U2317" s="277"/>
      <c r="V2317" s="277"/>
      <c r="W2317" s="277"/>
      <c r="X2317" s="277"/>
      <c r="Y2317" s="277"/>
      <c r="Z2317" s="277"/>
      <c r="AA2317" s="277"/>
      <c r="AB2317" s="277"/>
      <c r="AC2317" s="277"/>
      <c r="AD2317" s="277"/>
      <c r="AE2317" s="277"/>
      <c r="AF2317" s="277"/>
      <c r="AG2317" s="277"/>
      <c r="AH2317" s="277"/>
    </row>
    <row r="2318" spans="16:34" s="185" customFormat="1">
      <c r="P2318" s="277"/>
      <c r="Q2318" s="277"/>
      <c r="R2318" s="277"/>
      <c r="S2318" s="291">
        <v>43874</v>
      </c>
      <c r="T2318" s="279">
        <v>2235</v>
      </c>
      <c r="U2318" s="277"/>
      <c r="V2318" s="277"/>
      <c r="W2318" s="277"/>
      <c r="X2318" s="277"/>
      <c r="Y2318" s="277"/>
      <c r="Z2318" s="277"/>
      <c r="AA2318" s="277"/>
      <c r="AB2318" s="277"/>
      <c r="AC2318" s="277"/>
      <c r="AD2318" s="277"/>
      <c r="AE2318" s="277"/>
      <c r="AF2318" s="277"/>
      <c r="AG2318" s="277"/>
      <c r="AH2318" s="277"/>
    </row>
    <row r="2319" spans="16:34" s="185" customFormat="1">
      <c r="P2319" s="277"/>
      <c r="Q2319" s="277"/>
      <c r="R2319" s="277"/>
      <c r="S2319" s="291">
        <v>43875</v>
      </c>
      <c r="T2319" s="279">
        <v>2236</v>
      </c>
      <c r="U2319" s="277"/>
      <c r="V2319" s="277"/>
      <c r="W2319" s="277"/>
      <c r="X2319" s="277"/>
      <c r="Y2319" s="277"/>
      <c r="Z2319" s="277"/>
      <c r="AA2319" s="277"/>
      <c r="AB2319" s="277"/>
      <c r="AC2319" s="277"/>
      <c r="AD2319" s="277"/>
      <c r="AE2319" s="277"/>
      <c r="AF2319" s="277"/>
      <c r="AG2319" s="277"/>
      <c r="AH2319" s="277"/>
    </row>
    <row r="2320" spans="16:34" s="185" customFormat="1">
      <c r="P2320" s="277"/>
      <c r="Q2320" s="277"/>
      <c r="R2320" s="277"/>
      <c r="S2320" s="291">
        <v>43876</v>
      </c>
      <c r="T2320" s="279">
        <v>2237</v>
      </c>
      <c r="U2320" s="277"/>
      <c r="V2320" s="277"/>
      <c r="W2320" s="277"/>
      <c r="X2320" s="277"/>
      <c r="Y2320" s="277"/>
      <c r="Z2320" s="277"/>
      <c r="AA2320" s="277"/>
      <c r="AB2320" s="277"/>
      <c r="AC2320" s="277"/>
      <c r="AD2320" s="277"/>
      <c r="AE2320" s="277"/>
      <c r="AF2320" s="277"/>
      <c r="AG2320" s="277"/>
      <c r="AH2320" s="277"/>
    </row>
    <row r="2321" spans="16:34" s="185" customFormat="1">
      <c r="P2321" s="277"/>
      <c r="Q2321" s="277"/>
      <c r="R2321" s="277"/>
      <c r="S2321" s="291">
        <v>43877</v>
      </c>
      <c r="T2321" s="279">
        <v>2238</v>
      </c>
      <c r="U2321" s="277"/>
      <c r="V2321" s="277"/>
      <c r="W2321" s="277"/>
      <c r="X2321" s="277"/>
      <c r="Y2321" s="277"/>
      <c r="Z2321" s="277"/>
      <c r="AA2321" s="277"/>
      <c r="AB2321" s="277"/>
      <c r="AC2321" s="277"/>
      <c r="AD2321" s="277"/>
      <c r="AE2321" s="277"/>
      <c r="AF2321" s="277"/>
      <c r="AG2321" s="277"/>
      <c r="AH2321" s="277"/>
    </row>
    <row r="2322" spans="16:34" s="185" customFormat="1">
      <c r="P2322" s="277"/>
      <c r="Q2322" s="277"/>
      <c r="R2322" s="277"/>
      <c r="S2322" s="291">
        <v>43878</v>
      </c>
      <c r="T2322" s="279">
        <v>2239</v>
      </c>
      <c r="U2322" s="277"/>
      <c r="V2322" s="277"/>
      <c r="W2322" s="277"/>
      <c r="X2322" s="277"/>
      <c r="Y2322" s="277"/>
      <c r="Z2322" s="277"/>
      <c r="AA2322" s="277"/>
      <c r="AB2322" s="277"/>
      <c r="AC2322" s="277"/>
      <c r="AD2322" s="277"/>
      <c r="AE2322" s="277"/>
      <c r="AF2322" s="277"/>
      <c r="AG2322" s="277"/>
      <c r="AH2322" s="277"/>
    </row>
    <row r="2323" spans="16:34" s="185" customFormat="1">
      <c r="P2323" s="277"/>
      <c r="Q2323" s="277"/>
      <c r="R2323" s="277"/>
      <c r="S2323" s="291">
        <v>43879</v>
      </c>
      <c r="T2323" s="279">
        <v>2240</v>
      </c>
      <c r="U2323" s="277"/>
      <c r="V2323" s="277"/>
      <c r="W2323" s="277"/>
      <c r="X2323" s="277"/>
      <c r="Y2323" s="277"/>
      <c r="Z2323" s="277"/>
      <c r="AA2323" s="277"/>
      <c r="AB2323" s="277"/>
      <c r="AC2323" s="277"/>
      <c r="AD2323" s="277"/>
      <c r="AE2323" s="277"/>
      <c r="AF2323" s="277"/>
      <c r="AG2323" s="277"/>
      <c r="AH2323" s="277"/>
    </row>
    <row r="2324" spans="16:34" s="185" customFormat="1">
      <c r="P2324" s="277"/>
      <c r="Q2324" s="277"/>
      <c r="R2324" s="277"/>
      <c r="S2324" s="291">
        <v>43880</v>
      </c>
      <c r="T2324" s="279">
        <v>2241</v>
      </c>
      <c r="U2324" s="277"/>
      <c r="V2324" s="277"/>
      <c r="W2324" s="277"/>
      <c r="X2324" s="277"/>
      <c r="Y2324" s="277"/>
      <c r="Z2324" s="277"/>
      <c r="AA2324" s="277"/>
      <c r="AB2324" s="277"/>
      <c r="AC2324" s="277"/>
      <c r="AD2324" s="277"/>
      <c r="AE2324" s="277"/>
      <c r="AF2324" s="277"/>
      <c r="AG2324" s="277"/>
      <c r="AH2324" s="277"/>
    </row>
    <row r="2325" spans="16:34" s="185" customFormat="1">
      <c r="P2325" s="277"/>
      <c r="Q2325" s="277"/>
      <c r="R2325" s="277"/>
      <c r="S2325" s="291">
        <v>43881</v>
      </c>
      <c r="T2325" s="279">
        <v>2242</v>
      </c>
      <c r="U2325" s="277"/>
      <c r="V2325" s="277"/>
      <c r="W2325" s="277"/>
      <c r="X2325" s="277"/>
      <c r="Y2325" s="277"/>
      <c r="Z2325" s="277"/>
      <c r="AA2325" s="277"/>
      <c r="AB2325" s="277"/>
      <c r="AC2325" s="277"/>
      <c r="AD2325" s="277"/>
      <c r="AE2325" s="277"/>
      <c r="AF2325" s="277"/>
      <c r="AG2325" s="277"/>
      <c r="AH2325" s="277"/>
    </row>
    <row r="2326" spans="16:34" s="185" customFormat="1">
      <c r="P2326" s="277"/>
      <c r="Q2326" s="277"/>
      <c r="R2326" s="277"/>
      <c r="S2326" s="291">
        <v>43882</v>
      </c>
      <c r="T2326" s="279">
        <v>2243</v>
      </c>
      <c r="U2326" s="277"/>
      <c r="V2326" s="277"/>
      <c r="W2326" s="277"/>
      <c r="X2326" s="277"/>
      <c r="Y2326" s="277"/>
      <c r="Z2326" s="277"/>
      <c r="AA2326" s="277"/>
      <c r="AB2326" s="277"/>
      <c r="AC2326" s="277"/>
      <c r="AD2326" s="277"/>
      <c r="AE2326" s="277"/>
      <c r="AF2326" s="277"/>
      <c r="AG2326" s="277"/>
      <c r="AH2326" s="277"/>
    </row>
    <row r="2327" spans="16:34" s="185" customFormat="1">
      <c r="P2327" s="277"/>
      <c r="Q2327" s="277"/>
      <c r="R2327" s="277"/>
      <c r="S2327" s="291">
        <v>43883</v>
      </c>
      <c r="T2327" s="279">
        <v>2244</v>
      </c>
      <c r="U2327" s="277"/>
      <c r="V2327" s="277"/>
      <c r="W2327" s="277"/>
      <c r="X2327" s="277"/>
      <c r="Y2327" s="277"/>
      <c r="Z2327" s="277"/>
      <c r="AA2327" s="277"/>
      <c r="AB2327" s="277"/>
      <c r="AC2327" s="277"/>
      <c r="AD2327" s="277"/>
      <c r="AE2327" s="277"/>
      <c r="AF2327" s="277"/>
      <c r="AG2327" s="277"/>
      <c r="AH2327" s="277"/>
    </row>
    <row r="2328" spans="16:34" s="185" customFormat="1">
      <c r="P2328" s="277"/>
      <c r="Q2328" s="277"/>
      <c r="R2328" s="277"/>
      <c r="S2328" s="291">
        <v>43884</v>
      </c>
      <c r="T2328" s="279">
        <v>2245</v>
      </c>
      <c r="U2328" s="277"/>
      <c r="V2328" s="277"/>
      <c r="W2328" s="277"/>
      <c r="X2328" s="277"/>
      <c r="Y2328" s="277"/>
      <c r="Z2328" s="277"/>
      <c r="AA2328" s="277"/>
      <c r="AB2328" s="277"/>
      <c r="AC2328" s="277"/>
      <c r="AD2328" s="277"/>
      <c r="AE2328" s="277"/>
      <c r="AF2328" s="277"/>
      <c r="AG2328" s="277"/>
      <c r="AH2328" s="277"/>
    </row>
    <row r="2329" spans="16:34" s="185" customFormat="1">
      <c r="P2329" s="277"/>
      <c r="Q2329" s="277"/>
      <c r="R2329" s="277"/>
      <c r="S2329" s="291">
        <v>43885</v>
      </c>
      <c r="T2329" s="279">
        <v>2246</v>
      </c>
      <c r="U2329" s="277"/>
      <c r="V2329" s="277"/>
      <c r="W2329" s="277"/>
      <c r="X2329" s="277"/>
      <c r="Y2329" s="277"/>
      <c r="Z2329" s="277"/>
      <c r="AA2329" s="277"/>
      <c r="AB2329" s="277"/>
      <c r="AC2329" s="277"/>
      <c r="AD2329" s="277"/>
      <c r="AE2329" s="277"/>
      <c r="AF2329" s="277"/>
      <c r="AG2329" s="277"/>
      <c r="AH2329" s="277"/>
    </row>
    <row r="2330" spans="16:34" s="185" customFormat="1">
      <c r="P2330" s="277"/>
      <c r="Q2330" s="277"/>
      <c r="R2330" s="277"/>
      <c r="S2330" s="291">
        <v>43886</v>
      </c>
      <c r="T2330" s="279">
        <v>2247</v>
      </c>
      <c r="U2330" s="277"/>
      <c r="V2330" s="277"/>
      <c r="W2330" s="277"/>
      <c r="X2330" s="277"/>
      <c r="Y2330" s="277"/>
      <c r="Z2330" s="277"/>
      <c r="AA2330" s="277"/>
      <c r="AB2330" s="277"/>
      <c r="AC2330" s="277"/>
      <c r="AD2330" s="277"/>
      <c r="AE2330" s="277"/>
      <c r="AF2330" s="277"/>
      <c r="AG2330" s="277"/>
      <c r="AH2330" s="277"/>
    </row>
    <row r="2331" spans="16:34" s="185" customFormat="1">
      <c r="P2331" s="277"/>
      <c r="Q2331" s="277"/>
      <c r="R2331" s="277"/>
      <c r="S2331" s="291">
        <v>43887</v>
      </c>
      <c r="T2331" s="279">
        <v>2248</v>
      </c>
      <c r="U2331" s="277"/>
      <c r="V2331" s="277"/>
      <c r="W2331" s="277"/>
      <c r="X2331" s="277"/>
      <c r="Y2331" s="277"/>
      <c r="Z2331" s="277"/>
      <c r="AA2331" s="277"/>
      <c r="AB2331" s="277"/>
      <c r="AC2331" s="277"/>
      <c r="AD2331" s="277"/>
      <c r="AE2331" s="277"/>
      <c r="AF2331" s="277"/>
      <c r="AG2331" s="277"/>
      <c r="AH2331" s="277"/>
    </row>
    <row r="2332" spans="16:34" s="185" customFormat="1">
      <c r="P2332" s="277"/>
      <c r="Q2332" s="277"/>
      <c r="R2332" s="277"/>
      <c r="S2332" s="291">
        <v>43888</v>
      </c>
      <c r="T2332" s="279">
        <v>2249</v>
      </c>
      <c r="U2332" s="277"/>
      <c r="V2332" s="277"/>
      <c r="W2332" s="277"/>
      <c r="X2332" s="277"/>
      <c r="Y2332" s="277"/>
      <c r="Z2332" s="277"/>
      <c r="AA2332" s="277"/>
      <c r="AB2332" s="277"/>
      <c r="AC2332" s="277"/>
      <c r="AD2332" s="277"/>
      <c r="AE2332" s="277"/>
      <c r="AF2332" s="277"/>
      <c r="AG2332" s="277"/>
      <c r="AH2332" s="277"/>
    </row>
    <row r="2333" spans="16:34" s="185" customFormat="1">
      <c r="P2333" s="277"/>
      <c r="Q2333" s="277"/>
      <c r="R2333" s="277"/>
      <c r="S2333" s="291">
        <v>43889</v>
      </c>
      <c r="T2333" s="279">
        <v>2250</v>
      </c>
      <c r="U2333" s="277"/>
      <c r="V2333" s="277"/>
      <c r="W2333" s="277"/>
      <c r="X2333" s="277"/>
      <c r="Y2333" s="277"/>
      <c r="Z2333" s="277"/>
      <c r="AA2333" s="277"/>
      <c r="AB2333" s="277"/>
      <c r="AC2333" s="277"/>
      <c r="AD2333" s="277"/>
      <c r="AE2333" s="277"/>
      <c r="AF2333" s="277"/>
      <c r="AG2333" s="277"/>
      <c r="AH2333" s="277"/>
    </row>
    <row r="2334" spans="16:34" s="185" customFormat="1">
      <c r="P2334" s="277"/>
      <c r="Q2334" s="277"/>
      <c r="R2334" s="277"/>
      <c r="S2334" s="291">
        <v>43890</v>
      </c>
      <c r="T2334" s="279">
        <v>2251</v>
      </c>
      <c r="U2334" s="277"/>
      <c r="V2334" s="277"/>
      <c r="W2334" s="277"/>
      <c r="X2334" s="277"/>
      <c r="Y2334" s="277"/>
      <c r="Z2334" s="277"/>
      <c r="AA2334" s="277"/>
      <c r="AB2334" s="277"/>
      <c r="AC2334" s="277"/>
      <c r="AD2334" s="277"/>
      <c r="AE2334" s="277"/>
      <c r="AF2334" s="277"/>
      <c r="AG2334" s="277"/>
      <c r="AH2334" s="277"/>
    </row>
    <row r="2335" spans="16:34" s="185" customFormat="1">
      <c r="P2335" s="277"/>
      <c r="Q2335" s="277"/>
      <c r="R2335" s="277"/>
      <c r="S2335" s="291">
        <v>43891</v>
      </c>
      <c r="T2335" s="279">
        <v>2252</v>
      </c>
      <c r="U2335" s="277"/>
      <c r="V2335" s="277"/>
      <c r="W2335" s="277"/>
      <c r="X2335" s="277"/>
      <c r="Y2335" s="277"/>
      <c r="Z2335" s="277"/>
      <c r="AA2335" s="277"/>
      <c r="AB2335" s="277"/>
      <c r="AC2335" s="277"/>
      <c r="AD2335" s="277"/>
      <c r="AE2335" s="277"/>
      <c r="AF2335" s="277"/>
      <c r="AG2335" s="277"/>
      <c r="AH2335" s="277"/>
    </row>
    <row r="2336" spans="16:34" s="185" customFormat="1">
      <c r="P2336" s="277"/>
      <c r="Q2336" s="277"/>
      <c r="R2336" s="277"/>
      <c r="S2336" s="291">
        <v>43892</v>
      </c>
      <c r="T2336" s="279">
        <v>2253</v>
      </c>
      <c r="U2336" s="277"/>
      <c r="V2336" s="277"/>
      <c r="W2336" s="277"/>
      <c r="X2336" s="277"/>
      <c r="Y2336" s="277"/>
      <c r="Z2336" s="277"/>
      <c r="AA2336" s="277"/>
      <c r="AB2336" s="277"/>
      <c r="AC2336" s="277"/>
      <c r="AD2336" s="277"/>
      <c r="AE2336" s="277"/>
      <c r="AF2336" s="277"/>
      <c r="AG2336" s="277"/>
      <c r="AH2336" s="277"/>
    </row>
    <row r="2337" spans="16:34" s="185" customFormat="1">
      <c r="P2337" s="277"/>
      <c r="Q2337" s="277"/>
      <c r="R2337" s="277"/>
      <c r="S2337" s="291">
        <v>43893</v>
      </c>
      <c r="T2337" s="279">
        <v>2254</v>
      </c>
      <c r="U2337" s="277"/>
      <c r="V2337" s="277"/>
      <c r="W2337" s="277"/>
      <c r="X2337" s="277"/>
      <c r="Y2337" s="277"/>
      <c r="Z2337" s="277"/>
      <c r="AA2337" s="277"/>
      <c r="AB2337" s="277"/>
      <c r="AC2337" s="277"/>
      <c r="AD2337" s="277"/>
      <c r="AE2337" s="277"/>
      <c r="AF2337" s="277"/>
      <c r="AG2337" s="277"/>
      <c r="AH2337" s="277"/>
    </row>
    <row r="2338" spans="16:34" s="185" customFormat="1">
      <c r="P2338" s="277"/>
      <c r="Q2338" s="277"/>
      <c r="R2338" s="277"/>
      <c r="S2338" s="291">
        <v>43894</v>
      </c>
      <c r="T2338" s="279">
        <v>2255</v>
      </c>
      <c r="U2338" s="277"/>
      <c r="V2338" s="277"/>
      <c r="W2338" s="277"/>
      <c r="X2338" s="277"/>
      <c r="Y2338" s="277"/>
      <c r="Z2338" s="277"/>
      <c r="AA2338" s="277"/>
      <c r="AB2338" s="277"/>
      <c r="AC2338" s="277"/>
      <c r="AD2338" s="277"/>
      <c r="AE2338" s="277"/>
      <c r="AF2338" s="277"/>
      <c r="AG2338" s="277"/>
      <c r="AH2338" s="277"/>
    </row>
    <row r="2339" spans="16:34" s="185" customFormat="1">
      <c r="P2339" s="277"/>
      <c r="Q2339" s="277"/>
      <c r="R2339" s="277"/>
      <c r="S2339" s="291">
        <v>43895</v>
      </c>
      <c r="T2339" s="279">
        <v>2256</v>
      </c>
      <c r="U2339" s="277"/>
      <c r="V2339" s="277"/>
      <c r="W2339" s="277"/>
      <c r="X2339" s="277"/>
      <c r="Y2339" s="277"/>
      <c r="Z2339" s="277"/>
      <c r="AA2339" s="277"/>
      <c r="AB2339" s="277"/>
      <c r="AC2339" s="277"/>
      <c r="AD2339" s="277"/>
      <c r="AE2339" s="277"/>
      <c r="AF2339" s="277"/>
      <c r="AG2339" s="277"/>
      <c r="AH2339" s="277"/>
    </row>
    <row r="2340" spans="16:34" s="185" customFormat="1">
      <c r="P2340" s="277"/>
      <c r="Q2340" s="277"/>
      <c r="R2340" s="277"/>
      <c r="S2340" s="291">
        <v>43896</v>
      </c>
      <c r="T2340" s="279">
        <v>2257</v>
      </c>
      <c r="U2340" s="277"/>
      <c r="V2340" s="277"/>
      <c r="W2340" s="277"/>
      <c r="X2340" s="277"/>
      <c r="Y2340" s="277"/>
      <c r="Z2340" s="277"/>
      <c r="AA2340" s="277"/>
      <c r="AB2340" s="277"/>
      <c r="AC2340" s="277"/>
      <c r="AD2340" s="277"/>
      <c r="AE2340" s="277"/>
      <c r="AF2340" s="277"/>
      <c r="AG2340" s="277"/>
      <c r="AH2340" s="277"/>
    </row>
    <row r="2341" spans="16:34" s="185" customFormat="1">
      <c r="P2341" s="277"/>
      <c r="Q2341" s="277"/>
      <c r="R2341" s="277"/>
      <c r="S2341" s="291">
        <v>43897</v>
      </c>
      <c r="T2341" s="279">
        <v>2258</v>
      </c>
      <c r="U2341" s="277"/>
      <c r="V2341" s="277"/>
      <c r="W2341" s="277"/>
      <c r="X2341" s="277"/>
      <c r="Y2341" s="277"/>
      <c r="Z2341" s="277"/>
      <c r="AA2341" s="277"/>
      <c r="AB2341" s="277"/>
      <c r="AC2341" s="277"/>
      <c r="AD2341" s="277"/>
      <c r="AE2341" s="277"/>
      <c r="AF2341" s="277"/>
      <c r="AG2341" s="277"/>
      <c r="AH2341" s="277"/>
    </row>
    <row r="2342" spans="16:34" s="185" customFormat="1">
      <c r="P2342" s="277"/>
      <c r="Q2342" s="277"/>
      <c r="R2342" s="277"/>
      <c r="S2342" s="291">
        <v>43898</v>
      </c>
      <c r="T2342" s="279">
        <v>2259</v>
      </c>
      <c r="U2342" s="277"/>
      <c r="V2342" s="277"/>
      <c r="W2342" s="277"/>
      <c r="X2342" s="277"/>
      <c r="Y2342" s="277"/>
      <c r="Z2342" s="277"/>
      <c r="AA2342" s="277"/>
      <c r="AB2342" s="277"/>
      <c r="AC2342" s="277"/>
      <c r="AD2342" s="277"/>
      <c r="AE2342" s="277"/>
      <c r="AF2342" s="277"/>
      <c r="AG2342" s="277"/>
      <c r="AH2342" s="277"/>
    </row>
    <row r="2343" spans="16:34" s="185" customFormat="1">
      <c r="P2343" s="277"/>
      <c r="Q2343" s="277"/>
      <c r="R2343" s="277"/>
      <c r="S2343" s="291">
        <v>43899</v>
      </c>
      <c r="T2343" s="279">
        <v>2260</v>
      </c>
      <c r="U2343" s="277"/>
      <c r="V2343" s="277"/>
      <c r="W2343" s="277"/>
      <c r="X2343" s="277"/>
      <c r="Y2343" s="277"/>
      <c r="Z2343" s="277"/>
      <c r="AA2343" s="277"/>
      <c r="AB2343" s="277"/>
      <c r="AC2343" s="277"/>
      <c r="AD2343" s="277"/>
      <c r="AE2343" s="277"/>
      <c r="AF2343" s="277"/>
      <c r="AG2343" s="277"/>
      <c r="AH2343" s="277"/>
    </row>
    <row r="2344" spans="16:34" s="185" customFormat="1">
      <c r="P2344" s="277"/>
      <c r="Q2344" s="277"/>
      <c r="R2344" s="277"/>
      <c r="S2344" s="291">
        <v>43900</v>
      </c>
      <c r="T2344" s="279">
        <v>2261</v>
      </c>
      <c r="U2344" s="277"/>
      <c r="V2344" s="277"/>
      <c r="W2344" s="277"/>
      <c r="X2344" s="277"/>
      <c r="Y2344" s="277"/>
      <c r="Z2344" s="277"/>
      <c r="AA2344" s="277"/>
      <c r="AB2344" s="277"/>
      <c r="AC2344" s="277"/>
      <c r="AD2344" s="277"/>
      <c r="AE2344" s="277"/>
      <c r="AF2344" s="277"/>
      <c r="AG2344" s="277"/>
      <c r="AH2344" s="277"/>
    </row>
    <row r="2345" spans="16:34" s="185" customFormat="1">
      <c r="P2345" s="277"/>
      <c r="Q2345" s="277"/>
      <c r="R2345" s="277"/>
      <c r="S2345" s="291">
        <v>43901</v>
      </c>
      <c r="T2345" s="279">
        <v>2262</v>
      </c>
      <c r="U2345" s="277"/>
      <c r="V2345" s="277"/>
      <c r="W2345" s="277"/>
      <c r="X2345" s="277"/>
      <c r="Y2345" s="277"/>
      <c r="Z2345" s="277"/>
      <c r="AA2345" s="277"/>
      <c r="AB2345" s="277"/>
      <c r="AC2345" s="277"/>
      <c r="AD2345" s="277"/>
      <c r="AE2345" s="277"/>
      <c r="AF2345" s="277"/>
      <c r="AG2345" s="277"/>
      <c r="AH2345" s="277"/>
    </row>
    <row r="2346" spans="16:34" s="185" customFormat="1">
      <c r="P2346" s="277"/>
      <c r="Q2346" s="277"/>
      <c r="R2346" s="277"/>
      <c r="S2346" s="291">
        <v>43902</v>
      </c>
      <c r="T2346" s="279">
        <v>2263</v>
      </c>
      <c r="U2346" s="277"/>
      <c r="V2346" s="277"/>
      <c r="W2346" s="277"/>
      <c r="X2346" s="277"/>
      <c r="Y2346" s="277"/>
      <c r="Z2346" s="277"/>
      <c r="AA2346" s="277"/>
      <c r="AB2346" s="277"/>
      <c r="AC2346" s="277"/>
      <c r="AD2346" s="277"/>
      <c r="AE2346" s="277"/>
      <c r="AF2346" s="277"/>
      <c r="AG2346" s="277"/>
      <c r="AH2346" s="277"/>
    </row>
    <row r="2347" spans="16:34" s="185" customFormat="1">
      <c r="P2347" s="277"/>
      <c r="Q2347" s="277"/>
      <c r="R2347" s="277"/>
      <c r="S2347" s="291">
        <v>43903</v>
      </c>
      <c r="T2347" s="279">
        <v>2264</v>
      </c>
      <c r="U2347" s="277"/>
      <c r="V2347" s="277"/>
      <c r="W2347" s="277"/>
      <c r="X2347" s="277"/>
      <c r="Y2347" s="277"/>
      <c r="Z2347" s="277"/>
      <c r="AA2347" s="277"/>
      <c r="AB2347" s="277"/>
      <c r="AC2347" s="277"/>
      <c r="AD2347" s="277"/>
      <c r="AE2347" s="277"/>
      <c r="AF2347" s="277"/>
      <c r="AG2347" s="277"/>
      <c r="AH2347" s="277"/>
    </row>
    <row r="2348" spans="16:34" s="185" customFormat="1">
      <c r="P2348" s="277"/>
      <c r="Q2348" s="277"/>
      <c r="R2348" s="277"/>
      <c r="S2348" s="291">
        <v>43904</v>
      </c>
      <c r="T2348" s="279">
        <v>2265</v>
      </c>
      <c r="U2348" s="277"/>
      <c r="V2348" s="277"/>
      <c r="W2348" s="277"/>
      <c r="X2348" s="277"/>
      <c r="Y2348" s="277"/>
      <c r="Z2348" s="277"/>
      <c r="AA2348" s="277"/>
      <c r="AB2348" s="277"/>
      <c r="AC2348" s="277"/>
      <c r="AD2348" s="277"/>
      <c r="AE2348" s="277"/>
      <c r="AF2348" s="277"/>
      <c r="AG2348" s="277"/>
      <c r="AH2348" s="277"/>
    </row>
    <row r="2349" spans="16:34" s="185" customFormat="1">
      <c r="P2349" s="277"/>
      <c r="Q2349" s="277"/>
      <c r="R2349" s="277"/>
      <c r="S2349" s="291">
        <v>43905</v>
      </c>
      <c r="T2349" s="279">
        <v>2266</v>
      </c>
      <c r="U2349" s="277"/>
      <c r="V2349" s="277"/>
      <c r="W2349" s="277"/>
      <c r="X2349" s="277"/>
      <c r="Y2349" s="277"/>
      <c r="Z2349" s="277"/>
      <c r="AA2349" s="277"/>
      <c r="AB2349" s="277"/>
      <c r="AC2349" s="277"/>
      <c r="AD2349" s="277"/>
      <c r="AE2349" s="277"/>
      <c r="AF2349" s="277"/>
      <c r="AG2349" s="277"/>
      <c r="AH2349" s="277"/>
    </row>
    <row r="2350" spans="16:34" s="185" customFormat="1">
      <c r="P2350" s="277"/>
      <c r="Q2350" s="277"/>
      <c r="R2350" s="277"/>
      <c r="S2350" s="291">
        <v>43906</v>
      </c>
      <c r="T2350" s="279">
        <v>2267</v>
      </c>
      <c r="U2350" s="277"/>
      <c r="V2350" s="277"/>
      <c r="W2350" s="277"/>
      <c r="X2350" s="277"/>
      <c r="Y2350" s="277"/>
      <c r="Z2350" s="277"/>
      <c r="AA2350" s="277"/>
      <c r="AB2350" s="277"/>
      <c r="AC2350" s="277"/>
      <c r="AD2350" s="277"/>
      <c r="AE2350" s="277"/>
      <c r="AF2350" s="277"/>
      <c r="AG2350" s="277"/>
      <c r="AH2350" s="277"/>
    </row>
    <row r="2351" spans="16:34" s="185" customFormat="1">
      <c r="P2351" s="277"/>
      <c r="Q2351" s="277"/>
      <c r="R2351" s="277"/>
      <c r="S2351" s="291">
        <v>43907</v>
      </c>
      <c r="T2351" s="279">
        <v>2268</v>
      </c>
      <c r="U2351" s="277"/>
      <c r="V2351" s="277"/>
      <c r="W2351" s="277"/>
      <c r="X2351" s="277"/>
      <c r="Y2351" s="277"/>
      <c r="Z2351" s="277"/>
      <c r="AA2351" s="277"/>
      <c r="AB2351" s="277"/>
      <c r="AC2351" s="277"/>
      <c r="AD2351" s="277"/>
      <c r="AE2351" s="277"/>
      <c r="AF2351" s="277"/>
      <c r="AG2351" s="277"/>
      <c r="AH2351" s="277"/>
    </row>
    <row r="2352" spans="16:34" s="185" customFormat="1">
      <c r="P2352" s="277"/>
      <c r="Q2352" s="277"/>
      <c r="R2352" s="277"/>
      <c r="S2352" s="291">
        <v>43908</v>
      </c>
      <c r="T2352" s="279">
        <v>2269</v>
      </c>
      <c r="U2352" s="277"/>
      <c r="V2352" s="277"/>
      <c r="W2352" s="277"/>
      <c r="X2352" s="277"/>
      <c r="Y2352" s="277"/>
      <c r="Z2352" s="277"/>
      <c r="AA2352" s="277"/>
      <c r="AB2352" s="277"/>
      <c r="AC2352" s="277"/>
      <c r="AD2352" s="277"/>
      <c r="AE2352" s="277"/>
      <c r="AF2352" s="277"/>
      <c r="AG2352" s="277"/>
      <c r="AH2352" s="277"/>
    </row>
    <row r="2353" spans="16:34" s="185" customFormat="1">
      <c r="P2353" s="277"/>
      <c r="Q2353" s="277"/>
      <c r="R2353" s="277"/>
      <c r="S2353" s="291">
        <v>43909</v>
      </c>
      <c r="T2353" s="279">
        <v>2270</v>
      </c>
      <c r="U2353" s="277"/>
      <c r="V2353" s="277"/>
      <c r="W2353" s="277"/>
      <c r="X2353" s="277"/>
      <c r="Y2353" s="277"/>
      <c r="Z2353" s="277"/>
      <c r="AA2353" s="277"/>
      <c r="AB2353" s="277"/>
      <c r="AC2353" s="277"/>
      <c r="AD2353" s="277"/>
      <c r="AE2353" s="277"/>
      <c r="AF2353" s="277"/>
      <c r="AG2353" s="277"/>
      <c r="AH2353" s="277"/>
    </row>
    <row r="2354" spans="16:34" s="185" customFormat="1">
      <c r="P2354" s="277"/>
      <c r="Q2354" s="277"/>
      <c r="R2354" s="277"/>
      <c r="S2354" s="291">
        <v>43910</v>
      </c>
      <c r="T2354" s="279">
        <v>2271</v>
      </c>
      <c r="U2354" s="277"/>
      <c r="V2354" s="277"/>
      <c r="W2354" s="277"/>
      <c r="X2354" s="277"/>
      <c r="Y2354" s="277"/>
      <c r="Z2354" s="277"/>
      <c r="AA2354" s="277"/>
      <c r="AB2354" s="277"/>
      <c r="AC2354" s="277"/>
      <c r="AD2354" s="277"/>
      <c r="AE2354" s="277"/>
      <c r="AF2354" s="277"/>
      <c r="AG2354" s="277"/>
      <c r="AH2354" s="277"/>
    </row>
    <row r="2355" spans="16:34" s="185" customFormat="1">
      <c r="P2355" s="277"/>
      <c r="Q2355" s="277"/>
      <c r="R2355" s="277"/>
      <c r="S2355" s="291">
        <v>43911</v>
      </c>
      <c r="T2355" s="279">
        <v>2272</v>
      </c>
      <c r="U2355" s="277"/>
      <c r="V2355" s="277"/>
      <c r="W2355" s="277"/>
      <c r="X2355" s="277"/>
      <c r="Y2355" s="277"/>
      <c r="Z2355" s="277"/>
      <c r="AA2355" s="277"/>
      <c r="AB2355" s="277"/>
      <c r="AC2355" s="277"/>
      <c r="AD2355" s="277"/>
      <c r="AE2355" s="277"/>
      <c r="AF2355" s="277"/>
      <c r="AG2355" s="277"/>
      <c r="AH2355" s="277"/>
    </row>
    <row r="2356" spans="16:34" s="185" customFormat="1">
      <c r="P2356" s="277"/>
      <c r="Q2356" s="277"/>
      <c r="R2356" s="277"/>
      <c r="S2356" s="291">
        <v>43912</v>
      </c>
      <c r="T2356" s="279">
        <v>2273</v>
      </c>
      <c r="U2356" s="277"/>
      <c r="V2356" s="277"/>
      <c r="W2356" s="277"/>
      <c r="X2356" s="277"/>
      <c r="Y2356" s="277"/>
      <c r="Z2356" s="277"/>
      <c r="AA2356" s="277"/>
      <c r="AB2356" s="277"/>
      <c r="AC2356" s="277"/>
      <c r="AD2356" s="277"/>
      <c r="AE2356" s="277"/>
      <c r="AF2356" s="277"/>
      <c r="AG2356" s="277"/>
      <c r="AH2356" s="277"/>
    </row>
    <row r="2357" spans="16:34" s="185" customFormat="1">
      <c r="P2357" s="277"/>
      <c r="Q2357" s="277"/>
      <c r="R2357" s="277"/>
      <c r="S2357" s="291">
        <v>43913</v>
      </c>
      <c r="T2357" s="279">
        <v>2274</v>
      </c>
      <c r="U2357" s="277"/>
      <c r="V2357" s="277"/>
      <c r="W2357" s="277"/>
      <c r="X2357" s="277"/>
      <c r="Y2357" s="277"/>
      <c r="Z2357" s="277"/>
      <c r="AA2357" s="277"/>
      <c r="AB2357" s="277"/>
      <c r="AC2357" s="277"/>
      <c r="AD2357" s="277"/>
      <c r="AE2357" s="277"/>
      <c r="AF2357" s="277"/>
      <c r="AG2357" s="277"/>
      <c r="AH2357" s="277"/>
    </row>
    <row r="2358" spans="16:34" s="185" customFormat="1">
      <c r="P2358" s="277"/>
      <c r="Q2358" s="277"/>
      <c r="R2358" s="277"/>
      <c r="S2358" s="291">
        <v>43914</v>
      </c>
      <c r="T2358" s="279">
        <v>2275</v>
      </c>
      <c r="U2358" s="277"/>
      <c r="V2358" s="277"/>
      <c r="W2358" s="277"/>
      <c r="X2358" s="277"/>
      <c r="Y2358" s="277"/>
      <c r="Z2358" s="277"/>
      <c r="AA2358" s="277"/>
      <c r="AB2358" s="277"/>
      <c r="AC2358" s="277"/>
      <c r="AD2358" s="277"/>
      <c r="AE2358" s="277"/>
      <c r="AF2358" s="277"/>
      <c r="AG2358" s="277"/>
      <c r="AH2358" s="277"/>
    </row>
    <row r="2359" spans="16:34" s="185" customFormat="1">
      <c r="P2359" s="277"/>
      <c r="Q2359" s="277"/>
      <c r="R2359" s="277"/>
      <c r="S2359" s="291">
        <v>43915</v>
      </c>
      <c r="T2359" s="279">
        <v>2276</v>
      </c>
      <c r="U2359" s="277"/>
      <c r="V2359" s="277"/>
      <c r="W2359" s="277"/>
      <c r="X2359" s="277"/>
      <c r="Y2359" s="277"/>
      <c r="Z2359" s="277"/>
      <c r="AA2359" s="277"/>
      <c r="AB2359" s="277"/>
      <c r="AC2359" s="277"/>
      <c r="AD2359" s="277"/>
      <c r="AE2359" s="277"/>
      <c r="AF2359" s="277"/>
      <c r="AG2359" s="277"/>
      <c r="AH2359" s="277"/>
    </row>
    <row r="2360" spans="16:34" s="185" customFormat="1">
      <c r="P2360" s="277"/>
      <c r="Q2360" s="277"/>
      <c r="R2360" s="277"/>
      <c r="S2360" s="291">
        <v>43916</v>
      </c>
      <c r="T2360" s="279">
        <v>2277</v>
      </c>
      <c r="U2360" s="277"/>
      <c r="V2360" s="277"/>
      <c r="W2360" s="277"/>
      <c r="X2360" s="277"/>
      <c r="Y2360" s="277"/>
      <c r="Z2360" s="277"/>
      <c r="AA2360" s="277"/>
      <c r="AB2360" s="277"/>
      <c r="AC2360" s="277"/>
      <c r="AD2360" s="277"/>
      <c r="AE2360" s="277"/>
      <c r="AF2360" s="277"/>
      <c r="AG2360" s="277"/>
      <c r="AH2360" s="277"/>
    </row>
    <row r="2361" spans="16:34" s="185" customFormat="1">
      <c r="P2361" s="277"/>
      <c r="Q2361" s="277"/>
      <c r="R2361" s="277"/>
      <c r="S2361" s="291">
        <v>43917</v>
      </c>
      <c r="T2361" s="279">
        <v>2278</v>
      </c>
      <c r="U2361" s="277"/>
      <c r="V2361" s="277"/>
      <c r="W2361" s="277"/>
      <c r="X2361" s="277"/>
      <c r="Y2361" s="277"/>
      <c r="Z2361" s="277"/>
      <c r="AA2361" s="277"/>
      <c r="AB2361" s="277"/>
      <c r="AC2361" s="277"/>
      <c r="AD2361" s="277"/>
      <c r="AE2361" s="277"/>
      <c r="AF2361" s="277"/>
      <c r="AG2361" s="277"/>
      <c r="AH2361" s="277"/>
    </row>
    <row r="2362" spans="16:34" s="185" customFormat="1">
      <c r="P2362" s="277"/>
      <c r="Q2362" s="277"/>
      <c r="R2362" s="277"/>
      <c r="S2362" s="291">
        <v>43918</v>
      </c>
      <c r="T2362" s="279">
        <v>2279</v>
      </c>
      <c r="U2362" s="277"/>
      <c r="V2362" s="277"/>
      <c r="W2362" s="277"/>
      <c r="X2362" s="277"/>
      <c r="Y2362" s="277"/>
      <c r="Z2362" s="277"/>
      <c r="AA2362" s="277"/>
      <c r="AB2362" s="277"/>
      <c r="AC2362" s="277"/>
      <c r="AD2362" s="277"/>
      <c r="AE2362" s="277"/>
      <c r="AF2362" s="277"/>
      <c r="AG2362" s="277"/>
      <c r="AH2362" s="277"/>
    </row>
    <row r="2363" spans="16:34" s="185" customFormat="1">
      <c r="P2363" s="277"/>
      <c r="Q2363" s="277"/>
      <c r="R2363" s="277"/>
      <c r="S2363" s="291">
        <v>43919</v>
      </c>
      <c r="T2363" s="279">
        <v>2280</v>
      </c>
      <c r="U2363" s="277"/>
      <c r="V2363" s="277"/>
      <c r="W2363" s="277"/>
      <c r="X2363" s="277"/>
      <c r="Y2363" s="277"/>
      <c r="Z2363" s="277"/>
      <c r="AA2363" s="277"/>
      <c r="AB2363" s="277"/>
      <c r="AC2363" s="277"/>
      <c r="AD2363" s="277"/>
      <c r="AE2363" s="277"/>
      <c r="AF2363" s="277"/>
      <c r="AG2363" s="277"/>
      <c r="AH2363" s="277"/>
    </row>
    <row r="2364" spans="16:34" s="185" customFormat="1">
      <c r="P2364" s="277"/>
      <c r="Q2364" s="277"/>
      <c r="R2364" s="277"/>
      <c r="S2364" s="291">
        <v>43920</v>
      </c>
      <c r="T2364" s="279">
        <v>2281</v>
      </c>
      <c r="U2364" s="277"/>
      <c r="V2364" s="277"/>
      <c r="W2364" s="277"/>
      <c r="X2364" s="277"/>
      <c r="Y2364" s="277"/>
      <c r="Z2364" s="277"/>
      <c r="AA2364" s="277"/>
      <c r="AB2364" s="277"/>
      <c r="AC2364" s="277"/>
      <c r="AD2364" s="277"/>
      <c r="AE2364" s="277"/>
      <c r="AF2364" s="277"/>
      <c r="AG2364" s="277"/>
      <c r="AH2364" s="277"/>
    </row>
    <row r="2365" spans="16:34" s="185" customFormat="1">
      <c r="P2365" s="277"/>
      <c r="Q2365" s="277"/>
      <c r="R2365" s="277"/>
      <c r="S2365" s="291">
        <v>43921</v>
      </c>
      <c r="T2365" s="279">
        <v>2282</v>
      </c>
      <c r="U2365" s="277"/>
      <c r="V2365" s="277"/>
      <c r="W2365" s="277"/>
      <c r="X2365" s="277"/>
      <c r="Y2365" s="277"/>
      <c r="Z2365" s="277"/>
      <c r="AA2365" s="277"/>
      <c r="AB2365" s="277"/>
      <c r="AC2365" s="277"/>
      <c r="AD2365" s="277"/>
      <c r="AE2365" s="277"/>
      <c r="AF2365" s="277"/>
      <c r="AG2365" s="277"/>
      <c r="AH2365" s="277"/>
    </row>
    <row r="2366" spans="16:34" s="185" customFormat="1">
      <c r="P2366" s="277"/>
      <c r="Q2366" s="277"/>
      <c r="R2366" s="277"/>
      <c r="S2366" s="291">
        <v>43922</v>
      </c>
      <c r="T2366" s="279">
        <v>2283</v>
      </c>
      <c r="U2366" s="277"/>
      <c r="V2366" s="277"/>
      <c r="W2366" s="277"/>
      <c r="X2366" s="277"/>
      <c r="Y2366" s="277"/>
      <c r="Z2366" s="277"/>
      <c r="AA2366" s="277"/>
      <c r="AB2366" s="277"/>
      <c r="AC2366" s="277"/>
      <c r="AD2366" s="277"/>
      <c r="AE2366" s="277"/>
      <c r="AF2366" s="277"/>
      <c r="AG2366" s="277"/>
      <c r="AH2366" s="277"/>
    </row>
    <row r="2367" spans="16:34" s="185" customFormat="1">
      <c r="P2367" s="277"/>
      <c r="Q2367" s="277"/>
      <c r="R2367" s="277"/>
      <c r="S2367" s="291">
        <v>43923</v>
      </c>
      <c r="T2367" s="279">
        <v>2284</v>
      </c>
      <c r="U2367" s="277"/>
      <c r="V2367" s="277"/>
      <c r="W2367" s="277"/>
      <c r="X2367" s="277"/>
      <c r="Y2367" s="277"/>
      <c r="Z2367" s="277"/>
      <c r="AA2367" s="277"/>
      <c r="AB2367" s="277"/>
      <c r="AC2367" s="277"/>
      <c r="AD2367" s="277"/>
      <c r="AE2367" s="277"/>
      <c r="AF2367" s="277"/>
      <c r="AG2367" s="277"/>
      <c r="AH2367" s="277"/>
    </row>
    <row r="2368" spans="16:34" s="185" customFormat="1">
      <c r="P2368" s="277"/>
      <c r="Q2368" s="277"/>
      <c r="R2368" s="277"/>
      <c r="S2368" s="291">
        <v>43924</v>
      </c>
      <c r="T2368" s="279">
        <v>2285</v>
      </c>
      <c r="U2368" s="277"/>
      <c r="V2368" s="277"/>
      <c r="W2368" s="277"/>
      <c r="X2368" s="277"/>
      <c r="Y2368" s="277"/>
      <c r="Z2368" s="277"/>
      <c r="AA2368" s="277"/>
      <c r="AB2368" s="277"/>
      <c r="AC2368" s="277"/>
      <c r="AD2368" s="277"/>
      <c r="AE2368" s="277"/>
      <c r="AF2368" s="277"/>
      <c r="AG2368" s="277"/>
      <c r="AH2368" s="277"/>
    </row>
    <row r="2369" spans="16:34" s="185" customFormat="1">
      <c r="P2369" s="277"/>
      <c r="Q2369" s="277"/>
      <c r="R2369" s="277"/>
      <c r="S2369" s="291">
        <v>43925</v>
      </c>
      <c r="T2369" s="279">
        <v>2286</v>
      </c>
      <c r="U2369" s="277"/>
      <c r="V2369" s="277"/>
      <c r="W2369" s="277"/>
      <c r="X2369" s="277"/>
      <c r="Y2369" s="277"/>
      <c r="Z2369" s="277"/>
      <c r="AA2369" s="277"/>
      <c r="AB2369" s="277"/>
      <c r="AC2369" s="277"/>
      <c r="AD2369" s="277"/>
      <c r="AE2369" s="277"/>
      <c r="AF2369" s="277"/>
      <c r="AG2369" s="277"/>
      <c r="AH2369" s="277"/>
    </row>
    <row r="2370" spans="16:34" s="185" customFormat="1">
      <c r="P2370" s="277"/>
      <c r="Q2370" s="277"/>
      <c r="R2370" s="277"/>
      <c r="S2370" s="291">
        <v>43926</v>
      </c>
      <c r="T2370" s="279">
        <v>2287</v>
      </c>
      <c r="U2370" s="277"/>
      <c r="V2370" s="277"/>
      <c r="W2370" s="277"/>
      <c r="X2370" s="277"/>
      <c r="Y2370" s="277"/>
      <c r="Z2370" s="277"/>
      <c r="AA2370" s="277"/>
      <c r="AB2370" s="277"/>
      <c r="AC2370" s="277"/>
      <c r="AD2370" s="277"/>
      <c r="AE2370" s="277"/>
      <c r="AF2370" s="277"/>
      <c r="AG2370" s="277"/>
      <c r="AH2370" s="277"/>
    </row>
    <row r="2371" spans="16:34" s="185" customFormat="1">
      <c r="P2371" s="277"/>
      <c r="Q2371" s="277"/>
      <c r="R2371" s="277"/>
      <c r="S2371" s="291">
        <v>43927</v>
      </c>
      <c r="T2371" s="279">
        <v>2288</v>
      </c>
      <c r="U2371" s="277"/>
      <c r="V2371" s="277"/>
      <c r="W2371" s="277"/>
      <c r="X2371" s="277"/>
      <c r="Y2371" s="277"/>
      <c r="Z2371" s="277"/>
      <c r="AA2371" s="277"/>
      <c r="AB2371" s="277"/>
      <c r="AC2371" s="277"/>
      <c r="AD2371" s="277"/>
      <c r="AE2371" s="277"/>
      <c r="AF2371" s="277"/>
      <c r="AG2371" s="277"/>
      <c r="AH2371" s="277"/>
    </row>
    <row r="2372" spans="16:34" s="185" customFormat="1">
      <c r="P2372" s="277"/>
      <c r="Q2372" s="277"/>
      <c r="R2372" s="277"/>
      <c r="S2372" s="291">
        <v>43928</v>
      </c>
      <c r="T2372" s="279">
        <v>2289</v>
      </c>
      <c r="U2372" s="277"/>
      <c r="V2372" s="277"/>
      <c r="W2372" s="277"/>
      <c r="X2372" s="277"/>
      <c r="Y2372" s="277"/>
      <c r="Z2372" s="277"/>
      <c r="AA2372" s="277"/>
      <c r="AB2372" s="277"/>
      <c r="AC2372" s="277"/>
      <c r="AD2372" s="277"/>
      <c r="AE2372" s="277"/>
      <c r="AF2372" s="277"/>
      <c r="AG2372" s="277"/>
      <c r="AH2372" s="277"/>
    </row>
    <row r="2373" spans="16:34" s="185" customFormat="1">
      <c r="P2373" s="277"/>
      <c r="Q2373" s="277"/>
      <c r="R2373" s="277"/>
      <c r="S2373" s="291">
        <v>43929</v>
      </c>
      <c r="T2373" s="279">
        <v>2290</v>
      </c>
      <c r="U2373" s="277"/>
      <c r="V2373" s="277"/>
      <c r="W2373" s="277"/>
      <c r="X2373" s="277"/>
      <c r="Y2373" s="277"/>
      <c r="Z2373" s="277"/>
      <c r="AA2373" s="277"/>
      <c r="AB2373" s="277"/>
      <c r="AC2373" s="277"/>
      <c r="AD2373" s="277"/>
      <c r="AE2373" s="277"/>
      <c r="AF2373" s="277"/>
      <c r="AG2373" s="277"/>
      <c r="AH2373" s="277"/>
    </row>
    <row r="2374" spans="16:34" s="185" customFormat="1">
      <c r="P2374" s="277"/>
      <c r="Q2374" s="277"/>
      <c r="R2374" s="277"/>
      <c r="S2374" s="291">
        <v>43930</v>
      </c>
      <c r="T2374" s="279">
        <v>2291</v>
      </c>
      <c r="U2374" s="277"/>
      <c r="V2374" s="277"/>
      <c r="W2374" s="277"/>
      <c r="X2374" s="277"/>
      <c r="Y2374" s="277"/>
      <c r="Z2374" s="277"/>
      <c r="AA2374" s="277"/>
      <c r="AB2374" s="277"/>
      <c r="AC2374" s="277"/>
      <c r="AD2374" s="277"/>
      <c r="AE2374" s="277"/>
      <c r="AF2374" s="277"/>
      <c r="AG2374" s="277"/>
      <c r="AH2374" s="277"/>
    </row>
    <row r="2375" spans="16:34" s="185" customFormat="1">
      <c r="P2375" s="277"/>
      <c r="Q2375" s="277"/>
      <c r="R2375" s="277"/>
      <c r="S2375" s="291">
        <v>43931</v>
      </c>
      <c r="T2375" s="279">
        <v>2292</v>
      </c>
      <c r="U2375" s="277"/>
      <c r="V2375" s="277"/>
      <c r="W2375" s="277"/>
      <c r="X2375" s="277"/>
      <c r="Y2375" s="277"/>
      <c r="Z2375" s="277"/>
      <c r="AA2375" s="277"/>
      <c r="AB2375" s="277"/>
      <c r="AC2375" s="277"/>
      <c r="AD2375" s="277"/>
      <c r="AE2375" s="277"/>
      <c r="AF2375" s="277"/>
      <c r="AG2375" s="277"/>
      <c r="AH2375" s="277"/>
    </row>
    <row r="2376" spans="16:34" s="185" customFormat="1">
      <c r="P2376" s="277"/>
      <c r="Q2376" s="277"/>
      <c r="R2376" s="277"/>
      <c r="S2376" s="291">
        <v>43932</v>
      </c>
      <c r="T2376" s="279">
        <v>2293</v>
      </c>
      <c r="U2376" s="277"/>
      <c r="V2376" s="277"/>
      <c r="W2376" s="277"/>
      <c r="X2376" s="277"/>
      <c r="Y2376" s="277"/>
      <c r="Z2376" s="277"/>
      <c r="AA2376" s="277"/>
      <c r="AB2376" s="277"/>
      <c r="AC2376" s="277"/>
      <c r="AD2376" s="277"/>
      <c r="AE2376" s="277"/>
      <c r="AF2376" s="277"/>
      <c r="AG2376" s="277"/>
      <c r="AH2376" s="277"/>
    </row>
    <row r="2377" spans="16:34" s="185" customFormat="1">
      <c r="P2377" s="277"/>
      <c r="Q2377" s="277"/>
      <c r="R2377" s="277"/>
      <c r="S2377" s="291">
        <v>43933</v>
      </c>
      <c r="T2377" s="279">
        <v>2294</v>
      </c>
      <c r="U2377" s="277"/>
      <c r="V2377" s="277"/>
      <c r="W2377" s="277"/>
      <c r="X2377" s="277"/>
      <c r="Y2377" s="277"/>
      <c r="Z2377" s="277"/>
      <c r="AA2377" s="277"/>
      <c r="AB2377" s="277"/>
      <c r="AC2377" s="277"/>
      <c r="AD2377" s="277"/>
      <c r="AE2377" s="277"/>
      <c r="AF2377" s="277"/>
      <c r="AG2377" s="277"/>
      <c r="AH2377" s="277"/>
    </row>
    <row r="2378" spans="16:34" s="185" customFormat="1">
      <c r="P2378" s="277"/>
      <c r="Q2378" s="277"/>
      <c r="R2378" s="277"/>
      <c r="S2378" s="291">
        <v>43934</v>
      </c>
      <c r="T2378" s="279">
        <v>2295</v>
      </c>
      <c r="U2378" s="277"/>
      <c r="V2378" s="277"/>
      <c r="W2378" s="277"/>
      <c r="X2378" s="277"/>
      <c r="Y2378" s="277"/>
      <c r="Z2378" s="277"/>
      <c r="AA2378" s="277"/>
      <c r="AB2378" s="277"/>
      <c r="AC2378" s="277"/>
      <c r="AD2378" s="277"/>
      <c r="AE2378" s="277"/>
      <c r="AF2378" s="277"/>
      <c r="AG2378" s="277"/>
      <c r="AH2378" s="277"/>
    </row>
    <row r="2379" spans="16:34" s="185" customFormat="1">
      <c r="P2379" s="277"/>
      <c r="Q2379" s="277"/>
      <c r="R2379" s="277"/>
      <c r="S2379" s="291">
        <v>43935</v>
      </c>
      <c r="T2379" s="279">
        <v>2296</v>
      </c>
      <c r="U2379" s="277"/>
      <c r="V2379" s="277"/>
      <c r="W2379" s="277"/>
      <c r="X2379" s="277"/>
      <c r="Y2379" s="277"/>
      <c r="Z2379" s="277"/>
      <c r="AA2379" s="277"/>
      <c r="AB2379" s="277"/>
      <c r="AC2379" s="277"/>
      <c r="AD2379" s="277"/>
      <c r="AE2379" s="277"/>
      <c r="AF2379" s="277"/>
      <c r="AG2379" s="277"/>
      <c r="AH2379" s="277"/>
    </row>
    <row r="2380" spans="16:34" s="185" customFormat="1">
      <c r="P2380" s="277"/>
      <c r="Q2380" s="277"/>
      <c r="R2380" s="277"/>
      <c r="S2380" s="291">
        <v>43936</v>
      </c>
      <c r="T2380" s="279">
        <v>2297</v>
      </c>
      <c r="U2380" s="277"/>
      <c r="V2380" s="277"/>
      <c r="W2380" s="277"/>
      <c r="X2380" s="277"/>
      <c r="Y2380" s="277"/>
      <c r="Z2380" s="277"/>
      <c r="AA2380" s="277"/>
      <c r="AB2380" s="277"/>
      <c r="AC2380" s="277"/>
      <c r="AD2380" s="277"/>
      <c r="AE2380" s="277"/>
      <c r="AF2380" s="277"/>
      <c r="AG2380" s="277"/>
      <c r="AH2380" s="277"/>
    </row>
    <row r="2381" spans="16:34" s="185" customFormat="1">
      <c r="P2381" s="277"/>
      <c r="Q2381" s="277"/>
      <c r="R2381" s="277"/>
      <c r="S2381" s="291">
        <v>43937</v>
      </c>
      <c r="T2381" s="279">
        <v>2298</v>
      </c>
      <c r="U2381" s="277"/>
      <c r="V2381" s="277"/>
      <c r="W2381" s="277"/>
      <c r="X2381" s="277"/>
      <c r="Y2381" s="277"/>
      <c r="Z2381" s="277"/>
      <c r="AA2381" s="277"/>
      <c r="AB2381" s="277"/>
      <c r="AC2381" s="277"/>
      <c r="AD2381" s="277"/>
      <c r="AE2381" s="277"/>
      <c r="AF2381" s="277"/>
      <c r="AG2381" s="277"/>
      <c r="AH2381" s="277"/>
    </row>
    <row r="2382" spans="16:34" s="185" customFormat="1">
      <c r="P2382" s="277"/>
      <c r="Q2382" s="277"/>
      <c r="R2382" s="277"/>
      <c r="S2382" s="291">
        <v>43938</v>
      </c>
      <c r="T2382" s="279">
        <v>2299</v>
      </c>
      <c r="U2382" s="277"/>
      <c r="V2382" s="277"/>
      <c r="W2382" s="277"/>
      <c r="X2382" s="277"/>
      <c r="Y2382" s="277"/>
      <c r="Z2382" s="277"/>
      <c r="AA2382" s="277"/>
      <c r="AB2382" s="277"/>
      <c r="AC2382" s="277"/>
      <c r="AD2382" s="277"/>
      <c r="AE2382" s="277"/>
      <c r="AF2382" s="277"/>
      <c r="AG2382" s="277"/>
      <c r="AH2382" s="277"/>
    </row>
    <row r="2383" spans="16:34" s="185" customFormat="1">
      <c r="P2383" s="277"/>
      <c r="Q2383" s="277"/>
      <c r="R2383" s="277"/>
      <c r="S2383" s="291">
        <v>43939</v>
      </c>
      <c r="T2383" s="279">
        <v>2300</v>
      </c>
      <c r="U2383" s="277"/>
      <c r="V2383" s="277"/>
      <c r="W2383" s="277"/>
      <c r="X2383" s="277"/>
      <c r="Y2383" s="277"/>
      <c r="Z2383" s="277"/>
      <c r="AA2383" s="277"/>
      <c r="AB2383" s="277"/>
      <c r="AC2383" s="277"/>
      <c r="AD2383" s="277"/>
      <c r="AE2383" s="277"/>
      <c r="AF2383" s="277"/>
      <c r="AG2383" s="277"/>
      <c r="AH2383" s="277"/>
    </row>
    <row r="2384" spans="16:34" s="185" customFormat="1">
      <c r="P2384" s="277"/>
      <c r="Q2384" s="277"/>
      <c r="R2384" s="277"/>
      <c r="S2384" s="291">
        <v>43940</v>
      </c>
      <c r="T2384" s="279">
        <v>2301</v>
      </c>
      <c r="U2384" s="277"/>
      <c r="V2384" s="277"/>
      <c r="W2384" s="277"/>
      <c r="X2384" s="277"/>
      <c r="Y2384" s="277"/>
      <c r="Z2384" s="277"/>
      <c r="AA2384" s="277"/>
      <c r="AB2384" s="277"/>
      <c r="AC2384" s="277"/>
      <c r="AD2384" s="277"/>
      <c r="AE2384" s="277"/>
      <c r="AF2384" s="277"/>
      <c r="AG2384" s="277"/>
      <c r="AH2384" s="277"/>
    </row>
    <row r="2385" spans="16:34" s="185" customFormat="1">
      <c r="P2385" s="277"/>
      <c r="Q2385" s="277"/>
      <c r="R2385" s="277"/>
      <c r="S2385" s="291">
        <v>43941</v>
      </c>
      <c r="T2385" s="279">
        <v>2302</v>
      </c>
      <c r="U2385" s="277"/>
      <c r="V2385" s="277"/>
      <c r="W2385" s="277"/>
      <c r="X2385" s="277"/>
      <c r="Y2385" s="277"/>
      <c r="Z2385" s="277"/>
      <c r="AA2385" s="277"/>
      <c r="AB2385" s="277"/>
      <c r="AC2385" s="277"/>
      <c r="AD2385" s="277"/>
      <c r="AE2385" s="277"/>
      <c r="AF2385" s="277"/>
      <c r="AG2385" s="277"/>
      <c r="AH2385" s="277"/>
    </row>
    <row r="2386" spans="16:34" s="185" customFormat="1">
      <c r="P2386" s="277"/>
      <c r="Q2386" s="277"/>
      <c r="R2386" s="277"/>
      <c r="S2386" s="291">
        <v>43942</v>
      </c>
      <c r="T2386" s="279">
        <v>2303</v>
      </c>
      <c r="U2386" s="277"/>
      <c r="V2386" s="277"/>
      <c r="W2386" s="277"/>
      <c r="X2386" s="277"/>
      <c r="Y2386" s="277"/>
      <c r="Z2386" s="277"/>
      <c r="AA2386" s="277"/>
      <c r="AB2386" s="277"/>
      <c r="AC2386" s="277"/>
      <c r="AD2386" s="277"/>
      <c r="AE2386" s="277"/>
      <c r="AF2386" s="277"/>
      <c r="AG2386" s="277"/>
      <c r="AH2386" s="277"/>
    </row>
    <row r="2387" spans="16:34" s="185" customFormat="1">
      <c r="P2387" s="277"/>
      <c r="Q2387" s="277"/>
      <c r="R2387" s="277"/>
      <c r="S2387" s="291">
        <v>43943</v>
      </c>
      <c r="T2387" s="279">
        <v>2304</v>
      </c>
      <c r="U2387" s="277"/>
      <c r="V2387" s="277"/>
      <c r="W2387" s="277"/>
      <c r="X2387" s="277"/>
      <c r="Y2387" s="277"/>
      <c r="Z2387" s="277"/>
      <c r="AA2387" s="277"/>
      <c r="AB2387" s="277"/>
      <c r="AC2387" s="277"/>
      <c r="AD2387" s="277"/>
      <c r="AE2387" s="277"/>
      <c r="AF2387" s="277"/>
      <c r="AG2387" s="277"/>
      <c r="AH2387" s="277"/>
    </row>
    <row r="2388" spans="16:34" s="185" customFormat="1">
      <c r="P2388" s="277"/>
      <c r="Q2388" s="277"/>
      <c r="R2388" s="277"/>
      <c r="S2388" s="291">
        <v>43944</v>
      </c>
      <c r="T2388" s="279">
        <v>2305</v>
      </c>
      <c r="U2388" s="277"/>
      <c r="V2388" s="277"/>
      <c r="W2388" s="277"/>
      <c r="X2388" s="277"/>
      <c r="Y2388" s="277"/>
      <c r="Z2388" s="277"/>
      <c r="AA2388" s="277"/>
      <c r="AB2388" s="277"/>
      <c r="AC2388" s="277"/>
      <c r="AD2388" s="277"/>
      <c r="AE2388" s="277"/>
      <c r="AF2388" s="277"/>
      <c r="AG2388" s="277"/>
      <c r="AH2388" s="277"/>
    </row>
    <row r="2389" spans="16:34" s="185" customFormat="1">
      <c r="P2389" s="277"/>
      <c r="Q2389" s="277"/>
      <c r="R2389" s="277"/>
      <c r="S2389" s="291">
        <v>43945</v>
      </c>
      <c r="T2389" s="279">
        <v>2306</v>
      </c>
      <c r="U2389" s="277"/>
      <c r="V2389" s="277"/>
      <c r="W2389" s="277"/>
      <c r="X2389" s="277"/>
      <c r="Y2389" s="277"/>
      <c r="Z2389" s="277"/>
      <c r="AA2389" s="277"/>
      <c r="AB2389" s="277"/>
      <c r="AC2389" s="277"/>
      <c r="AD2389" s="277"/>
      <c r="AE2389" s="277"/>
      <c r="AF2389" s="277"/>
      <c r="AG2389" s="277"/>
      <c r="AH2389" s="277"/>
    </row>
    <row r="2390" spans="16:34" s="185" customFormat="1">
      <c r="P2390" s="277"/>
      <c r="Q2390" s="277"/>
      <c r="R2390" s="277"/>
      <c r="S2390" s="291">
        <v>43946</v>
      </c>
      <c r="T2390" s="279">
        <v>2307</v>
      </c>
      <c r="U2390" s="277"/>
      <c r="V2390" s="277"/>
      <c r="W2390" s="277"/>
      <c r="X2390" s="277"/>
      <c r="Y2390" s="277"/>
      <c r="Z2390" s="277"/>
      <c r="AA2390" s="277"/>
      <c r="AB2390" s="277"/>
      <c r="AC2390" s="277"/>
      <c r="AD2390" s="277"/>
      <c r="AE2390" s="277"/>
      <c r="AF2390" s="277"/>
      <c r="AG2390" s="277"/>
      <c r="AH2390" s="277"/>
    </row>
    <row r="2391" spans="16:34" s="185" customFormat="1">
      <c r="P2391" s="277"/>
      <c r="Q2391" s="277"/>
      <c r="R2391" s="277"/>
      <c r="S2391" s="291">
        <v>43947</v>
      </c>
      <c r="T2391" s="279">
        <v>2308</v>
      </c>
      <c r="U2391" s="277"/>
      <c r="V2391" s="277"/>
      <c r="W2391" s="277"/>
      <c r="X2391" s="277"/>
      <c r="Y2391" s="277"/>
      <c r="Z2391" s="277"/>
      <c r="AA2391" s="277"/>
      <c r="AB2391" s="277"/>
      <c r="AC2391" s="277"/>
      <c r="AD2391" s="277"/>
      <c r="AE2391" s="277"/>
      <c r="AF2391" s="277"/>
      <c r="AG2391" s="277"/>
      <c r="AH2391" s="277"/>
    </row>
    <row r="2392" spans="16:34" s="185" customFormat="1">
      <c r="P2392" s="277"/>
      <c r="Q2392" s="277"/>
      <c r="R2392" s="277"/>
      <c r="S2392" s="291">
        <v>43948</v>
      </c>
      <c r="T2392" s="279">
        <v>2309</v>
      </c>
      <c r="U2392" s="277"/>
      <c r="V2392" s="277"/>
      <c r="W2392" s="277"/>
      <c r="X2392" s="277"/>
      <c r="Y2392" s="277"/>
      <c r="Z2392" s="277"/>
      <c r="AA2392" s="277"/>
      <c r="AB2392" s="277"/>
      <c r="AC2392" s="277"/>
      <c r="AD2392" s="277"/>
      <c r="AE2392" s="277"/>
      <c r="AF2392" s="277"/>
      <c r="AG2392" s="277"/>
      <c r="AH2392" s="277"/>
    </row>
    <row r="2393" spans="16:34" s="185" customFormat="1">
      <c r="P2393" s="277"/>
      <c r="Q2393" s="277"/>
      <c r="R2393" s="277"/>
      <c r="S2393" s="291">
        <v>43949</v>
      </c>
      <c r="T2393" s="279">
        <v>2310</v>
      </c>
      <c r="U2393" s="277"/>
      <c r="V2393" s="277"/>
      <c r="W2393" s="277"/>
      <c r="X2393" s="277"/>
      <c r="Y2393" s="277"/>
      <c r="Z2393" s="277"/>
      <c r="AA2393" s="277"/>
      <c r="AB2393" s="277"/>
      <c r="AC2393" s="277"/>
      <c r="AD2393" s="277"/>
      <c r="AE2393" s="277"/>
      <c r="AF2393" s="277"/>
      <c r="AG2393" s="277"/>
      <c r="AH2393" s="277"/>
    </row>
    <row r="2394" spans="16:34" s="185" customFormat="1">
      <c r="P2394" s="277"/>
      <c r="Q2394" s="277"/>
      <c r="R2394" s="277"/>
      <c r="S2394" s="291">
        <v>43950</v>
      </c>
      <c r="T2394" s="279">
        <v>2311</v>
      </c>
      <c r="U2394" s="277"/>
      <c r="V2394" s="277"/>
      <c r="W2394" s="277"/>
      <c r="X2394" s="277"/>
      <c r="Y2394" s="277"/>
      <c r="Z2394" s="277"/>
      <c r="AA2394" s="277"/>
      <c r="AB2394" s="277"/>
      <c r="AC2394" s="277"/>
      <c r="AD2394" s="277"/>
      <c r="AE2394" s="277"/>
      <c r="AF2394" s="277"/>
      <c r="AG2394" s="277"/>
      <c r="AH2394" s="277"/>
    </row>
    <row r="2395" spans="16:34" s="185" customFormat="1">
      <c r="P2395" s="277"/>
      <c r="Q2395" s="277"/>
      <c r="R2395" s="277"/>
      <c r="S2395" s="291">
        <v>43951</v>
      </c>
      <c r="T2395" s="279">
        <v>2312</v>
      </c>
      <c r="U2395" s="277"/>
      <c r="V2395" s="277"/>
      <c r="W2395" s="277"/>
      <c r="X2395" s="277"/>
      <c r="Y2395" s="277"/>
      <c r="Z2395" s="277"/>
      <c r="AA2395" s="277"/>
      <c r="AB2395" s="277"/>
      <c r="AC2395" s="277"/>
      <c r="AD2395" s="277"/>
      <c r="AE2395" s="277"/>
      <c r="AF2395" s="277"/>
      <c r="AG2395" s="277"/>
      <c r="AH2395" s="277"/>
    </row>
    <row r="2396" spans="16:34" s="185" customFormat="1">
      <c r="P2396" s="277"/>
      <c r="Q2396" s="277"/>
      <c r="R2396" s="277"/>
      <c r="S2396" s="291">
        <v>43952</v>
      </c>
      <c r="T2396" s="279">
        <v>2313</v>
      </c>
      <c r="U2396" s="277"/>
      <c r="V2396" s="277"/>
      <c r="W2396" s="277"/>
      <c r="X2396" s="277"/>
      <c r="Y2396" s="277"/>
      <c r="Z2396" s="277"/>
      <c r="AA2396" s="277"/>
      <c r="AB2396" s="277"/>
      <c r="AC2396" s="277"/>
      <c r="AD2396" s="277"/>
      <c r="AE2396" s="277"/>
      <c r="AF2396" s="277"/>
      <c r="AG2396" s="277"/>
      <c r="AH2396" s="277"/>
    </row>
    <row r="2397" spans="16:34" s="185" customFormat="1">
      <c r="P2397" s="277"/>
      <c r="Q2397" s="277"/>
      <c r="R2397" s="277"/>
      <c r="S2397" s="291">
        <v>43953</v>
      </c>
      <c r="T2397" s="279">
        <v>2314</v>
      </c>
      <c r="U2397" s="277"/>
      <c r="V2397" s="277"/>
      <c r="W2397" s="277"/>
      <c r="X2397" s="277"/>
      <c r="Y2397" s="277"/>
      <c r="Z2397" s="277"/>
      <c r="AA2397" s="277"/>
      <c r="AB2397" s="277"/>
      <c r="AC2397" s="277"/>
      <c r="AD2397" s="277"/>
      <c r="AE2397" s="277"/>
      <c r="AF2397" s="277"/>
      <c r="AG2397" s="277"/>
      <c r="AH2397" s="277"/>
    </row>
    <row r="2398" spans="16:34" s="185" customFormat="1">
      <c r="P2398" s="277"/>
      <c r="Q2398" s="277"/>
      <c r="R2398" s="277"/>
      <c r="S2398" s="291">
        <v>43954</v>
      </c>
      <c r="T2398" s="279">
        <v>2315</v>
      </c>
      <c r="U2398" s="277"/>
      <c r="V2398" s="277"/>
      <c r="W2398" s="277"/>
      <c r="X2398" s="277"/>
      <c r="Y2398" s="277"/>
      <c r="Z2398" s="277"/>
      <c r="AA2398" s="277"/>
      <c r="AB2398" s="277"/>
      <c r="AC2398" s="277"/>
      <c r="AD2398" s="277"/>
      <c r="AE2398" s="277"/>
      <c r="AF2398" s="277"/>
      <c r="AG2398" s="277"/>
      <c r="AH2398" s="277"/>
    </row>
    <row r="2399" spans="16:34" s="185" customFormat="1">
      <c r="P2399" s="277"/>
      <c r="Q2399" s="277"/>
      <c r="R2399" s="277"/>
      <c r="S2399" s="291">
        <v>43955</v>
      </c>
      <c r="T2399" s="279">
        <v>2316</v>
      </c>
      <c r="U2399" s="277"/>
      <c r="V2399" s="277"/>
      <c r="W2399" s="277"/>
      <c r="X2399" s="277"/>
      <c r="Y2399" s="277"/>
      <c r="Z2399" s="277"/>
      <c r="AA2399" s="277"/>
      <c r="AB2399" s="277"/>
      <c r="AC2399" s="277"/>
      <c r="AD2399" s="277"/>
      <c r="AE2399" s="277"/>
      <c r="AF2399" s="277"/>
      <c r="AG2399" s="277"/>
      <c r="AH2399" s="277"/>
    </row>
    <row r="2400" spans="16:34" s="185" customFormat="1">
      <c r="P2400" s="277"/>
      <c r="Q2400" s="277"/>
      <c r="R2400" s="277"/>
      <c r="S2400" s="291">
        <v>43956</v>
      </c>
      <c r="T2400" s="279">
        <v>2317</v>
      </c>
      <c r="U2400" s="277"/>
      <c r="V2400" s="277"/>
      <c r="W2400" s="277"/>
      <c r="X2400" s="277"/>
      <c r="Y2400" s="277"/>
      <c r="Z2400" s="277"/>
      <c r="AA2400" s="277"/>
      <c r="AB2400" s="277"/>
      <c r="AC2400" s="277"/>
      <c r="AD2400" s="277"/>
      <c r="AE2400" s="277"/>
      <c r="AF2400" s="277"/>
      <c r="AG2400" s="277"/>
      <c r="AH2400" s="277"/>
    </row>
    <row r="2401" spans="16:34" s="185" customFormat="1">
      <c r="P2401" s="277"/>
      <c r="Q2401" s="277"/>
      <c r="R2401" s="277"/>
      <c r="S2401" s="291">
        <v>43957</v>
      </c>
      <c r="T2401" s="279">
        <v>2318</v>
      </c>
      <c r="U2401" s="277"/>
      <c r="V2401" s="277"/>
      <c r="W2401" s="277"/>
      <c r="X2401" s="277"/>
      <c r="Y2401" s="277"/>
      <c r="Z2401" s="277"/>
      <c r="AA2401" s="277"/>
      <c r="AB2401" s="277"/>
      <c r="AC2401" s="277"/>
      <c r="AD2401" s="277"/>
      <c r="AE2401" s="277"/>
      <c r="AF2401" s="277"/>
      <c r="AG2401" s="277"/>
      <c r="AH2401" s="277"/>
    </row>
    <row r="2402" spans="16:34" s="185" customFormat="1">
      <c r="P2402" s="277"/>
      <c r="Q2402" s="277"/>
      <c r="R2402" s="277"/>
      <c r="S2402" s="291">
        <v>43958</v>
      </c>
      <c r="T2402" s="279">
        <v>2319</v>
      </c>
      <c r="U2402" s="277"/>
      <c r="V2402" s="277"/>
      <c r="W2402" s="277"/>
      <c r="X2402" s="277"/>
      <c r="Y2402" s="277"/>
      <c r="Z2402" s="277"/>
      <c r="AA2402" s="277"/>
      <c r="AB2402" s="277"/>
      <c r="AC2402" s="277"/>
      <c r="AD2402" s="277"/>
      <c r="AE2402" s="277"/>
      <c r="AF2402" s="277"/>
      <c r="AG2402" s="277"/>
      <c r="AH2402" s="277"/>
    </row>
    <row r="2403" spans="16:34" s="185" customFormat="1">
      <c r="P2403" s="277"/>
      <c r="Q2403" s="277"/>
      <c r="R2403" s="277"/>
      <c r="S2403" s="291">
        <v>43959</v>
      </c>
      <c r="T2403" s="279">
        <v>2320</v>
      </c>
      <c r="U2403" s="277"/>
      <c r="V2403" s="277"/>
      <c r="W2403" s="277"/>
      <c r="X2403" s="277"/>
      <c r="Y2403" s="277"/>
      <c r="Z2403" s="277"/>
      <c r="AA2403" s="277"/>
      <c r="AB2403" s="277"/>
      <c r="AC2403" s="277"/>
      <c r="AD2403" s="277"/>
      <c r="AE2403" s="277"/>
      <c r="AF2403" s="277"/>
      <c r="AG2403" s="277"/>
      <c r="AH2403" s="277"/>
    </row>
    <row r="2404" spans="16:34" s="185" customFormat="1">
      <c r="P2404" s="277"/>
      <c r="Q2404" s="277"/>
      <c r="R2404" s="277"/>
      <c r="S2404" s="291">
        <v>43960</v>
      </c>
      <c r="T2404" s="279">
        <v>2321</v>
      </c>
      <c r="U2404" s="277"/>
      <c r="V2404" s="277"/>
      <c r="W2404" s="277"/>
      <c r="X2404" s="277"/>
      <c r="Y2404" s="277"/>
      <c r="Z2404" s="277"/>
      <c r="AA2404" s="277"/>
      <c r="AB2404" s="277"/>
      <c r="AC2404" s="277"/>
      <c r="AD2404" s="277"/>
      <c r="AE2404" s="277"/>
      <c r="AF2404" s="277"/>
      <c r="AG2404" s="277"/>
      <c r="AH2404" s="277"/>
    </row>
    <row r="2405" spans="16:34" s="185" customFormat="1">
      <c r="P2405" s="277"/>
      <c r="Q2405" s="277"/>
      <c r="R2405" s="277"/>
      <c r="S2405" s="291">
        <v>43961</v>
      </c>
      <c r="T2405" s="279">
        <v>2322</v>
      </c>
      <c r="U2405" s="277"/>
      <c r="V2405" s="277"/>
      <c r="W2405" s="277"/>
      <c r="X2405" s="277"/>
      <c r="Y2405" s="277"/>
      <c r="Z2405" s="277"/>
      <c r="AA2405" s="277"/>
      <c r="AB2405" s="277"/>
      <c r="AC2405" s="277"/>
      <c r="AD2405" s="277"/>
      <c r="AE2405" s="277"/>
      <c r="AF2405" s="277"/>
      <c r="AG2405" s="277"/>
      <c r="AH2405" s="277"/>
    </row>
    <row r="2406" spans="16:34" s="185" customFormat="1">
      <c r="P2406" s="277"/>
      <c r="Q2406" s="277"/>
      <c r="R2406" s="277"/>
      <c r="S2406" s="291">
        <v>43962</v>
      </c>
      <c r="T2406" s="279">
        <v>2323</v>
      </c>
      <c r="U2406" s="277"/>
      <c r="V2406" s="277"/>
      <c r="W2406" s="277"/>
      <c r="X2406" s="277"/>
      <c r="Y2406" s="277"/>
      <c r="Z2406" s="277"/>
      <c r="AA2406" s="277"/>
      <c r="AB2406" s="277"/>
      <c r="AC2406" s="277"/>
      <c r="AD2406" s="277"/>
      <c r="AE2406" s="277"/>
      <c r="AF2406" s="277"/>
      <c r="AG2406" s="277"/>
      <c r="AH2406" s="277"/>
    </row>
    <row r="2407" spans="16:34" s="185" customFormat="1">
      <c r="P2407" s="277"/>
      <c r="Q2407" s="277"/>
      <c r="R2407" s="277"/>
      <c r="S2407" s="291">
        <v>43963</v>
      </c>
      <c r="T2407" s="279">
        <v>2324</v>
      </c>
      <c r="U2407" s="277"/>
      <c r="V2407" s="277"/>
      <c r="W2407" s="277"/>
      <c r="X2407" s="277"/>
      <c r="Y2407" s="277"/>
      <c r="Z2407" s="277"/>
      <c r="AA2407" s="277"/>
      <c r="AB2407" s="277"/>
      <c r="AC2407" s="277"/>
      <c r="AD2407" s="277"/>
      <c r="AE2407" s="277"/>
      <c r="AF2407" s="277"/>
      <c r="AG2407" s="277"/>
      <c r="AH2407" s="277"/>
    </row>
    <row r="2408" spans="16:34" s="185" customFormat="1">
      <c r="P2408" s="277"/>
      <c r="Q2408" s="277"/>
      <c r="R2408" s="277"/>
      <c r="S2408" s="291">
        <v>43964</v>
      </c>
      <c r="T2408" s="279">
        <v>2325</v>
      </c>
      <c r="U2408" s="277"/>
      <c r="V2408" s="277"/>
      <c r="W2408" s="277"/>
      <c r="X2408" s="277"/>
      <c r="Y2408" s="277"/>
      <c r="Z2408" s="277"/>
      <c r="AA2408" s="277"/>
      <c r="AB2408" s="277"/>
      <c r="AC2408" s="277"/>
      <c r="AD2408" s="277"/>
      <c r="AE2408" s="277"/>
      <c r="AF2408" s="277"/>
      <c r="AG2408" s="277"/>
      <c r="AH2408" s="277"/>
    </row>
    <row r="2409" spans="16:34" s="185" customFormat="1">
      <c r="P2409" s="277"/>
      <c r="Q2409" s="277"/>
      <c r="R2409" s="277"/>
      <c r="S2409" s="291">
        <v>43965</v>
      </c>
      <c r="T2409" s="279">
        <v>2326</v>
      </c>
      <c r="U2409" s="277"/>
      <c r="V2409" s="277"/>
      <c r="W2409" s="277"/>
      <c r="X2409" s="277"/>
      <c r="Y2409" s="277"/>
      <c r="Z2409" s="277"/>
      <c r="AA2409" s="277"/>
      <c r="AB2409" s="277"/>
      <c r="AC2409" s="277"/>
      <c r="AD2409" s="277"/>
      <c r="AE2409" s="277"/>
      <c r="AF2409" s="277"/>
      <c r="AG2409" s="277"/>
      <c r="AH2409" s="277"/>
    </row>
    <row r="2410" spans="16:34" s="185" customFormat="1">
      <c r="P2410" s="277"/>
      <c r="Q2410" s="277"/>
      <c r="R2410" s="277"/>
      <c r="S2410" s="291">
        <v>43966</v>
      </c>
      <c r="T2410" s="279">
        <v>2327</v>
      </c>
      <c r="U2410" s="277"/>
      <c r="V2410" s="277"/>
      <c r="W2410" s="277"/>
      <c r="X2410" s="277"/>
      <c r="Y2410" s="277"/>
      <c r="Z2410" s="277"/>
      <c r="AA2410" s="277"/>
      <c r="AB2410" s="277"/>
      <c r="AC2410" s="277"/>
      <c r="AD2410" s="277"/>
      <c r="AE2410" s="277"/>
      <c r="AF2410" s="277"/>
      <c r="AG2410" s="277"/>
      <c r="AH2410" s="277"/>
    </row>
    <row r="2411" spans="16:34" s="185" customFormat="1">
      <c r="P2411" s="277"/>
      <c r="Q2411" s="277"/>
      <c r="R2411" s="277"/>
      <c r="S2411" s="291">
        <v>43967</v>
      </c>
      <c r="T2411" s="279">
        <v>2328</v>
      </c>
      <c r="U2411" s="277"/>
      <c r="V2411" s="277"/>
      <c r="W2411" s="277"/>
      <c r="X2411" s="277"/>
      <c r="Y2411" s="277"/>
      <c r="Z2411" s="277"/>
      <c r="AA2411" s="277"/>
      <c r="AB2411" s="277"/>
      <c r="AC2411" s="277"/>
      <c r="AD2411" s="277"/>
      <c r="AE2411" s="277"/>
      <c r="AF2411" s="277"/>
      <c r="AG2411" s="277"/>
      <c r="AH2411" s="277"/>
    </row>
    <row r="2412" spans="16:34" s="185" customFormat="1">
      <c r="P2412" s="277"/>
      <c r="Q2412" s="277"/>
      <c r="R2412" s="277"/>
      <c r="S2412" s="291">
        <v>43968</v>
      </c>
      <c r="T2412" s="279">
        <v>2329</v>
      </c>
      <c r="U2412" s="277"/>
      <c r="V2412" s="277"/>
      <c r="W2412" s="277"/>
      <c r="X2412" s="277"/>
      <c r="Y2412" s="277"/>
      <c r="Z2412" s="277"/>
      <c r="AA2412" s="277"/>
      <c r="AB2412" s="277"/>
      <c r="AC2412" s="277"/>
      <c r="AD2412" s="277"/>
      <c r="AE2412" s="277"/>
      <c r="AF2412" s="277"/>
      <c r="AG2412" s="277"/>
      <c r="AH2412" s="277"/>
    </row>
    <row r="2413" spans="16:34" s="185" customFormat="1">
      <c r="P2413" s="277"/>
      <c r="Q2413" s="277"/>
      <c r="R2413" s="277"/>
      <c r="S2413" s="291">
        <v>43969</v>
      </c>
      <c r="T2413" s="279">
        <v>2330</v>
      </c>
      <c r="U2413" s="277"/>
      <c r="V2413" s="277"/>
      <c r="W2413" s="277"/>
      <c r="X2413" s="277"/>
      <c r="Y2413" s="277"/>
      <c r="Z2413" s="277"/>
      <c r="AA2413" s="277"/>
      <c r="AB2413" s="277"/>
      <c r="AC2413" s="277"/>
      <c r="AD2413" s="277"/>
      <c r="AE2413" s="277"/>
      <c r="AF2413" s="277"/>
      <c r="AG2413" s="277"/>
      <c r="AH2413" s="277"/>
    </row>
    <row r="2414" spans="16:34" s="185" customFormat="1">
      <c r="P2414" s="277"/>
      <c r="Q2414" s="277"/>
      <c r="R2414" s="277"/>
      <c r="S2414" s="291">
        <v>43970</v>
      </c>
      <c r="T2414" s="279">
        <v>2331</v>
      </c>
      <c r="U2414" s="277"/>
      <c r="V2414" s="277"/>
      <c r="W2414" s="277"/>
      <c r="X2414" s="277"/>
      <c r="Y2414" s="277"/>
      <c r="Z2414" s="277"/>
      <c r="AA2414" s="277"/>
      <c r="AB2414" s="277"/>
      <c r="AC2414" s="277"/>
      <c r="AD2414" s="277"/>
      <c r="AE2414" s="277"/>
      <c r="AF2414" s="277"/>
      <c r="AG2414" s="277"/>
      <c r="AH2414" s="277"/>
    </row>
    <row r="2415" spans="16:34" s="185" customFormat="1">
      <c r="P2415" s="277"/>
      <c r="Q2415" s="277"/>
      <c r="R2415" s="277"/>
      <c r="S2415" s="291">
        <v>43971</v>
      </c>
      <c r="T2415" s="279">
        <v>2332</v>
      </c>
      <c r="U2415" s="277"/>
      <c r="V2415" s="277"/>
      <c r="W2415" s="277"/>
      <c r="X2415" s="277"/>
      <c r="Y2415" s="277"/>
      <c r="Z2415" s="277"/>
      <c r="AA2415" s="277"/>
      <c r="AB2415" s="277"/>
      <c r="AC2415" s="277"/>
      <c r="AD2415" s="277"/>
      <c r="AE2415" s="277"/>
      <c r="AF2415" s="277"/>
      <c r="AG2415" s="277"/>
      <c r="AH2415" s="277"/>
    </row>
    <row r="2416" spans="16:34" s="185" customFormat="1">
      <c r="P2416" s="277"/>
      <c r="Q2416" s="277"/>
      <c r="R2416" s="277"/>
      <c r="S2416" s="291">
        <v>43972</v>
      </c>
      <c r="T2416" s="279">
        <v>2333</v>
      </c>
      <c r="U2416" s="277"/>
      <c r="V2416" s="277"/>
      <c r="W2416" s="277"/>
      <c r="X2416" s="277"/>
      <c r="Y2416" s="277"/>
      <c r="Z2416" s="277"/>
      <c r="AA2416" s="277"/>
      <c r="AB2416" s="277"/>
      <c r="AC2416" s="277"/>
      <c r="AD2416" s="277"/>
      <c r="AE2416" s="277"/>
      <c r="AF2416" s="277"/>
      <c r="AG2416" s="277"/>
      <c r="AH2416" s="277"/>
    </row>
    <row r="2417" spans="16:34" s="185" customFormat="1">
      <c r="P2417" s="277"/>
      <c r="Q2417" s="277"/>
      <c r="R2417" s="277"/>
      <c r="S2417" s="291">
        <v>43973</v>
      </c>
      <c r="T2417" s="279">
        <v>2334</v>
      </c>
      <c r="U2417" s="277"/>
      <c r="V2417" s="277"/>
      <c r="W2417" s="277"/>
      <c r="X2417" s="277"/>
      <c r="Y2417" s="277"/>
      <c r="Z2417" s="277"/>
      <c r="AA2417" s="277"/>
      <c r="AB2417" s="277"/>
      <c r="AC2417" s="277"/>
      <c r="AD2417" s="277"/>
      <c r="AE2417" s="277"/>
      <c r="AF2417" s="277"/>
      <c r="AG2417" s="277"/>
      <c r="AH2417" s="277"/>
    </row>
    <row r="2418" spans="16:34" s="185" customFormat="1">
      <c r="P2418" s="277"/>
      <c r="Q2418" s="277"/>
      <c r="R2418" s="277"/>
      <c r="S2418" s="291">
        <v>43974</v>
      </c>
      <c r="T2418" s="279">
        <v>2335</v>
      </c>
      <c r="U2418" s="277"/>
      <c r="V2418" s="277"/>
      <c r="W2418" s="277"/>
      <c r="X2418" s="277"/>
      <c r="Y2418" s="277"/>
      <c r="Z2418" s="277"/>
      <c r="AA2418" s="277"/>
      <c r="AB2418" s="277"/>
      <c r="AC2418" s="277"/>
      <c r="AD2418" s="277"/>
      <c r="AE2418" s="277"/>
      <c r="AF2418" s="277"/>
      <c r="AG2418" s="277"/>
      <c r="AH2418" s="277"/>
    </row>
    <row r="2419" spans="16:34" s="185" customFormat="1">
      <c r="P2419" s="277"/>
      <c r="Q2419" s="277"/>
      <c r="R2419" s="277"/>
      <c r="S2419" s="291">
        <v>43975</v>
      </c>
      <c r="T2419" s="279">
        <v>2336</v>
      </c>
      <c r="U2419" s="277"/>
      <c r="V2419" s="277"/>
      <c r="W2419" s="277"/>
      <c r="X2419" s="277"/>
      <c r="Y2419" s="277"/>
      <c r="Z2419" s="277"/>
      <c r="AA2419" s="277"/>
      <c r="AB2419" s="277"/>
      <c r="AC2419" s="277"/>
      <c r="AD2419" s="277"/>
      <c r="AE2419" s="277"/>
      <c r="AF2419" s="277"/>
      <c r="AG2419" s="277"/>
      <c r="AH2419" s="277"/>
    </row>
    <row r="2420" spans="16:34" s="185" customFormat="1">
      <c r="P2420" s="277"/>
      <c r="Q2420" s="277"/>
      <c r="R2420" s="277"/>
      <c r="S2420" s="291">
        <v>43976</v>
      </c>
      <c r="T2420" s="279">
        <v>2337</v>
      </c>
      <c r="U2420" s="277"/>
      <c r="V2420" s="277"/>
      <c r="W2420" s="277"/>
      <c r="X2420" s="277"/>
      <c r="Y2420" s="277"/>
      <c r="Z2420" s="277"/>
      <c r="AA2420" s="277"/>
      <c r="AB2420" s="277"/>
      <c r="AC2420" s="277"/>
      <c r="AD2420" s="277"/>
      <c r="AE2420" s="277"/>
      <c r="AF2420" s="277"/>
      <c r="AG2420" s="277"/>
      <c r="AH2420" s="277"/>
    </row>
    <row r="2421" spans="16:34" s="185" customFormat="1">
      <c r="P2421" s="277"/>
      <c r="Q2421" s="277"/>
      <c r="R2421" s="277"/>
      <c r="S2421" s="291">
        <v>43977</v>
      </c>
      <c r="T2421" s="279">
        <v>2338</v>
      </c>
      <c r="U2421" s="277"/>
      <c r="V2421" s="277"/>
      <c r="W2421" s="277"/>
      <c r="X2421" s="277"/>
      <c r="Y2421" s="277"/>
      <c r="Z2421" s="277"/>
      <c r="AA2421" s="277"/>
      <c r="AB2421" s="277"/>
      <c r="AC2421" s="277"/>
      <c r="AD2421" s="277"/>
      <c r="AE2421" s="277"/>
      <c r="AF2421" s="277"/>
      <c r="AG2421" s="277"/>
      <c r="AH2421" s="277"/>
    </row>
    <row r="2422" spans="16:34" s="185" customFormat="1">
      <c r="P2422" s="277"/>
      <c r="Q2422" s="277"/>
      <c r="R2422" s="277"/>
      <c r="S2422" s="291">
        <v>43978</v>
      </c>
      <c r="T2422" s="279">
        <v>2339</v>
      </c>
      <c r="U2422" s="277"/>
      <c r="V2422" s="277"/>
      <c r="W2422" s="277"/>
      <c r="X2422" s="277"/>
      <c r="Y2422" s="277"/>
      <c r="Z2422" s="277"/>
      <c r="AA2422" s="277"/>
      <c r="AB2422" s="277"/>
      <c r="AC2422" s="277"/>
      <c r="AD2422" s="277"/>
      <c r="AE2422" s="277"/>
      <c r="AF2422" s="277"/>
      <c r="AG2422" s="277"/>
      <c r="AH2422" s="277"/>
    </row>
    <row r="2423" spans="16:34" s="185" customFormat="1">
      <c r="P2423" s="277"/>
      <c r="Q2423" s="277"/>
      <c r="R2423" s="277"/>
      <c r="S2423" s="291">
        <v>43979</v>
      </c>
      <c r="T2423" s="279">
        <v>2340</v>
      </c>
      <c r="U2423" s="277"/>
      <c r="V2423" s="277"/>
      <c r="W2423" s="277"/>
      <c r="X2423" s="277"/>
      <c r="Y2423" s="277"/>
      <c r="Z2423" s="277"/>
      <c r="AA2423" s="277"/>
      <c r="AB2423" s="277"/>
      <c r="AC2423" s="277"/>
      <c r="AD2423" s="277"/>
      <c r="AE2423" s="277"/>
      <c r="AF2423" s="277"/>
      <c r="AG2423" s="277"/>
      <c r="AH2423" s="277"/>
    </row>
    <row r="2424" spans="16:34" s="185" customFormat="1">
      <c r="P2424" s="277"/>
      <c r="Q2424" s="277"/>
      <c r="R2424" s="277"/>
      <c r="S2424" s="291">
        <v>43980</v>
      </c>
      <c r="T2424" s="279">
        <v>2341</v>
      </c>
      <c r="U2424" s="277"/>
      <c r="V2424" s="277"/>
      <c r="W2424" s="277"/>
      <c r="X2424" s="277"/>
      <c r="Y2424" s="277"/>
      <c r="Z2424" s="277"/>
      <c r="AA2424" s="277"/>
      <c r="AB2424" s="277"/>
      <c r="AC2424" s="277"/>
      <c r="AD2424" s="277"/>
      <c r="AE2424" s="277"/>
      <c r="AF2424" s="277"/>
      <c r="AG2424" s="277"/>
      <c r="AH2424" s="277"/>
    </row>
    <row r="2425" spans="16:34" s="185" customFormat="1">
      <c r="P2425" s="277"/>
      <c r="Q2425" s="277"/>
      <c r="R2425" s="277"/>
      <c r="S2425" s="291">
        <v>43981</v>
      </c>
      <c r="T2425" s="279">
        <v>2342</v>
      </c>
      <c r="U2425" s="277"/>
      <c r="V2425" s="277"/>
      <c r="W2425" s="277"/>
      <c r="X2425" s="277"/>
      <c r="Y2425" s="277"/>
      <c r="Z2425" s="277"/>
      <c r="AA2425" s="277"/>
      <c r="AB2425" s="277"/>
      <c r="AC2425" s="277"/>
      <c r="AD2425" s="277"/>
      <c r="AE2425" s="277"/>
      <c r="AF2425" s="277"/>
      <c r="AG2425" s="277"/>
      <c r="AH2425" s="277"/>
    </row>
    <row r="2426" spans="16:34" s="185" customFormat="1">
      <c r="P2426" s="277"/>
      <c r="Q2426" s="277"/>
      <c r="R2426" s="277"/>
      <c r="S2426" s="291">
        <v>43982</v>
      </c>
      <c r="T2426" s="279">
        <v>2343</v>
      </c>
      <c r="U2426" s="277"/>
      <c r="V2426" s="277"/>
      <c r="W2426" s="277"/>
      <c r="X2426" s="277"/>
      <c r="Y2426" s="277"/>
      <c r="Z2426" s="277"/>
      <c r="AA2426" s="277"/>
      <c r="AB2426" s="277"/>
      <c r="AC2426" s="277"/>
      <c r="AD2426" s="277"/>
      <c r="AE2426" s="277"/>
      <c r="AF2426" s="277"/>
      <c r="AG2426" s="277"/>
      <c r="AH2426" s="277"/>
    </row>
    <row r="2427" spans="16:34" s="185" customFormat="1">
      <c r="P2427" s="277"/>
      <c r="Q2427" s="277"/>
      <c r="R2427" s="277"/>
      <c r="S2427" s="291">
        <v>43983</v>
      </c>
      <c r="T2427" s="279">
        <v>2344</v>
      </c>
      <c r="U2427" s="277"/>
      <c r="V2427" s="277"/>
      <c r="W2427" s="277"/>
      <c r="X2427" s="277"/>
      <c r="Y2427" s="277"/>
      <c r="Z2427" s="277"/>
      <c r="AA2427" s="277"/>
      <c r="AB2427" s="277"/>
      <c r="AC2427" s="277"/>
      <c r="AD2427" s="277"/>
      <c r="AE2427" s="277"/>
      <c r="AF2427" s="277"/>
      <c r="AG2427" s="277"/>
      <c r="AH2427" s="277"/>
    </row>
    <row r="2428" spans="16:34" s="185" customFormat="1">
      <c r="P2428" s="277"/>
      <c r="Q2428" s="277"/>
      <c r="R2428" s="277"/>
      <c r="S2428" s="291">
        <v>43984</v>
      </c>
      <c r="T2428" s="279">
        <v>2345</v>
      </c>
      <c r="U2428" s="277"/>
      <c r="V2428" s="277"/>
      <c r="W2428" s="277"/>
      <c r="X2428" s="277"/>
      <c r="Y2428" s="277"/>
      <c r="Z2428" s="277"/>
      <c r="AA2428" s="277"/>
      <c r="AB2428" s="277"/>
      <c r="AC2428" s="277"/>
      <c r="AD2428" s="277"/>
      <c r="AE2428" s="277"/>
      <c r="AF2428" s="277"/>
      <c r="AG2428" s="277"/>
      <c r="AH2428" s="277"/>
    </row>
    <row r="2429" spans="16:34" s="185" customFormat="1">
      <c r="P2429" s="277"/>
      <c r="Q2429" s="277"/>
      <c r="R2429" s="277"/>
      <c r="S2429" s="291">
        <v>43985</v>
      </c>
      <c r="T2429" s="279">
        <v>2346</v>
      </c>
      <c r="U2429" s="277"/>
      <c r="V2429" s="277"/>
      <c r="W2429" s="277"/>
      <c r="X2429" s="277"/>
      <c r="Y2429" s="277"/>
      <c r="Z2429" s="277"/>
      <c r="AA2429" s="277"/>
      <c r="AB2429" s="277"/>
      <c r="AC2429" s="277"/>
      <c r="AD2429" s="277"/>
      <c r="AE2429" s="277"/>
      <c r="AF2429" s="277"/>
      <c r="AG2429" s="277"/>
      <c r="AH2429" s="277"/>
    </row>
    <row r="2430" spans="16:34" s="185" customFormat="1">
      <c r="P2430" s="277"/>
      <c r="Q2430" s="277"/>
      <c r="R2430" s="277"/>
      <c r="S2430" s="291">
        <v>43986</v>
      </c>
      <c r="T2430" s="279">
        <v>2347</v>
      </c>
      <c r="U2430" s="277"/>
      <c r="V2430" s="277"/>
      <c r="W2430" s="277"/>
      <c r="X2430" s="277"/>
      <c r="Y2430" s="277"/>
      <c r="Z2430" s="277"/>
      <c r="AA2430" s="277"/>
      <c r="AB2430" s="277"/>
      <c r="AC2430" s="277"/>
      <c r="AD2430" s="277"/>
      <c r="AE2430" s="277"/>
      <c r="AF2430" s="277"/>
      <c r="AG2430" s="277"/>
      <c r="AH2430" s="277"/>
    </row>
    <row r="2431" spans="16:34" s="185" customFormat="1">
      <c r="P2431" s="277"/>
      <c r="Q2431" s="277"/>
      <c r="R2431" s="277"/>
      <c r="S2431" s="291">
        <v>43987</v>
      </c>
      <c r="T2431" s="279">
        <v>2348</v>
      </c>
      <c r="U2431" s="277"/>
      <c r="V2431" s="277"/>
      <c r="W2431" s="277"/>
      <c r="X2431" s="277"/>
      <c r="Y2431" s="277"/>
      <c r="Z2431" s="277"/>
      <c r="AA2431" s="277"/>
      <c r="AB2431" s="277"/>
      <c r="AC2431" s="277"/>
      <c r="AD2431" s="277"/>
      <c r="AE2431" s="277"/>
      <c r="AF2431" s="277"/>
      <c r="AG2431" s="277"/>
      <c r="AH2431" s="277"/>
    </row>
    <row r="2432" spans="16:34" s="185" customFormat="1">
      <c r="P2432" s="277"/>
      <c r="Q2432" s="277"/>
      <c r="R2432" s="277"/>
      <c r="S2432" s="291">
        <v>43988</v>
      </c>
      <c r="T2432" s="279">
        <v>2349</v>
      </c>
      <c r="U2432" s="277"/>
      <c r="V2432" s="277"/>
      <c r="W2432" s="277"/>
      <c r="X2432" s="277"/>
      <c r="Y2432" s="277"/>
      <c r="Z2432" s="277"/>
      <c r="AA2432" s="277"/>
      <c r="AB2432" s="277"/>
      <c r="AC2432" s="277"/>
      <c r="AD2432" s="277"/>
      <c r="AE2432" s="277"/>
      <c r="AF2432" s="277"/>
      <c r="AG2432" s="277"/>
      <c r="AH2432" s="277"/>
    </row>
    <row r="2433" spans="16:34" s="185" customFormat="1">
      <c r="P2433" s="277"/>
      <c r="Q2433" s="277"/>
      <c r="R2433" s="277"/>
      <c r="S2433" s="291">
        <v>43989</v>
      </c>
      <c r="T2433" s="279">
        <v>2350</v>
      </c>
      <c r="U2433" s="277"/>
      <c r="V2433" s="277"/>
      <c r="W2433" s="277"/>
      <c r="X2433" s="277"/>
      <c r="Y2433" s="277"/>
      <c r="Z2433" s="277"/>
      <c r="AA2433" s="277"/>
      <c r="AB2433" s="277"/>
      <c r="AC2433" s="277"/>
      <c r="AD2433" s="277"/>
      <c r="AE2433" s="277"/>
      <c r="AF2433" s="277"/>
      <c r="AG2433" s="277"/>
      <c r="AH2433" s="277"/>
    </row>
    <row r="2434" spans="16:34" s="185" customFormat="1">
      <c r="P2434" s="277"/>
      <c r="Q2434" s="277"/>
      <c r="R2434" s="277"/>
      <c r="S2434" s="291">
        <v>43990</v>
      </c>
      <c r="T2434" s="279">
        <v>2351</v>
      </c>
      <c r="U2434" s="277"/>
      <c r="V2434" s="277"/>
      <c r="W2434" s="277"/>
      <c r="X2434" s="277"/>
      <c r="Y2434" s="277"/>
      <c r="Z2434" s="277"/>
      <c r="AA2434" s="277"/>
      <c r="AB2434" s="277"/>
      <c r="AC2434" s="277"/>
      <c r="AD2434" s="277"/>
      <c r="AE2434" s="277"/>
      <c r="AF2434" s="277"/>
      <c r="AG2434" s="277"/>
      <c r="AH2434" s="277"/>
    </row>
    <row r="2435" spans="16:34" s="185" customFormat="1">
      <c r="P2435" s="277"/>
      <c r="Q2435" s="277"/>
      <c r="R2435" s="277"/>
      <c r="S2435" s="291">
        <v>43991</v>
      </c>
      <c r="T2435" s="279">
        <v>2352</v>
      </c>
      <c r="U2435" s="277"/>
      <c r="V2435" s="277"/>
      <c r="W2435" s="277"/>
      <c r="X2435" s="277"/>
      <c r="Y2435" s="277"/>
      <c r="Z2435" s="277"/>
      <c r="AA2435" s="277"/>
      <c r="AB2435" s="277"/>
      <c r="AC2435" s="277"/>
      <c r="AD2435" s="277"/>
      <c r="AE2435" s="277"/>
      <c r="AF2435" s="277"/>
      <c r="AG2435" s="277"/>
      <c r="AH2435" s="277"/>
    </row>
    <row r="2436" spans="16:34" s="185" customFormat="1">
      <c r="P2436" s="277"/>
      <c r="Q2436" s="277"/>
      <c r="R2436" s="277"/>
      <c r="S2436" s="291">
        <v>43992</v>
      </c>
      <c r="T2436" s="279">
        <v>2353</v>
      </c>
      <c r="U2436" s="277"/>
      <c r="V2436" s="277"/>
      <c r="W2436" s="277"/>
      <c r="X2436" s="277"/>
      <c r="Y2436" s="277"/>
      <c r="Z2436" s="277"/>
      <c r="AA2436" s="277"/>
      <c r="AB2436" s="277"/>
      <c r="AC2436" s="277"/>
      <c r="AD2436" s="277"/>
      <c r="AE2436" s="277"/>
      <c r="AF2436" s="277"/>
      <c r="AG2436" s="277"/>
      <c r="AH2436" s="277"/>
    </row>
    <row r="2437" spans="16:34" s="185" customFormat="1">
      <c r="P2437" s="277"/>
      <c r="Q2437" s="277"/>
      <c r="R2437" s="277"/>
      <c r="S2437" s="291">
        <v>43993</v>
      </c>
      <c r="T2437" s="279">
        <v>2354</v>
      </c>
      <c r="U2437" s="277"/>
      <c r="V2437" s="277"/>
      <c r="W2437" s="277"/>
      <c r="X2437" s="277"/>
      <c r="Y2437" s="277"/>
      <c r="Z2437" s="277"/>
      <c r="AA2437" s="277"/>
      <c r="AB2437" s="277"/>
      <c r="AC2437" s="277"/>
      <c r="AD2437" s="277"/>
      <c r="AE2437" s="277"/>
      <c r="AF2437" s="277"/>
      <c r="AG2437" s="277"/>
      <c r="AH2437" s="277"/>
    </row>
    <row r="2438" spans="16:34" s="185" customFormat="1">
      <c r="P2438" s="277"/>
      <c r="Q2438" s="277"/>
      <c r="R2438" s="277"/>
      <c r="S2438" s="291">
        <v>43994</v>
      </c>
      <c r="T2438" s="279">
        <v>2355</v>
      </c>
      <c r="U2438" s="277"/>
      <c r="V2438" s="277"/>
      <c r="W2438" s="277"/>
      <c r="X2438" s="277"/>
      <c r="Y2438" s="277"/>
      <c r="Z2438" s="277"/>
      <c r="AA2438" s="277"/>
      <c r="AB2438" s="277"/>
      <c r="AC2438" s="277"/>
      <c r="AD2438" s="277"/>
      <c r="AE2438" s="277"/>
      <c r="AF2438" s="277"/>
      <c r="AG2438" s="277"/>
      <c r="AH2438" s="277"/>
    </row>
    <row r="2439" spans="16:34" s="185" customFormat="1">
      <c r="P2439" s="277"/>
      <c r="Q2439" s="277"/>
      <c r="R2439" s="277"/>
      <c r="S2439" s="291">
        <v>43995</v>
      </c>
      <c r="T2439" s="279">
        <v>2356</v>
      </c>
      <c r="U2439" s="277"/>
      <c r="V2439" s="277"/>
      <c r="W2439" s="277"/>
      <c r="X2439" s="277"/>
      <c r="Y2439" s="277"/>
      <c r="Z2439" s="277"/>
      <c r="AA2439" s="277"/>
      <c r="AB2439" s="277"/>
      <c r="AC2439" s="277"/>
      <c r="AD2439" s="277"/>
      <c r="AE2439" s="277"/>
      <c r="AF2439" s="277"/>
      <c r="AG2439" s="277"/>
      <c r="AH2439" s="277"/>
    </row>
    <row r="2440" spans="16:34" s="185" customFormat="1">
      <c r="P2440" s="277"/>
      <c r="Q2440" s="277"/>
      <c r="R2440" s="277"/>
      <c r="S2440" s="291">
        <v>43996</v>
      </c>
      <c r="T2440" s="279">
        <v>2357</v>
      </c>
      <c r="U2440" s="277"/>
      <c r="V2440" s="277"/>
      <c r="W2440" s="277"/>
      <c r="X2440" s="277"/>
      <c r="Y2440" s="277"/>
      <c r="Z2440" s="277"/>
      <c r="AA2440" s="277"/>
      <c r="AB2440" s="277"/>
      <c r="AC2440" s="277"/>
      <c r="AD2440" s="277"/>
      <c r="AE2440" s="277"/>
      <c r="AF2440" s="277"/>
      <c r="AG2440" s="277"/>
      <c r="AH2440" s="277"/>
    </row>
    <row r="2441" spans="16:34" s="185" customFormat="1">
      <c r="P2441" s="277"/>
      <c r="Q2441" s="277"/>
      <c r="R2441" s="277"/>
      <c r="S2441" s="291">
        <v>43997</v>
      </c>
      <c r="T2441" s="279">
        <v>2358</v>
      </c>
      <c r="U2441" s="277"/>
      <c r="V2441" s="277"/>
      <c r="W2441" s="277"/>
      <c r="X2441" s="277"/>
      <c r="Y2441" s="277"/>
      <c r="Z2441" s="277"/>
      <c r="AA2441" s="277"/>
      <c r="AB2441" s="277"/>
      <c r="AC2441" s="277"/>
      <c r="AD2441" s="277"/>
      <c r="AE2441" s="277"/>
      <c r="AF2441" s="277"/>
      <c r="AG2441" s="277"/>
      <c r="AH2441" s="277"/>
    </row>
    <row r="2442" spans="16:34" s="185" customFormat="1">
      <c r="P2442" s="277"/>
      <c r="Q2442" s="277"/>
      <c r="R2442" s="277"/>
      <c r="S2442" s="291">
        <v>43998</v>
      </c>
      <c r="T2442" s="279">
        <v>2359</v>
      </c>
      <c r="U2442" s="277"/>
      <c r="V2442" s="277"/>
      <c r="W2442" s="277"/>
      <c r="X2442" s="277"/>
      <c r="Y2442" s="277"/>
      <c r="Z2442" s="277"/>
      <c r="AA2442" s="277"/>
      <c r="AB2442" s="277"/>
      <c r="AC2442" s="277"/>
      <c r="AD2442" s="277"/>
      <c r="AE2442" s="277"/>
      <c r="AF2442" s="277"/>
      <c r="AG2442" s="277"/>
      <c r="AH2442" s="277"/>
    </row>
    <row r="2443" spans="16:34" s="185" customFormat="1">
      <c r="P2443" s="277"/>
      <c r="Q2443" s="277"/>
      <c r="R2443" s="277"/>
      <c r="S2443" s="291">
        <v>43999</v>
      </c>
      <c r="T2443" s="279">
        <v>2360</v>
      </c>
      <c r="U2443" s="277"/>
      <c r="V2443" s="277"/>
      <c r="W2443" s="277"/>
      <c r="X2443" s="277"/>
      <c r="Y2443" s="277"/>
      <c r="Z2443" s="277"/>
      <c r="AA2443" s="277"/>
      <c r="AB2443" s="277"/>
      <c r="AC2443" s="277"/>
      <c r="AD2443" s="277"/>
      <c r="AE2443" s="277"/>
      <c r="AF2443" s="277"/>
      <c r="AG2443" s="277"/>
      <c r="AH2443" s="277"/>
    </row>
    <row r="2444" spans="16:34" s="185" customFormat="1">
      <c r="P2444" s="277"/>
      <c r="Q2444" s="277"/>
      <c r="R2444" s="277"/>
      <c r="S2444" s="291">
        <v>44000</v>
      </c>
      <c r="T2444" s="279">
        <v>2361</v>
      </c>
      <c r="U2444" s="277"/>
      <c r="V2444" s="277"/>
      <c r="W2444" s="277"/>
      <c r="X2444" s="277"/>
      <c r="Y2444" s="277"/>
      <c r="Z2444" s="277"/>
      <c r="AA2444" s="277"/>
      <c r="AB2444" s="277"/>
      <c r="AC2444" s="277"/>
      <c r="AD2444" s="277"/>
      <c r="AE2444" s="277"/>
      <c r="AF2444" s="277"/>
      <c r="AG2444" s="277"/>
      <c r="AH2444" s="277"/>
    </row>
    <row r="2445" spans="16:34" s="185" customFormat="1">
      <c r="P2445" s="277"/>
      <c r="Q2445" s="277"/>
      <c r="R2445" s="277"/>
      <c r="S2445" s="291">
        <v>44001</v>
      </c>
      <c r="T2445" s="279">
        <v>2362</v>
      </c>
      <c r="U2445" s="277"/>
      <c r="V2445" s="277"/>
      <c r="W2445" s="277"/>
      <c r="X2445" s="277"/>
      <c r="Y2445" s="277"/>
      <c r="Z2445" s="277"/>
      <c r="AA2445" s="277"/>
      <c r="AB2445" s="277"/>
      <c r="AC2445" s="277"/>
      <c r="AD2445" s="277"/>
      <c r="AE2445" s="277"/>
      <c r="AF2445" s="277"/>
      <c r="AG2445" s="277"/>
      <c r="AH2445" s="277"/>
    </row>
    <row r="2446" spans="16:34" s="185" customFormat="1">
      <c r="P2446" s="277"/>
      <c r="Q2446" s="277"/>
      <c r="R2446" s="277"/>
      <c r="S2446" s="291">
        <v>44002</v>
      </c>
      <c r="T2446" s="279">
        <v>2363</v>
      </c>
      <c r="U2446" s="277"/>
      <c r="V2446" s="277"/>
      <c r="W2446" s="277"/>
      <c r="X2446" s="277"/>
      <c r="Y2446" s="277"/>
      <c r="Z2446" s="277"/>
      <c r="AA2446" s="277"/>
      <c r="AB2446" s="277"/>
      <c r="AC2446" s="277"/>
      <c r="AD2446" s="277"/>
      <c r="AE2446" s="277"/>
      <c r="AF2446" s="277"/>
      <c r="AG2446" s="277"/>
      <c r="AH2446" s="277"/>
    </row>
    <row r="2447" spans="16:34" s="185" customFormat="1">
      <c r="P2447" s="277"/>
      <c r="Q2447" s="277"/>
      <c r="R2447" s="277"/>
      <c r="S2447" s="291">
        <v>44003</v>
      </c>
      <c r="T2447" s="279">
        <v>2364</v>
      </c>
      <c r="U2447" s="277"/>
      <c r="V2447" s="277"/>
      <c r="W2447" s="277"/>
      <c r="X2447" s="277"/>
      <c r="Y2447" s="277"/>
      <c r="Z2447" s="277"/>
      <c r="AA2447" s="277"/>
      <c r="AB2447" s="277"/>
      <c r="AC2447" s="277"/>
      <c r="AD2447" s="277"/>
      <c r="AE2447" s="277"/>
      <c r="AF2447" s="277"/>
      <c r="AG2447" s="277"/>
      <c r="AH2447" s="277"/>
    </row>
    <row r="2448" spans="16:34" s="185" customFormat="1">
      <c r="P2448" s="277"/>
      <c r="Q2448" s="277"/>
      <c r="R2448" s="277"/>
      <c r="S2448" s="291">
        <v>44004</v>
      </c>
      <c r="T2448" s="279">
        <v>2365</v>
      </c>
      <c r="U2448" s="277"/>
      <c r="V2448" s="277"/>
      <c r="W2448" s="277"/>
      <c r="X2448" s="277"/>
      <c r="Y2448" s="277"/>
      <c r="Z2448" s="277"/>
      <c r="AA2448" s="277"/>
      <c r="AB2448" s="277"/>
      <c r="AC2448" s="277"/>
      <c r="AD2448" s="277"/>
      <c r="AE2448" s="277"/>
      <c r="AF2448" s="277"/>
      <c r="AG2448" s="277"/>
      <c r="AH2448" s="277"/>
    </row>
    <row r="2449" spans="16:34" s="185" customFormat="1">
      <c r="P2449" s="277"/>
      <c r="Q2449" s="277"/>
      <c r="R2449" s="277"/>
      <c r="S2449" s="291">
        <v>44005</v>
      </c>
      <c r="T2449" s="279">
        <v>2366</v>
      </c>
      <c r="U2449" s="277"/>
      <c r="V2449" s="277"/>
      <c r="W2449" s="277"/>
      <c r="X2449" s="277"/>
      <c r="Y2449" s="277"/>
      <c r="Z2449" s="277"/>
      <c r="AA2449" s="277"/>
      <c r="AB2449" s="277"/>
      <c r="AC2449" s="277"/>
      <c r="AD2449" s="277"/>
      <c r="AE2449" s="277"/>
      <c r="AF2449" s="277"/>
      <c r="AG2449" s="277"/>
      <c r="AH2449" s="277"/>
    </row>
    <row r="2450" spans="16:34" s="185" customFormat="1">
      <c r="P2450" s="277"/>
      <c r="Q2450" s="277"/>
      <c r="R2450" s="277"/>
      <c r="S2450" s="291">
        <v>44006</v>
      </c>
      <c r="T2450" s="279">
        <v>2367</v>
      </c>
      <c r="U2450" s="277"/>
      <c r="V2450" s="277"/>
      <c r="W2450" s="277"/>
      <c r="X2450" s="277"/>
      <c r="Y2450" s="277"/>
      <c r="Z2450" s="277"/>
      <c r="AA2450" s="277"/>
      <c r="AB2450" s="277"/>
      <c r="AC2450" s="277"/>
      <c r="AD2450" s="277"/>
      <c r="AE2450" s="277"/>
      <c r="AF2450" s="277"/>
      <c r="AG2450" s="277"/>
      <c r="AH2450" s="277"/>
    </row>
    <row r="2451" spans="16:34" s="185" customFormat="1">
      <c r="P2451" s="277"/>
      <c r="Q2451" s="277"/>
      <c r="R2451" s="277"/>
      <c r="S2451" s="291">
        <v>44007</v>
      </c>
      <c r="T2451" s="279">
        <v>2368</v>
      </c>
      <c r="U2451" s="277"/>
      <c r="V2451" s="277"/>
      <c r="W2451" s="277"/>
      <c r="X2451" s="277"/>
      <c r="Y2451" s="277"/>
      <c r="Z2451" s="277"/>
      <c r="AA2451" s="277"/>
      <c r="AB2451" s="277"/>
      <c r="AC2451" s="277"/>
      <c r="AD2451" s="277"/>
      <c r="AE2451" s="277"/>
      <c r="AF2451" s="277"/>
      <c r="AG2451" s="277"/>
      <c r="AH2451" s="277"/>
    </row>
    <row r="2452" spans="16:34" s="185" customFormat="1">
      <c r="P2452" s="277"/>
      <c r="Q2452" s="277"/>
      <c r="R2452" s="277"/>
      <c r="S2452" s="291">
        <v>44008</v>
      </c>
      <c r="T2452" s="279">
        <v>2369</v>
      </c>
      <c r="U2452" s="277"/>
      <c r="V2452" s="277"/>
      <c r="W2452" s="277"/>
      <c r="X2452" s="277"/>
      <c r="Y2452" s="277"/>
      <c r="Z2452" s="277"/>
      <c r="AA2452" s="277"/>
      <c r="AB2452" s="277"/>
      <c r="AC2452" s="277"/>
      <c r="AD2452" s="277"/>
      <c r="AE2452" s="277"/>
      <c r="AF2452" s="277"/>
      <c r="AG2452" s="277"/>
      <c r="AH2452" s="277"/>
    </row>
    <row r="2453" spans="16:34" s="185" customFormat="1">
      <c r="P2453" s="277"/>
      <c r="Q2453" s="277"/>
      <c r="R2453" s="277"/>
      <c r="S2453" s="291">
        <v>44009</v>
      </c>
      <c r="T2453" s="279">
        <v>2370</v>
      </c>
      <c r="U2453" s="277"/>
      <c r="V2453" s="277"/>
      <c r="W2453" s="277"/>
      <c r="X2453" s="277"/>
      <c r="Y2453" s="277"/>
      <c r="Z2453" s="277"/>
      <c r="AA2453" s="277"/>
      <c r="AB2453" s="277"/>
      <c r="AC2453" s="277"/>
      <c r="AD2453" s="277"/>
      <c r="AE2453" s="277"/>
      <c r="AF2453" s="277"/>
      <c r="AG2453" s="277"/>
      <c r="AH2453" s="277"/>
    </row>
    <row r="2454" spans="16:34" s="185" customFormat="1">
      <c r="P2454" s="277"/>
      <c r="Q2454" s="277"/>
      <c r="R2454" s="277"/>
      <c r="S2454" s="291">
        <v>44010</v>
      </c>
      <c r="T2454" s="279">
        <v>2371</v>
      </c>
      <c r="U2454" s="277"/>
      <c r="V2454" s="277"/>
      <c r="W2454" s="277"/>
      <c r="X2454" s="277"/>
      <c r="Y2454" s="277"/>
      <c r="Z2454" s="277"/>
      <c r="AA2454" s="277"/>
      <c r="AB2454" s="277"/>
      <c r="AC2454" s="277"/>
      <c r="AD2454" s="277"/>
      <c r="AE2454" s="277"/>
      <c r="AF2454" s="277"/>
      <c r="AG2454" s="277"/>
      <c r="AH2454" s="277"/>
    </row>
    <row r="2455" spans="16:34" s="185" customFormat="1">
      <c r="P2455" s="277"/>
      <c r="Q2455" s="277"/>
      <c r="R2455" s="277"/>
      <c r="S2455" s="291">
        <v>44011</v>
      </c>
      <c r="T2455" s="279">
        <v>2372</v>
      </c>
      <c r="U2455" s="277"/>
      <c r="V2455" s="277"/>
      <c r="W2455" s="277"/>
      <c r="X2455" s="277"/>
      <c r="Y2455" s="277"/>
      <c r="Z2455" s="277"/>
      <c r="AA2455" s="277"/>
      <c r="AB2455" s="277"/>
      <c r="AC2455" s="277"/>
      <c r="AD2455" s="277"/>
      <c r="AE2455" s="277"/>
      <c r="AF2455" s="277"/>
      <c r="AG2455" s="277"/>
      <c r="AH2455" s="277"/>
    </row>
    <row r="2456" spans="16:34" s="185" customFormat="1">
      <c r="P2456" s="277"/>
      <c r="Q2456" s="277"/>
      <c r="R2456" s="277"/>
      <c r="S2456" s="291">
        <v>44012</v>
      </c>
      <c r="T2456" s="279">
        <v>2373</v>
      </c>
      <c r="U2456" s="277"/>
      <c r="V2456" s="277"/>
      <c r="W2456" s="277"/>
      <c r="X2456" s="277"/>
      <c r="Y2456" s="277"/>
      <c r="Z2456" s="277"/>
      <c r="AA2456" s="277"/>
      <c r="AB2456" s="277"/>
      <c r="AC2456" s="277"/>
      <c r="AD2456" s="277"/>
      <c r="AE2456" s="277"/>
      <c r="AF2456" s="277"/>
      <c r="AG2456" s="277"/>
      <c r="AH2456" s="277"/>
    </row>
    <row r="2457" spans="16:34" s="185" customFormat="1">
      <c r="P2457" s="277"/>
      <c r="Q2457" s="277"/>
      <c r="R2457" s="277"/>
      <c r="S2457" s="291">
        <v>44013</v>
      </c>
      <c r="T2457" s="279">
        <v>2374</v>
      </c>
      <c r="U2457" s="277"/>
      <c r="V2457" s="277"/>
      <c r="W2457" s="277"/>
      <c r="X2457" s="277"/>
      <c r="Y2457" s="277"/>
      <c r="Z2457" s="277"/>
      <c r="AA2457" s="277"/>
      <c r="AB2457" s="277"/>
      <c r="AC2457" s="277"/>
      <c r="AD2457" s="277"/>
      <c r="AE2457" s="277"/>
      <c r="AF2457" s="277"/>
      <c r="AG2457" s="277"/>
      <c r="AH2457" s="277"/>
    </row>
    <row r="2458" spans="16:34" s="185" customFormat="1">
      <c r="P2458" s="277"/>
      <c r="Q2458" s="277"/>
      <c r="R2458" s="277"/>
      <c r="S2458" s="291">
        <v>44014</v>
      </c>
      <c r="T2458" s="279">
        <v>2375</v>
      </c>
      <c r="U2458" s="277"/>
      <c r="V2458" s="277"/>
      <c r="W2458" s="277"/>
      <c r="X2458" s="277"/>
      <c r="Y2458" s="277"/>
      <c r="Z2458" s="277"/>
      <c r="AA2458" s="277"/>
      <c r="AB2458" s="277"/>
      <c r="AC2458" s="277"/>
      <c r="AD2458" s="277"/>
      <c r="AE2458" s="277"/>
      <c r="AF2458" s="277"/>
      <c r="AG2458" s="277"/>
      <c r="AH2458" s="277"/>
    </row>
    <row r="2459" spans="16:34" s="185" customFormat="1">
      <c r="P2459" s="277"/>
      <c r="Q2459" s="277"/>
      <c r="R2459" s="277"/>
      <c r="S2459" s="291">
        <v>44015</v>
      </c>
      <c r="T2459" s="279">
        <v>2376</v>
      </c>
      <c r="U2459" s="277"/>
      <c r="V2459" s="277"/>
      <c r="W2459" s="277"/>
      <c r="X2459" s="277"/>
      <c r="Y2459" s="277"/>
      <c r="Z2459" s="277"/>
      <c r="AA2459" s="277"/>
      <c r="AB2459" s="277"/>
      <c r="AC2459" s="277"/>
      <c r="AD2459" s="277"/>
      <c r="AE2459" s="277"/>
      <c r="AF2459" s="277"/>
      <c r="AG2459" s="277"/>
      <c r="AH2459" s="277"/>
    </row>
    <row r="2460" spans="16:34" s="185" customFormat="1">
      <c r="P2460" s="277"/>
      <c r="Q2460" s="277"/>
      <c r="R2460" s="277"/>
      <c r="S2460" s="291">
        <v>44016</v>
      </c>
      <c r="T2460" s="279">
        <v>2377</v>
      </c>
      <c r="U2460" s="277"/>
      <c r="V2460" s="277"/>
      <c r="W2460" s="277"/>
      <c r="X2460" s="277"/>
      <c r="Y2460" s="277"/>
      <c r="Z2460" s="277"/>
      <c r="AA2460" s="277"/>
      <c r="AB2460" s="277"/>
      <c r="AC2460" s="277"/>
      <c r="AD2460" s="277"/>
      <c r="AE2460" s="277"/>
      <c r="AF2460" s="277"/>
      <c r="AG2460" s="277"/>
      <c r="AH2460" s="277"/>
    </row>
    <row r="2461" spans="16:34" s="185" customFormat="1">
      <c r="P2461" s="277"/>
      <c r="Q2461" s="277"/>
      <c r="R2461" s="277"/>
      <c r="S2461" s="291">
        <v>44017</v>
      </c>
      <c r="T2461" s="279">
        <v>2378</v>
      </c>
      <c r="U2461" s="277"/>
      <c r="V2461" s="277"/>
      <c r="W2461" s="277"/>
      <c r="X2461" s="277"/>
      <c r="Y2461" s="277"/>
      <c r="Z2461" s="277"/>
      <c r="AA2461" s="277"/>
      <c r="AB2461" s="277"/>
      <c r="AC2461" s="277"/>
      <c r="AD2461" s="277"/>
      <c r="AE2461" s="277"/>
      <c r="AF2461" s="277"/>
      <c r="AG2461" s="277"/>
      <c r="AH2461" s="277"/>
    </row>
    <row r="2462" spans="16:34" s="185" customFormat="1">
      <c r="P2462" s="277"/>
      <c r="Q2462" s="277"/>
      <c r="R2462" s="277"/>
      <c r="S2462" s="291">
        <v>44018</v>
      </c>
      <c r="T2462" s="279">
        <v>2379</v>
      </c>
      <c r="U2462" s="277"/>
      <c r="V2462" s="277"/>
      <c r="W2462" s="277"/>
      <c r="X2462" s="277"/>
      <c r="Y2462" s="277"/>
      <c r="Z2462" s="277"/>
      <c r="AA2462" s="277"/>
      <c r="AB2462" s="277"/>
      <c r="AC2462" s="277"/>
      <c r="AD2462" s="277"/>
      <c r="AE2462" s="277"/>
      <c r="AF2462" s="277"/>
      <c r="AG2462" s="277"/>
      <c r="AH2462" s="277"/>
    </row>
    <row r="2463" spans="16:34" s="185" customFormat="1">
      <c r="P2463" s="277"/>
      <c r="Q2463" s="277"/>
      <c r="R2463" s="277"/>
      <c r="S2463" s="291">
        <v>44019</v>
      </c>
      <c r="T2463" s="279">
        <v>2380</v>
      </c>
      <c r="U2463" s="277"/>
      <c r="V2463" s="277"/>
      <c r="W2463" s="277"/>
      <c r="X2463" s="277"/>
      <c r="Y2463" s="277"/>
      <c r="Z2463" s="277"/>
      <c r="AA2463" s="277"/>
      <c r="AB2463" s="277"/>
      <c r="AC2463" s="277"/>
      <c r="AD2463" s="277"/>
      <c r="AE2463" s="277"/>
      <c r="AF2463" s="277"/>
      <c r="AG2463" s="277"/>
      <c r="AH2463" s="277"/>
    </row>
    <row r="2464" spans="16:34" s="185" customFormat="1">
      <c r="P2464" s="277"/>
      <c r="Q2464" s="277"/>
      <c r="R2464" s="277"/>
      <c r="S2464" s="291">
        <v>44020</v>
      </c>
      <c r="T2464" s="279">
        <v>2381</v>
      </c>
      <c r="U2464" s="277"/>
      <c r="V2464" s="277"/>
      <c r="W2464" s="277"/>
      <c r="X2464" s="277"/>
      <c r="Y2464" s="277"/>
      <c r="Z2464" s="277"/>
      <c r="AA2464" s="277"/>
      <c r="AB2464" s="277"/>
      <c r="AC2464" s="277"/>
      <c r="AD2464" s="277"/>
      <c r="AE2464" s="277"/>
      <c r="AF2464" s="277"/>
      <c r="AG2464" s="277"/>
      <c r="AH2464" s="277"/>
    </row>
    <row r="2465" spans="16:34" s="185" customFormat="1">
      <c r="P2465" s="277"/>
      <c r="Q2465" s="277"/>
      <c r="R2465" s="277"/>
      <c r="S2465" s="291">
        <v>44021</v>
      </c>
      <c r="T2465" s="279">
        <v>2382</v>
      </c>
      <c r="U2465" s="277"/>
      <c r="V2465" s="277"/>
      <c r="W2465" s="277"/>
      <c r="X2465" s="277"/>
      <c r="Y2465" s="277"/>
      <c r="Z2465" s="277"/>
      <c r="AA2465" s="277"/>
      <c r="AB2465" s="277"/>
      <c r="AC2465" s="277"/>
      <c r="AD2465" s="277"/>
      <c r="AE2465" s="277"/>
      <c r="AF2465" s="277"/>
      <c r="AG2465" s="277"/>
      <c r="AH2465" s="277"/>
    </row>
    <row r="2466" spans="16:34" s="185" customFormat="1">
      <c r="P2466" s="277"/>
      <c r="Q2466" s="277"/>
      <c r="R2466" s="277"/>
      <c r="S2466" s="291">
        <v>44022</v>
      </c>
      <c r="T2466" s="279">
        <v>2383</v>
      </c>
      <c r="U2466" s="277"/>
      <c r="V2466" s="277"/>
      <c r="W2466" s="277"/>
      <c r="X2466" s="277"/>
      <c r="Y2466" s="277"/>
      <c r="Z2466" s="277"/>
      <c r="AA2466" s="277"/>
      <c r="AB2466" s="277"/>
      <c r="AC2466" s="277"/>
      <c r="AD2466" s="277"/>
      <c r="AE2466" s="277"/>
      <c r="AF2466" s="277"/>
      <c r="AG2466" s="277"/>
      <c r="AH2466" s="277"/>
    </row>
    <row r="2467" spans="16:34" s="185" customFormat="1">
      <c r="P2467" s="277"/>
      <c r="Q2467" s="277"/>
      <c r="R2467" s="277"/>
      <c r="S2467" s="291">
        <v>44023</v>
      </c>
      <c r="T2467" s="279">
        <v>2384</v>
      </c>
      <c r="U2467" s="277"/>
      <c r="V2467" s="277"/>
      <c r="W2467" s="277"/>
      <c r="X2467" s="277"/>
      <c r="Y2467" s="277"/>
      <c r="Z2467" s="277"/>
      <c r="AA2467" s="277"/>
      <c r="AB2467" s="277"/>
      <c r="AC2467" s="277"/>
      <c r="AD2467" s="277"/>
      <c r="AE2467" s="277"/>
      <c r="AF2467" s="277"/>
      <c r="AG2467" s="277"/>
      <c r="AH2467" s="277"/>
    </row>
    <row r="2468" spans="16:34" s="185" customFormat="1">
      <c r="P2468" s="277"/>
      <c r="Q2468" s="277"/>
      <c r="R2468" s="277"/>
      <c r="S2468" s="291">
        <v>44024</v>
      </c>
      <c r="T2468" s="279">
        <v>2385</v>
      </c>
      <c r="U2468" s="277"/>
      <c r="V2468" s="277"/>
      <c r="W2468" s="277"/>
      <c r="X2468" s="277"/>
      <c r="Y2468" s="277"/>
      <c r="Z2468" s="277"/>
      <c r="AA2468" s="277"/>
      <c r="AB2468" s="277"/>
      <c r="AC2468" s="277"/>
      <c r="AD2468" s="277"/>
      <c r="AE2468" s="277"/>
      <c r="AF2468" s="277"/>
      <c r="AG2468" s="277"/>
      <c r="AH2468" s="277"/>
    </row>
    <row r="2469" spans="16:34" s="185" customFormat="1">
      <c r="P2469" s="277"/>
      <c r="Q2469" s="277"/>
      <c r="R2469" s="277"/>
      <c r="S2469" s="291">
        <v>44025</v>
      </c>
      <c r="T2469" s="279">
        <v>2386</v>
      </c>
      <c r="U2469" s="277"/>
      <c r="V2469" s="277"/>
      <c r="W2469" s="277"/>
      <c r="X2469" s="277"/>
      <c r="Y2469" s="277"/>
      <c r="Z2469" s="277"/>
      <c r="AA2469" s="277"/>
      <c r="AB2469" s="277"/>
      <c r="AC2469" s="277"/>
      <c r="AD2469" s="277"/>
      <c r="AE2469" s="277"/>
      <c r="AF2469" s="277"/>
      <c r="AG2469" s="277"/>
      <c r="AH2469" s="277"/>
    </row>
    <row r="2470" spans="16:34" s="185" customFormat="1">
      <c r="P2470" s="277"/>
      <c r="Q2470" s="277"/>
      <c r="R2470" s="277"/>
      <c r="S2470" s="291">
        <v>44026</v>
      </c>
      <c r="T2470" s="279">
        <v>2387</v>
      </c>
      <c r="U2470" s="277"/>
      <c r="V2470" s="277"/>
      <c r="W2470" s="277"/>
      <c r="X2470" s="277"/>
      <c r="Y2470" s="277"/>
      <c r="Z2470" s="277"/>
      <c r="AA2470" s="277"/>
      <c r="AB2470" s="277"/>
      <c r="AC2470" s="277"/>
      <c r="AD2470" s="277"/>
      <c r="AE2470" s="277"/>
      <c r="AF2470" s="277"/>
      <c r="AG2470" s="277"/>
      <c r="AH2470" s="277"/>
    </row>
    <row r="2471" spans="16:34" s="185" customFormat="1">
      <c r="P2471" s="277"/>
      <c r="Q2471" s="277"/>
      <c r="R2471" s="277"/>
      <c r="S2471" s="291">
        <v>44027</v>
      </c>
      <c r="T2471" s="279">
        <v>2388</v>
      </c>
      <c r="U2471" s="277"/>
      <c r="V2471" s="277"/>
      <c r="W2471" s="277"/>
      <c r="X2471" s="277"/>
      <c r="Y2471" s="277"/>
      <c r="Z2471" s="277"/>
      <c r="AA2471" s="277"/>
      <c r="AB2471" s="277"/>
      <c r="AC2471" s="277"/>
      <c r="AD2471" s="277"/>
      <c r="AE2471" s="277"/>
      <c r="AF2471" s="277"/>
      <c r="AG2471" s="277"/>
      <c r="AH2471" s="277"/>
    </row>
    <row r="2472" spans="16:34" s="185" customFormat="1">
      <c r="P2472" s="277"/>
      <c r="Q2472" s="277"/>
      <c r="R2472" s="277"/>
      <c r="S2472" s="291">
        <v>44028</v>
      </c>
      <c r="T2472" s="279">
        <v>2389</v>
      </c>
      <c r="U2472" s="277"/>
      <c r="V2472" s="277"/>
      <c r="W2472" s="277"/>
      <c r="X2472" s="277"/>
      <c r="Y2472" s="277"/>
      <c r="Z2472" s="277"/>
      <c r="AA2472" s="277"/>
      <c r="AB2472" s="277"/>
      <c r="AC2472" s="277"/>
      <c r="AD2472" s="277"/>
      <c r="AE2472" s="277"/>
      <c r="AF2472" s="277"/>
      <c r="AG2472" s="277"/>
      <c r="AH2472" s="277"/>
    </row>
    <row r="2473" spans="16:34" s="185" customFormat="1">
      <c r="P2473" s="277"/>
      <c r="Q2473" s="277"/>
      <c r="R2473" s="277"/>
      <c r="S2473" s="291">
        <v>44029</v>
      </c>
      <c r="T2473" s="279">
        <v>2390</v>
      </c>
      <c r="U2473" s="277"/>
      <c r="V2473" s="277"/>
      <c r="W2473" s="277"/>
      <c r="X2473" s="277"/>
      <c r="Y2473" s="277"/>
      <c r="Z2473" s="277"/>
      <c r="AA2473" s="277"/>
      <c r="AB2473" s="277"/>
      <c r="AC2473" s="277"/>
      <c r="AD2473" s="277"/>
      <c r="AE2473" s="277"/>
      <c r="AF2473" s="277"/>
      <c r="AG2473" s="277"/>
      <c r="AH2473" s="277"/>
    </row>
    <row r="2474" spans="16:34" s="185" customFormat="1">
      <c r="P2474" s="277"/>
      <c r="Q2474" s="277"/>
      <c r="R2474" s="277"/>
      <c r="S2474" s="291">
        <v>44030</v>
      </c>
      <c r="T2474" s="279">
        <v>2391</v>
      </c>
      <c r="U2474" s="277"/>
      <c r="V2474" s="277"/>
      <c r="W2474" s="277"/>
      <c r="X2474" s="277"/>
      <c r="Y2474" s="277"/>
      <c r="Z2474" s="277"/>
      <c r="AA2474" s="277"/>
      <c r="AB2474" s="277"/>
      <c r="AC2474" s="277"/>
      <c r="AD2474" s="277"/>
      <c r="AE2474" s="277"/>
      <c r="AF2474" s="277"/>
      <c r="AG2474" s="277"/>
      <c r="AH2474" s="277"/>
    </row>
    <row r="2475" spans="16:34" s="185" customFormat="1">
      <c r="P2475" s="277"/>
      <c r="Q2475" s="277"/>
      <c r="R2475" s="277"/>
      <c r="S2475" s="291">
        <v>44031</v>
      </c>
      <c r="T2475" s="279">
        <v>2392</v>
      </c>
      <c r="U2475" s="277"/>
      <c r="V2475" s="277"/>
      <c r="W2475" s="277"/>
      <c r="X2475" s="277"/>
      <c r="Y2475" s="277"/>
      <c r="Z2475" s="277"/>
      <c r="AA2475" s="277"/>
      <c r="AB2475" s="277"/>
      <c r="AC2475" s="277"/>
      <c r="AD2475" s="277"/>
      <c r="AE2475" s="277"/>
      <c r="AF2475" s="277"/>
      <c r="AG2475" s="277"/>
      <c r="AH2475" s="277"/>
    </row>
    <row r="2476" spans="16:34" s="185" customFormat="1">
      <c r="P2476" s="277"/>
      <c r="Q2476" s="277"/>
      <c r="R2476" s="277"/>
      <c r="S2476" s="291">
        <v>44032</v>
      </c>
      <c r="T2476" s="279">
        <v>2393</v>
      </c>
      <c r="U2476" s="277"/>
      <c r="V2476" s="277"/>
      <c r="W2476" s="277"/>
      <c r="X2476" s="277"/>
      <c r="Y2476" s="277"/>
      <c r="Z2476" s="277"/>
      <c r="AA2476" s="277"/>
      <c r="AB2476" s="277"/>
      <c r="AC2476" s="277"/>
      <c r="AD2476" s="277"/>
      <c r="AE2476" s="277"/>
      <c r="AF2476" s="277"/>
      <c r="AG2476" s="277"/>
      <c r="AH2476" s="277"/>
    </row>
    <row r="2477" spans="16:34" s="185" customFormat="1">
      <c r="P2477" s="277"/>
      <c r="Q2477" s="277"/>
      <c r="R2477" s="277"/>
      <c r="S2477" s="291">
        <v>44033</v>
      </c>
      <c r="T2477" s="279">
        <v>2394</v>
      </c>
      <c r="U2477" s="277"/>
      <c r="V2477" s="277"/>
      <c r="W2477" s="277"/>
      <c r="X2477" s="277"/>
      <c r="Y2477" s="277"/>
      <c r="Z2477" s="277"/>
      <c r="AA2477" s="277"/>
      <c r="AB2477" s="277"/>
      <c r="AC2477" s="277"/>
      <c r="AD2477" s="277"/>
      <c r="AE2477" s="277"/>
      <c r="AF2477" s="277"/>
      <c r="AG2477" s="277"/>
      <c r="AH2477" s="277"/>
    </row>
    <row r="2478" spans="16:34" s="185" customFormat="1">
      <c r="P2478" s="277"/>
      <c r="Q2478" s="277"/>
      <c r="R2478" s="277"/>
      <c r="S2478" s="291">
        <v>44034</v>
      </c>
      <c r="T2478" s="279">
        <v>2395</v>
      </c>
      <c r="U2478" s="277"/>
      <c r="V2478" s="277"/>
      <c r="W2478" s="277"/>
      <c r="X2478" s="277"/>
      <c r="Y2478" s="277"/>
      <c r="Z2478" s="277"/>
      <c r="AA2478" s="277"/>
      <c r="AB2478" s="277"/>
      <c r="AC2478" s="277"/>
      <c r="AD2478" s="277"/>
      <c r="AE2478" s="277"/>
      <c r="AF2478" s="277"/>
      <c r="AG2478" s="277"/>
      <c r="AH2478" s="277"/>
    </row>
    <row r="2479" spans="16:34" s="185" customFormat="1">
      <c r="P2479" s="277"/>
      <c r="Q2479" s="277"/>
      <c r="R2479" s="277"/>
      <c r="S2479" s="291">
        <v>44035</v>
      </c>
      <c r="T2479" s="279">
        <v>2396</v>
      </c>
      <c r="U2479" s="277"/>
      <c r="V2479" s="277"/>
      <c r="W2479" s="277"/>
      <c r="X2479" s="277"/>
      <c r="Y2479" s="277"/>
      <c r="Z2479" s="277"/>
      <c r="AA2479" s="277"/>
      <c r="AB2479" s="277"/>
      <c r="AC2479" s="277"/>
      <c r="AD2479" s="277"/>
      <c r="AE2479" s="277"/>
      <c r="AF2479" s="277"/>
      <c r="AG2479" s="277"/>
      <c r="AH2479" s="277"/>
    </row>
    <row r="2480" spans="16:34" s="185" customFormat="1">
      <c r="P2480" s="277"/>
      <c r="Q2480" s="277"/>
      <c r="R2480" s="277"/>
      <c r="S2480" s="291">
        <v>44036</v>
      </c>
      <c r="T2480" s="279">
        <v>2397</v>
      </c>
      <c r="U2480" s="277"/>
      <c r="V2480" s="277"/>
      <c r="W2480" s="277"/>
      <c r="X2480" s="277"/>
      <c r="Y2480" s="277"/>
      <c r="Z2480" s="277"/>
      <c r="AA2480" s="277"/>
      <c r="AB2480" s="277"/>
      <c r="AC2480" s="277"/>
      <c r="AD2480" s="277"/>
      <c r="AE2480" s="277"/>
      <c r="AF2480" s="277"/>
      <c r="AG2480" s="277"/>
      <c r="AH2480" s="277"/>
    </row>
    <row r="2481" spans="16:34" s="185" customFormat="1">
      <c r="P2481" s="277"/>
      <c r="Q2481" s="277"/>
      <c r="R2481" s="277"/>
      <c r="S2481" s="291">
        <v>44037</v>
      </c>
      <c r="T2481" s="279">
        <v>2398</v>
      </c>
      <c r="U2481" s="277"/>
      <c r="V2481" s="277"/>
      <c r="W2481" s="277"/>
      <c r="X2481" s="277"/>
      <c r="Y2481" s="277"/>
      <c r="Z2481" s="277"/>
      <c r="AA2481" s="277"/>
      <c r="AB2481" s="277"/>
      <c r="AC2481" s="277"/>
      <c r="AD2481" s="277"/>
      <c r="AE2481" s="277"/>
      <c r="AF2481" s="277"/>
      <c r="AG2481" s="277"/>
      <c r="AH2481" s="277"/>
    </row>
    <row r="2482" spans="16:34" s="185" customFormat="1">
      <c r="P2482" s="277"/>
      <c r="Q2482" s="277"/>
      <c r="R2482" s="277"/>
      <c r="S2482" s="291">
        <v>44038</v>
      </c>
      <c r="T2482" s="279">
        <v>2399</v>
      </c>
      <c r="U2482" s="277"/>
      <c r="V2482" s="277"/>
      <c r="W2482" s="277"/>
      <c r="X2482" s="277"/>
      <c r="Y2482" s="277"/>
      <c r="Z2482" s="277"/>
      <c r="AA2482" s="277"/>
      <c r="AB2482" s="277"/>
      <c r="AC2482" s="277"/>
      <c r="AD2482" s="277"/>
      <c r="AE2482" s="277"/>
      <c r="AF2482" s="277"/>
      <c r="AG2482" s="277"/>
      <c r="AH2482" s="277"/>
    </row>
    <row r="2483" spans="16:34" s="185" customFormat="1">
      <c r="P2483" s="277"/>
      <c r="Q2483" s="277"/>
      <c r="R2483" s="277"/>
      <c r="S2483" s="291">
        <v>44039</v>
      </c>
      <c r="T2483" s="279">
        <v>2400</v>
      </c>
      <c r="U2483" s="277"/>
      <c r="V2483" s="277"/>
      <c r="W2483" s="277"/>
      <c r="X2483" s="277"/>
      <c r="Y2483" s="277"/>
      <c r="Z2483" s="277"/>
      <c r="AA2483" s="277"/>
      <c r="AB2483" s="277"/>
      <c r="AC2483" s="277"/>
      <c r="AD2483" s="277"/>
      <c r="AE2483" s="277"/>
      <c r="AF2483" s="277"/>
      <c r="AG2483" s="277"/>
      <c r="AH2483" s="277"/>
    </row>
    <row r="2484" spans="16:34" s="185" customFormat="1">
      <c r="P2484" s="277"/>
      <c r="Q2484" s="277"/>
      <c r="R2484" s="277"/>
      <c r="S2484" s="291">
        <v>44040</v>
      </c>
      <c r="T2484" s="279">
        <v>2401</v>
      </c>
      <c r="U2484" s="277"/>
      <c r="V2484" s="277"/>
      <c r="W2484" s="277"/>
      <c r="X2484" s="277"/>
      <c r="Y2484" s="277"/>
      <c r="Z2484" s="277"/>
      <c r="AA2484" s="277"/>
      <c r="AB2484" s="277"/>
      <c r="AC2484" s="277"/>
      <c r="AD2484" s="277"/>
      <c r="AE2484" s="277"/>
      <c r="AF2484" s="277"/>
      <c r="AG2484" s="277"/>
      <c r="AH2484" s="277"/>
    </row>
    <row r="2485" spans="16:34" s="185" customFormat="1">
      <c r="P2485" s="277"/>
      <c r="Q2485" s="277"/>
      <c r="R2485" s="277"/>
      <c r="S2485" s="291">
        <v>44041</v>
      </c>
      <c r="T2485" s="279">
        <v>2402</v>
      </c>
      <c r="U2485" s="277"/>
      <c r="V2485" s="277"/>
      <c r="W2485" s="277"/>
      <c r="X2485" s="277"/>
      <c r="Y2485" s="277"/>
      <c r="Z2485" s="277"/>
      <c r="AA2485" s="277"/>
      <c r="AB2485" s="277"/>
      <c r="AC2485" s="277"/>
      <c r="AD2485" s="277"/>
      <c r="AE2485" s="277"/>
      <c r="AF2485" s="277"/>
      <c r="AG2485" s="277"/>
      <c r="AH2485" s="277"/>
    </row>
    <row r="2486" spans="16:34" s="185" customFormat="1">
      <c r="P2486" s="277"/>
      <c r="Q2486" s="277"/>
      <c r="R2486" s="277"/>
      <c r="S2486" s="291">
        <v>44042</v>
      </c>
      <c r="T2486" s="279">
        <v>2403</v>
      </c>
      <c r="U2486" s="277"/>
      <c r="V2486" s="277"/>
      <c r="W2486" s="277"/>
      <c r="X2486" s="277"/>
      <c r="Y2486" s="277"/>
      <c r="Z2486" s="277"/>
      <c r="AA2486" s="277"/>
      <c r="AB2486" s="277"/>
      <c r="AC2486" s="277"/>
      <c r="AD2486" s="277"/>
      <c r="AE2486" s="277"/>
      <c r="AF2486" s="277"/>
      <c r="AG2486" s="277"/>
      <c r="AH2486" s="277"/>
    </row>
    <row r="2487" spans="16:34" s="185" customFormat="1">
      <c r="P2487" s="277"/>
      <c r="Q2487" s="277"/>
      <c r="R2487" s="277"/>
      <c r="S2487" s="291">
        <v>44043</v>
      </c>
      <c r="T2487" s="279">
        <v>2404</v>
      </c>
      <c r="U2487" s="277"/>
      <c r="V2487" s="277"/>
      <c r="W2487" s="277"/>
      <c r="X2487" s="277"/>
      <c r="Y2487" s="277"/>
      <c r="Z2487" s="277"/>
      <c r="AA2487" s="277"/>
      <c r="AB2487" s="277"/>
      <c r="AC2487" s="277"/>
      <c r="AD2487" s="277"/>
      <c r="AE2487" s="277"/>
      <c r="AF2487" s="277"/>
      <c r="AG2487" s="277"/>
      <c r="AH2487" s="277"/>
    </row>
    <row r="2488" spans="16:34" s="185" customFormat="1">
      <c r="P2488" s="277"/>
      <c r="Q2488" s="277"/>
      <c r="R2488" s="277"/>
      <c r="S2488" s="291">
        <v>44044</v>
      </c>
      <c r="T2488" s="279">
        <v>2405</v>
      </c>
      <c r="U2488" s="277"/>
      <c r="V2488" s="277"/>
      <c r="W2488" s="277"/>
      <c r="X2488" s="277"/>
      <c r="Y2488" s="277"/>
      <c r="Z2488" s="277"/>
      <c r="AA2488" s="277"/>
      <c r="AB2488" s="277"/>
      <c r="AC2488" s="277"/>
      <c r="AD2488" s="277"/>
      <c r="AE2488" s="277"/>
      <c r="AF2488" s="277"/>
      <c r="AG2488" s="277"/>
      <c r="AH2488" s="277"/>
    </row>
    <row r="2489" spans="16:34" s="185" customFormat="1">
      <c r="P2489" s="277"/>
      <c r="Q2489" s="277"/>
      <c r="R2489" s="277"/>
      <c r="S2489" s="291">
        <v>44045</v>
      </c>
      <c r="T2489" s="279">
        <v>2406</v>
      </c>
      <c r="U2489" s="277"/>
      <c r="V2489" s="277"/>
      <c r="W2489" s="277"/>
      <c r="X2489" s="277"/>
      <c r="Y2489" s="277"/>
      <c r="Z2489" s="277"/>
      <c r="AA2489" s="277"/>
      <c r="AB2489" s="277"/>
      <c r="AC2489" s="277"/>
      <c r="AD2489" s="277"/>
      <c r="AE2489" s="277"/>
      <c r="AF2489" s="277"/>
      <c r="AG2489" s="277"/>
      <c r="AH2489" s="277"/>
    </row>
    <row r="2490" spans="16:34" s="185" customFormat="1">
      <c r="P2490" s="277"/>
      <c r="Q2490" s="277"/>
      <c r="R2490" s="277"/>
      <c r="S2490" s="291">
        <v>44046</v>
      </c>
      <c r="T2490" s="279">
        <v>2407</v>
      </c>
      <c r="U2490" s="277"/>
      <c r="V2490" s="277"/>
      <c r="W2490" s="277"/>
      <c r="X2490" s="277"/>
      <c r="Y2490" s="277"/>
      <c r="Z2490" s="277"/>
      <c r="AA2490" s="277"/>
      <c r="AB2490" s="277"/>
      <c r="AC2490" s="277"/>
      <c r="AD2490" s="277"/>
      <c r="AE2490" s="277"/>
      <c r="AF2490" s="277"/>
      <c r="AG2490" s="277"/>
      <c r="AH2490" s="277"/>
    </row>
    <row r="2491" spans="16:34" s="185" customFormat="1">
      <c r="P2491" s="277"/>
      <c r="Q2491" s="277"/>
      <c r="R2491" s="277"/>
      <c r="S2491" s="291">
        <v>44047</v>
      </c>
      <c r="T2491" s="279">
        <v>2408</v>
      </c>
      <c r="U2491" s="277"/>
      <c r="V2491" s="277"/>
      <c r="W2491" s="277"/>
      <c r="X2491" s="277"/>
      <c r="Y2491" s="277"/>
      <c r="Z2491" s="277"/>
      <c r="AA2491" s="277"/>
      <c r="AB2491" s="277"/>
      <c r="AC2491" s="277"/>
      <c r="AD2491" s="277"/>
      <c r="AE2491" s="277"/>
      <c r="AF2491" s="277"/>
      <c r="AG2491" s="277"/>
      <c r="AH2491" s="277"/>
    </row>
    <row r="2492" spans="16:34" s="185" customFormat="1">
      <c r="P2492" s="277"/>
      <c r="Q2492" s="277"/>
      <c r="R2492" s="277"/>
      <c r="S2492" s="291">
        <v>44048</v>
      </c>
      <c r="T2492" s="279">
        <v>2409</v>
      </c>
      <c r="U2492" s="277"/>
      <c r="V2492" s="277"/>
      <c r="W2492" s="277"/>
      <c r="X2492" s="277"/>
      <c r="Y2492" s="277"/>
      <c r="Z2492" s="277"/>
      <c r="AA2492" s="277"/>
      <c r="AB2492" s="277"/>
      <c r="AC2492" s="277"/>
      <c r="AD2492" s="277"/>
      <c r="AE2492" s="277"/>
      <c r="AF2492" s="277"/>
      <c r="AG2492" s="277"/>
      <c r="AH2492" s="277"/>
    </row>
    <row r="2493" spans="16:34" s="185" customFormat="1">
      <c r="P2493" s="277"/>
      <c r="Q2493" s="277"/>
      <c r="R2493" s="277"/>
      <c r="S2493" s="291">
        <v>44049</v>
      </c>
      <c r="T2493" s="279">
        <v>2410</v>
      </c>
      <c r="U2493" s="277"/>
      <c r="V2493" s="277"/>
      <c r="W2493" s="277"/>
      <c r="X2493" s="277"/>
      <c r="Y2493" s="277"/>
      <c r="Z2493" s="277"/>
      <c r="AA2493" s="277"/>
      <c r="AB2493" s="277"/>
      <c r="AC2493" s="277"/>
      <c r="AD2493" s="277"/>
      <c r="AE2493" s="277"/>
      <c r="AF2493" s="277"/>
      <c r="AG2493" s="277"/>
      <c r="AH2493" s="277"/>
    </row>
    <row r="2494" spans="16:34" s="185" customFormat="1">
      <c r="P2494" s="277"/>
      <c r="Q2494" s="277"/>
      <c r="R2494" s="277"/>
      <c r="S2494" s="291">
        <v>44050</v>
      </c>
      <c r="T2494" s="279">
        <v>2411</v>
      </c>
      <c r="U2494" s="277"/>
      <c r="V2494" s="277"/>
      <c r="W2494" s="277"/>
      <c r="X2494" s="277"/>
      <c r="Y2494" s="277"/>
      <c r="Z2494" s="277"/>
      <c r="AA2494" s="277"/>
      <c r="AB2494" s="277"/>
      <c r="AC2494" s="277"/>
      <c r="AD2494" s="277"/>
      <c r="AE2494" s="277"/>
      <c r="AF2494" s="277"/>
      <c r="AG2494" s="277"/>
      <c r="AH2494" s="277"/>
    </row>
    <row r="2495" spans="16:34" s="185" customFormat="1">
      <c r="P2495" s="277"/>
      <c r="Q2495" s="277"/>
      <c r="R2495" s="277"/>
      <c r="S2495" s="291">
        <v>44051</v>
      </c>
      <c r="T2495" s="279">
        <v>2412</v>
      </c>
      <c r="U2495" s="277"/>
      <c r="V2495" s="277"/>
      <c r="W2495" s="277"/>
      <c r="X2495" s="277"/>
      <c r="Y2495" s="277"/>
      <c r="Z2495" s="277"/>
      <c r="AA2495" s="277"/>
      <c r="AB2495" s="277"/>
      <c r="AC2495" s="277"/>
      <c r="AD2495" s="277"/>
      <c r="AE2495" s="277"/>
      <c r="AF2495" s="277"/>
      <c r="AG2495" s="277"/>
      <c r="AH2495" s="277"/>
    </row>
    <row r="2496" spans="16:34" s="185" customFormat="1">
      <c r="P2496" s="277"/>
      <c r="Q2496" s="277"/>
      <c r="R2496" s="277"/>
      <c r="S2496" s="291">
        <v>44052</v>
      </c>
      <c r="T2496" s="279">
        <v>2413</v>
      </c>
      <c r="U2496" s="277"/>
      <c r="V2496" s="277"/>
      <c r="W2496" s="277"/>
      <c r="X2496" s="277"/>
      <c r="Y2496" s="277"/>
      <c r="Z2496" s="277"/>
      <c r="AA2496" s="277"/>
      <c r="AB2496" s="277"/>
      <c r="AC2496" s="277"/>
      <c r="AD2496" s="277"/>
      <c r="AE2496" s="277"/>
      <c r="AF2496" s="277"/>
      <c r="AG2496" s="277"/>
      <c r="AH2496" s="277"/>
    </row>
    <row r="2497" spans="16:34" s="185" customFormat="1">
      <c r="P2497" s="277"/>
      <c r="Q2497" s="277"/>
      <c r="R2497" s="277"/>
      <c r="S2497" s="291">
        <v>44053</v>
      </c>
      <c r="T2497" s="279">
        <v>2414</v>
      </c>
      <c r="U2497" s="277"/>
      <c r="V2497" s="277"/>
      <c r="W2497" s="277"/>
      <c r="X2497" s="277"/>
      <c r="Y2497" s="277"/>
      <c r="Z2497" s="277"/>
      <c r="AA2497" s="277"/>
      <c r="AB2497" s="277"/>
      <c r="AC2497" s="277"/>
      <c r="AD2497" s="277"/>
      <c r="AE2497" s="277"/>
      <c r="AF2497" s="277"/>
      <c r="AG2497" s="277"/>
      <c r="AH2497" s="277"/>
    </row>
    <row r="2498" spans="16:34" s="185" customFormat="1">
      <c r="P2498" s="277"/>
      <c r="Q2498" s="277"/>
      <c r="R2498" s="277"/>
      <c r="S2498" s="291">
        <v>44054</v>
      </c>
      <c r="T2498" s="279">
        <v>2415</v>
      </c>
      <c r="U2498" s="277"/>
      <c r="V2498" s="277"/>
      <c r="W2498" s="277"/>
      <c r="X2498" s="277"/>
      <c r="Y2498" s="277"/>
      <c r="Z2498" s="277"/>
      <c r="AA2498" s="277"/>
      <c r="AB2498" s="277"/>
      <c r="AC2498" s="277"/>
      <c r="AD2498" s="277"/>
      <c r="AE2498" s="277"/>
      <c r="AF2498" s="277"/>
      <c r="AG2498" s="277"/>
      <c r="AH2498" s="277"/>
    </row>
    <row r="2499" spans="16:34" s="185" customFormat="1">
      <c r="P2499" s="277"/>
      <c r="Q2499" s="277"/>
      <c r="R2499" s="277"/>
      <c r="S2499" s="291">
        <v>44055</v>
      </c>
      <c r="T2499" s="279">
        <v>2416</v>
      </c>
      <c r="U2499" s="277"/>
      <c r="V2499" s="277"/>
      <c r="W2499" s="277"/>
      <c r="X2499" s="277"/>
      <c r="Y2499" s="277"/>
      <c r="Z2499" s="277"/>
      <c r="AA2499" s="277"/>
      <c r="AB2499" s="277"/>
      <c r="AC2499" s="277"/>
      <c r="AD2499" s="277"/>
      <c r="AE2499" s="277"/>
      <c r="AF2499" s="277"/>
      <c r="AG2499" s="277"/>
      <c r="AH2499" s="277"/>
    </row>
    <row r="2500" spans="16:34" s="185" customFormat="1">
      <c r="P2500" s="277"/>
      <c r="Q2500" s="277"/>
      <c r="R2500" s="277"/>
      <c r="S2500" s="291">
        <v>44056</v>
      </c>
      <c r="T2500" s="279">
        <v>2417</v>
      </c>
      <c r="U2500" s="277"/>
      <c r="V2500" s="277"/>
      <c r="W2500" s="277"/>
      <c r="X2500" s="277"/>
      <c r="Y2500" s="277"/>
      <c r="Z2500" s="277"/>
      <c r="AA2500" s="277"/>
      <c r="AB2500" s="277"/>
      <c r="AC2500" s="277"/>
      <c r="AD2500" s="277"/>
      <c r="AE2500" s="277"/>
      <c r="AF2500" s="277"/>
      <c r="AG2500" s="277"/>
      <c r="AH2500" s="277"/>
    </row>
    <row r="2501" spans="16:34" s="185" customFormat="1">
      <c r="P2501" s="277"/>
      <c r="Q2501" s="277"/>
      <c r="R2501" s="277"/>
      <c r="S2501" s="291">
        <v>44057</v>
      </c>
      <c r="T2501" s="279">
        <v>2418</v>
      </c>
      <c r="U2501" s="277"/>
      <c r="V2501" s="277"/>
      <c r="W2501" s="277"/>
      <c r="X2501" s="277"/>
      <c r="Y2501" s="277"/>
      <c r="Z2501" s="277"/>
      <c r="AA2501" s="277"/>
      <c r="AB2501" s="277"/>
      <c r="AC2501" s="277"/>
      <c r="AD2501" s="277"/>
      <c r="AE2501" s="277"/>
      <c r="AF2501" s="277"/>
      <c r="AG2501" s="277"/>
      <c r="AH2501" s="277"/>
    </row>
    <row r="2502" spans="16:34" s="185" customFormat="1">
      <c r="P2502" s="277"/>
      <c r="Q2502" s="277"/>
      <c r="R2502" s="277"/>
      <c r="S2502" s="291">
        <v>44058</v>
      </c>
      <c r="T2502" s="279">
        <v>2419</v>
      </c>
      <c r="U2502" s="277"/>
      <c r="V2502" s="277"/>
      <c r="W2502" s="277"/>
      <c r="X2502" s="277"/>
      <c r="Y2502" s="277"/>
      <c r="Z2502" s="277"/>
      <c r="AA2502" s="277"/>
      <c r="AB2502" s="277"/>
      <c r="AC2502" s="277"/>
      <c r="AD2502" s="277"/>
      <c r="AE2502" s="277"/>
      <c r="AF2502" s="277"/>
      <c r="AG2502" s="277"/>
      <c r="AH2502" s="277"/>
    </row>
    <row r="2503" spans="16:34" s="185" customFormat="1">
      <c r="P2503" s="277"/>
      <c r="Q2503" s="277"/>
      <c r="R2503" s="277"/>
      <c r="S2503" s="291">
        <v>44059</v>
      </c>
      <c r="T2503" s="279">
        <v>2420</v>
      </c>
      <c r="U2503" s="277"/>
      <c r="V2503" s="277"/>
      <c r="W2503" s="277"/>
      <c r="X2503" s="277"/>
      <c r="Y2503" s="277"/>
      <c r="Z2503" s="277"/>
      <c r="AA2503" s="277"/>
      <c r="AB2503" s="277"/>
      <c r="AC2503" s="277"/>
      <c r="AD2503" s="277"/>
      <c r="AE2503" s="277"/>
      <c r="AF2503" s="277"/>
      <c r="AG2503" s="277"/>
      <c r="AH2503" s="277"/>
    </row>
    <row r="2504" spans="16:34" s="185" customFormat="1">
      <c r="P2504" s="277"/>
      <c r="Q2504" s="277"/>
      <c r="R2504" s="277"/>
      <c r="S2504" s="291">
        <v>44060</v>
      </c>
      <c r="T2504" s="279">
        <v>2421</v>
      </c>
      <c r="U2504" s="277"/>
      <c r="V2504" s="277"/>
      <c r="W2504" s="277"/>
      <c r="X2504" s="277"/>
      <c r="Y2504" s="277"/>
      <c r="Z2504" s="277"/>
      <c r="AA2504" s="277"/>
      <c r="AB2504" s="277"/>
      <c r="AC2504" s="277"/>
      <c r="AD2504" s="277"/>
      <c r="AE2504" s="277"/>
      <c r="AF2504" s="277"/>
      <c r="AG2504" s="277"/>
      <c r="AH2504" s="277"/>
    </row>
    <row r="2505" spans="16:34" s="185" customFormat="1">
      <c r="P2505" s="277"/>
      <c r="Q2505" s="277"/>
      <c r="R2505" s="277"/>
      <c r="S2505" s="291">
        <v>44061</v>
      </c>
      <c r="T2505" s="279">
        <v>2422</v>
      </c>
      <c r="U2505" s="277"/>
      <c r="V2505" s="277"/>
      <c r="W2505" s="277"/>
      <c r="X2505" s="277"/>
      <c r="Y2505" s="277"/>
      <c r="Z2505" s="277"/>
      <c r="AA2505" s="277"/>
      <c r="AB2505" s="277"/>
      <c r="AC2505" s="277"/>
      <c r="AD2505" s="277"/>
      <c r="AE2505" s="277"/>
      <c r="AF2505" s="277"/>
      <c r="AG2505" s="277"/>
      <c r="AH2505" s="277"/>
    </row>
    <row r="2506" spans="16:34" s="185" customFormat="1">
      <c r="P2506" s="277"/>
      <c r="Q2506" s="277"/>
      <c r="R2506" s="277"/>
      <c r="S2506" s="291">
        <v>44062</v>
      </c>
      <c r="T2506" s="279">
        <v>2423</v>
      </c>
      <c r="U2506" s="277"/>
      <c r="V2506" s="277"/>
      <c r="W2506" s="277"/>
      <c r="X2506" s="277"/>
      <c r="Y2506" s="277"/>
      <c r="Z2506" s="277"/>
      <c r="AA2506" s="277"/>
      <c r="AB2506" s="277"/>
      <c r="AC2506" s="277"/>
      <c r="AD2506" s="277"/>
      <c r="AE2506" s="277"/>
      <c r="AF2506" s="277"/>
      <c r="AG2506" s="277"/>
      <c r="AH2506" s="277"/>
    </row>
    <row r="2507" spans="16:34" s="185" customFormat="1">
      <c r="P2507" s="277"/>
      <c r="Q2507" s="277"/>
      <c r="R2507" s="277"/>
      <c r="S2507" s="291">
        <v>44063</v>
      </c>
      <c r="T2507" s="279">
        <v>2424</v>
      </c>
      <c r="U2507" s="277"/>
      <c r="V2507" s="277"/>
      <c r="W2507" s="277"/>
      <c r="X2507" s="277"/>
      <c r="Y2507" s="277"/>
      <c r="Z2507" s="277"/>
      <c r="AA2507" s="277"/>
      <c r="AB2507" s="277"/>
      <c r="AC2507" s="277"/>
      <c r="AD2507" s="277"/>
      <c r="AE2507" s="277"/>
      <c r="AF2507" s="277"/>
      <c r="AG2507" s="277"/>
      <c r="AH2507" s="277"/>
    </row>
    <row r="2508" spans="16:34" s="185" customFormat="1">
      <c r="P2508" s="277"/>
      <c r="Q2508" s="277"/>
      <c r="R2508" s="277"/>
      <c r="S2508" s="291">
        <v>44064</v>
      </c>
      <c r="T2508" s="279">
        <v>2425</v>
      </c>
      <c r="U2508" s="277"/>
      <c r="V2508" s="277"/>
      <c r="W2508" s="277"/>
      <c r="X2508" s="277"/>
      <c r="Y2508" s="277"/>
      <c r="Z2508" s="277"/>
      <c r="AA2508" s="277"/>
      <c r="AB2508" s="277"/>
      <c r="AC2508" s="277"/>
      <c r="AD2508" s="277"/>
      <c r="AE2508" s="277"/>
      <c r="AF2508" s="277"/>
      <c r="AG2508" s="277"/>
      <c r="AH2508" s="277"/>
    </row>
    <row r="2509" spans="16:34" s="185" customFormat="1">
      <c r="P2509" s="277"/>
      <c r="Q2509" s="277"/>
      <c r="R2509" s="277"/>
      <c r="S2509" s="291">
        <v>44065</v>
      </c>
      <c r="T2509" s="279">
        <v>2426</v>
      </c>
      <c r="U2509" s="277"/>
      <c r="V2509" s="277"/>
      <c r="W2509" s="277"/>
      <c r="X2509" s="277"/>
      <c r="Y2509" s="277"/>
      <c r="Z2509" s="277"/>
      <c r="AA2509" s="277"/>
      <c r="AB2509" s="277"/>
      <c r="AC2509" s="277"/>
      <c r="AD2509" s="277"/>
      <c r="AE2509" s="277"/>
      <c r="AF2509" s="277"/>
      <c r="AG2509" s="277"/>
      <c r="AH2509" s="277"/>
    </row>
    <row r="2510" spans="16:34" s="185" customFormat="1">
      <c r="P2510" s="277"/>
      <c r="Q2510" s="277"/>
      <c r="R2510" s="277"/>
      <c r="S2510" s="291">
        <v>44066</v>
      </c>
      <c r="T2510" s="279">
        <v>2427</v>
      </c>
      <c r="U2510" s="277"/>
      <c r="V2510" s="277"/>
      <c r="W2510" s="277"/>
      <c r="X2510" s="277"/>
      <c r="Y2510" s="277"/>
      <c r="Z2510" s="277"/>
      <c r="AA2510" s="277"/>
      <c r="AB2510" s="277"/>
      <c r="AC2510" s="277"/>
      <c r="AD2510" s="277"/>
      <c r="AE2510" s="277"/>
      <c r="AF2510" s="277"/>
      <c r="AG2510" s="277"/>
      <c r="AH2510" s="277"/>
    </row>
    <row r="2511" spans="16:34" s="185" customFormat="1">
      <c r="P2511" s="277"/>
      <c r="Q2511" s="277"/>
      <c r="R2511" s="277"/>
      <c r="S2511" s="291">
        <v>44067</v>
      </c>
      <c r="T2511" s="279">
        <v>2428</v>
      </c>
      <c r="U2511" s="277"/>
      <c r="V2511" s="277"/>
      <c r="W2511" s="277"/>
      <c r="X2511" s="277"/>
      <c r="Y2511" s="277"/>
      <c r="Z2511" s="277"/>
      <c r="AA2511" s="277"/>
      <c r="AB2511" s="277"/>
      <c r="AC2511" s="277"/>
      <c r="AD2511" s="277"/>
      <c r="AE2511" s="277"/>
      <c r="AF2511" s="277"/>
      <c r="AG2511" s="277"/>
      <c r="AH2511" s="277"/>
    </row>
    <row r="2512" spans="16:34" s="185" customFormat="1">
      <c r="P2512" s="277"/>
      <c r="Q2512" s="277"/>
      <c r="R2512" s="277"/>
      <c r="S2512" s="291">
        <v>44068</v>
      </c>
      <c r="T2512" s="279">
        <v>2429</v>
      </c>
      <c r="U2512" s="277"/>
      <c r="V2512" s="277"/>
      <c r="W2512" s="277"/>
      <c r="X2512" s="277"/>
      <c r="Y2512" s="277"/>
      <c r="Z2512" s="277"/>
      <c r="AA2512" s="277"/>
      <c r="AB2512" s="277"/>
      <c r="AC2512" s="277"/>
      <c r="AD2512" s="277"/>
      <c r="AE2512" s="277"/>
      <c r="AF2512" s="277"/>
      <c r="AG2512" s="277"/>
      <c r="AH2512" s="277"/>
    </row>
    <row r="2513" spans="16:34" s="185" customFormat="1">
      <c r="P2513" s="277"/>
      <c r="Q2513" s="277"/>
      <c r="R2513" s="277"/>
      <c r="S2513" s="291">
        <v>44069</v>
      </c>
      <c r="T2513" s="279">
        <v>2430</v>
      </c>
      <c r="U2513" s="277"/>
      <c r="V2513" s="277"/>
      <c r="W2513" s="277"/>
      <c r="X2513" s="277"/>
      <c r="Y2513" s="277"/>
      <c r="Z2513" s="277"/>
      <c r="AA2513" s="277"/>
      <c r="AB2513" s="277"/>
      <c r="AC2513" s="277"/>
      <c r="AD2513" s="277"/>
      <c r="AE2513" s="277"/>
      <c r="AF2513" s="277"/>
      <c r="AG2513" s="277"/>
      <c r="AH2513" s="277"/>
    </row>
    <row r="2514" spans="16:34" s="185" customFormat="1">
      <c r="P2514" s="277"/>
      <c r="Q2514" s="277"/>
      <c r="R2514" s="277"/>
      <c r="S2514" s="291">
        <v>44070</v>
      </c>
      <c r="T2514" s="279">
        <v>2431</v>
      </c>
      <c r="U2514" s="277"/>
      <c r="V2514" s="277"/>
      <c r="W2514" s="277"/>
      <c r="X2514" s="277"/>
      <c r="Y2514" s="277"/>
      <c r="Z2514" s="277"/>
      <c r="AA2514" s="277"/>
      <c r="AB2514" s="277"/>
      <c r="AC2514" s="277"/>
      <c r="AD2514" s="277"/>
      <c r="AE2514" s="277"/>
      <c r="AF2514" s="277"/>
      <c r="AG2514" s="277"/>
      <c r="AH2514" s="277"/>
    </row>
    <row r="2515" spans="16:34" s="185" customFormat="1">
      <c r="P2515" s="277"/>
      <c r="Q2515" s="277"/>
      <c r="R2515" s="277"/>
      <c r="S2515" s="291">
        <v>44071</v>
      </c>
      <c r="T2515" s="279">
        <v>2432</v>
      </c>
      <c r="U2515" s="277"/>
      <c r="V2515" s="277"/>
      <c r="W2515" s="277"/>
      <c r="X2515" s="277"/>
      <c r="Y2515" s="277"/>
      <c r="Z2515" s="277"/>
      <c r="AA2515" s="277"/>
      <c r="AB2515" s="277"/>
      <c r="AC2515" s="277"/>
      <c r="AD2515" s="277"/>
      <c r="AE2515" s="277"/>
      <c r="AF2515" s="277"/>
      <c r="AG2515" s="277"/>
      <c r="AH2515" s="277"/>
    </row>
    <row r="2516" spans="16:34" s="185" customFormat="1">
      <c r="P2516" s="277"/>
      <c r="Q2516" s="277"/>
      <c r="R2516" s="277"/>
      <c r="S2516" s="291">
        <v>44072</v>
      </c>
      <c r="T2516" s="279">
        <v>2433</v>
      </c>
      <c r="U2516" s="277"/>
      <c r="V2516" s="277"/>
      <c r="W2516" s="277"/>
      <c r="X2516" s="277"/>
      <c r="Y2516" s="277"/>
      <c r="Z2516" s="277"/>
      <c r="AA2516" s="277"/>
      <c r="AB2516" s="277"/>
      <c r="AC2516" s="277"/>
      <c r="AD2516" s="277"/>
      <c r="AE2516" s="277"/>
      <c r="AF2516" s="277"/>
      <c r="AG2516" s="277"/>
      <c r="AH2516" s="277"/>
    </row>
    <row r="2517" spans="16:34" s="185" customFormat="1">
      <c r="P2517" s="277"/>
      <c r="Q2517" s="277"/>
      <c r="R2517" s="277"/>
      <c r="S2517" s="291">
        <v>44073</v>
      </c>
      <c r="T2517" s="279">
        <v>2434</v>
      </c>
      <c r="U2517" s="277"/>
      <c r="V2517" s="277"/>
      <c r="W2517" s="277"/>
      <c r="X2517" s="277"/>
      <c r="Y2517" s="277"/>
      <c r="Z2517" s="277"/>
      <c r="AA2517" s="277"/>
      <c r="AB2517" s="277"/>
      <c r="AC2517" s="277"/>
      <c r="AD2517" s="277"/>
      <c r="AE2517" s="277"/>
      <c r="AF2517" s="277"/>
      <c r="AG2517" s="277"/>
      <c r="AH2517" s="277"/>
    </row>
    <row r="2518" spans="16:34" s="185" customFormat="1">
      <c r="P2518" s="277"/>
      <c r="Q2518" s="277"/>
      <c r="R2518" s="277"/>
      <c r="S2518" s="291">
        <v>44074</v>
      </c>
      <c r="T2518" s="279">
        <v>2435</v>
      </c>
      <c r="U2518" s="277"/>
      <c r="V2518" s="277"/>
      <c r="W2518" s="277"/>
      <c r="X2518" s="277"/>
      <c r="Y2518" s="277"/>
      <c r="Z2518" s="277"/>
      <c r="AA2518" s="277"/>
      <c r="AB2518" s="277"/>
      <c r="AC2518" s="277"/>
      <c r="AD2518" s="277"/>
      <c r="AE2518" s="277"/>
      <c r="AF2518" s="277"/>
      <c r="AG2518" s="277"/>
      <c r="AH2518" s="277"/>
    </row>
    <row r="2519" spans="16:34" s="185" customFormat="1">
      <c r="P2519" s="277"/>
      <c r="Q2519" s="277"/>
      <c r="R2519" s="277"/>
      <c r="S2519" s="291">
        <v>44075</v>
      </c>
      <c r="T2519" s="279">
        <v>2436</v>
      </c>
      <c r="U2519" s="277"/>
      <c r="V2519" s="277"/>
      <c r="W2519" s="277"/>
      <c r="X2519" s="277"/>
      <c r="Y2519" s="277"/>
      <c r="Z2519" s="277"/>
      <c r="AA2519" s="277"/>
      <c r="AB2519" s="277"/>
      <c r="AC2519" s="277"/>
      <c r="AD2519" s="277"/>
      <c r="AE2519" s="277"/>
      <c r="AF2519" s="277"/>
      <c r="AG2519" s="277"/>
      <c r="AH2519" s="277"/>
    </row>
    <row r="2520" spans="16:34" s="185" customFormat="1">
      <c r="P2520" s="277"/>
      <c r="Q2520" s="277"/>
      <c r="R2520" s="277"/>
      <c r="S2520" s="291">
        <v>44076</v>
      </c>
      <c r="T2520" s="279">
        <v>2437</v>
      </c>
      <c r="U2520" s="277"/>
      <c r="V2520" s="277"/>
      <c r="W2520" s="277"/>
      <c r="X2520" s="277"/>
      <c r="Y2520" s="277"/>
      <c r="Z2520" s="277"/>
      <c r="AA2520" s="277"/>
      <c r="AB2520" s="277"/>
      <c r="AC2520" s="277"/>
      <c r="AD2520" s="277"/>
      <c r="AE2520" s="277"/>
      <c r="AF2520" s="277"/>
      <c r="AG2520" s="277"/>
      <c r="AH2520" s="277"/>
    </row>
    <row r="2521" spans="16:34" s="185" customFormat="1">
      <c r="P2521" s="277"/>
      <c r="Q2521" s="277"/>
      <c r="R2521" s="277"/>
      <c r="S2521" s="291">
        <v>44077</v>
      </c>
      <c r="T2521" s="279">
        <v>2438</v>
      </c>
      <c r="U2521" s="277"/>
      <c r="V2521" s="277"/>
      <c r="W2521" s="277"/>
      <c r="X2521" s="277"/>
      <c r="Y2521" s="277"/>
      <c r="Z2521" s="277"/>
      <c r="AA2521" s="277"/>
      <c r="AB2521" s="277"/>
      <c r="AC2521" s="277"/>
      <c r="AD2521" s="277"/>
      <c r="AE2521" s="277"/>
      <c r="AF2521" s="277"/>
      <c r="AG2521" s="277"/>
      <c r="AH2521" s="277"/>
    </row>
    <row r="2522" spans="16:34" s="185" customFormat="1">
      <c r="P2522" s="277"/>
      <c r="Q2522" s="277"/>
      <c r="R2522" s="277"/>
      <c r="S2522" s="291">
        <v>44078</v>
      </c>
      <c r="T2522" s="279">
        <v>2439</v>
      </c>
      <c r="U2522" s="277"/>
      <c r="V2522" s="277"/>
      <c r="W2522" s="277"/>
      <c r="X2522" s="277"/>
      <c r="Y2522" s="277"/>
      <c r="Z2522" s="277"/>
      <c r="AA2522" s="277"/>
      <c r="AB2522" s="277"/>
      <c r="AC2522" s="277"/>
      <c r="AD2522" s="277"/>
      <c r="AE2522" s="277"/>
      <c r="AF2522" s="277"/>
      <c r="AG2522" s="277"/>
      <c r="AH2522" s="277"/>
    </row>
    <row r="2523" spans="16:34" s="185" customFormat="1">
      <c r="P2523" s="277"/>
      <c r="Q2523" s="277"/>
      <c r="R2523" s="277"/>
      <c r="S2523" s="291">
        <v>44079</v>
      </c>
      <c r="T2523" s="279">
        <v>2440</v>
      </c>
      <c r="U2523" s="277"/>
      <c r="V2523" s="277"/>
      <c r="W2523" s="277"/>
      <c r="X2523" s="277"/>
      <c r="Y2523" s="277"/>
      <c r="Z2523" s="277"/>
      <c r="AA2523" s="277"/>
      <c r="AB2523" s="277"/>
      <c r="AC2523" s="277"/>
      <c r="AD2523" s="277"/>
      <c r="AE2523" s="277"/>
      <c r="AF2523" s="277"/>
      <c r="AG2523" s="277"/>
      <c r="AH2523" s="277"/>
    </row>
    <row r="2524" spans="16:34" s="185" customFormat="1">
      <c r="P2524" s="277"/>
      <c r="Q2524" s="277"/>
      <c r="R2524" s="277"/>
      <c r="S2524" s="291">
        <v>44080</v>
      </c>
      <c r="T2524" s="279">
        <v>2441</v>
      </c>
      <c r="U2524" s="277"/>
      <c r="V2524" s="277"/>
      <c r="W2524" s="277"/>
      <c r="X2524" s="277"/>
      <c r="Y2524" s="277"/>
      <c r="Z2524" s="277"/>
      <c r="AA2524" s="277"/>
      <c r="AB2524" s="277"/>
      <c r="AC2524" s="277"/>
      <c r="AD2524" s="277"/>
      <c r="AE2524" s="277"/>
      <c r="AF2524" s="277"/>
      <c r="AG2524" s="277"/>
      <c r="AH2524" s="277"/>
    </row>
    <row r="2525" spans="16:34" s="185" customFormat="1">
      <c r="P2525" s="277"/>
      <c r="Q2525" s="277"/>
      <c r="R2525" s="277"/>
      <c r="S2525" s="291">
        <v>44081</v>
      </c>
      <c r="T2525" s="279">
        <v>2442</v>
      </c>
      <c r="U2525" s="277"/>
      <c r="V2525" s="277"/>
      <c r="W2525" s="277"/>
      <c r="X2525" s="277"/>
      <c r="Y2525" s="277"/>
      <c r="Z2525" s="277"/>
      <c r="AA2525" s="277"/>
      <c r="AB2525" s="277"/>
      <c r="AC2525" s="277"/>
      <c r="AD2525" s="277"/>
      <c r="AE2525" s="277"/>
      <c r="AF2525" s="277"/>
      <c r="AG2525" s="277"/>
      <c r="AH2525" s="277"/>
    </row>
    <row r="2526" spans="16:34" s="185" customFormat="1">
      <c r="P2526" s="277"/>
      <c r="Q2526" s="277"/>
      <c r="R2526" s="277"/>
      <c r="S2526" s="291">
        <v>44082</v>
      </c>
      <c r="T2526" s="279">
        <v>2443</v>
      </c>
      <c r="U2526" s="277"/>
      <c r="V2526" s="277"/>
      <c r="W2526" s="277"/>
      <c r="X2526" s="277"/>
      <c r="Y2526" s="277"/>
      <c r="Z2526" s="277"/>
      <c r="AA2526" s="277"/>
      <c r="AB2526" s="277"/>
      <c r="AC2526" s="277"/>
      <c r="AD2526" s="277"/>
      <c r="AE2526" s="277"/>
      <c r="AF2526" s="277"/>
      <c r="AG2526" s="277"/>
      <c r="AH2526" s="277"/>
    </row>
    <row r="2527" spans="16:34" s="185" customFormat="1">
      <c r="P2527" s="277"/>
      <c r="Q2527" s="277"/>
      <c r="R2527" s="277"/>
      <c r="S2527" s="291">
        <v>44083</v>
      </c>
      <c r="T2527" s="279">
        <v>2444</v>
      </c>
      <c r="U2527" s="277"/>
      <c r="V2527" s="277"/>
      <c r="W2527" s="277"/>
      <c r="X2527" s="277"/>
      <c r="Y2527" s="277"/>
      <c r="Z2527" s="277"/>
      <c r="AA2527" s="277"/>
      <c r="AB2527" s="277"/>
      <c r="AC2527" s="277"/>
      <c r="AD2527" s="277"/>
      <c r="AE2527" s="277"/>
      <c r="AF2527" s="277"/>
      <c r="AG2527" s="277"/>
      <c r="AH2527" s="277"/>
    </row>
    <row r="2528" spans="16:34" s="185" customFormat="1">
      <c r="P2528" s="277"/>
      <c r="Q2528" s="277"/>
      <c r="R2528" s="277"/>
      <c r="S2528" s="291">
        <v>44084</v>
      </c>
      <c r="T2528" s="279">
        <v>2445</v>
      </c>
      <c r="U2528" s="277"/>
      <c r="V2528" s="277"/>
      <c r="W2528" s="277"/>
      <c r="X2528" s="277"/>
      <c r="Y2528" s="277"/>
      <c r="Z2528" s="277"/>
      <c r="AA2528" s="277"/>
      <c r="AB2528" s="277"/>
      <c r="AC2528" s="277"/>
      <c r="AD2528" s="277"/>
      <c r="AE2528" s="277"/>
      <c r="AF2528" s="277"/>
      <c r="AG2528" s="277"/>
      <c r="AH2528" s="277"/>
    </row>
    <row r="2529" spans="16:34" s="185" customFormat="1">
      <c r="P2529" s="277"/>
      <c r="Q2529" s="277"/>
      <c r="R2529" s="277"/>
      <c r="S2529" s="291">
        <v>44085</v>
      </c>
      <c r="T2529" s="279">
        <v>2446</v>
      </c>
      <c r="U2529" s="277"/>
      <c r="V2529" s="277"/>
      <c r="W2529" s="277"/>
      <c r="X2529" s="277"/>
      <c r="Y2529" s="277"/>
      <c r="Z2529" s="277"/>
      <c r="AA2529" s="277"/>
      <c r="AB2529" s="277"/>
      <c r="AC2529" s="277"/>
      <c r="AD2529" s="277"/>
      <c r="AE2529" s="277"/>
      <c r="AF2529" s="277"/>
      <c r="AG2529" s="277"/>
      <c r="AH2529" s="277"/>
    </row>
    <row r="2530" spans="16:34" s="185" customFormat="1">
      <c r="P2530" s="277"/>
      <c r="Q2530" s="277"/>
      <c r="R2530" s="277"/>
      <c r="S2530" s="291">
        <v>44086</v>
      </c>
      <c r="T2530" s="279">
        <v>2447</v>
      </c>
      <c r="U2530" s="277"/>
      <c r="V2530" s="277"/>
      <c r="W2530" s="277"/>
      <c r="X2530" s="277"/>
      <c r="Y2530" s="277"/>
      <c r="Z2530" s="277"/>
      <c r="AA2530" s="277"/>
      <c r="AB2530" s="277"/>
      <c r="AC2530" s="277"/>
      <c r="AD2530" s="277"/>
      <c r="AE2530" s="277"/>
      <c r="AF2530" s="277"/>
      <c r="AG2530" s="277"/>
      <c r="AH2530" s="277"/>
    </row>
    <row r="2531" spans="16:34" s="185" customFormat="1">
      <c r="P2531" s="277"/>
      <c r="Q2531" s="277"/>
      <c r="R2531" s="277"/>
      <c r="S2531" s="291">
        <v>44087</v>
      </c>
      <c r="T2531" s="279">
        <v>2448</v>
      </c>
      <c r="U2531" s="277"/>
      <c r="V2531" s="277"/>
      <c r="W2531" s="277"/>
      <c r="X2531" s="277"/>
      <c r="Y2531" s="277"/>
      <c r="Z2531" s="277"/>
      <c r="AA2531" s="277"/>
      <c r="AB2531" s="277"/>
      <c r="AC2531" s="277"/>
      <c r="AD2531" s="277"/>
      <c r="AE2531" s="277"/>
      <c r="AF2531" s="277"/>
      <c r="AG2531" s="277"/>
      <c r="AH2531" s="277"/>
    </row>
    <row r="2532" spans="16:34" s="185" customFormat="1">
      <c r="P2532" s="277"/>
      <c r="Q2532" s="277"/>
      <c r="R2532" s="277"/>
      <c r="S2532" s="291">
        <v>44088</v>
      </c>
      <c r="T2532" s="279">
        <v>2449</v>
      </c>
      <c r="U2532" s="277"/>
      <c r="V2532" s="277"/>
      <c r="W2532" s="277"/>
      <c r="X2532" s="277"/>
      <c r="Y2532" s="277"/>
      <c r="Z2532" s="277"/>
      <c r="AA2532" s="277"/>
      <c r="AB2532" s="277"/>
      <c r="AC2532" s="277"/>
      <c r="AD2532" s="277"/>
      <c r="AE2532" s="277"/>
      <c r="AF2532" s="277"/>
      <c r="AG2532" s="277"/>
      <c r="AH2532" s="277"/>
    </row>
    <row r="2533" spans="16:34" s="185" customFormat="1">
      <c r="P2533" s="277"/>
      <c r="Q2533" s="277"/>
      <c r="R2533" s="277"/>
      <c r="S2533" s="291">
        <v>44089</v>
      </c>
      <c r="T2533" s="279">
        <v>2450</v>
      </c>
      <c r="U2533" s="277"/>
      <c r="V2533" s="277"/>
      <c r="W2533" s="277"/>
      <c r="X2533" s="277"/>
      <c r="Y2533" s="277"/>
      <c r="Z2533" s="277"/>
      <c r="AA2533" s="277"/>
      <c r="AB2533" s="277"/>
      <c r="AC2533" s="277"/>
      <c r="AD2533" s="277"/>
      <c r="AE2533" s="277"/>
      <c r="AF2533" s="277"/>
      <c r="AG2533" s="277"/>
      <c r="AH2533" s="277"/>
    </row>
    <row r="2534" spans="16:34" s="185" customFormat="1">
      <c r="P2534" s="277"/>
      <c r="Q2534" s="277"/>
      <c r="R2534" s="277"/>
      <c r="S2534" s="291">
        <v>44090</v>
      </c>
      <c r="T2534" s="279">
        <v>2451</v>
      </c>
      <c r="U2534" s="277"/>
      <c r="V2534" s="277"/>
      <c r="W2534" s="277"/>
      <c r="X2534" s="277"/>
      <c r="Y2534" s="277"/>
      <c r="Z2534" s="277"/>
      <c r="AA2534" s="277"/>
      <c r="AB2534" s="277"/>
      <c r="AC2534" s="277"/>
      <c r="AD2534" s="277"/>
      <c r="AE2534" s="277"/>
      <c r="AF2534" s="277"/>
      <c r="AG2534" s="277"/>
      <c r="AH2534" s="277"/>
    </row>
    <row r="2535" spans="16:34" s="185" customFormat="1">
      <c r="P2535" s="277"/>
      <c r="Q2535" s="277"/>
      <c r="R2535" s="277"/>
      <c r="S2535" s="291">
        <v>44091</v>
      </c>
      <c r="T2535" s="279">
        <v>2452</v>
      </c>
      <c r="U2535" s="277"/>
      <c r="V2535" s="277"/>
      <c r="W2535" s="277"/>
      <c r="X2535" s="277"/>
      <c r="Y2535" s="277"/>
      <c r="Z2535" s="277"/>
      <c r="AA2535" s="277"/>
      <c r="AB2535" s="277"/>
      <c r="AC2535" s="277"/>
      <c r="AD2535" s="277"/>
      <c r="AE2535" s="277"/>
      <c r="AF2535" s="277"/>
      <c r="AG2535" s="277"/>
      <c r="AH2535" s="277"/>
    </row>
    <row r="2536" spans="16:34" s="185" customFormat="1">
      <c r="P2536" s="277"/>
      <c r="Q2536" s="277"/>
      <c r="R2536" s="277"/>
      <c r="S2536" s="291">
        <v>44092</v>
      </c>
      <c r="T2536" s="279">
        <v>2453</v>
      </c>
      <c r="U2536" s="277"/>
      <c r="V2536" s="277"/>
      <c r="W2536" s="277"/>
      <c r="X2536" s="277"/>
      <c r="Y2536" s="277"/>
      <c r="Z2536" s="277"/>
      <c r="AA2536" s="277"/>
      <c r="AB2536" s="277"/>
      <c r="AC2536" s="277"/>
      <c r="AD2536" s="277"/>
      <c r="AE2536" s="277"/>
      <c r="AF2536" s="277"/>
      <c r="AG2536" s="277"/>
      <c r="AH2536" s="277"/>
    </row>
    <row r="2537" spans="16:34" s="185" customFormat="1">
      <c r="P2537" s="277"/>
      <c r="Q2537" s="277"/>
      <c r="R2537" s="277"/>
      <c r="S2537" s="291">
        <v>44093</v>
      </c>
      <c r="T2537" s="279">
        <v>2454</v>
      </c>
      <c r="U2537" s="277"/>
      <c r="V2537" s="277"/>
      <c r="W2537" s="277"/>
      <c r="X2537" s="277"/>
      <c r="Y2537" s="277"/>
      <c r="Z2537" s="277"/>
      <c r="AA2537" s="277"/>
      <c r="AB2537" s="277"/>
      <c r="AC2537" s="277"/>
      <c r="AD2537" s="277"/>
      <c r="AE2537" s="277"/>
      <c r="AF2537" s="277"/>
      <c r="AG2537" s="277"/>
      <c r="AH2537" s="277"/>
    </row>
    <row r="2538" spans="16:34" s="185" customFormat="1">
      <c r="P2538" s="277"/>
      <c r="Q2538" s="277"/>
      <c r="R2538" s="277"/>
      <c r="S2538" s="291">
        <v>44094</v>
      </c>
      <c r="T2538" s="279">
        <v>2455</v>
      </c>
      <c r="U2538" s="277"/>
      <c r="V2538" s="277"/>
      <c r="W2538" s="277"/>
      <c r="X2538" s="277"/>
      <c r="Y2538" s="277"/>
      <c r="Z2538" s="277"/>
      <c r="AA2538" s="277"/>
      <c r="AB2538" s="277"/>
      <c r="AC2538" s="277"/>
      <c r="AD2538" s="277"/>
      <c r="AE2538" s="277"/>
      <c r="AF2538" s="277"/>
      <c r="AG2538" s="277"/>
      <c r="AH2538" s="277"/>
    </row>
    <row r="2539" spans="16:34" s="185" customFormat="1">
      <c r="P2539" s="277"/>
      <c r="Q2539" s="277"/>
      <c r="R2539" s="277"/>
      <c r="S2539" s="291">
        <v>44095</v>
      </c>
      <c r="T2539" s="279">
        <v>2456</v>
      </c>
      <c r="U2539" s="277"/>
      <c r="V2539" s="277"/>
      <c r="W2539" s="277"/>
      <c r="X2539" s="277"/>
      <c r="Y2539" s="277"/>
      <c r="Z2539" s="277"/>
      <c r="AA2539" s="277"/>
      <c r="AB2539" s="277"/>
      <c r="AC2539" s="277"/>
      <c r="AD2539" s="277"/>
      <c r="AE2539" s="277"/>
      <c r="AF2539" s="277"/>
      <c r="AG2539" s="277"/>
      <c r="AH2539" s="277"/>
    </row>
    <row r="2540" spans="16:34" s="185" customFormat="1">
      <c r="P2540" s="277"/>
      <c r="Q2540" s="277"/>
      <c r="R2540" s="277"/>
      <c r="S2540" s="291">
        <v>44096</v>
      </c>
      <c r="T2540" s="279">
        <v>2457</v>
      </c>
      <c r="U2540" s="277"/>
      <c r="V2540" s="277"/>
      <c r="W2540" s="277"/>
      <c r="X2540" s="277"/>
      <c r="Y2540" s="277"/>
      <c r="Z2540" s="277"/>
      <c r="AA2540" s="277"/>
      <c r="AB2540" s="277"/>
      <c r="AC2540" s="277"/>
      <c r="AD2540" s="277"/>
      <c r="AE2540" s="277"/>
      <c r="AF2540" s="277"/>
      <c r="AG2540" s="277"/>
      <c r="AH2540" s="277"/>
    </row>
    <row r="2541" spans="16:34" s="185" customFormat="1">
      <c r="P2541" s="277"/>
      <c r="Q2541" s="277"/>
      <c r="R2541" s="277"/>
      <c r="S2541" s="291">
        <v>44097</v>
      </c>
      <c r="T2541" s="279">
        <v>2458</v>
      </c>
      <c r="U2541" s="277"/>
      <c r="V2541" s="277"/>
      <c r="W2541" s="277"/>
      <c r="X2541" s="277"/>
      <c r="Y2541" s="277"/>
      <c r="Z2541" s="277"/>
      <c r="AA2541" s="277"/>
      <c r="AB2541" s="277"/>
      <c r="AC2541" s="277"/>
      <c r="AD2541" s="277"/>
      <c r="AE2541" s="277"/>
      <c r="AF2541" s="277"/>
      <c r="AG2541" s="277"/>
      <c r="AH2541" s="277"/>
    </row>
    <row r="2542" spans="16:34" s="185" customFormat="1">
      <c r="P2542" s="277"/>
      <c r="Q2542" s="277"/>
      <c r="R2542" s="277"/>
      <c r="S2542" s="291">
        <v>44098</v>
      </c>
      <c r="T2542" s="279">
        <v>2459</v>
      </c>
      <c r="U2542" s="277"/>
      <c r="V2542" s="277"/>
      <c r="W2542" s="277"/>
      <c r="X2542" s="277"/>
      <c r="Y2542" s="277"/>
      <c r="Z2542" s="277"/>
      <c r="AA2542" s="277"/>
      <c r="AB2542" s="277"/>
      <c r="AC2542" s="277"/>
      <c r="AD2542" s="277"/>
      <c r="AE2542" s="277"/>
      <c r="AF2542" s="277"/>
      <c r="AG2542" s="277"/>
      <c r="AH2542" s="277"/>
    </row>
    <row r="2543" spans="16:34" s="185" customFormat="1">
      <c r="P2543" s="277"/>
      <c r="Q2543" s="277"/>
      <c r="R2543" s="277"/>
      <c r="S2543" s="291">
        <v>44099</v>
      </c>
      <c r="T2543" s="279">
        <v>2460</v>
      </c>
      <c r="U2543" s="277"/>
      <c r="V2543" s="277"/>
      <c r="W2543" s="277"/>
      <c r="X2543" s="277"/>
      <c r="Y2543" s="277"/>
      <c r="Z2543" s="277"/>
      <c r="AA2543" s="277"/>
      <c r="AB2543" s="277"/>
      <c r="AC2543" s="277"/>
      <c r="AD2543" s="277"/>
      <c r="AE2543" s="277"/>
      <c r="AF2543" s="277"/>
      <c r="AG2543" s="277"/>
      <c r="AH2543" s="277"/>
    </row>
    <row r="2544" spans="16:34" s="185" customFormat="1">
      <c r="P2544" s="277"/>
      <c r="Q2544" s="277"/>
      <c r="R2544" s="277"/>
      <c r="S2544" s="291">
        <v>44100</v>
      </c>
      <c r="T2544" s="279">
        <v>2461</v>
      </c>
      <c r="U2544" s="277"/>
      <c r="V2544" s="277"/>
      <c r="W2544" s="277"/>
      <c r="X2544" s="277"/>
      <c r="Y2544" s="277"/>
      <c r="Z2544" s="277"/>
      <c r="AA2544" s="277"/>
      <c r="AB2544" s="277"/>
      <c r="AC2544" s="277"/>
      <c r="AD2544" s="277"/>
      <c r="AE2544" s="277"/>
      <c r="AF2544" s="277"/>
      <c r="AG2544" s="277"/>
      <c r="AH2544" s="277"/>
    </row>
    <row r="2545" spans="16:34" s="185" customFormat="1">
      <c r="P2545" s="277"/>
      <c r="Q2545" s="277"/>
      <c r="R2545" s="277"/>
      <c r="S2545" s="291">
        <v>44101</v>
      </c>
      <c r="T2545" s="279">
        <v>2462</v>
      </c>
      <c r="U2545" s="277"/>
      <c r="V2545" s="277"/>
      <c r="W2545" s="277"/>
      <c r="X2545" s="277"/>
      <c r="Y2545" s="277"/>
      <c r="Z2545" s="277"/>
      <c r="AA2545" s="277"/>
      <c r="AB2545" s="277"/>
      <c r="AC2545" s="277"/>
      <c r="AD2545" s="277"/>
      <c r="AE2545" s="277"/>
      <c r="AF2545" s="277"/>
      <c r="AG2545" s="277"/>
      <c r="AH2545" s="277"/>
    </row>
    <row r="2546" spans="16:34" s="185" customFormat="1">
      <c r="P2546" s="277"/>
      <c r="Q2546" s="277"/>
      <c r="R2546" s="277"/>
      <c r="S2546" s="291">
        <v>44102</v>
      </c>
      <c r="T2546" s="279">
        <v>2463</v>
      </c>
      <c r="U2546" s="277"/>
      <c r="V2546" s="277"/>
      <c r="W2546" s="277"/>
      <c r="X2546" s="277"/>
      <c r="Y2546" s="277"/>
      <c r="Z2546" s="277"/>
      <c r="AA2546" s="277"/>
      <c r="AB2546" s="277"/>
      <c r="AC2546" s="277"/>
      <c r="AD2546" s="277"/>
      <c r="AE2546" s="277"/>
      <c r="AF2546" s="277"/>
      <c r="AG2546" s="277"/>
      <c r="AH2546" s="277"/>
    </row>
    <row r="2547" spans="16:34" s="185" customFormat="1">
      <c r="P2547" s="277"/>
      <c r="Q2547" s="277"/>
      <c r="R2547" s="277"/>
      <c r="S2547" s="291">
        <v>44103</v>
      </c>
      <c r="T2547" s="279">
        <v>2464</v>
      </c>
      <c r="U2547" s="277"/>
      <c r="V2547" s="277"/>
      <c r="W2547" s="277"/>
      <c r="X2547" s="277"/>
      <c r="Y2547" s="277"/>
      <c r="Z2547" s="277"/>
      <c r="AA2547" s="277"/>
      <c r="AB2547" s="277"/>
      <c r="AC2547" s="277"/>
      <c r="AD2547" s="277"/>
      <c r="AE2547" s="277"/>
      <c r="AF2547" s="277"/>
      <c r="AG2547" s="277"/>
      <c r="AH2547" s="277"/>
    </row>
    <row r="2548" spans="16:34" s="185" customFormat="1">
      <c r="P2548" s="277"/>
      <c r="Q2548" s="277"/>
      <c r="R2548" s="277"/>
      <c r="S2548" s="291">
        <v>44104</v>
      </c>
      <c r="T2548" s="279">
        <v>2465</v>
      </c>
      <c r="U2548" s="277"/>
      <c r="V2548" s="277"/>
      <c r="W2548" s="277"/>
      <c r="X2548" s="277"/>
      <c r="Y2548" s="277"/>
      <c r="Z2548" s="277"/>
      <c r="AA2548" s="277"/>
      <c r="AB2548" s="277"/>
      <c r="AC2548" s="277"/>
      <c r="AD2548" s="277"/>
      <c r="AE2548" s="277"/>
      <c r="AF2548" s="277"/>
      <c r="AG2548" s="277"/>
      <c r="AH2548" s="277"/>
    </row>
    <row r="2549" spans="16:34" s="185" customFormat="1">
      <c r="P2549" s="277"/>
      <c r="Q2549" s="277"/>
      <c r="R2549" s="277"/>
      <c r="S2549" s="291">
        <v>44105</v>
      </c>
      <c r="T2549" s="279">
        <v>2466</v>
      </c>
      <c r="U2549" s="277"/>
      <c r="V2549" s="277"/>
      <c r="W2549" s="277"/>
      <c r="X2549" s="277"/>
      <c r="Y2549" s="277"/>
      <c r="Z2549" s="277"/>
      <c r="AA2549" s="277"/>
      <c r="AB2549" s="277"/>
      <c r="AC2549" s="277"/>
      <c r="AD2549" s="277"/>
      <c r="AE2549" s="277"/>
      <c r="AF2549" s="277"/>
      <c r="AG2549" s="277"/>
      <c r="AH2549" s="277"/>
    </row>
    <row r="2550" spans="16:34" s="185" customFormat="1">
      <c r="P2550" s="277"/>
      <c r="Q2550" s="277"/>
      <c r="R2550" s="277"/>
      <c r="S2550" s="291">
        <v>44106</v>
      </c>
      <c r="T2550" s="279">
        <v>2467</v>
      </c>
      <c r="U2550" s="277"/>
      <c r="V2550" s="277"/>
      <c r="W2550" s="277"/>
      <c r="X2550" s="277"/>
      <c r="Y2550" s="277"/>
      <c r="Z2550" s="277"/>
      <c r="AA2550" s="277"/>
      <c r="AB2550" s="277"/>
      <c r="AC2550" s="277"/>
      <c r="AD2550" s="277"/>
      <c r="AE2550" s="277"/>
      <c r="AF2550" s="277"/>
      <c r="AG2550" s="277"/>
      <c r="AH2550" s="277"/>
    </row>
    <row r="2551" spans="16:34" s="185" customFormat="1">
      <c r="P2551" s="277"/>
      <c r="Q2551" s="277"/>
      <c r="R2551" s="277"/>
      <c r="S2551" s="291">
        <v>44107</v>
      </c>
      <c r="T2551" s="279">
        <v>2468</v>
      </c>
      <c r="U2551" s="277"/>
      <c r="V2551" s="277"/>
      <c r="W2551" s="277"/>
      <c r="X2551" s="277"/>
      <c r="Y2551" s="277"/>
      <c r="Z2551" s="277"/>
      <c r="AA2551" s="277"/>
      <c r="AB2551" s="277"/>
      <c r="AC2551" s="277"/>
      <c r="AD2551" s="277"/>
      <c r="AE2551" s="277"/>
      <c r="AF2551" s="277"/>
      <c r="AG2551" s="277"/>
      <c r="AH2551" s="277"/>
    </row>
    <row r="2552" spans="16:34" s="185" customFormat="1">
      <c r="P2552" s="277"/>
      <c r="Q2552" s="277"/>
      <c r="R2552" s="277"/>
      <c r="S2552" s="291">
        <v>44108</v>
      </c>
      <c r="T2552" s="279">
        <v>2469</v>
      </c>
      <c r="U2552" s="277"/>
      <c r="V2552" s="277"/>
      <c r="W2552" s="277"/>
      <c r="X2552" s="277"/>
      <c r="Y2552" s="277"/>
      <c r="Z2552" s="277"/>
      <c r="AA2552" s="277"/>
      <c r="AB2552" s="277"/>
      <c r="AC2552" s="277"/>
      <c r="AD2552" s="277"/>
      <c r="AE2552" s="277"/>
      <c r="AF2552" s="277"/>
      <c r="AG2552" s="277"/>
      <c r="AH2552" s="277"/>
    </row>
    <row r="2553" spans="16:34" s="185" customFormat="1">
      <c r="P2553" s="277"/>
      <c r="Q2553" s="277"/>
      <c r="R2553" s="277"/>
      <c r="S2553" s="291">
        <v>44109</v>
      </c>
      <c r="T2553" s="279">
        <v>2470</v>
      </c>
      <c r="U2553" s="277"/>
      <c r="V2553" s="277"/>
      <c r="W2553" s="277"/>
      <c r="X2553" s="277"/>
      <c r="Y2553" s="277"/>
      <c r="Z2553" s="277"/>
      <c r="AA2553" s="277"/>
      <c r="AB2553" s="277"/>
      <c r="AC2553" s="277"/>
      <c r="AD2553" s="277"/>
      <c r="AE2553" s="277"/>
      <c r="AF2553" s="277"/>
      <c r="AG2553" s="277"/>
      <c r="AH2553" s="277"/>
    </row>
    <row r="2554" spans="16:34" s="185" customFormat="1">
      <c r="P2554" s="277"/>
      <c r="Q2554" s="277"/>
      <c r="R2554" s="277"/>
      <c r="S2554" s="291">
        <v>44110</v>
      </c>
      <c r="T2554" s="279">
        <v>2471</v>
      </c>
      <c r="U2554" s="277"/>
      <c r="V2554" s="277"/>
      <c r="W2554" s="277"/>
      <c r="X2554" s="277"/>
      <c r="Y2554" s="277"/>
      <c r="Z2554" s="277"/>
      <c r="AA2554" s="277"/>
      <c r="AB2554" s="277"/>
      <c r="AC2554" s="277"/>
      <c r="AD2554" s="277"/>
      <c r="AE2554" s="277"/>
      <c r="AF2554" s="277"/>
      <c r="AG2554" s="277"/>
      <c r="AH2554" s="277"/>
    </row>
    <row r="2555" spans="16:34" s="185" customFormat="1">
      <c r="P2555" s="277"/>
      <c r="Q2555" s="277"/>
      <c r="R2555" s="277"/>
      <c r="S2555" s="291">
        <v>44111</v>
      </c>
      <c r="T2555" s="279">
        <v>2472</v>
      </c>
      <c r="U2555" s="277"/>
      <c r="V2555" s="277"/>
      <c r="W2555" s="277"/>
      <c r="X2555" s="277"/>
      <c r="Y2555" s="277"/>
      <c r="Z2555" s="277"/>
      <c r="AA2555" s="277"/>
      <c r="AB2555" s="277"/>
      <c r="AC2555" s="277"/>
      <c r="AD2555" s="277"/>
      <c r="AE2555" s="277"/>
      <c r="AF2555" s="277"/>
      <c r="AG2555" s="277"/>
      <c r="AH2555" s="277"/>
    </row>
    <row r="2556" spans="16:34" s="185" customFormat="1">
      <c r="P2556" s="277"/>
      <c r="Q2556" s="277"/>
      <c r="R2556" s="277"/>
      <c r="S2556" s="291">
        <v>44112</v>
      </c>
      <c r="T2556" s="279">
        <v>2473</v>
      </c>
      <c r="U2556" s="277"/>
      <c r="V2556" s="277"/>
      <c r="W2556" s="277"/>
      <c r="X2556" s="277"/>
      <c r="Y2556" s="277"/>
      <c r="Z2556" s="277"/>
      <c r="AA2556" s="277"/>
      <c r="AB2556" s="277"/>
      <c r="AC2556" s="277"/>
      <c r="AD2556" s="277"/>
      <c r="AE2556" s="277"/>
      <c r="AF2556" s="277"/>
      <c r="AG2556" s="277"/>
      <c r="AH2556" s="277"/>
    </row>
    <row r="2557" spans="16:34" s="185" customFormat="1">
      <c r="P2557" s="277"/>
      <c r="Q2557" s="277"/>
      <c r="R2557" s="277"/>
      <c r="S2557" s="291">
        <v>44113</v>
      </c>
      <c r="T2557" s="279">
        <v>2474</v>
      </c>
      <c r="U2557" s="277"/>
      <c r="V2557" s="277"/>
      <c r="W2557" s="277"/>
      <c r="X2557" s="277"/>
      <c r="Y2557" s="277"/>
      <c r="Z2557" s="277"/>
      <c r="AA2557" s="277"/>
      <c r="AB2557" s="277"/>
      <c r="AC2557" s="277"/>
      <c r="AD2557" s="277"/>
      <c r="AE2557" s="277"/>
      <c r="AF2557" s="277"/>
      <c r="AG2557" s="277"/>
      <c r="AH2557" s="277"/>
    </row>
    <row r="2558" spans="16:34" s="185" customFormat="1">
      <c r="P2558" s="277"/>
      <c r="Q2558" s="277"/>
      <c r="R2558" s="277"/>
      <c r="S2558" s="291">
        <v>44114</v>
      </c>
      <c r="T2558" s="279">
        <v>2475</v>
      </c>
      <c r="U2558" s="277"/>
      <c r="V2558" s="277"/>
      <c r="W2558" s="277"/>
      <c r="X2558" s="277"/>
      <c r="Y2558" s="277"/>
      <c r="Z2558" s="277"/>
      <c r="AA2558" s="277"/>
      <c r="AB2558" s="277"/>
      <c r="AC2558" s="277"/>
      <c r="AD2558" s="277"/>
      <c r="AE2558" s="277"/>
      <c r="AF2558" s="277"/>
      <c r="AG2558" s="277"/>
      <c r="AH2558" s="277"/>
    </row>
    <row r="2559" spans="16:34" s="185" customFormat="1">
      <c r="P2559" s="277"/>
      <c r="Q2559" s="277"/>
      <c r="R2559" s="277"/>
      <c r="S2559" s="291">
        <v>44115</v>
      </c>
      <c r="T2559" s="279">
        <v>2476</v>
      </c>
      <c r="U2559" s="277"/>
      <c r="V2559" s="277"/>
      <c r="W2559" s="277"/>
      <c r="X2559" s="277"/>
      <c r="Y2559" s="277"/>
      <c r="Z2559" s="277"/>
      <c r="AA2559" s="277"/>
      <c r="AB2559" s="277"/>
      <c r="AC2559" s="277"/>
      <c r="AD2559" s="277"/>
      <c r="AE2559" s="277"/>
      <c r="AF2559" s="277"/>
      <c r="AG2559" s="277"/>
      <c r="AH2559" s="277"/>
    </row>
    <row r="2560" spans="16:34" s="185" customFormat="1">
      <c r="P2560" s="277"/>
      <c r="Q2560" s="277"/>
      <c r="R2560" s="277"/>
      <c r="S2560" s="291">
        <v>44116</v>
      </c>
      <c r="T2560" s="279">
        <v>2477</v>
      </c>
      <c r="U2560" s="277"/>
      <c r="V2560" s="277"/>
      <c r="W2560" s="277"/>
      <c r="X2560" s="277"/>
      <c r="Y2560" s="277"/>
      <c r="Z2560" s="277"/>
      <c r="AA2560" s="277"/>
      <c r="AB2560" s="277"/>
      <c r="AC2560" s="277"/>
      <c r="AD2560" s="277"/>
      <c r="AE2560" s="277"/>
      <c r="AF2560" s="277"/>
      <c r="AG2560" s="277"/>
      <c r="AH2560" s="277"/>
    </row>
    <row r="2561" spans="16:34" s="185" customFormat="1">
      <c r="P2561" s="277"/>
      <c r="Q2561" s="277"/>
      <c r="R2561" s="277"/>
      <c r="S2561" s="291">
        <v>44117</v>
      </c>
      <c r="T2561" s="279">
        <v>2478</v>
      </c>
      <c r="U2561" s="277"/>
      <c r="V2561" s="277"/>
      <c r="W2561" s="277"/>
      <c r="X2561" s="277"/>
      <c r="Y2561" s="277"/>
      <c r="Z2561" s="277"/>
      <c r="AA2561" s="277"/>
      <c r="AB2561" s="277"/>
      <c r="AC2561" s="277"/>
      <c r="AD2561" s="277"/>
      <c r="AE2561" s="277"/>
      <c r="AF2561" s="277"/>
      <c r="AG2561" s="277"/>
      <c r="AH2561" s="277"/>
    </row>
    <row r="2562" spans="16:34" s="185" customFormat="1">
      <c r="P2562" s="277"/>
      <c r="Q2562" s="277"/>
      <c r="R2562" s="277"/>
      <c r="S2562" s="291">
        <v>44118</v>
      </c>
      <c r="T2562" s="279">
        <v>2479</v>
      </c>
      <c r="U2562" s="277"/>
      <c r="V2562" s="277"/>
      <c r="W2562" s="277"/>
      <c r="X2562" s="277"/>
      <c r="Y2562" s="277"/>
      <c r="Z2562" s="277"/>
      <c r="AA2562" s="277"/>
      <c r="AB2562" s="277"/>
      <c r="AC2562" s="277"/>
      <c r="AD2562" s="277"/>
      <c r="AE2562" s="277"/>
      <c r="AF2562" s="277"/>
      <c r="AG2562" s="277"/>
      <c r="AH2562" s="277"/>
    </row>
    <row r="2563" spans="16:34" s="185" customFormat="1">
      <c r="P2563" s="277"/>
      <c r="Q2563" s="277"/>
      <c r="R2563" s="277"/>
      <c r="S2563" s="291">
        <v>44119</v>
      </c>
      <c r="T2563" s="279">
        <v>2480</v>
      </c>
      <c r="U2563" s="277"/>
      <c r="V2563" s="277"/>
      <c r="W2563" s="277"/>
      <c r="X2563" s="277"/>
      <c r="Y2563" s="277"/>
      <c r="Z2563" s="277"/>
      <c r="AA2563" s="277"/>
      <c r="AB2563" s="277"/>
      <c r="AC2563" s="277"/>
      <c r="AD2563" s="277"/>
      <c r="AE2563" s="277"/>
      <c r="AF2563" s="277"/>
      <c r="AG2563" s="277"/>
      <c r="AH2563" s="277"/>
    </row>
    <row r="2564" spans="16:34" s="185" customFormat="1">
      <c r="P2564" s="277"/>
      <c r="Q2564" s="277"/>
      <c r="R2564" s="277"/>
      <c r="S2564" s="291">
        <v>44120</v>
      </c>
      <c r="T2564" s="279">
        <v>2481</v>
      </c>
      <c r="U2564" s="277"/>
      <c r="V2564" s="277"/>
      <c r="W2564" s="277"/>
      <c r="X2564" s="277"/>
      <c r="Y2564" s="277"/>
      <c r="Z2564" s="277"/>
      <c r="AA2564" s="277"/>
      <c r="AB2564" s="277"/>
      <c r="AC2564" s="277"/>
      <c r="AD2564" s="277"/>
      <c r="AE2564" s="277"/>
      <c r="AF2564" s="277"/>
      <c r="AG2564" s="277"/>
      <c r="AH2564" s="277"/>
    </row>
    <row r="2565" spans="16:34" s="185" customFormat="1">
      <c r="P2565" s="277"/>
      <c r="Q2565" s="277"/>
      <c r="R2565" s="277"/>
      <c r="S2565" s="291">
        <v>44121</v>
      </c>
      <c r="T2565" s="279">
        <v>2482</v>
      </c>
      <c r="U2565" s="277"/>
      <c r="V2565" s="277"/>
      <c r="W2565" s="277"/>
      <c r="X2565" s="277"/>
      <c r="Y2565" s="277"/>
      <c r="Z2565" s="277"/>
      <c r="AA2565" s="277"/>
      <c r="AB2565" s="277"/>
      <c r="AC2565" s="277"/>
      <c r="AD2565" s="277"/>
      <c r="AE2565" s="277"/>
      <c r="AF2565" s="277"/>
      <c r="AG2565" s="277"/>
      <c r="AH2565" s="277"/>
    </row>
    <row r="2566" spans="16:34" s="185" customFormat="1">
      <c r="P2566" s="277"/>
      <c r="Q2566" s="277"/>
      <c r="R2566" s="277"/>
      <c r="S2566" s="291">
        <v>44122</v>
      </c>
      <c r="T2566" s="279">
        <v>2483</v>
      </c>
      <c r="U2566" s="277"/>
      <c r="V2566" s="277"/>
      <c r="W2566" s="277"/>
      <c r="X2566" s="277"/>
      <c r="Y2566" s="277"/>
      <c r="Z2566" s="277"/>
      <c r="AA2566" s="277"/>
      <c r="AB2566" s="277"/>
      <c r="AC2566" s="277"/>
      <c r="AD2566" s="277"/>
      <c r="AE2566" s="277"/>
      <c r="AF2566" s="277"/>
      <c r="AG2566" s="277"/>
      <c r="AH2566" s="277"/>
    </row>
    <row r="2567" spans="16:34" s="185" customFormat="1">
      <c r="P2567" s="277"/>
      <c r="Q2567" s="277"/>
      <c r="R2567" s="277"/>
      <c r="S2567" s="291">
        <v>44123</v>
      </c>
      <c r="T2567" s="279">
        <v>2484</v>
      </c>
      <c r="U2567" s="277"/>
      <c r="V2567" s="277"/>
      <c r="W2567" s="277"/>
      <c r="X2567" s="277"/>
      <c r="Y2567" s="277"/>
      <c r="Z2567" s="277"/>
      <c r="AA2567" s="277"/>
      <c r="AB2567" s="277"/>
      <c r="AC2567" s="277"/>
      <c r="AD2567" s="277"/>
      <c r="AE2567" s="277"/>
      <c r="AF2567" s="277"/>
      <c r="AG2567" s="277"/>
      <c r="AH2567" s="277"/>
    </row>
    <row r="2568" spans="16:34" s="185" customFormat="1">
      <c r="P2568" s="277"/>
      <c r="Q2568" s="277"/>
      <c r="R2568" s="277"/>
      <c r="S2568" s="291">
        <v>44124</v>
      </c>
      <c r="T2568" s="279">
        <v>2485</v>
      </c>
      <c r="U2568" s="277"/>
      <c r="V2568" s="277"/>
      <c r="W2568" s="277"/>
      <c r="X2568" s="277"/>
      <c r="Y2568" s="277"/>
      <c r="Z2568" s="277"/>
      <c r="AA2568" s="277"/>
      <c r="AB2568" s="277"/>
      <c r="AC2568" s="277"/>
      <c r="AD2568" s="277"/>
      <c r="AE2568" s="277"/>
      <c r="AF2568" s="277"/>
      <c r="AG2568" s="277"/>
      <c r="AH2568" s="277"/>
    </row>
    <row r="2569" spans="16:34" s="185" customFormat="1">
      <c r="P2569" s="277"/>
      <c r="Q2569" s="277"/>
      <c r="R2569" s="277"/>
      <c r="S2569" s="291">
        <v>44125</v>
      </c>
      <c r="T2569" s="279">
        <v>2486</v>
      </c>
      <c r="U2569" s="277"/>
      <c r="V2569" s="277"/>
      <c r="W2569" s="277"/>
      <c r="X2569" s="277"/>
      <c r="Y2569" s="277"/>
      <c r="Z2569" s="277"/>
      <c r="AA2569" s="277"/>
      <c r="AB2569" s="277"/>
      <c r="AC2569" s="277"/>
      <c r="AD2569" s="277"/>
      <c r="AE2569" s="277"/>
      <c r="AF2569" s="277"/>
      <c r="AG2569" s="277"/>
      <c r="AH2569" s="277"/>
    </row>
    <row r="2570" spans="16:34" s="185" customFormat="1">
      <c r="P2570" s="277"/>
      <c r="Q2570" s="277"/>
      <c r="R2570" s="277"/>
      <c r="S2570" s="291">
        <v>44126</v>
      </c>
      <c r="T2570" s="279">
        <v>2487</v>
      </c>
      <c r="U2570" s="277"/>
      <c r="V2570" s="277"/>
      <c r="W2570" s="277"/>
      <c r="X2570" s="277"/>
      <c r="Y2570" s="277"/>
      <c r="Z2570" s="277"/>
      <c r="AA2570" s="277"/>
      <c r="AB2570" s="277"/>
      <c r="AC2570" s="277"/>
      <c r="AD2570" s="277"/>
      <c r="AE2570" s="277"/>
      <c r="AF2570" s="277"/>
      <c r="AG2570" s="277"/>
      <c r="AH2570" s="277"/>
    </row>
    <row r="2571" spans="16:34" s="185" customFormat="1">
      <c r="P2571" s="277"/>
      <c r="Q2571" s="277"/>
      <c r="R2571" s="277"/>
      <c r="S2571" s="291">
        <v>44127</v>
      </c>
      <c r="T2571" s="279">
        <v>2488</v>
      </c>
      <c r="U2571" s="277"/>
      <c r="V2571" s="277"/>
      <c r="W2571" s="277"/>
      <c r="X2571" s="277"/>
      <c r="Y2571" s="277"/>
      <c r="Z2571" s="277"/>
      <c r="AA2571" s="277"/>
      <c r="AB2571" s="277"/>
      <c r="AC2571" s="277"/>
      <c r="AD2571" s="277"/>
      <c r="AE2571" s="277"/>
      <c r="AF2571" s="277"/>
      <c r="AG2571" s="277"/>
      <c r="AH2571" s="277"/>
    </row>
    <row r="2572" spans="16:34" s="185" customFormat="1">
      <c r="P2572" s="277"/>
      <c r="Q2572" s="277"/>
      <c r="R2572" s="277"/>
      <c r="S2572" s="291">
        <v>44128</v>
      </c>
      <c r="T2572" s="279">
        <v>2489</v>
      </c>
      <c r="U2572" s="277"/>
      <c r="V2572" s="277"/>
      <c r="W2572" s="277"/>
      <c r="X2572" s="277"/>
      <c r="Y2572" s="277"/>
      <c r="Z2572" s="277"/>
      <c r="AA2572" s="277"/>
      <c r="AB2572" s="277"/>
      <c r="AC2572" s="277"/>
      <c r="AD2572" s="277"/>
      <c r="AE2572" s="277"/>
      <c r="AF2572" s="277"/>
      <c r="AG2572" s="277"/>
      <c r="AH2572" s="277"/>
    </row>
    <row r="2573" spans="16:34" s="185" customFormat="1">
      <c r="P2573" s="277"/>
      <c r="Q2573" s="277"/>
      <c r="R2573" s="277"/>
      <c r="S2573" s="291">
        <v>44129</v>
      </c>
      <c r="T2573" s="279">
        <v>2490</v>
      </c>
      <c r="U2573" s="277"/>
      <c r="V2573" s="277"/>
      <c r="W2573" s="277"/>
      <c r="X2573" s="277"/>
      <c r="Y2573" s="277"/>
      <c r="Z2573" s="277"/>
      <c r="AA2573" s="277"/>
      <c r="AB2573" s="277"/>
      <c r="AC2573" s="277"/>
      <c r="AD2573" s="277"/>
      <c r="AE2573" s="277"/>
      <c r="AF2573" s="277"/>
      <c r="AG2573" s="277"/>
      <c r="AH2573" s="277"/>
    </row>
    <row r="2574" spans="16:34" s="185" customFormat="1">
      <c r="P2574" s="277"/>
      <c r="Q2574" s="277"/>
      <c r="R2574" s="277"/>
      <c r="S2574" s="291">
        <v>44130</v>
      </c>
      <c r="T2574" s="279">
        <v>2491</v>
      </c>
      <c r="U2574" s="277"/>
      <c r="V2574" s="277"/>
      <c r="W2574" s="277"/>
      <c r="X2574" s="277"/>
      <c r="Y2574" s="277"/>
      <c r="Z2574" s="277"/>
      <c r="AA2574" s="277"/>
      <c r="AB2574" s="277"/>
      <c r="AC2574" s="277"/>
      <c r="AD2574" s="277"/>
      <c r="AE2574" s="277"/>
      <c r="AF2574" s="277"/>
      <c r="AG2574" s="277"/>
      <c r="AH2574" s="277"/>
    </row>
    <row r="2575" spans="16:34" s="185" customFormat="1">
      <c r="P2575" s="277"/>
      <c r="Q2575" s="277"/>
      <c r="R2575" s="277"/>
      <c r="S2575" s="291">
        <v>44131</v>
      </c>
      <c r="T2575" s="279">
        <v>2492</v>
      </c>
      <c r="U2575" s="277"/>
      <c r="V2575" s="277"/>
      <c r="W2575" s="277"/>
      <c r="X2575" s="277"/>
      <c r="Y2575" s="277"/>
      <c r="Z2575" s="277"/>
      <c r="AA2575" s="277"/>
      <c r="AB2575" s="277"/>
      <c r="AC2575" s="277"/>
      <c r="AD2575" s="277"/>
      <c r="AE2575" s="277"/>
      <c r="AF2575" s="277"/>
      <c r="AG2575" s="277"/>
      <c r="AH2575" s="277"/>
    </row>
    <row r="2576" spans="16:34" s="185" customFormat="1">
      <c r="P2576" s="277"/>
      <c r="Q2576" s="277"/>
      <c r="R2576" s="277"/>
      <c r="S2576" s="291">
        <v>44132</v>
      </c>
      <c r="T2576" s="279">
        <v>2493</v>
      </c>
      <c r="U2576" s="277"/>
      <c r="V2576" s="277"/>
      <c r="W2576" s="277"/>
      <c r="X2576" s="277"/>
      <c r="Y2576" s="277"/>
      <c r="Z2576" s="277"/>
      <c r="AA2576" s="277"/>
      <c r="AB2576" s="277"/>
      <c r="AC2576" s="277"/>
      <c r="AD2576" s="277"/>
      <c r="AE2576" s="277"/>
      <c r="AF2576" s="277"/>
      <c r="AG2576" s="277"/>
      <c r="AH2576" s="277"/>
    </row>
    <row r="2577" spans="16:34" s="185" customFormat="1">
      <c r="P2577" s="277"/>
      <c r="Q2577" s="277"/>
      <c r="R2577" s="277"/>
      <c r="S2577" s="291">
        <v>44133</v>
      </c>
      <c r="T2577" s="279">
        <v>2494</v>
      </c>
      <c r="U2577" s="277"/>
      <c r="V2577" s="277"/>
      <c r="W2577" s="277"/>
      <c r="X2577" s="277"/>
      <c r="Y2577" s="277"/>
      <c r="Z2577" s="277"/>
      <c r="AA2577" s="277"/>
      <c r="AB2577" s="277"/>
      <c r="AC2577" s="277"/>
      <c r="AD2577" s="277"/>
      <c r="AE2577" s="277"/>
      <c r="AF2577" s="277"/>
      <c r="AG2577" s="277"/>
      <c r="AH2577" s="277"/>
    </row>
    <row r="2578" spans="16:34" s="185" customFormat="1">
      <c r="P2578" s="277"/>
      <c r="Q2578" s="277"/>
      <c r="R2578" s="277"/>
      <c r="S2578" s="291">
        <v>44134</v>
      </c>
      <c r="T2578" s="279">
        <v>2495</v>
      </c>
      <c r="U2578" s="277"/>
      <c r="V2578" s="277"/>
      <c r="W2578" s="277"/>
      <c r="X2578" s="277"/>
      <c r="Y2578" s="277"/>
      <c r="Z2578" s="277"/>
      <c r="AA2578" s="277"/>
      <c r="AB2578" s="277"/>
      <c r="AC2578" s="277"/>
      <c r="AD2578" s="277"/>
      <c r="AE2578" s="277"/>
      <c r="AF2578" s="277"/>
      <c r="AG2578" s="277"/>
      <c r="AH2578" s="277"/>
    </row>
    <row r="2579" spans="16:34" s="185" customFormat="1">
      <c r="P2579" s="277"/>
      <c r="Q2579" s="277"/>
      <c r="R2579" s="277"/>
      <c r="S2579" s="291">
        <v>44135</v>
      </c>
      <c r="T2579" s="279">
        <v>2496</v>
      </c>
      <c r="U2579" s="277"/>
      <c r="V2579" s="277"/>
      <c r="W2579" s="277"/>
      <c r="X2579" s="277"/>
      <c r="Y2579" s="277"/>
      <c r="Z2579" s="277"/>
      <c r="AA2579" s="277"/>
      <c r="AB2579" s="277"/>
      <c r="AC2579" s="277"/>
      <c r="AD2579" s="277"/>
      <c r="AE2579" s="277"/>
      <c r="AF2579" s="277"/>
      <c r="AG2579" s="277"/>
      <c r="AH2579" s="277"/>
    </row>
    <row r="2580" spans="16:34" s="185" customFormat="1">
      <c r="P2580" s="277"/>
      <c r="Q2580" s="277"/>
      <c r="R2580" s="277"/>
      <c r="S2580" s="291">
        <v>44136</v>
      </c>
      <c r="T2580" s="279">
        <v>2497</v>
      </c>
      <c r="U2580" s="277"/>
      <c r="V2580" s="277"/>
      <c r="W2580" s="277"/>
      <c r="X2580" s="277"/>
      <c r="Y2580" s="277"/>
      <c r="Z2580" s="277"/>
      <c r="AA2580" s="277"/>
      <c r="AB2580" s="277"/>
      <c r="AC2580" s="277"/>
      <c r="AD2580" s="277"/>
      <c r="AE2580" s="277"/>
      <c r="AF2580" s="277"/>
      <c r="AG2580" s="277"/>
      <c r="AH2580" s="277"/>
    </row>
    <row r="2581" spans="16:34" s="185" customFormat="1">
      <c r="P2581" s="277"/>
      <c r="Q2581" s="277"/>
      <c r="R2581" s="277"/>
      <c r="S2581" s="291">
        <v>44137</v>
      </c>
      <c r="T2581" s="279">
        <v>2498</v>
      </c>
      <c r="U2581" s="277"/>
      <c r="V2581" s="277"/>
      <c r="W2581" s="277"/>
      <c r="X2581" s="277"/>
      <c r="Y2581" s="277"/>
      <c r="Z2581" s="277"/>
      <c r="AA2581" s="277"/>
      <c r="AB2581" s="277"/>
      <c r="AC2581" s="277"/>
      <c r="AD2581" s="277"/>
      <c r="AE2581" s="277"/>
      <c r="AF2581" s="277"/>
      <c r="AG2581" s="277"/>
      <c r="AH2581" s="277"/>
    </row>
    <row r="2582" spans="16:34" s="185" customFormat="1">
      <c r="P2582" s="277"/>
      <c r="Q2582" s="277"/>
      <c r="R2582" s="277"/>
      <c r="S2582" s="291">
        <v>44138</v>
      </c>
      <c r="T2582" s="279">
        <v>2499</v>
      </c>
      <c r="U2582" s="277"/>
      <c r="V2582" s="277"/>
      <c r="W2582" s="277"/>
      <c r="X2582" s="277"/>
      <c r="Y2582" s="277"/>
      <c r="Z2582" s="277"/>
      <c r="AA2582" s="277"/>
      <c r="AB2582" s="277"/>
      <c r="AC2582" s="277"/>
      <c r="AD2582" s="277"/>
      <c r="AE2582" s="277"/>
      <c r="AF2582" s="277"/>
      <c r="AG2582" s="277"/>
      <c r="AH2582" s="277"/>
    </row>
    <row r="2583" spans="16:34" s="185" customFormat="1">
      <c r="P2583" s="277"/>
      <c r="Q2583" s="277"/>
      <c r="R2583" s="277"/>
      <c r="S2583" s="291">
        <v>44139</v>
      </c>
      <c r="T2583" s="279">
        <v>2500</v>
      </c>
      <c r="U2583" s="277"/>
      <c r="V2583" s="277"/>
      <c r="W2583" s="277"/>
      <c r="X2583" s="277"/>
      <c r="Y2583" s="277"/>
      <c r="Z2583" s="277"/>
      <c r="AA2583" s="277"/>
      <c r="AB2583" s="277"/>
      <c r="AC2583" s="277"/>
      <c r="AD2583" s="277"/>
      <c r="AE2583" s="277"/>
      <c r="AF2583" s="277"/>
      <c r="AG2583" s="277"/>
      <c r="AH2583" s="277"/>
    </row>
    <row r="2584" spans="16:34" s="185" customFormat="1">
      <c r="P2584" s="277"/>
      <c r="Q2584" s="277"/>
      <c r="R2584" s="277"/>
      <c r="S2584" s="291">
        <v>44140</v>
      </c>
      <c r="T2584" s="279">
        <v>2501</v>
      </c>
      <c r="U2584" s="277"/>
      <c r="V2584" s="277"/>
      <c r="W2584" s="277"/>
      <c r="X2584" s="277"/>
      <c r="Y2584" s="277"/>
      <c r="Z2584" s="277"/>
      <c r="AA2584" s="277"/>
      <c r="AB2584" s="277"/>
      <c r="AC2584" s="277"/>
      <c r="AD2584" s="277"/>
      <c r="AE2584" s="277"/>
      <c r="AF2584" s="277"/>
      <c r="AG2584" s="277"/>
      <c r="AH2584" s="277"/>
    </row>
    <row r="2585" spans="16:34" s="185" customFormat="1">
      <c r="P2585" s="277"/>
      <c r="Q2585" s="277"/>
      <c r="R2585" s="277"/>
      <c r="S2585" s="291">
        <v>44141</v>
      </c>
      <c r="T2585" s="279">
        <v>2502</v>
      </c>
      <c r="U2585" s="277"/>
      <c r="V2585" s="277"/>
      <c r="W2585" s="277"/>
      <c r="X2585" s="277"/>
      <c r="Y2585" s="277"/>
      <c r="Z2585" s="277"/>
      <c r="AA2585" s="277"/>
      <c r="AB2585" s="277"/>
      <c r="AC2585" s="277"/>
      <c r="AD2585" s="277"/>
      <c r="AE2585" s="277"/>
      <c r="AF2585" s="277"/>
      <c r="AG2585" s="277"/>
      <c r="AH2585" s="277"/>
    </row>
    <row r="2586" spans="16:34" s="185" customFormat="1">
      <c r="P2586" s="277"/>
      <c r="Q2586" s="277"/>
      <c r="R2586" s="277"/>
      <c r="S2586" s="291">
        <v>44142</v>
      </c>
      <c r="T2586" s="279">
        <v>2503</v>
      </c>
      <c r="U2586" s="277"/>
      <c r="V2586" s="277"/>
      <c r="W2586" s="277"/>
      <c r="X2586" s="277"/>
      <c r="Y2586" s="277"/>
      <c r="Z2586" s="277"/>
      <c r="AA2586" s="277"/>
      <c r="AB2586" s="277"/>
      <c r="AC2586" s="277"/>
      <c r="AD2586" s="277"/>
      <c r="AE2586" s="277"/>
      <c r="AF2586" s="277"/>
      <c r="AG2586" s="277"/>
      <c r="AH2586" s="277"/>
    </row>
    <row r="2587" spans="16:34" s="185" customFormat="1">
      <c r="P2587" s="277"/>
      <c r="Q2587" s="277"/>
      <c r="R2587" s="277"/>
      <c r="S2587" s="291">
        <v>44143</v>
      </c>
      <c r="T2587" s="279">
        <v>2504</v>
      </c>
      <c r="U2587" s="277"/>
      <c r="V2587" s="277"/>
      <c r="W2587" s="277"/>
      <c r="X2587" s="277"/>
      <c r="Y2587" s="277"/>
      <c r="Z2587" s="277"/>
      <c r="AA2587" s="277"/>
      <c r="AB2587" s="277"/>
      <c r="AC2587" s="277"/>
      <c r="AD2587" s="277"/>
      <c r="AE2587" s="277"/>
      <c r="AF2587" s="277"/>
      <c r="AG2587" s="277"/>
      <c r="AH2587" s="277"/>
    </row>
    <row r="2588" spans="16:34" s="185" customFormat="1">
      <c r="P2588" s="277"/>
      <c r="Q2588" s="277"/>
      <c r="R2588" s="277"/>
      <c r="S2588" s="291">
        <v>44144</v>
      </c>
      <c r="T2588" s="279">
        <v>2505</v>
      </c>
      <c r="U2588" s="277"/>
      <c r="V2588" s="277"/>
      <c r="W2588" s="277"/>
      <c r="X2588" s="277"/>
      <c r="Y2588" s="277"/>
      <c r="Z2588" s="277"/>
      <c r="AA2588" s="277"/>
      <c r="AB2588" s="277"/>
      <c r="AC2588" s="277"/>
      <c r="AD2588" s="277"/>
      <c r="AE2588" s="277"/>
      <c r="AF2588" s="277"/>
      <c r="AG2588" s="277"/>
      <c r="AH2588" s="277"/>
    </row>
    <row r="2589" spans="16:34" s="185" customFormat="1">
      <c r="P2589" s="277"/>
      <c r="Q2589" s="277"/>
      <c r="R2589" s="277"/>
      <c r="S2589" s="291">
        <v>44145</v>
      </c>
      <c r="T2589" s="279">
        <v>2506</v>
      </c>
      <c r="U2589" s="277"/>
      <c r="V2589" s="277"/>
      <c r="W2589" s="277"/>
      <c r="X2589" s="277"/>
      <c r="Y2589" s="277"/>
      <c r="Z2589" s="277"/>
      <c r="AA2589" s="277"/>
      <c r="AB2589" s="277"/>
      <c r="AC2589" s="277"/>
      <c r="AD2589" s="277"/>
      <c r="AE2589" s="277"/>
      <c r="AF2589" s="277"/>
      <c r="AG2589" s="277"/>
      <c r="AH2589" s="277"/>
    </row>
    <row r="2590" spans="16:34" s="185" customFormat="1">
      <c r="P2590" s="277"/>
      <c r="Q2590" s="277"/>
      <c r="R2590" s="277"/>
      <c r="S2590" s="291">
        <v>44146</v>
      </c>
      <c r="T2590" s="279">
        <v>2507</v>
      </c>
      <c r="U2590" s="277"/>
      <c r="V2590" s="277"/>
      <c r="W2590" s="277"/>
      <c r="X2590" s="277"/>
      <c r="Y2590" s="277"/>
      <c r="Z2590" s="277"/>
      <c r="AA2590" s="277"/>
      <c r="AB2590" s="277"/>
      <c r="AC2590" s="277"/>
      <c r="AD2590" s="277"/>
      <c r="AE2590" s="277"/>
      <c r="AF2590" s="277"/>
      <c r="AG2590" s="277"/>
      <c r="AH2590" s="277"/>
    </row>
    <row r="2591" spans="16:34" s="185" customFormat="1">
      <c r="P2591" s="277"/>
      <c r="Q2591" s="277"/>
      <c r="R2591" s="277"/>
      <c r="S2591" s="291">
        <v>44147</v>
      </c>
      <c r="T2591" s="279">
        <v>2508</v>
      </c>
      <c r="U2591" s="277"/>
      <c r="V2591" s="277"/>
      <c r="W2591" s="277"/>
      <c r="X2591" s="277"/>
      <c r="Y2591" s="277"/>
      <c r="Z2591" s="277"/>
      <c r="AA2591" s="277"/>
      <c r="AB2591" s="277"/>
      <c r="AC2591" s="277"/>
      <c r="AD2591" s="277"/>
      <c r="AE2591" s="277"/>
      <c r="AF2591" s="277"/>
      <c r="AG2591" s="277"/>
      <c r="AH2591" s="277"/>
    </row>
    <row r="2592" spans="16:34" s="185" customFormat="1">
      <c r="P2592" s="277"/>
      <c r="Q2592" s="277"/>
      <c r="R2592" s="277"/>
      <c r="S2592" s="291">
        <v>44148</v>
      </c>
      <c r="T2592" s="279">
        <v>2509</v>
      </c>
      <c r="U2592" s="277"/>
      <c r="V2592" s="277"/>
      <c r="W2592" s="277"/>
      <c r="X2592" s="277"/>
      <c r="Y2592" s="277"/>
      <c r="Z2592" s="277"/>
      <c r="AA2592" s="277"/>
      <c r="AB2592" s="277"/>
      <c r="AC2592" s="277"/>
      <c r="AD2592" s="277"/>
      <c r="AE2592" s="277"/>
      <c r="AF2592" s="277"/>
      <c r="AG2592" s="277"/>
      <c r="AH2592" s="277"/>
    </row>
    <row r="2593" spans="16:34" s="185" customFormat="1">
      <c r="P2593" s="277"/>
      <c r="Q2593" s="277"/>
      <c r="R2593" s="277"/>
      <c r="S2593" s="291">
        <v>44149</v>
      </c>
      <c r="T2593" s="279">
        <v>2510</v>
      </c>
      <c r="U2593" s="277"/>
      <c r="V2593" s="277"/>
      <c r="W2593" s="277"/>
      <c r="X2593" s="277"/>
      <c r="Y2593" s="277"/>
      <c r="Z2593" s="277"/>
      <c r="AA2593" s="277"/>
      <c r="AB2593" s="277"/>
      <c r="AC2593" s="277"/>
      <c r="AD2593" s="277"/>
      <c r="AE2593" s="277"/>
      <c r="AF2593" s="277"/>
      <c r="AG2593" s="277"/>
      <c r="AH2593" s="277"/>
    </row>
    <row r="2594" spans="16:34" s="185" customFormat="1">
      <c r="P2594" s="277"/>
      <c r="Q2594" s="277"/>
      <c r="R2594" s="277"/>
      <c r="S2594" s="291">
        <v>44150</v>
      </c>
      <c r="T2594" s="279">
        <v>2511</v>
      </c>
      <c r="U2594" s="277"/>
      <c r="V2594" s="277"/>
      <c r="W2594" s="277"/>
      <c r="X2594" s="277"/>
      <c r="Y2594" s="277"/>
      <c r="Z2594" s="277"/>
      <c r="AA2594" s="277"/>
      <c r="AB2594" s="277"/>
      <c r="AC2594" s="277"/>
      <c r="AD2594" s="277"/>
      <c r="AE2594" s="277"/>
      <c r="AF2594" s="277"/>
      <c r="AG2594" s="277"/>
      <c r="AH2594" s="277"/>
    </row>
    <row r="2595" spans="16:34" s="185" customFormat="1">
      <c r="P2595" s="277"/>
      <c r="Q2595" s="277"/>
      <c r="R2595" s="277"/>
      <c r="S2595" s="291">
        <v>44151</v>
      </c>
      <c r="T2595" s="279">
        <v>2512</v>
      </c>
      <c r="U2595" s="277"/>
      <c r="V2595" s="277"/>
      <c r="W2595" s="277"/>
      <c r="X2595" s="277"/>
      <c r="Y2595" s="277"/>
      <c r="Z2595" s="277"/>
      <c r="AA2595" s="277"/>
      <c r="AB2595" s="277"/>
      <c r="AC2595" s="277"/>
      <c r="AD2595" s="277"/>
      <c r="AE2595" s="277"/>
      <c r="AF2595" s="277"/>
      <c r="AG2595" s="277"/>
      <c r="AH2595" s="277"/>
    </row>
    <row r="2596" spans="16:34" s="185" customFormat="1">
      <c r="P2596" s="277"/>
      <c r="Q2596" s="277"/>
      <c r="R2596" s="277"/>
      <c r="S2596" s="291">
        <v>44152</v>
      </c>
      <c r="T2596" s="279">
        <v>2513</v>
      </c>
      <c r="U2596" s="277"/>
      <c r="V2596" s="277"/>
      <c r="W2596" s="277"/>
      <c r="X2596" s="277"/>
      <c r="Y2596" s="277"/>
      <c r="Z2596" s="277"/>
      <c r="AA2596" s="277"/>
      <c r="AB2596" s="277"/>
      <c r="AC2596" s="277"/>
      <c r="AD2596" s="277"/>
      <c r="AE2596" s="277"/>
      <c r="AF2596" s="277"/>
      <c r="AG2596" s="277"/>
      <c r="AH2596" s="277"/>
    </row>
    <row r="2597" spans="16:34" s="185" customFormat="1">
      <c r="P2597" s="277"/>
      <c r="Q2597" s="277"/>
      <c r="R2597" s="277"/>
      <c r="S2597" s="291">
        <v>44153</v>
      </c>
      <c r="T2597" s="279">
        <v>2514</v>
      </c>
      <c r="U2597" s="277"/>
      <c r="V2597" s="277"/>
      <c r="W2597" s="277"/>
      <c r="X2597" s="277"/>
      <c r="Y2597" s="277"/>
      <c r="Z2597" s="277"/>
      <c r="AA2597" s="277"/>
      <c r="AB2597" s="277"/>
      <c r="AC2597" s="277"/>
      <c r="AD2597" s="277"/>
      <c r="AE2597" s="277"/>
      <c r="AF2597" s="277"/>
      <c r="AG2597" s="277"/>
      <c r="AH2597" s="277"/>
    </row>
    <row r="2598" spans="16:34" s="185" customFormat="1">
      <c r="P2598" s="277"/>
      <c r="Q2598" s="277"/>
      <c r="R2598" s="277"/>
      <c r="S2598" s="291">
        <v>44154</v>
      </c>
      <c r="T2598" s="279">
        <v>2515</v>
      </c>
      <c r="U2598" s="277"/>
      <c r="V2598" s="277"/>
      <c r="W2598" s="277"/>
      <c r="X2598" s="277"/>
      <c r="Y2598" s="277"/>
      <c r="Z2598" s="277"/>
      <c r="AA2598" s="277"/>
      <c r="AB2598" s="277"/>
      <c r="AC2598" s="277"/>
      <c r="AD2598" s="277"/>
      <c r="AE2598" s="277"/>
      <c r="AF2598" s="277"/>
      <c r="AG2598" s="277"/>
      <c r="AH2598" s="277"/>
    </row>
    <row r="2599" spans="16:34" s="185" customFormat="1">
      <c r="P2599" s="277"/>
      <c r="Q2599" s="277"/>
      <c r="R2599" s="277"/>
      <c r="S2599" s="291">
        <v>44155</v>
      </c>
      <c r="T2599" s="279">
        <v>2516</v>
      </c>
      <c r="U2599" s="277"/>
      <c r="V2599" s="277"/>
      <c r="W2599" s="277"/>
      <c r="X2599" s="277"/>
      <c r="Y2599" s="277"/>
      <c r="Z2599" s="277"/>
      <c r="AA2599" s="277"/>
      <c r="AB2599" s="277"/>
      <c r="AC2599" s="277"/>
      <c r="AD2599" s="277"/>
      <c r="AE2599" s="277"/>
      <c r="AF2599" s="277"/>
      <c r="AG2599" s="277"/>
      <c r="AH2599" s="277"/>
    </row>
    <row r="2600" spans="16:34" s="185" customFormat="1">
      <c r="P2600" s="277"/>
      <c r="Q2600" s="277"/>
      <c r="R2600" s="277"/>
      <c r="S2600" s="291">
        <v>44156</v>
      </c>
      <c r="T2600" s="279">
        <v>2517</v>
      </c>
      <c r="U2600" s="277"/>
      <c r="V2600" s="277"/>
      <c r="W2600" s="277"/>
      <c r="X2600" s="277"/>
      <c r="Y2600" s="277"/>
      <c r="Z2600" s="277"/>
      <c r="AA2600" s="277"/>
      <c r="AB2600" s="277"/>
      <c r="AC2600" s="277"/>
      <c r="AD2600" s="277"/>
      <c r="AE2600" s="277"/>
      <c r="AF2600" s="277"/>
      <c r="AG2600" s="277"/>
      <c r="AH2600" s="277"/>
    </row>
    <row r="2601" spans="16:34" s="185" customFormat="1">
      <c r="P2601" s="277"/>
      <c r="Q2601" s="277"/>
      <c r="R2601" s="277"/>
      <c r="S2601" s="291">
        <v>44157</v>
      </c>
      <c r="T2601" s="279">
        <v>2518</v>
      </c>
      <c r="U2601" s="277"/>
      <c r="V2601" s="277"/>
      <c r="W2601" s="277"/>
      <c r="X2601" s="277"/>
      <c r="Y2601" s="277"/>
      <c r="Z2601" s="277"/>
      <c r="AA2601" s="277"/>
      <c r="AB2601" s="277"/>
      <c r="AC2601" s="277"/>
      <c r="AD2601" s="277"/>
      <c r="AE2601" s="277"/>
      <c r="AF2601" s="277"/>
      <c r="AG2601" s="277"/>
      <c r="AH2601" s="277"/>
    </row>
    <row r="2602" spans="16:34" s="185" customFormat="1">
      <c r="P2602" s="277"/>
      <c r="Q2602" s="277"/>
      <c r="R2602" s="277"/>
      <c r="S2602" s="291">
        <v>44158</v>
      </c>
      <c r="T2602" s="279">
        <v>2519</v>
      </c>
      <c r="U2602" s="277"/>
      <c r="V2602" s="277"/>
      <c r="W2602" s="277"/>
      <c r="X2602" s="277"/>
      <c r="Y2602" s="277"/>
      <c r="Z2602" s="277"/>
      <c r="AA2602" s="277"/>
      <c r="AB2602" s="277"/>
      <c r="AC2602" s="277"/>
      <c r="AD2602" s="277"/>
      <c r="AE2602" s="277"/>
      <c r="AF2602" s="277"/>
      <c r="AG2602" s="277"/>
      <c r="AH2602" s="277"/>
    </row>
    <row r="2603" spans="16:34" s="185" customFormat="1">
      <c r="P2603" s="277"/>
      <c r="Q2603" s="277"/>
      <c r="R2603" s="277"/>
      <c r="S2603" s="291">
        <v>44159</v>
      </c>
      <c r="T2603" s="279">
        <v>2520</v>
      </c>
      <c r="U2603" s="277"/>
      <c r="V2603" s="277"/>
      <c r="W2603" s="277"/>
      <c r="X2603" s="277"/>
      <c r="Y2603" s="277"/>
      <c r="Z2603" s="277"/>
      <c r="AA2603" s="277"/>
      <c r="AB2603" s="277"/>
      <c r="AC2603" s="277"/>
      <c r="AD2603" s="277"/>
      <c r="AE2603" s="277"/>
      <c r="AF2603" s="277"/>
      <c r="AG2603" s="277"/>
      <c r="AH2603" s="277"/>
    </row>
    <row r="2604" spans="16:34" s="185" customFormat="1">
      <c r="P2604" s="277"/>
      <c r="Q2604" s="277"/>
      <c r="R2604" s="277"/>
      <c r="S2604" s="291">
        <v>44160</v>
      </c>
      <c r="T2604" s="279">
        <v>2521</v>
      </c>
      <c r="U2604" s="277"/>
      <c r="V2604" s="277"/>
      <c r="W2604" s="277"/>
      <c r="X2604" s="277"/>
      <c r="Y2604" s="277"/>
      <c r="Z2604" s="277"/>
      <c r="AA2604" s="277"/>
      <c r="AB2604" s="277"/>
      <c r="AC2604" s="277"/>
      <c r="AD2604" s="277"/>
      <c r="AE2604" s="277"/>
      <c r="AF2604" s="277"/>
      <c r="AG2604" s="277"/>
      <c r="AH2604" s="277"/>
    </row>
    <row r="2605" spans="16:34" s="185" customFormat="1">
      <c r="P2605" s="277"/>
      <c r="Q2605" s="277"/>
      <c r="R2605" s="277"/>
      <c r="S2605" s="291">
        <v>44161</v>
      </c>
      <c r="T2605" s="279">
        <v>2522</v>
      </c>
      <c r="U2605" s="277"/>
      <c r="V2605" s="277"/>
      <c r="W2605" s="277"/>
      <c r="X2605" s="277"/>
      <c r="Y2605" s="277"/>
      <c r="Z2605" s="277"/>
      <c r="AA2605" s="277"/>
      <c r="AB2605" s="277"/>
      <c r="AC2605" s="277"/>
      <c r="AD2605" s="277"/>
      <c r="AE2605" s="277"/>
      <c r="AF2605" s="277"/>
      <c r="AG2605" s="277"/>
      <c r="AH2605" s="277"/>
    </row>
    <row r="2606" spans="16:34" s="185" customFormat="1">
      <c r="P2606" s="277"/>
      <c r="Q2606" s="277"/>
      <c r="R2606" s="277"/>
      <c r="S2606" s="291">
        <v>44162</v>
      </c>
      <c r="T2606" s="279">
        <v>2523</v>
      </c>
      <c r="U2606" s="277"/>
      <c r="V2606" s="277"/>
      <c r="W2606" s="277"/>
      <c r="X2606" s="277"/>
      <c r="Y2606" s="277"/>
      <c r="Z2606" s="277"/>
      <c r="AA2606" s="277"/>
      <c r="AB2606" s="277"/>
      <c r="AC2606" s="277"/>
      <c r="AD2606" s="277"/>
      <c r="AE2606" s="277"/>
      <c r="AF2606" s="277"/>
      <c r="AG2606" s="277"/>
      <c r="AH2606" s="277"/>
    </row>
    <row r="2607" spans="16:34" s="185" customFormat="1">
      <c r="P2607" s="277"/>
      <c r="Q2607" s="277"/>
      <c r="R2607" s="277"/>
      <c r="S2607" s="291">
        <v>44163</v>
      </c>
      <c r="T2607" s="279">
        <v>2524</v>
      </c>
      <c r="U2607" s="277"/>
      <c r="V2607" s="277"/>
      <c r="W2607" s="277"/>
      <c r="X2607" s="277"/>
      <c r="Y2607" s="277"/>
      <c r="Z2607" s="277"/>
      <c r="AA2607" s="277"/>
      <c r="AB2607" s="277"/>
      <c r="AC2607" s="277"/>
      <c r="AD2607" s="277"/>
      <c r="AE2607" s="277"/>
      <c r="AF2607" s="277"/>
      <c r="AG2607" s="277"/>
      <c r="AH2607" s="277"/>
    </row>
    <row r="2608" spans="16:34" s="185" customFormat="1">
      <c r="P2608" s="277"/>
      <c r="Q2608" s="277"/>
      <c r="R2608" s="277"/>
      <c r="S2608" s="291">
        <v>44164</v>
      </c>
      <c r="T2608" s="279">
        <v>2525</v>
      </c>
      <c r="U2608" s="277"/>
      <c r="V2608" s="277"/>
      <c r="W2608" s="277"/>
      <c r="X2608" s="277"/>
      <c r="Y2608" s="277"/>
      <c r="Z2608" s="277"/>
      <c r="AA2608" s="277"/>
      <c r="AB2608" s="277"/>
      <c r="AC2608" s="277"/>
      <c r="AD2608" s="277"/>
      <c r="AE2608" s="277"/>
      <c r="AF2608" s="277"/>
      <c r="AG2608" s="277"/>
      <c r="AH2608" s="277"/>
    </row>
    <row r="2609" spans="16:34" s="185" customFormat="1">
      <c r="P2609" s="277"/>
      <c r="Q2609" s="277"/>
      <c r="R2609" s="277"/>
      <c r="S2609" s="291">
        <v>44165</v>
      </c>
      <c r="T2609" s="279">
        <v>2526</v>
      </c>
      <c r="U2609" s="277"/>
      <c r="V2609" s="277"/>
      <c r="W2609" s="277"/>
      <c r="X2609" s="277"/>
      <c r="Y2609" s="277"/>
      <c r="Z2609" s="277"/>
      <c r="AA2609" s="277"/>
      <c r="AB2609" s="277"/>
      <c r="AC2609" s="277"/>
      <c r="AD2609" s="277"/>
      <c r="AE2609" s="277"/>
      <c r="AF2609" s="277"/>
      <c r="AG2609" s="277"/>
      <c r="AH2609" s="277"/>
    </row>
    <row r="2610" spans="16:34" s="185" customFormat="1">
      <c r="P2610" s="277"/>
      <c r="Q2610" s="277"/>
      <c r="R2610" s="277"/>
      <c r="S2610" s="291">
        <v>44166</v>
      </c>
      <c r="T2610" s="279">
        <v>2527</v>
      </c>
      <c r="U2610" s="277"/>
      <c r="V2610" s="277"/>
      <c r="W2610" s="277"/>
      <c r="X2610" s="277"/>
      <c r="Y2610" s="277"/>
      <c r="Z2610" s="277"/>
      <c r="AA2610" s="277"/>
      <c r="AB2610" s="277"/>
      <c r="AC2610" s="277"/>
      <c r="AD2610" s="277"/>
      <c r="AE2610" s="277"/>
      <c r="AF2610" s="277"/>
      <c r="AG2610" s="277"/>
      <c r="AH2610" s="277"/>
    </row>
    <row r="2611" spans="16:34" s="185" customFormat="1">
      <c r="P2611" s="277"/>
      <c r="Q2611" s="277"/>
      <c r="R2611" s="277"/>
      <c r="S2611" s="291">
        <v>44167</v>
      </c>
      <c r="T2611" s="279">
        <v>2528</v>
      </c>
      <c r="U2611" s="277"/>
      <c r="V2611" s="277"/>
      <c r="W2611" s="277"/>
      <c r="X2611" s="277"/>
      <c r="Y2611" s="277"/>
      <c r="Z2611" s="277"/>
      <c r="AA2611" s="277"/>
      <c r="AB2611" s="277"/>
      <c r="AC2611" s="277"/>
      <c r="AD2611" s="277"/>
      <c r="AE2611" s="277"/>
      <c r="AF2611" s="277"/>
      <c r="AG2611" s="277"/>
      <c r="AH2611" s="277"/>
    </row>
    <row r="2612" spans="16:34" s="185" customFormat="1">
      <c r="P2612" s="277"/>
      <c r="Q2612" s="277"/>
      <c r="R2612" s="277"/>
      <c r="S2612" s="291">
        <v>44168</v>
      </c>
      <c r="T2612" s="279">
        <v>2529</v>
      </c>
      <c r="U2612" s="277"/>
      <c r="V2612" s="277"/>
      <c r="W2612" s="277"/>
      <c r="X2612" s="277"/>
      <c r="Y2612" s="277"/>
      <c r="Z2612" s="277"/>
      <c r="AA2612" s="277"/>
      <c r="AB2612" s="277"/>
      <c r="AC2612" s="277"/>
      <c r="AD2612" s="277"/>
      <c r="AE2612" s="277"/>
      <c r="AF2612" s="277"/>
      <c r="AG2612" s="277"/>
      <c r="AH2612" s="277"/>
    </row>
    <row r="2613" spans="16:34" s="185" customFormat="1">
      <c r="P2613" s="277"/>
      <c r="Q2613" s="277"/>
      <c r="R2613" s="277"/>
      <c r="S2613" s="291">
        <v>44169</v>
      </c>
      <c r="T2613" s="279">
        <v>2530</v>
      </c>
      <c r="U2613" s="277"/>
      <c r="V2613" s="277"/>
      <c r="W2613" s="277"/>
      <c r="X2613" s="277"/>
      <c r="Y2613" s="277"/>
      <c r="Z2613" s="277"/>
      <c r="AA2613" s="277"/>
      <c r="AB2613" s="277"/>
      <c r="AC2613" s="277"/>
      <c r="AD2613" s="277"/>
      <c r="AE2613" s="277"/>
      <c r="AF2613" s="277"/>
      <c r="AG2613" s="277"/>
      <c r="AH2613" s="277"/>
    </row>
    <row r="2614" spans="16:34" s="185" customFormat="1">
      <c r="P2614" s="277"/>
      <c r="Q2614" s="277"/>
      <c r="R2614" s="277"/>
      <c r="S2614" s="291">
        <v>44170</v>
      </c>
      <c r="T2614" s="279">
        <v>2531</v>
      </c>
      <c r="U2614" s="277"/>
      <c r="V2614" s="277"/>
      <c r="W2614" s="277"/>
      <c r="X2614" s="277"/>
      <c r="Y2614" s="277"/>
      <c r="Z2614" s="277"/>
      <c r="AA2614" s="277"/>
      <c r="AB2614" s="277"/>
      <c r="AC2614" s="277"/>
      <c r="AD2614" s="277"/>
      <c r="AE2614" s="277"/>
      <c r="AF2614" s="277"/>
      <c r="AG2614" s="277"/>
      <c r="AH2614" s="277"/>
    </row>
    <row r="2615" spans="16:34" s="185" customFormat="1">
      <c r="P2615" s="277"/>
      <c r="Q2615" s="277"/>
      <c r="R2615" s="277"/>
      <c r="S2615" s="291">
        <v>44171</v>
      </c>
      <c r="T2615" s="279">
        <v>2532</v>
      </c>
      <c r="U2615" s="277"/>
      <c r="V2615" s="277"/>
      <c r="W2615" s="277"/>
      <c r="X2615" s="277"/>
      <c r="Y2615" s="277"/>
      <c r="Z2615" s="277"/>
      <c r="AA2615" s="277"/>
      <c r="AB2615" s="277"/>
      <c r="AC2615" s="277"/>
      <c r="AD2615" s="277"/>
      <c r="AE2615" s="277"/>
      <c r="AF2615" s="277"/>
      <c r="AG2615" s="277"/>
      <c r="AH2615" s="277"/>
    </row>
    <row r="2616" spans="16:34" s="185" customFormat="1">
      <c r="P2616" s="277"/>
      <c r="Q2616" s="277"/>
      <c r="R2616" s="277"/>
      <c r="S2616" s="291">
        <v>44172</v>
      </c>
      <c r="T2616" s="279">
        <v>2533</v>
      </c>
      <c r="U2616" s="277"/>
      <c r="V2616" s="277"/>
      <c r="W2616" s="277"/>
      <c r="X2616" s="277"/>
      <c r="Y2616" s="277"/>
      <c r="Z2616" s="277"/>
      <c r="AA2616" s="277"/>
      <c r="AB2616" s="277"/>
      <c r="AC2616" s="277"/>
      <c r="AD2616" s="277"/>
      <c r="AE2616" s="277"/>
      <c r="AF2616" s="277"/>
      <c r="AG2616" s="277"/>
      <c r="AH2616" s="277"/>
    </row>
    <row r="2617" spans="16:34" s="185" customFormat="1">
      <c r="P2617" s="277"/>
      <c r="Q2617" s="277"/>
      <c r="R2617" s="277"/>
      <c r="S2617" s="291">
        <v>44173</v>
      </c>
      <c r="T2617" s="279">
        <v>2534</v>
      </c>
      <c r="U2617" s="277"/>
      <c r="V2617" s="277"/>
      <c r="W2617" s="277"/>
      <c r="X2617" s="277"/>
      <c r="Y2617" s="277"/>
      <c r="Z2617" s="277"/>
      <c r="AA2617" s="277"/>
      <c r="AB2617" s="277"/>
      <c r="AC2617" s="277"/>
      <c r="AD2617" s="277"/>
      <c r="AE2617" s="277"/>
      <c r="AF2617" s="277"/>
      <c r="AG2617" s="277"/>
      <c r="AH2617" s="277"/>
    </row>
    <row r="2618" spans="16:34" s="185" customFormat="1">
      <c r="P2618" s="277"/>
      <c r="Q2618" s="277"/>
      <c r="R2618" s="277"/>
      <c r="S2618" s="291">
        <v>44174</v>
      </c>
      <c r="T2618" s="279">
        <v>2535</v>
      </c>
      <c r="U2618" s="277"/>
      <c r="V2618" s="277"/>
      <c r="W2618" s="277"/>
      <c r="X2618" s="277"/>
      <c r="Y2618" s="277"/>
      <c r="Z2618" s="277"/>
      <c r="AA2618" s="277"/>
      <c r="AB2618" s="277"/>
      <c r="AC2618" s="277"/>
      <c r="AD2618" s="277"/>
      <c r="AE2618" s="277"/>
      <c r="AF2618" s="277"/>
      <c r="AG2618" s="277"/>
      <c r="AH2618" s="277"/>
    </row>
    <row r="2619" spans="16:34" s="185" customFormat="1">
      <c r="P2619" s="277"/>
      <c r="Q2619" s="277"/>
      <c r="R2619" s="277"/>
      <c r="S2619" s="291">
        <v>44175</v>
      </c>
      <c r="T2619" s="279">
        <v>2536</v>
      </c>
      <c r="U2619" s="277"/>
      <c r="V2619" s="277"/>
      <c r="W2619" s="277"/>
      <c r="X2619" s="277"/>
      <c r="Y2619" s="277"/>
      <c r="Z2619" s="277"/>
      <c r="AA2619" s="277"/>
      <c r="AB2619" s="277"/>
      <c r="AC2619" s="277"/>
      <c r="AD2619" s="277"/>
      <c r="AE2619" s="277"/>
      <c r="AF2619" s="277"/>
      <c r="AG2619" s="277"/>
      <c r="AH2619" s="277"/>
    </row>
    <row r="2620" spans="16:34" s="185" customFormat="1">
      <c r="P2620" s="277"/>
      <c r="Q2620" s="277"/>
      <c r="R2620" s="277"/>
      <c r="S2620" s="291">
        <v>44176</v>
      </c>
      <c r="T2620" s="279">
        <v>2537</v>
      </c>
      <c r="U2620" s="277"/>
      <c r="V2620" s="277"/>
      <c r="W2620" s="277"/>
      <c r="X2620" s="277"/>
      <c r="Y2620" s="277"/>
      <c r="Z2620" s="277"/>
      <c r="AA2620" s="277"/>
      <c r="AB2620" s="277"/>
      <c r="AC2620" s="277"/>
      <c r="AD2620" s="277"/>
      <c r="AE2620" s="277"/>
      <c r="AF2620" s="277"/>
      <c r="AG2620" s="277"/>
      <c r="AH2620" s="277"/>
    </row>
    <row r="2621" spans="16:34" s="185" customFormat="1">
      <c r="P2621" s="277"/>
      <c r="Q2621" s="277"/>
      <c r="R2621" s="277"/>
      <c r="S2621" s="291">
        <v>44177</v>
      </c>
      <c r="T2621" s="279">
        <v>2538</v>
      </c>
      <c r="U2621" s="277"/>
      <c r="V2621" s="277"/>
      <c r="W2621" s="277"/>
      <c r="X2621" s="277"/>
      <c r="Y2621" s="277"/>
      <c r="Z2621" s="277"/>
      <c r="AA2621" s="277"/>
      <c r="AB2621" s="277"/>
      <c r="AC2621" s="277"/>
      <c r="AD2621" s="277"/>
      <c r="AE2621" s="277"/>
      <c r="AF2621" s="277"/>
      <c r="AG2621" s="277"/>
      <c r="AH2621" s="277"/>
    </row>
    <row r="2622" spans="16:34" s="185" customFormat="1">
      <c r="P2622" s="277"/>
      <c r="Q2622" s="277"/>
      <c r="R2622" s="277"/>
      <c r="S2622" s="291">
        <v>44178</v>
      </c>
      <c r="T2622" s="279">
        <v>2539</v>
      </c>
      <c r="U2622" s="277"/>
      <c r="V2622" s="277"/>
      <c r="W2622" s="277"/>
      <c r="X2622" s="277"/>
      <c r="Y2622" s="277"/>
      <c r="Z2622" s="277"/>
      <c r="AA2622" s="277"/>
      <c r="AB2622" s="277"/>
      <c r="AC2622" s="277"/>
      <c r="AD2622" s="277"/>
      <c r="AE2622" s="277"/>
      <c r="AF2622" s="277"/>
      <c r="AG2622" s="277"/>
      <c r="AH2622" s="277"/>
    </row>
    <row r="2623" spans="16:34" s="185" customFormat="1">
      <c r="P2623" s="277"/>
      <c r="Q2623" s="277"/>
      <c r="R2623" s="277"/>
      <c r="S2623" s="291">
        <v>44179</v>
      </c>
      <c r="T2623" s="279">
        <v>2540</v>
      </c>
      <c r="U2623" s="277"/>
      <c r="V2623" s="277"/>
      <c r="W2623" s="277"/>
      <c r="X2623" s="277"/>
      <c r="Y2623" s="277"/>
      <c r="Z2623" s="277"/>
      <c r="AA2623" s="277"/>
      <c r="AB2623" s="277"/>
      <c r="AC2623" s="277"/>
      <c r="AD2623" s="277"/>
      <c r="AE2623" s="277"/>
      <c r="AF2623" s="277"/>
      <c r="AG2623" s="277"/>
      <c r="AH2623" s="277"/>
    </row>
    <row r="2624" spans="16:34" s="185" customFormat="1">
      <c r="P2624" s="277"/>
      <c r="Q2624" s="277"/>
      <c r="R2624" s="277"/>
      <c r="S2624" s="291">
        <v>44180</v>
      </c>
      <c r="T2624" s="279">
        <v>2541</v>
      </c>
      <c r="U2624" s="277"/>
      <c r="V2624" s="277"/>
      <c r="W2624" s="277"/>
      <c r="X2624" s="277"/>
      <c r="Y2624" s="277"/>
      <c r="Z2624" s="277"/>
      <c r="AA2624" s="277"/>
      <c r="AB2624" s="277"/>
      <c r="AC2624" s="277"/>
      <c r="AD2624" s="277"/>
      <c r="AE2624" s="277"/>
      <c r="AF2624" s="277"/>
      <c r="AG2624" s="277"/>
      <c r="AH2624" s="277"/>
    </row>
    <row r="2625" spans="16:34" s="185" customFormat="1">
      <c r="P2625" s="277"/>
      <c r="Q2625" s="277"/>
      <c r="R2625" s="277"/>
      <c r="S2625" s="291">
        <v>44181</v>
      </c>
      <c r="T2625" s="279">
        <v>2542</v>
      </c>
      <c r="U2625" s="277"/>
      <c r="V2625" s="277"/>
      <c r="W2625" s="277"/>
      <c r="X2625" s="277"/>
      <c r="Y2625" s="277"/>
      <c r="Z2625" s="277"/>
      <c r="AA2625" s="277"/>
      <c r="AB2625" s="277"/>
      <c r="AC2625" s="277"/>
      <c r="AD2625" s="277"/>
      <c r="AE2625" s="277"/>
      <c r="AF2625" s="277"/>
      <c r="AG2625" s="277"/>
      <c r="AH2625" s="277"/>
    </row>
    <row r="2626" spans="16:34" s="185" customFormat="1">
      <c r="P2626" s="277"/>
      <c r="Q2626" s="277"/>
      <c r="R2626" s="277"/>
      <c r="S2626" s="291">
        <v>44182</v>
      </c>
      <c r="T2626" s="279">
        <v>2543</v>
      </c>
      <c r="U2626" s="277"/>
      <c r="V2626" s="277"/>
      <c r="W2626" s="277"/>
      <c r="X2626" s="277"/>
      <c r="Y2626" s="277"/>
      <c r="Z2626" s="277"/>
      <c r="AA2626" s="277"/>
      <c r="AB2626" s="277"/>
      <c r="AC2626" s="277"/>
      <c r="AD2626" s="277"/>
      <c r="AE2626" s="277"/>
      <c r="AF2626" s="277"/>
      <c r="AG2626" s="277"/>
      <c r="AH2626" s="277"/>
    </row>
    <row r="2627" spans="16:34" s="185" customFormat="1">
      <c r="P2627" s="277"/>
      <c r="Q2627" s="277"/>
      <c r="R2627" s="277"/>
      <c r="S2627" s="291">
        <v>44183</v>
      </c>
      <c r="T2627" s="279">
        <v>2544</v>
      </c>
      <c r="U2627" s="277"/>
      <c r="V2627" s="277"/>
      <c r="W2627" s="277"/>
      <c r="X2627" s="277"/>
      <c r="Y2627" s="277"/>
      <c r="Z2627" s="277"/>
      <c r="AA2627" s="277"/>
      <c r="AB2627" s="277"/>
      <c r="AC2627" s="277"/>
      <c r="AD2627" s="277"/>
      <c r="AE2627" s="277"/>
      <c r="AF2627" s="277"/>
      <c r="AG2627" s="277"/>
      <c r="AH2627" s="277"/>
    </row>
    <row r="2628" spans="16:34" s="185" customFormat="1">
      <c r="P2628" s="277"/>
      <c r="Q2628" s="277"/>
      <c r="R2628" s="277"/>
      <c r="S2628" s="291">
        <v>44184</v>
      </c>
      <c r="T2628" s="279">
        <v>2545</v>
      </c>
      <c r="U2628" s="277"/>
      <c r="V2628" s="277"/>
      <c r="W2628" s="277"/>
      <c r="X2628" s="277"/>
      <c r="Y2628" s="277"/>
      <c r="Z2628" s="277"/>
      <c r="AA2628" s="277"/>
      <c r="AB2628" s="277"/>
      <c r="AC2628" s="277"/>
      <c r="AD2628" s="277"/>
      <c r="AE2628" s="277"/>
      <c r="AF2628" s="277"/>
      <c r="AG2628" s="277"/>
      <c r="AH2628" s="277"/>
    </row>
    <row r="2629" spans="16:34" s="185" customFormat="1">
      <c r="P2629" s="277"/>
      <c r="Q2629" s="277"/>
      <c r="R2629" s="277"/>
      <c r="S2629" s="291">
        <v>44185</v>
      </c>
      <c r="T2629" s="279">
        <v>2546</v>
      </c>
      <c r="U2629" s="277"/>
      <c r="V2629" s="277"/>
      <c r="W2629" s="277"/>
      <c r="X2629" s="277"/>
      <c r="Y2629" s="277"/>
      <c r="Z2629" s="277"/>
      <c r="AA2629" s="277"/>
      <c r="AB2629" s="277"/>
      <c r="AC2629" s="277"/>
      <c r="AD2629" s="277"/>
      <c r="AE2629" s="277"/>
      <c r="AF2629" s="277"/>
      <c r="AG2629" s="277"/>
      <c r="AH2629" s="277"/>
    </row>
    <row r="2630" spans="16:34" s="185" customFormat="1">
      <c r="P2630" s="277"/>
      <c r="Q2630" s="277"/>
      <c r="R2630" s="277"/>
      <c r="S2630" s="291">
        <v>44186</v>
      </c>
      <c r="T2630" s="279">
        <v>2547</v>
      </c>
      <c r="U2630" s="277"/>
      <c r="V2630" s="277"/>
      <c r="W2630" s="277"/>
      <c r="X2630" s="277"/>
      <c r="Y2630" s="277"/>
      <c r="Z2630" s="277"/>
      <c r="AA2630" s="277"/>
      <c r="AB2630" s="277"/>
      <c r="AC2630" s="277"/>
      <c r="AD2630" s="277"/>
      <c r="AE2630" s="277"/>
      <c r="AF2630" s="277"/>
      <c r="AG2630" s="277"/>
      <c r="AH2630" s="277"/>
    </row>
    <row r="2631" spans="16:34" s="185" customFormat="1">
      <c r="P2631" s="277"/>
      <c r="Q2631" s="277"/>
      <c r="R2631" s="277"/>
      <c r="S2631" s="291">
        <v>44187</v>
      </c>
      <c r="T2631" s="279">
        <v>2548</v>
      </c>
      <c r="U2631" s="277"/>
      <c r="V2631" s="277"/>
      <c r="W2631" s="277"/>
      <c r="X2631" s="277"/>
      <c r="Y2631" s="277"/>
      <c r="Z2631" s="277"/>
      <c r="AA2631" s="277"/>
      <c r="AB2631" s="277"/>
      <c r="AC2631" s="277"/>
      <c r="AD2631" s="277"/>
      <c r="AE2631" s="277"/>
      <c r="AF2631" s="277"/>
      <c r="AG2631" s="277"/>
      <c r="AH2631" s="277"/>
    </row>
    <row r="2632" spans="16:34" s="185" customFormat="1">
      <c r="P2632" s="277"/>
      <c r="Q2632" s="277"/>
      <c r="R2632" s="277"/>
      <c r="S2632" s="291">
        <v>44188</v>
      </c>
      <c r="T2632" s="279">
        <v>2549</v>
      </c>
      <c r="U2632" s="277"/>
      <c r="V2632" s="277"/>
      <c r="W2632" s="277"/>
      <c r="X2632" s="277"/>
      <c r="Y2632" s="277"/>
      <c r="Z2632" s="277"/>
      <c r="AA2632" s="277"/>
      <c r="AB2632" s="277"/>
      <c r="AC2632" s="277"/>
      <c r="AD2632" s="277"/>
      <c r="AE2632" s="277"/>
      <c r="AF2632" s="277"/>
      <c r="AG2632" s="277"/>
      <c r="AH2632" s="277"/>
    </row>
    <row r="2633" spans="16:34" s="185" customFormat="1">
      <c r="P2633" s="277"/>
      <c r="Q2633" s="277"/>
      <c r="R2633" s="277"/>
      <c r="S2633" s="291">
        <v>44189</v>
      </c>
      <c r="T2633" s="279">
        <v>2550</v>
      </c>
      <c r="U2633" s="277"/>
      <c r="V2633" s="277"/>
      <c r="W2633" s="277"/>
      <c r="X2633" s="277"/>
      <c r="Y2633" s="277"/>
      <c r="Z2633" s="277"/>
      <c r="AA2633" s="277"/>
      <c r="AB2633" s="277"/>
      <c r="AC2633" s="277"/>
      <c r="AD2633" s="277"/>
      <c r="AE2633" s="277"/>
      <c r="AF2633" s="277"/>
      <c r="AG2633" s="277"/>
      <c r="AH2633" s="277"/>
    </row>
    <row r="2634" spans="16:34" s="185" customFormat="1">
      <c r="P2634" s="277"/>
      <c r="Q2634" s="277"/>
      <c r="R2634" s="277"/>
      <c r="S2634" s="291">
        <v>44190</v>
      </c>
      <c r="T2634" s="279">
        <v>2551</v>
      </c>
      <c r="U2634" s="277"/>
      <c r="V2634" s="277"/>
      <c r="W2634" s="277"/>
      <c r="X2634" s="277"/>
      <c r="Y2634" s="277"/>
      <c r="Z2634" s="277"/>
      <c r="AA2634" s="277"/>
      <c r="AB2634" s="277"/>
      <c r="AC2634" s="277"/>
      <c r="AD2634" s="277"/>
      <c r="AE2634" s="277"/>
      <c r="AF2634" s="277"/>
      <c r="AG2634" s="277"/>
      <c r="AH2634" s="277"/>
    </row>
    <row r="2635" spans="16:34" s="185" customFormat="1">
      <c r="P2635" s="277"/>
      <c r="Q2635" s="277"/>
      <c r="R2635" s="277"/>
      <c r="S2635" s="291">
        <v>44191</v>
      </c>
      <c r="T2635" s="279">
        <v>2552</v>
      </c>
      <c r="U2635" s="277"/>
      <c r="V2635" s="277"/>
      <c r="W2635" s="277"/>
      <c r="X2635" s="277"/>
      <c r="Y2635" s="277"/>
      <c r="Z2635" s="277"/>
      <c r="AA2635" s="277"/>
      <c r="AB2635" s="277"/>
      <c r="AC2635" s="277"/>
      <c r="AD2635" s="277"/>
      <c r="AE2635" s="277"/>
      <c r="AF2635" s="277"/>
      <c r="AG2635" s="277"/>
      <c r="AH2635" s="277"/>
    </row>
    <row r="2636" spans="16:34" s="185" customFormat="1">
      <c r="P2636" s="277"/>
      <c r="Q2636" s="277"/>
      <c r="R2636" s="277"/>
      <c r="S2636" s="291">
        <v>44192</v>
      </c>
      <c r="T2636" s="279">
        <v>2553</v>
      </c>
      <c r="U2636" s="277"/>
      <c r="V2636" s="277"/>
      <c r="W2636" s="277"/>
      <c r="X2636" s="277"/>
      <c r="Y2636" s="277"/>
      <c r="Z2636" s="277"/>
      <c r="AA2636" s="277"/>
      <c r="AB2636" s="277"/>
      <c r="AC2636" s="277"/>
      <c r="AD2636" s="277"/>
      <c r="AE2636" s="277"/>
      <c r="AF2636" s="277"/>
      <c r="AG2636" s="277"/>
      <c r="AH2636" s="277"/>
    </row>
    <row r="2637" spans="16:34" s="185" customFormat="1">
      <c r="P2637" s="277"/>
      <c r="Q2637" s="277"/>
      <c r="R2637" s="277"/>
      <c r="S2637" s="291">
        <v>44193</v>
      </c>
      <c r="T2637" s="279">
        <v>2554</v>
      </c>
      <c r="U2637" s="277"/>
      <c r="V2637" s="277"/>
      <c r="W2637" s="277"/>
      <c r="X2637" s="277"/>
      <c r="Y2637" s="277"/>
      <c r="Z2637" s="277"/>
      <c r="AA2637" s="277"/>
      <c r="AB2637" s="277"/>
      <c r="AC2637" s="277"/>
      <c r="AD2637" s="277"/>
      <c r="AE2637" s="277"/>
      <c r="AF2637" s="277"/>
      <c r="AG2637" s="277"/>
      <c r="AH2637" s="277"/>
    </row>
    <row r="2638" spans="16:34" s="185" customFormat="1">
      <c r="P2638" s="277"/>
      <c r="Q2638" s="277"/>
      <c r="R2638" s="277"/>
      <c r="S2638" s="291">
        <v>44194</v>
      </c>
      <c r="T2638" s="279">
        <v>2555</v>
      </c>
      <c r="U2638" s="277"/>
      <c r="V2638" s="277"/>
      <c r="W2638" s="277"/>
      <c r="X2638" s="277"/>
      <c r="Y2638" s="277"/>
      <c r="Z2638" s="277"/>
      <c r="AA2638" s="277"/>
      <c r="AB2638" s="277"/>
      <c r="AC2638" s="277"/>
      <c r="AD2638" s="277"/>
      <c r="AE2638" s="277"/>
      <c r="AF2638" s="277"/>
      <c r="AG2638" s="277"/>
      <c r="AH2638" s="277"/>
    </row>
    <row r="2639" spans="16:34" s="185" customFormat="1">
      <c r="P2639" s="277"/>
      <c r="Q2639" s="277"/>
      <c r="R2639" s="277"/>
      <c r="S2639" s="291">
        <v>44195</v>
      </c>
      <c r="T2639" s="279">
        <v>2556</v>
      </c>
      <c r="U2639" s="277"/>
      <c r="V2639" s="277"/>
      <c r="W2639" s="277"/>
      <c r="X2639" s="277"/>
      <c r="Y2639" s="277"/>
      <c r="Z2639" s="277"/>
      <c r="AA2639" s="277"/>
      <c r="AB2639" s="277"/>
      <c r="AC2639" s="277"/>
      <c r="AD2639" s="277"/>
      <c r="AE2639" s="277"/>
      <c r="AF2639" s="277"/>
      <c r="AG2639" s="277"/>
      <c r="AH2639" s="277"/>
    </row>
    <row r="2640" spans="16:34" s="185" customFormat="1">
      <c r="P2640" s="277"/>
      <c r="Q2640" s="277"/>
      <c r="R2640" s="277"/>
      <c r="S2640" s="291">
        <v>44196</v>
      </c>
      <c r="T2640" s="279">
        <v>2557</v>
      </c>
      <c r="U2640" s="277"/>
      <c r="V2640" s="277"/>
      <c r="W2640" s="277"/>
      <c r="X2640" s="277"/>
      <c r="Y2640" s="277"/>
      <c r="Z2640" s="277"/>
      <c r="AA2640" s="277"/>
      <c r="AB2640" s="277"/>
      <c r="AC2640" s="277"/>
      <c r="AD2640" s="277"/>
      <c r="AE2640" s="277"/>
      <c r="AF2640" s="277"/>
      <c r="AG2640" s="277"/>
      <c r="AH2640" s="277"/>
    </row>
    <row r="2641" spans="16:34" s="185" customFormat="1">
      <c r="P2641" s="277"/>
      <c r="Q2641" s="277"/>
      <c r="R2641" s="277"/>
      <c r="S2641" s="291">
        <v>44197</v>
      </c>
      <c r="T2641" s="279">
        <v>2558</v>
      </c>
      <c r="U2641" s="277"/>
      <c r="V2641" s="277"/>
      <c r="W2641" s="277"/>
      <c r="X2641" s="277"/>
      <c r="Y2641" s="277"/>
      <c r="Z2641" s="277"/>
      <c r="AA2641" s="277"/>
      <c r="AB2641" s="277"/>
      <c r="AC2641" s="277"/>
      <c r="AD2641" s="277"/>
      <c r="AE2641" s="277"/>
      <c r="AF2641" s="277"/>
      <c r="AG2641" s="277"/>
      <c r="AH2641" s="277"/>
    </row>
    <row r="2642" spans="16:34" s="185" customFormat="1">
      <c r="P2642" s="277"/>
      <c r="Q2642" s="277"/>
      <c r="R2642" s="277"/>
      <c r="S2642" s="291">
        <v>44198</v>
      </c>
      <c r="T2642" s="279">
        <v>2559</v>
      </c>
      <c r="U2642" s="277"/>
      <c r="V2642" s="277"/>
      <c r="W2642" s="277"/>
      <c r="X2642" s="277"/>
      <c r="Y2642" s="277"/>
      <c r="Z2642" s="277"/>
      <c r="AA2642" s="277"/>
      <c r="AB2642" s="277"/>
      <c r="AC2642" s="277"/>
      <c r="AD2642" s="277"/>
      <c r="AE2642" s="277"/>
      <c r="AF2642" s="277"/>
      <c r="AG2642" s="277"/>
      <c r="AH2642" s="277"/>
    </row>
    <row r="2643" spans="16:34" s="185" customFormat="1">
      <c r="P2643" s="277"/>
      <c r="Q2643" s="277"/>
      <c r="R2643" s="277"/>
      <c r="S2643" s="291">
        <v>44199</v>
      </c>
      <c r="T2643" s="279">
        <v>2560</v>
      </c>
      <c r="U2643" s="277"/>
      <c r="V2643" s="277"/>
      <c r="W2643" s="277"/>
      <c r="X2643" s="277"/>
      <c r="Y2643" s="277"/>
      <c r="Z2643" s="277"/>
      <c r="AA2643" s="277"/>
      <c r="AB2643" s="277"/>
      <c r="AC2643" s="277"/>
      <c r="AD2643" s="277"/>
      <c r="AE2643" s="277"/>
      <c r="AF2643" s="277"/>
      <c r="AG2643" s="277"/>
      <c r="AH2643" s="277"/>
    </row>
    <row r="2644" spans="16:34" s="185" customFormat="1">
      <c r="P2644" s="277"/>
      <c r="Q2644" s="277"/>
      <c r="R2644" s="277"/>
      <c r="S2644" s="291">
        <v>44200</v>
      </c>
      <c r="T2644" s="279">
        <v>2561</v>
      </c>
      <c r="U2644" s="277"/>
      <c r="V2644" s="277"/>
      <c r="W2644" s="277"/>
      <c r="X2644" s="277"/>
      <c r="Y2644" s="277"/>
      <c r="Z2644" s="277"/>
      <c r="AA2644" s="277"/>
      <c r="AB2644" s="277"/>
      <c r="AC2644" s="277"/>
      <c r="AD2644" s="277"/>
      <c r="AE2644" s="277"/>
      <c r="AF2644" s="277"/>
      <c r="AG2644" s="277"/>
      <c r="AH2644" s="277"/>
    </row>
    <row r="2645" spans="16:34" s="185" customFormat="1">
      <c r="P2645" s="277"/>
      <c r="Q2645" s="277"/>
      <c r="R2645" s="277"/>
      <c r="S2645" s="291">
        <v>44201</v>
      </c>
      <c r="T2645" s="279">
        <v>2562</v>
      </c>
      <c r="U2645" s="277"/>
      <c r="V2645" s="277"/>
      <c r="W2645" s="277"/>
      <c r="X2645" s="277"/>
      <c r="Y2645" s="277"/>
      <c r="Z2645" s="277"/>
      <c r="AA2645" s="277"/>
      <c r="AB2645" s="277"/>
      <c r="AC2645" s="277"/>
      <c r="AD2645" s="277"/>
      <c r="AE2645" s="277"/>
      <c r="AF2645" s="277"/>
      <c r="AG2645" s="277"/>
      <c r="AH2645" s="277"/>
    </row>
    <row r="2646" spans="16:34" s="185" customFormat="1">
      <c r="P2646" s="277"/>
      <c r="Q2646" s="277"/>
      <c r="R2646" s="277"/>
      <c r="S2646" s="291">
        <v>44202</v>
      </c>
      <c r="T2646" s="279">
        <v>2563</v>
      </c>
      <c r="U2646" s="277"/>
      <c r="V2646" s="277"/>
      <c r="W2646" s="277"/>
      <c r="X2646" s="277"/>
      <c r="Y2646" s="277"/>
      <c r="Z2646" s="277"/>
      <c r="AA2646" s="277"/>
      <c r="AB2646" s="277"/>
      <c r="AC2646" s="277"/>
      <c r="AD2646" s="277"/>
      <c r="AE2646" s="277"/>
      <c r="AF2646" s="277"/>
      <c r="AG2646" s="277"/>
      <c r="AH2646" s="277"/>
    </row>
    <row r="2647" spans="16:34" s="185" customFormat="1">
      <c r="P2647" s="277"/>
      <c r="Q2647" s="277"/>
      <c r="R2647" s="277"/>
      <c r="S2647" s="291">
        <v>44203</v>
      </c>
      <c r="T2647" s="279">
        <v>2564</v>
      </c>
      <c r="U2647" s="277"/>
      <c r="V2647" s="277"/>
      <c r="W2647" s="277"/>
      <c r="X2647" s="277"/>
      <c r="Y2647" s="277"/>
      <c r="Z2647" s="277"/>
      <c r="AA2647" s="277"/>
      <c r="AB2647" s="277"/>
      <c r="AC2647" s="277"/>
      <c r="AD2647" s="277"/>
      <c r="AE2647" s="277"/>
      <c r="AF2647" s="277"/>
      <c r="AG2647" s="277"/>
      <c r="AH2647" s="277"/>
    </row>
    <row r="2648" spans="16:34" s="185" customFormat="1">
      <c r="P2648" s="277"/>
      <c r="Q2648" s="277"/>
      <c r="R2648" s="277"/>
      <c r="S2648" s="291">
        <v>44204</v>
      </c>
      <c r="T2648" s="279">
        <v>2565</v>
      </c>
      <c r="U2648" s="277"/>
      <c r="V2648" s="277"/>
      <c r="W2648" s="277"/>
      <c r="X2648" s="277"/>
      <c r="Y2648" s="277"/>
      <c r="Z2648" s="277"/>
      <c r="AA2648" s="277"/>
      <c r="AB2648" s="277"/>
      <c r="AC2648" s="277"/>
      <c r="AD2648" s="277"/>
      <c r="AE2648" s="277"/>
      <c r="AF2648" s="277"/>
      <c r="AG2648" s="277"/>
      <c r="AH2648" s="277"/>
    </row>
    <row r="2649" spans="16:34" s="185" customFormat="1">
      <c r="P2649" s="277"/>
      <c r="Q2649" s="277"/>
      <c r="R2649" s="277"/>
      <c r="S2649" s="291">
        <v>44205</v>
      </c>
      <c r="T2649" s="279">
        <v>2566</v>
      </c>
      <c r="U2649" s="277"/>
      <c r="V2649" s="277"/>
      <c r="W2649" s="277"/>
      <c r="X2649" s="277"/>
      <c r="Y2649" s="277"/>
      <c r="Z2649" s="277"/>
      <c r="AA2649" s="277"/>
      <c r="AB2649" s="277"/>
      <c r="AC2649" s="277"/>
      <c r="AD2649" s="277"/>
      <c r="AE2649" s="277"/>
      <c r="AF2649" s="277"/>
      <c r="AG2649" s="277"/>
      <c r="AH2649" s="277"/>
    </row>
    <row r="2650" spans="16:34" s="185" customFormat="1">
      <c r="P2650" s="277"/>
      <c r="Q2650" s="277"/>
      <c r="R2650" s="277"/>
      <c r="S2650" s="291">
        <v>44206</v>
      </c>
      <c r="T2650" s="279">
        <v>2567</v>
      </c>
      <c r="U2650" s="277"/>
      <c r="V2650" s="277"/>
      <c r="W2650" s="277"/>
      <c r="X2650" s="277"/>
      <c r="Y2650" s="277"/>
      <c r="Z2650" s="277"/>
      <c r="AA2650" s="277"/>
      <c r="AB2650" s="277"/>
      <c r="AC2650" s="277"/>
      <c r="AD2650" s="277"/>
      <c r="AE2650" s="277"/>
      <c r="AF2650" s="277"/>
      <c r="AG2650" s="277"/>
      <c r="AH2650" s="277"/>
    </row>
    <row r="2651" spans="16:34" s="185" customFormat="1">
      <c r="P2651" s="277"/>
      <c r="Q2651" s="277"/>
      <c r="R2651" s="277"/>
      <c r="S2651" s="291">
        <v>44207</v>
      </c>
      <c r="T2651" s="279">
        <v>2568</v>
      </c>
      <c r="U2651" s="277"/>
      <c r="V2651" s="277"/>
      <c r="W2651" s="277"/>
      <c r="X2651" s="277"/>
      <c r="Y2651" s="277"/>
      <c r="Z2651" s="277"/>
      <c r="AA2651" s="277"/>
      <c r="AB2651" s="277"/>
      <c r="AC2651" s="277"/>
      <c r="AD2651" s="277"/>
      <c r="AE2651" s="277"/>
      <c r="AF2651" s="277"/>
      <c r="AG2651" s="277"/>
      <c r="AH2651" s="277"/>
    </row>
    <row r="2652" spans="16:34" s="185" customFormat="1">
      <c r="P2652" s="277"/>
      <c r="Q2652" s="277"/>
      <c r="R2652" s="277"/>
      <c r="S2652" s="291">
        <v>44208</v>
      </c>
      <c r="T2652" s="279">
        <v>2569</v>
      </c>
      <c r="U2652" s="277"/>
      <c r="V2652" s="277"/>
      <c r="W2652" s="277"/>
      <c r="X2652" s="277"/>
      <c r="Y2652" s="277"/>
      <c r="Z2652" s="277"/>
      <c r="AA2652" s="277"/>
      <c r="AB2652" s="277"/>
      <c r="AC2652" s="277"/>
      <c r="AD2652" s="277"/>
      <c r="AE2652" s="277"/>
      <c r="AF2652" s="277"/>
      <c r="AG2652" s="277"/>
      <c r="AH2652" s="277"/>
    </row>
    <row r="2653" spans="16:34" s="185" customFormat="1">
      <c r="P2653" s="277"/>
      <c r="Q2653" s="277"/>
      <c r="R2653" s="277"/>
      <c r="S2653" s="291">
        <v>44209</v>
      </c>
      <c r="T2653" s="279">
        <v>2570</v>
      </c>
      <c r="U2653" s="277"/>
      <c r="V2653" s="277"/>
      <c r="W2653" s="277"/>
      <c r="X2653" s="277"/>
      <c r="Y2653" s="277"/>
      <c r="Z2653" s="277"/>
      <c r="AA2653" s="277"/>
      <c r="AB2653" s="277"/>
      <c r="AC2653" s="277"/>
      <c r="AD2653" s="277"/>
      <c r="AE2653" s="277"/>
      <c r="AF2653" s="277"/>
      <c r="AG2653" s="277"/>
      <c r="AH2653" s="277"/>
    </row>
    <row r="2654" spans="16:34" s="185" customFormat="1">
      <c r="P2654" s="277"/>
      <c r="Q2654" s="277"/>
      <c r="R2654" s="277"/>
      <c r="S2654" s="291">
        <v>44210</v>
      </c>
      <c r="T2654" s="279">
        <v>2571</v>
      </c>
      <c r="U2654" s="277"/>
      <c r="V2654" s="277"/>
      <c r="W2654" s="277"/>
      <c r="X2654" s="277"/>
      <c r="Y2654" s="277"/>
      <c r="Z2654" s="277"/>
      <c r="AA2654" s="277"/>
      <c r="AB2654" s="277"/>
      <c r="AC2654" s="277"/>
      <c r="AD2654" s="277"/>
      <c r="AE2654" s="277"/>
      <c r="AF2654" s="277"/>
      <c r="AG2654" s="277"/>
      <c r="AH2654" s="277"/>
    </row>
    <row r="2655" spans="16:34" s="185" customFormat="1">
      <c r="P2655" s="277"/>
      <c r="Q2655" s="277"/>
      <c r="R2655" s="277"/>
      <c r="S2655" s="291">
        <v>44211</v>
      </c>
      <c r="T2655" s="279">
        <v>2572</v>
      </c>
      <c r="U2655" s="277"/>
      <c r="V2655" s="277"/>
      <c r="W2655" s="277"/>
      <c r="X2655" s="277"/>
      <c r="Y2655" s="277"/>
      <c r="Z2655" s="277"/>
      <c r="AA2655" s="277"/>
      <c r="AB2655" s="277"/>
      <c r="AC2655" s="277"/>
      <c r="AD2655" s="277"/>
      <c r="AE2655" s="277"/>
      <c r="AF2655" s="277"/>
      <c r="AG2655" s="277"/>
      <c r="AH2655" s="277"/>
    </row>
    <row r="2656" spans="16:34" s="185" customFormat="1">
      <c r="P2656" s="277"/>
      <c r="Q2656" s="277"/>
      <c r="R2656" s="277"/>
      <c r="S2656" s="291">
        <v>44212</v>
      </c>
      <c r="T2656" s="279">
        <v>2573</v>
      </c>
      <c r="U2656" s="277"/>
      <c r="V2656" s="277"/>
      <c r="W2656" s="277"/>
      <c r="X2656" s="277"/>
      <c r="Y2656" s="277"/>
      <c r="Z2656" s="277"/>
      <c r="AA2656" s="277"/>
      <c r="AB2656" s="277"/>
      <c r="AC2656" s="277"/>
      <c r="AD2656" s="277"/>
      <c r="AE2656" s="277"/>
      <c r="AF2656" s="277"/>
      <c r="AG2656" s="277"/>
      <c r="AH2656" s="277"/>
    </row>
    <row r="2657" spans="16:34" s="185" customFormat="1">
      <c r="P2657" s="277"/>
      <c r="Q2657" s="277"/>
      <c r="R2657" s="277"/>
      <c r="S2657" s="291">
        <v>44213</v>
      </c>
      <c r="T2657" s="279">
        <v>2574</v>
      </c>
      <c r="U2657" s="277"/>
      <c r="V2657" s="277"/>
      <c r="W2657" s="277"/>
      <c r="X2657" s="277"/>
      <c r="Y2657" s="277"/>
      <c r="Z2657" s="277"/>
      <c r="AA2657" s="277"/>
      <c r="AB2657" s="277"/>
      <c r="AC2657" s="277"/>
      <c r="AD2657" s="277"/>
      <c r="AE2657" s="277"/>
      <c r="AF2657" s="277"/>
      <c r="AG2657" s="277"/>
      <c r="AH2657" s="277"/>
    </row>
    <row r="2658" spans="16:34" s="185" customFormat="1">
      <c r="P2658" s="277"/>
      <c r="Q2658" s="277"/>
      <c r="R2658" s="277"/>
      <c r="S2658" s="291">
        <v>44214</v>
      </c>
      <c r="T2658" s="279">
        <v>2575</v>
      </c>
      <c r="U2658" s="277"/>
      <c r="V2658" s="277"/>
      <c r="W2658" s="277"/>
      <c r="X2658" s="277"/>
      <c r="Y2658" s="277"/>
      <c r="Z2658" s="277"/>
      <c r="AA2658" s="277"/>
      <c r="AB2658" s="277"/>
      <c r="AC2658" s="277"/>
      <c r="AD2658" s="277"/>
      <c r="AE2658" s="277"/>
      <c r="AF2658" s="277"/>
      <c r="AG2658" s="277"/>
      <c r="AH2658" s="277"/>
    </row>
    <row r="2659" spans="16:34" s="185" customFormat="1">
      <c r="P2659" s="277"/>
      <c r="Q2659" s="277"/>
      <c r="R2659" s="277"/>
      <c r="S2659" s="291">
        <v>44215</v>
      </c>
      <c r="T2659" s="279">
        <v>2576</v>
      </c>
      <c r="U2659" s="277"/>
      <c r="V2659" s="277"/>
      <c r="W2659" s="277"/>
      <c r="X2659" s="277"/>
      <c r="Y2659" s="277"/>
      <c r="Z2659" s="277"/>
      <c r="AA2659" s="277"/>
      <c r="AB2659" s="277"/>
      <c r="AC2659" s="277"/>
      <c r="AD2659" s="277"/>
      <c r="AE2659" s="277"/>
      <c r="AF2659" s="277"/>
      <c r="AG2659" s="277"/>
      <c r="AH2659" s="277"/>
    </row>
    <row r="2660" spans="16:34" s="185" customFormat="1">
      <c r="P2660" s="277"/>
      <c r="Q2660" s="277"/>
      <c r="R2660" s="277"/>
      <c r="S2660" s="291">
        <v>44216</v>
      </c>
      <c r="T2660" s="279">
        <v>2577</v>
      </c>
      <c r="U2660" s="277"/>
      <c r="V2660" s="277"/>
      <c r="W2660" s="277"/>
      <c r="X2660" s="277"/>
      <c r="Y2660" s="277"/>
      <c r="Z2660" s="277"/>
      <c r="AA2660" s="277"/>
      <c r="AB2660" s="277"/>
      <c r="AC2660" s="277"/>
      <c r="AD2660" s="277"/>
      <c r="AE2660" s="277"/>
      <c r="AF2660" s="277"/>
      <c r="AG2660" s="277"/>
      <c r="AH2660" s="277"/>
    </row>
    <row r="2661" spans="16:34" s="185" customFormat="1">
      <c r="P2661" s="277"/>
      <c r="Q2661" s="277"/>
      <c r="R2661" s="277"/>
      <c r="S2661" s="291">
        <v>44217</v>
      </c>
      <c r="T2661" s="279">
        <v>2578</v>
      </c>
      <c r="U2661" s="277"/>
      <c r="V2661" s="277"/>
      <c r="W2661" s="277"/>
      <c r="X2661" s="277"/>
      <c r="Y2661" s="277"/>
      <c r="Z2661" s="277"/>
      <c r="AA2661" s="277"/>
      <c r="AB2661" s="277"/>
      <c r="AC2661" s="277"/>
      <c r="AD2661" s="277"/>
      <c r="AE2661" s="277"/>
      <c r="AF2661" s="277"/>
      <c r="AG2661" s="277"/>
      <c r="AH2661" s="277"/>
    </row>
    <row r="2662" spans="16:34" s="185" customFormat="1">
      <c r="P2662" s="277"/>
      <c r="Q2662" s="277"/>
      <c r="R2662" s="277"/>
      <c r="S2662" s="291">
        <v>44218</v>
      </c>
      <c r="T2662" s="279">
        <v>2579</v>
      </c>
      <c r="U2662" s="277"/>
      <c r="V2662" s="277"/>
      <c r="W2662" s="277"/>
      <c r="X2662" s="277"/>
      <c r="Y2662" s="277"/>
      <c r="Z2662" s="277"/>
      <c r="AA2662" s="277"/>
      <c r="AB2662" s="277"/>
      <c r="AC2662" s="277"/>
      <c r="AD2662" s="277"/>
      <c r="AE2662" s="277"/>
      <c r="AF2662" s="277"/>
      <c r="AG2662" s="277"/>
      <c r="AH2662" s="277"/>
    </row>
    <row r="2663" spans="16:34" s="185" customFormat="1">
      <c r="P2663" s="277"/>
      <c r="Q2663" s="277"/>
      <c r="R2663" s="277"/>
      <c r="S2663" s="291">
        <v>44219</v>
      </c>
      <c r="T2663" s="279">
        <v>2580</v>
      </c>
      <c r="U2663" s="277"/>
      <c r="V2663" s="277"/>
      <c r="W2663" s="277"/>
      <c r="X2663" s="277"/>
      <c r="Y2663" s="277"/>
      <c r="Z2663" s="277"/>
      <c r="AA2663" s="277"/>
      <c r="AB2663" s="277"/>
      <c r="AC2663" s="277"/>
      <c r="AD2663" s="277"/>
      <c r="AE2663" s="277"/>
      <c r="AF2663" s="277"/>
      <c r="AG2663" s="277"/>
      <c r="AH2663" s="277"/>
    </row>
    <row r="2664" spans="16:34" s="185" customFormat="1">
      <c r="P2664" s="277"/>
      <c r="Q2664" s="277"/>
      <c r="R2664" s="277"/>
      <c r="S2664" s="291">
        <v>44220</v>
      </c>
      <c r="T2664" s="279">
        <v>2581</v>
      </c>
      <c r="U2664" s="277"/>
      <c r="V2664" s="277"/>
      <c r="W2664" s="277"/>
      <c r="X2664" s="277"/>
      <c r="Y2664" s="277"/>
      <c r="Z2664" s="277"/>
      <c r="AA2664" s="277"/>
      <c r="AB2664" s="277"/>
      <c r="AC2664" s="277"/>
      <c r="AD2664" s="277"/>
      <c r="AE2664" s="277"/>
      <c r="AF2664" s="277"/>
      <c r="AG2664" s="277"/>
      <c r="AH2664" s="277"/>
    </row>
    <row r="2665" spans="16:34" s="185" customFormat="1">
      <c r="P2665" s="277"/>
      <c r="Q2665" s="277"/>
      <c r="R2665" s="277"/>
      <c r="S2665" s="291">
        <v>44221</v>
      </c>
      <c r="T2665" s="279">
        <v>2582</v>
      </c>
      <c r="U2665" s="277"/>
      <c r="V2665" s="277"/>
      <c r="W2665" s="277"/>
      <c r="X2665" s="277"/>
      <c r="Y2665" s="277"/>
      <c r="Z2665" s="277"/>
      <c r="AA2665" s="277"/>
      <c r="AB2665" s="277"/>
      <c r="AC2665" s="277"/>
      <c r="AD2665" s="277"/>
      <c r="AE2665" s="277"/>
      <c r="AF2665" s="277"/>
      <c r="AG2665" s="277"/>
      <c r="AH2665" s="277"/>
    </row>
    <row r="2666" spans="16:34" s="185" customFormat="1">
      <c r="P2666" s="277"/>
      <c r="Q2666" s="277"/>
      <c r="R2666" s="277"/>
      <c r="S2666" s="291">
        <v>44222</v>
      </c>
      <c r="T2666" s="279">
        <v>2583</v>
      </c>
      <c r="U2666" s="277"/>
      <c r="V2666" s="277"/>
      <c r="W2666" s="277"/>
      <c r="X2666" s="277"/>
      <c r="Y2666" s="277"/>
      <c r="Z2666" s="277"/>
      <c r="AA2666" s="277"/>
      <c r="AB2666" s="277"/>
      <c r="AC2666" s="277"/>
      <c r="AD2666" s="277"/>
      <c r="AE2666" s="277"/>
      <c r="AF2666" s="277"/>
      <c r="AG2666" s="277"/>
      <c r="AH2666" s="277"/>
    </row>
    <row r="2667" spans="16:34" s="185" customFormat="1">
      <c r="P2667" s="277"/>
      <c r="Q2667" s="277"/>
      <c r="R2667" s="277"/>
      <c r="S2667" s="291">
        <v>44223</v>
      </c>
      <c r="T2667" s="279">
        <v>2584</v>
      </c>
      <c r="U2667" s="277"/>
      <c r="V2667" s="277"/>
      <c r="W2667" s="277"/>
      <c r="X2667" s="277"/>
      <c r="Y2667" s="277"/>
      <c r="Z2667" s="277"/>
      <c r="AA2667" s="277"/>
      <c r="AB2667" s="277"/>
      <c r="AC2667" s="277"/>
      <c r="AD2667" s="277"/>
      <c r="AE2667" s="277"/>
      <c r="AF2667" s="277"/>
      <c r="AG2667" s="277"/>
      <c r="AH2667" s="277"/>
    </row>
    <row r="2668" spans="16:34" s="185" customFormat="1">
      <c r="P2668" s="277"/>
      <c r="Q2668" s="277"/>
      <c r="R2668" s="277"/>
      <c r="S2668" s="291">
        <v>44224</v>
      </c>
      <c r="T2668" s="279">
        <v>2585</v>
      </c>
      <c r="U2668" s="277"/>
      <c r="V2668" s="277"/>
      <c r="W2668" s="277"/>
      <c r="X2668" s="277"/>
      <c r="Y2668" s="277"/>
      <c r="Z2668" s="277"/>
      <c r="AA2668" s="277"/>
      <c r="AB2668" s="277"/>
      <c r="AC2668" s="277"/>
      <c r="AD2668" s="277"/>
      <c r="AE2668" s="277"/>
      <c r="AF2668" s="277"/>
      <c r="AG2668" s="277"/>
      <c r="AH2668" s="277"/>
    </row>
    <row r="2669" spans="16:34" s="185" customFormat="1">
      <c r="P2669" s="277"/>
      <c r="Q2669" s="277"/>
      <c r="R2669" s="277"/>
      <c r="S2669" s="291">
        <v>44225</v>
      </c>
      <c r="T2669" s="279">
        <v>2586</v>
      </c>
      <c r="U2669" s="277"/>
      <c r="V2669" s="277"/>
      <c r="W2669" s="277"/>
      <c r="X2669" s="277"/>
      <c r="Y2669" s="277"/>
      <c r="Z2669" s="277"/>
      <c r="AA2669" s="277"/>
      <c r="AB2669" s="277"/>
      <c r="AC2669" s="277"/>
      <c r="AD2669" s="277"/>
      <c r="AE2669" s="277"/>
      <c r="AF2669" s="277"/>
      <c r="AG2669" s="277"/>
      <c r="AH2669" s="277"/>
    </row>
    <row r="2670" spans="16:34" s="185" customFormat="1">
      <c r="P2670" s="277"/>
      <c r="Q2670" s="277"/>
      <c r="R2670" s="277"/>
      <c r="S2670" s="291">
        <v>44226</v>
      </c>
      <c r="T2670" s="279">
        <v>2587</v>
      </c>
      <c r="U2670" s="277"/>
      <c r="V2670" s="277"/>
      <c r="W2670" s="277"/>
      <c r="X2670" s="277"/>
      <c r="Y2670" s="277"/>
      <c r="Z2670" s="277"/>
      <c r="AA2670" s="277"/>
      <c r="AB2670" s="277"/>
      <c r="AC2670" s="277"/>
      <c r="AD2670" s="277"/>
      <c r="AE2670" s="277"/>
      <c r="AF2670" s="277"/>
      <c r="AG2670" s="277"/>
      <c r="AH2670" s="277"/>
    </row>
    <row r="2671" spans="16:34" s="185" customFormat="1">
      <c r="P2671" s="277"/>
      <c r="Q2671" s="277"/>
      <c r="R2671" s="277"/>
      <c r="S2671" s="291">
        <v>44227</v>
      </c>
      <c r="T2671" s="279">
        <v>2588</v>
      </c>
      <c r="U2671" s="277"/>
      <c r="V2671" s="277"/>
      <c r="W2671" s="277"/>
      <c r="X2671" s="277"/>
      <c r="Y2671" s="277"/>
      <c r="Z2671" s="277"/>
      <c r="AA2671" s="277"/>
      <c r="AB2671" s="277"/>
      <c r="AC2671" s="277"/>
      <c r="AD2671" s="277"/>
      <c r="AE2671" s="277"/>
      <c r="AF2671" s="277"/>
      <c r="AG2671" s="277"/>
      <c r="AH2671" s="277"/>
    </row>
    <row r="2672" spans="16:34" s="185" customFormat="1">
      <c r="P2672" s="277"/>
      <c r="Q2672" s="277"/>
      <c r="R2672" s="277"/>
      <c r="S2672" s="291">
        <v>44228</v>
      </c>
      <c r="T2672" s="279">
        <v>2589</v>
      </c>
      <c r="U2672" s="277"/>
      <c r="V2672" s="277"/>
      <c r="W2672" s="277"/>
      <c r="X2672" s="277"/>
      <c r="Y2672" s="277"/>
      <c r="Z2672" s="277"/>
      <c r="AA2672" s="277"/>
      <c r="AB2672" s="277"/>
      <c r="AC2672" s="277"/>
      <c r="AD2672" s="277"/>
      <c r="AE2672" s="277"/>
      <c r="AF2672" s="277"/>
      <c r="AG2672" s="277"/>
      <c r="AH2672" s="277"/>
    </row>
    <row r="2673" spans="16:34" s="185" customFormat="1">
      <c r="P2673" s="277"/>
      <c r="Q2673" s="277"/>
      <c r="R2673" s="277"/>
      <c r="S2673" s="291">
        <v>44229</v>
      </c>
      <c r="T2673" s="279">
        <v>2590</v>
      </c>
      <c r="U2673" s="277"/>
      <c r="V2673" s="277"/>
      <c r="W2673" s="277"/>
      <c r="X2673" s="277"/>
      <c r="Y2673" s="277"/>
      <c r="Z2673" s="277"/>
      <c r="AA2673" s="277"/>
      <c r="AB2673" s="277"/>
      <c r="AC2673" s="277"/>
      <c r="AD2673" s="277"/>
      <c r="AE2673" s="277"/>
      <c r="AF2673" s="277"/>
      <c r="AG2673" s="277"/>
      <c r="AH2673" s="277"/>
    </row>
    <row r="2674" spans="16:34" s="185" customFormat="1">
      <c r="P2674" s="277"/>
      <c r="Q2674" s="277"/>
      <c r="R2674" s="277"/>
      <c r="S2674" s="291">
        <v>44230</v>
      </c>
      <c r="T2674" s="279">
        <v>2591</v>
      </c>
      <c r="U2674" s="277"/>
      <c r="V2674" s="277"/>
      <c r="W2674" s="277"/>
      <c r="X2674" s="277"/>
      <c r="Y2674" s="277"/>
      <c r="Z2674" s="277"/>
      <c r="AA2674" s="277"/>
      <c r="AB2674" s="277"/>
      <c r="AC2674" s="277"/>
      <c r="AD2674" s="277"/>
      <c r="AE2674" s="277"/>
      <c r="AF2674" s="277"/>
      <c r="AG2674" s="277"/>
      <c r="AH2674" s="277"/>
    </row>
    <row r="2675" spans="16:34" s="185" customFormat="1">
      <c r="P2675" s="277"/>
      <c r="Q2675" s="277"/>
      <c r="R2675" s="277"/>
      <c r="S2675" s="291">
        <v>44231</v>
      </c>
      <c r="T2675" s="279">
        <v>2592</v>
      </c>
      <c r="U2675" s="277"/>
      <c r="V2675" s="277"/>
      <c r="W2675" s="277"/>
      <c r="X2675" s="277"/>
      <c r="Y2675" s="277"/>
      <c r="Z2675" s="277"/>
      <c r="AA2675" s="277"/>
      <c r="AB2675" s="277"/>
      <c r="AC2675" s="277"/>
      <c r="AD2675" s="277"/>
      <c r="AE2675" s="277"/>
      <c r="AF2675" s="277"/>
      <c r="AG2675" s="277"/>
      <c r="AH2675" s="277"/>
    </row>
    <row r="2676" spans="16:34" s="185" customFormat="1">
      <c r="P2676" s="277"/>
      <c r="Q2676" s="277"/>
      <c r="R2676" s="277"/>
      <c r="S2676" s="291">
        <v>44232</v>
      </c>
      <c r="T2676" s="279">
        <v>2593</v>
      </c>
      <c r="U2676" s="277"/>
      <c r="V2676" s="277"/>
      <c r="W2676" s="277"/>
      <c r="X2676" s="277"/>
      <c r="Y2676" s="277"/>
      <c r="Z2676" s="277"/>
      <c r="AA2676" s="277"/>
      <c r="AB2676" s="277"/>
      <c r="AC2676" s="277"/>
      <c r="AD2676" s="277"/>
      <c r="AE2676" s="277"/>
      <c r="AF2676" s="277"/>
      <c r="AG2676" s="277"/>
      <c r="AH2676" s="277"/>
    </row>
    <row r="2677" spans="16:34" s="185" customFormat="1">
      <c r="P2677" s="277"/>
      <c r="Q2677" s="277"/>
      <c r="R2677" s="277"/>
      <c r="S2677" s="291">
        <v>44233</v>
      </c>
      <c r="T2677" s="279">
        <v>2594</v>
      </c>
      <c r="U2677" s="277"/>
      <c r="V2677" s="277"/>
      <c r="W2677" s="277"/>
      <c r="X2677" s="277"/>
      <c r="Y2677" s="277"/>
      <c r="Z2677" s="277"/>
      <c r="AA2677" s="277"/>
      <c r="AB2677" s="277"/>
      <c r="AC2677" s="277"/>
      <c r="AD2677" s="277"/>
      <c r="AE2677" s="277"/>
      <c r="AF2677" s="277"/>
      <c r="AG2677" s="277"/>
      <c r="AH2677" s="277"/>
    </row>
    <row r="2678" spans="16:34" s="185" customFormat="1">
      <c r="P2678" s="277"/>
      <c r="Q2678" s="277"/>
      <c r="R2678" s="277"/>
      <c r="S2678" s="291">
        <v>44234</v>
      </c>
      <c r="T2678" s="279">
        <v>2595</v>
      </c>
      <c r="U2678" s="277"/>
      <c r="V2678" s="277"/>
      <c r="W2678" s="277"/>
      <c r="X2678" s="277"/>
      <c r="Y2678" s="277"/>
      <c r="Z2678" s="277"/>
      <c r="AA2678" s="277"/>
      <c r="AB2678" s="277"/>
      <c r="AC2678" s="277"/>
      <c r="AD2678" s="277"/>
      <c r="AE2678" s="277"/>
      <c r="AF2678" s="277"/>
      <c r="AG2678" s="277"/>
      <c r="AH2678" s="277"/>
    </row>
    <row r="2679" spans="16:34" s="185" customFormat="1">
      <c r="P2679" s="277"/>
      <c r="Q2679" s="277"/>
      <c r="R2679" s="277"/>
      <c r="S2679" s="291">
        <v>44235</v>
      </c>
      <c r="T2679" s="279">
        <v>2596</v>
      </c>
      <c r="U2679" s="277"/>
      <c r="V2679" s="277"/>
      <c r="W2679" s="277"/>
      <c r="X2679" s="277"/>
      <c r="Y2679" s="277"/>
      <c r="Z2679" s="277"/>
      <c r="AA2679" s="277"/>
      <c r="AB2679" s="277"/>
      <c r="AC2679" s="277"/>
      <c r="AD2679" s="277"/>
      <c r="AE2679" s="277"/>
      <c r="AF2679" s="277"/>
      <c r="AG2679" s="277"/>
      <c r="AH2679" s="277"/>
    </row>
    <row r="2680" spans="16:34" s="185" customFormat="1">
      <c r="P2680" s="277"/>
      <c r="Q2680" s="277"/>
      <c r="R2680" s="277"/>
      <c r="S2680" s="291">
        <v>44236</v>
      </c>
      <c r="T2680" s="279">
        <v>2597</v>
      </c>
      <c r="U2680" s="277"/>
      <c r="V2680" s="277"/>
      <c r="W2680" s="277"/>
      <c r="X2680" s="277"/>
      <c r="Y2680" s="277"/>
      <c r="Z2680" s="277"/>
      <c r="AA2680" s="277"/>
      <c r="AB2680" s="277"/>
      <c r="AC2680" s="277"/>
      <c r="AD2680" s="277"/>
      <c r="AE2680" s="277"/>
      <c r="AF2680" s="277"/>
      <c r="AG2680" s="277"/>
      <c r="AH2680" s="277"/>
    </row>
    <row r="2681" spans="16:34" s="185" customFormat="1">
      <c r="P2681" s="277"/>
      <c r="Q2681" s="277"/>
      <c r="R2681" s="277"/>
      <c r="S2681" s="291">
        <v>44237</v>
      </c>
      <c r="T2681" s="279">
        <v>2598</v>
      </c>
      <c r="U2681" s="277"/>
      <c r="V2681" s="277"/>
      <c r="W2681" s="277"/>
      <c r="X2681" s="277"/>
      <c r="Y2681" s="277"/>
      <c r="Z2681" s="277"/>
      <c r="AA2681" s="277"/>
      <c r="AB2681" s="277"/>
      <c r="AC2681" s="277"/>
      <c r="AD2681" s="277"/>
      <c r="AE2681" s="277"/>
      <c r="AF2681" s="277"/>
      <c r="AG2681" s="277"/>
      <c r="AH2681" s="277"/>
    </row>
    <row r="2682" spans="16:34" s="185" customFormat="1">
      <c r="P2682" s="277"/>
      <c r="Q2682" s="277"/>
      <c r="R2682" s="277"/>
      <c r="S2682" s="291">
        <v>44238</v>
      </c>
      <c r="T2682" s="279">
        <v>2599</v>
      </c>
      <c r="U2682" s="277"/>
      <c r="V2682" s="277"/>
      <c r="W2682" s="277"/>
      <c r="X2682" s="277"/>
      <c r="Y2682" s="277"/>
      <c r="Z2682" s="277"/>
      <c r="AA2682" s="277"/>
      <c r="AB2682" s="277"/>
      <c r="AC2682" s="277"/>
      <c r="AD2682" s="277"/>
      <c r="AE2682" s="277"/>
      <c r="AF2682" s="277"/>
      <c r="AG2682" s="277"/>
      <c r="AH2682" s="277"/>
    </row>
    <row r="2683" spans="16:34" s="185" customFormat="1">
      <c r="P2683" s="277"/>
      <c r="Q2683" s="277"/>
      <c r="R2683" s="277"/>
      <c r="S2683" s="291">
        <v>44239</v>
      </c>
      <c r="T2683" s="279">
        <v>2600</v>
      </c>
      <c r="U2683" s="277"/>
      <c r="V2683" s="277"/>
      <c r="W2683" s="277"/>
      <c r="X2683" s="277"/>
      <c r="Y2683" s="277"/>
      <c r="Z2683" s="277"/>
      <c r="AA2683" s="277"/>
      <c r="AB2683" s="277"/>
      <c r="AC2683" s="277"/>
      <c r="AD2683" s="277"/>
      <c r="AE2683" s="277"/>
      <c r="AF2683" s="277"/>
      <c r="AG2683" s="277"/>
      <c r="AH2683" s="277"/>
    </row>
    <row r="2684" spans="16:34" s="185" customFormat="1">
      <c r="P2684" s="277"/>
      <c r="Q2684" s="277"/>
      <c r="R2684" s="277"/>
      <c r="S2684" s="291">
        <v>44240</v>
      </c>
      <c r="T2684" s="279">
        <v>2601</v>
      </c>
      <c r="U2684" s="277"/>
      <c r="V2684" s="277"/>
      <c r="W2684" s="277"/>
      <c r="X2684" s="277"/>
      <c r="Y2684" s="277"/>
      <c r="Z2684" s="277"/>
      <c r="AA2684" s="277"/>
      <c r="AB2684" s="277"/>
      <c r="AC2684" s="277"/>
      <c r="AD2684" s="277"/>
      <c r="AE2684" s="277"/>
      <c r="AF2684" s="277"/>
      <c r="AG2684" s="277"/>
      <c r="AH2684" s="277"/>
    </row>
    <row r="2685" spans="16:34" s="185" customFormat="1">
      <c r="P2685" s="277"/>
      <c r="Q2685" s="277"/>
      <c r="R2685" s="277"/>
      <c r="S2685" s="291">
        <v>44241</v>
      </c>
      <c r="T2685" s="279">
        <v>2602</v>
      </c>
      <c r="U2685" s="277"/>
      <c r="V2685" s="277"/>
      <c r="W2685" s="277"/>
      <c r="X2685" s="277"/>
      <c r="Y2685" s="277"/>
      <c r="Z2685" s="277"/>
      <c r="AA2685" s="277"/>
      <c r="AB2685" s="277"/>
      <c r="AC2685" s="277"/>
      <c r="AD2685" s="277"/>
      <c r="AE2685" s="277"/>
      <c r="AF2685" s="277"/>
      <c r="AG2685" s="277"/>
      <c r="AH2685" s="277"/>
    </row>
    <row r="2686" spans="16:34" s="185" customFormat="1">
      <c r="P2686" s="277"/>
      <c r="Q2686" s="277"/>
      <c r="R2686" s="277"/>
      <c r="S2686" s="291">
        <v>44242</v>
      </c>
      <c r="T2686" s="279">
        <v>2603</v>
      </c>
      <c r="U2686" s="277"/>
      <c r="V2686" s="277"/>
      <c r="W2686" s="277"/>
      <c r="X2686" s="277"/>
      <c r="Y2686" s="277"/>
      <c r="Z2686" s="277"/>
      <c r="AA2686" s="277"/>
      <c r="AB2686" s="277"/>
      <c r="AC2686" s="277"/>
      <c r="AD2686" s="277"/>
      <c r="AE2686" s="277"/>
      <c r="AF2686" s="277"/>
      <c r="AG2686" s="277"/>
      <c r="AH2686" s="277"/>
    </row>
    <row r="2687" spans="16:34" s="185" customFormat="1">
      <c r="P2687" s="277"/>
      <c r="Q2687" s="277"/>
      <c r="R2687" s="277"/>
      <c r="S2687" s="291">
        <v>44243</v>
      </c>
      <c r="T2687" s="279">
        <v>2604</v>
      </c>
      <c r="U2687" s="277"/>
      <c r="V2687" s="277"/>
      <c r="W2687" s="277"/>
      <c r="X2687" s="277"/>
      <c r="Y2687" s="277"/>
      <c r="Z2687" s="277"/>
      <c r="AA2687" s="277"/>
      <c r="AB2687" s="277"/>
      <c r="AC2687" s="277"/>
      <c r="AD2687" s="277"/>
      <c r="AE2687" s="277"/>
      <c r="AF2687" s="277"/>
      <c r="AG2687" s="277"/>
      <c r="AH2687" s="277"/>
    </row>
    <row r="2688" spans="16:34" s="185" customFormat="1">
      <c r="P2688" s="277"/>
      <c r="Q2688" s="277"/>
      <c r="R2688" s="277"/>
      <c r="S2688" s="291">
        <v>44244</v>
      </c>
      <c r="T2688" s="279">
        <v>2605</v>
      </c>
      <c r="U2688" s="277"/>
      <c r="V2688" s="277"/>
      <c r="W2688" s="277"/>
      <c r="X2688" s="277"/>
      <c r="Y2688" s="277"/>
      <c r="Z2688" s="277"/>
      <c r="AA2688" s="277"/>
      <c r="AB2688" s="277"/>
      <c r="AC2688" s="277"/>
      <c r="AD2688" s="277"/>
      <c r="AE2688" s="277"/>
      <c r="AF2688" s="277"/>
      <c r="AG2688" s="277"/>
      <c r="AH2688" s="277"/>
    </row>
    <row r="2689" spans="16:34" s="185" customFormat="1">
      <c r="P2689" s="277"/>
      <c r="Q2689" s="277"/>
      <c r="R2689" s="277"/>
      <c r="S2689" s="291">
        <v>44245</v>
      </c>
      <c r="T2689" s="279">
        <v>2606</v>
      </c>
      <c r="U2689" s="277"/>
      <c r="V2689" s="277"/>
      <c r="W2689" s="277"/>
      <c r="X2689" s="277"/>
      <c r="Y2689" s="277"/>
      <c r="Z2689" s="277"/>
      <c r="AA2689" s="277"/>
      <c r="AB2689" s="277"/>
      <c r="AC2689" s="277"/>
      <c r="AD2689" s="277"/>
      <c r="AE2689" s="277"/>
      <c r="AF2689" s="277"/>
      <c r="AG2689" s="277"/>
      <c r="AH2689" s="277"/>
    </row>
    <row r="2690" spans="16:34" s="185" customFormat="1">
      <c r="P2690" s="277"/>
      <c r="Q2690" s="277"/>
      <c r="R2690" s="277"/>
      <c r="S2690" s="291">
        <v>44246</v>
      </c>
      <c r="T2690" s="279">
        <v>2607</v>
      </c>
      <c r="U2690" s="277"/>
      <c r="V2690" s="277"/>
      <c r="W2690" s="277"/>
      <c r="X2690" s="277"/>
      <c r="Y2690" s="277"/>
      <c r="Z2690" s="277"/>
      <c r="AA2690" s="277"/>
      <c r="AB2690" s="277"/>
      <c r="AC2690" s="277"/>
      <c r="AD2690" s="277"/>
      <c r="AE2690" s="277"/>
      <c r="AF2690" s="277"/>
      <c r="AG2690" s="277"/>
      <c r="AH2690" s="277"/>
    </row>
    <row r="2691" spans="16:34" s="185" customFormat="1">
      <c r="P2691" s="277"/>
      <c r="Q2691" s="277"/>
      <c r="R2691" s="277"/>
      <c r="S2691" s="291">
        <v>44247</v>
      </c>
      <c r="T2691" s="279">
        <v>2608</v>
      </c>
      <c r="U2691" s="277"/>
      <c r="V2691" s="277"/>
      <c r="W2691" s="277"/>
      <c r="X2691" s="277"/>
      <c r="Y2691" s="277"/>
      <c r="Z2691" s="277"/>
      <c r="AA2691" s="277"/>
      <c r="AB2691" s="277"/>
      <c r="AC2691" s="277"/>
      <c r="AD2691" s="277"/>
      <c r="AE2691" s="277"/>
      <c r="AF2691" s="277"/>
      <c r="AG2691" s="277"/>
      <c r="AH2691" s="277"/>
    </row>
    <row r="2692" spans="16:34" s="185" customFormat="1">
      <c r="P2692" s="277"/>
      <c r="Q2692" s="277"/>
      <c r="R2692" s="277"/>
      <c r="S2692" s="291">
        <v>44248</v>
      </c>
      <c r="T2692" s="279">
        <v>2609</v>
      </c>
      <c r="U2692" s="277"/>
      <c r="V2692" s="277"/>
      <c r="W2692" s="277"/>
      <c r="X2692" s="277"/>
      <c r="Y2692" s="277"/>
      <c r="Z2692" s="277"/>
      <c r="AA2692" s="277"/>
      <c r="AB2692" s="277"/>
      <c r="AC2692" s="277"/>
      <c r="AD2692" s="277"/>
      <c r="AE2692" s="277"/>
      <c r="AF2692" s="277"/>
      <c r="AG2692" s="277"/>
      <c r="AH2692" s="277"/>
    </row>
    <row r="2693" spans="16:34" s="185" customFormat="1">
      <c r="P2693" s="277"/>
      <c r="Q2693" s="277"/>
      <c r="R2693" s="277"/>
      <c r="S2693" s="291">
        <v>44249</v>
      </c>
      <c r="T2693" s="279">
        <v>2610</v>
      </c>
      <c r="U2693" s="277"/>
      <c r="V2693" s="277"/>
      <c r="W2693" s="277"/>
      <c r="X2693" s="277"/>
      <c r="Y2693" s="277"/>
      <c r="Z2693" s="277"/>
      <c r="AA2693" s="277"/>
      <c r="AB2693" s="277"/>
      <c r="AC2693" s="277"/>
      <c r="AD2693" s="277"/>
      <c r="AE2693" s="277"/>
      <c r="AF2693" s="277"/>
      <c r="AG2693" s="277"/>
      <c r="AH2693" s="277"/>
    </row>
    <row r="2694" spans="16:34" s="185" customFormat="1">
      <c r="P2694" s="277"/>
      <c r="Q2694" s="277"/>
      <c r="R2694" s="277"/>
      <c r="S2694" s="291">
        <v>44250</v>
      </c>
      <c r="T2694" s="279">
        <v>2611</v>
      </c>
      <c r="U2694" s="277"/>
      <c r="V2694" s="277"/>
      <c r="W2694" s="277"/>
      <c r="X2694" s="277"/>
      <c r="Y2694" s="277"/>
      <c r="Z2694" s="277"/>
      <c r="AA2694" s="277"/>
      <c r="AB2694" s="277"/>
      <c r="AC2694" s="277"/>
      <c r="AD2694" s="277"/>
      <c r="AE2694" s="277"/>
      <c r="AF2694" s="277"/>
      <c r="AG2694" s="277"/>
      <c r="AH2694" s="277"/>
    </row>
    <row r="2695" spans="16:34" s="185" customFormat="1">
      <c r="P2695" s="277"/>
      <c r="Q2695" s="277"/>
      <c r="R2695" s="277"/>
      <c r="S2695" s="291">
        <v>44251</v>
      </c>
      <c r="T2695" s="279">
        <v>2612</v>
      </c>
      <c r="U2695" s="277"/>
      <c r="V2695" s="277"/>
      <c r="W2695" s="277"/>
      <c r="X2695" s="277"/>
      <c r="Y2695" s="277"/>
      <c r="Z2695" s="277"/>
      <c r="AA2695" s="277"/>
      <c r="AB2695" s="277"/>
      <c r="AC2695" s="277"/>
      <c r="AD2695" s="277"/>
      <c r="AE2695" s="277"/>
      <c r="AF2695" s="277"/>
      <c r="AG2695" s="277"/>
      <c r="AH2695" s="277"/>
    </row>
    <row r="2696" spans="16:34" s="185" customFormat="1">
      <c r="P2696" s="277"/>
      <c r="Q2696" s="277"/>
      <c r="R2696" s="277"/>
      <c r="S2696" s="291">
        <v>44252</v>
      </c>
      <c r="T2696" s="279">
        <v>2613</v>
      </c>
      <c r="U2696" s="277"/>
      <c r="V2696" s="277"/>
      <c r="W2696" s="277"/>
      <c r="X2696" s="277"/>
      <c r="Y2696" s="277"/>
      <c r="Z2696" s="277"/>
      <c r="AA2696" s="277"/>
      <c r="AB2696" s="277"/>
      <c r="AC2696" s="277"/>
      <c r="AD2696" s="277"/>
      <c r="AE2696" s="277"/>
      <c r="AF2696" s="277"/>
      <c r="AG2696" s="277"/>
      <c r="AH2696" s="277"/>
    </row>
    <row r="2697" spans="16:34" s="185" customFormat="1">
      <c r="P2697" s="277"/>
      <c r="Q2697" s="277"/>
      <c r="R2697" s="277"/>
      <c r="S2697" s="291">
        <v>44253</v>
      </c>
      <c r="T2697" s="279">
        <v>2614</v>
      </c>
      <c r="U2697" s="277"/>
      <c r="V2697" s="277"/>
      <c r="W2697" s="277"/>
      <c r="X2697" s="277"/>
      <c r="Y2697" s="277"/>
      <c r="Z2697" s="277"/>
      <c r="AA2697" s="277"/>
      <c r="AB2697" s="277"/>
      <c r="AC2697" s="277"/>
      <c r="AD2697" s="277"/>
      <c r="AE2697" s="277"/>
      <c r="AF2697" s="277"/>
      <c r="AG2697" s="277"/>
      <c r="AH2697" s="277"/>
    </row>
    <row r="2698" spans="16:34" s="185" customFormat="1">
      <c r="P2698" s="277"/>
      <c r="Q2698" s="277"/>
      <c r="R2698" s="277"/>
      <c r="S2698" s="291">
        <v>44254</v>
      </c>
      <c r="T2698" s="279">
        <v>2615</v>
      </c>
      <c r="U2698" s="277"/>
      <c r="V2698" s="277"/>
      <c r="W2698" s="277"/>
      <c r="X2698" s="277"/>
      <c r="Y2698" s="277"/>
      <c r="Z2698" s="277"/>
      <c r="AA2698" s="277"/>
      <c r="AB2698" s="277"/>
      <c r="AC2698" s="277"/>
      <c r="AD2698" s="277"/>
      <c r="AE2698" s="277"/>
      <c r="AF2698" s="277"/>
      <c r="AG2698" s="277"/>
      <c r="AH2698" s="277"/>
    </row>
    <row r="2699" spans="16:34" s="185" customFormat="1">
      <c r="P2699" s="277"/>
      <c r="Q2699" s="277"/>
      <c r="R2699" s="277"/>
      <c r="S2699" s="291">
        <v>44255</v>
      </c>
      <c r="T2699" s="279">
        <v>2616</v>
      </c>
      <c r="U2699" s="277"/>
      <c r="V2699" s="277"/>
      <c r="W2699" s="277"/>
      <c r="X2699" s="277"/>
      <c r="Y2699" s="277"/>
      <c r="Z2699" s="277"/>
      <c r="AA2699" s="277"/>
      <c r="AB2699" s="277"/>
      <c r="AC2699" s="277"/>
      <c r="AD2699" s="277"/>
      <c r="AE2699" s="277"/>
      <c r="AF2699" s="277"/>
      <c r="AG2699" s="277"/>
      <c r="AH2699" s="277"/>
    </row>
    <row r="2700" spans="16:34" s="185" customFormat="1">
      <c r="P2700" s="277"/>
      <c r="Q2700" s="277"/>
      <c r="R2700" s="277"/>
      <c r="S2700" s="291">
        <v>44256</v>
      </c>
      <c r="T2700" s="279">
        <v>2617</v>
      </c>
      <c r="U2700" s="277"/>
      <c r="V2700" s="277"/>
      <c r="W2700" s="277"/>
      <c r="X2700" s="277"/>
      <c r="Y2700" s="277"/>
      <c r="Z2700" s="277"/>
      <c r="AA2700" s="277"/>
      <c r="AB2700" s="277"/>
      <c r="AC2700" s="277"/>
      <c r="AD2700" s="277"/>
      <c r="AE2700" s="277"/>
      <c r="AF2700" s="277"/>
      <c r="AG2700" s="277"/>
      <c r="AH2700" s="277"/>
    </row>
    <row r="2701" spans="16:34" s="185" customFormat="1">
      <c r="P2701" s="277"/>
      <c r="Q2701" s="277"/>
      <c r="R2701" s="277"/>
      <c r="S2701" s="291">
        <v>44257</v>
      </c>
      <c r="T2701" s="279">
        <v>2618</v>
      </c>
      <c r="U2701" s="277"/>
      <c r="V2701" s="277"/>
      <c r="W2701" s="277"/>
      <c r="X2701" s="277"/>
      <c r="Y2701" s="277"/>
      <c r="Z2701" s="277"/>
      <c r="AA2701" s="277"/>
      <c r="AB2701" s="277"/>
      <c r="AC2701" s="277"/>
      <c r="AD2701" s="277"/>
      <c r="AE2701" s="277"/>
      <c r="AF2701" s="277"/>
      <c r="AG2701" s="277"/>
      <c r="AH2701" s="277"/>
    </row>
    <row r="2702" spans="16:34" s="185" customFormat="1">
      <c r="P2702" s="277"/>
      <c r="Q2702" s="277"/>
      <c r="R2702" s="277"/>
      <c r="S2702" s="291">
        <v>44258</v>
      </c>
      <c r="T2702" s="279">
        <v>2619</v>
      </c>
      <c r="U2702" s="277"/>
      <c r="V2702" s="277"/>
      <c r="W2702" s="277"/>
      <c r="X2702" s="277"/>
      <c r="Y2702" s="277"/>
      <c r="Z2702" s="277"/>
      <c r="AA2702" s="277"/>
      <c r="AB2702" s="277"/>
      <c r="AC2702" s="277"/>
      <c r="AD2702" s="277"/>
      <c r="AE2702" s="277"/>
      <c r="AF2702" s="277"/>
      <c r="AG2702" s="277"/>
      <c r="AH2702" s="277"/>
    </row>
    <row r="2703" spans="16:34" s="185" customFormat="1">
      <c r="P2703" s="277"/>
      <c r="Q2703" s="277"/>
      <c r="R2703" s="277"/>
      <c r="S2703" s="291">
        <v>44259</v>
      </c>
      <c r="T2703" s="279">
        <v>2620</v>
      </c>
      <c r="U2703" s="277"/>
      <c r="V2703" s="277"/>
      <c r="W2703" s="277"/>
      <c r="X2703" s="277"/>
      <c r="Y2703" s="277"/>
      <c r="Z2703" s="277"/>
      <c r="AA2703" s="277"/>
      <c r="AB2703" s="277"/>
      <c r="AC2703" s="277"/>
      <c r="AD2703" s="277"/>
      <c r="AE2703" s="277"/>
      <c r="AF2703" s="277"/>
      <c r="AG2703" s="277"/>
      <c r="AH2703" s="277"/>
    </row>
    <row r="2704" spans="16:34" s="185" customFormat="1">
      <c r="P2704" s="277"/>
      <c r="Q2704" s="277"/>
      <c r="R2704" s="277"/>
      <c r="S2704" s="291">
        <v>44260</v>
      </c>
      <c r="T2704" s="279">
        <v>2621</v>
      </c>
      <c r="U2704" s="277"/>
      <c r="V2704" s="277"/>
      <c r="W2704" s="277"/>
      <c r="X2704" s="277"/>
      <c r="Y2704" s="277"/>
      <c r="Z2704" s="277"/>
      <c r="AA2704" s="277"/>
      <c r="AB2704" s="277"/>
      <c r="AC2704" s="277"/>
      <c r="AD2704" s="277"/>
      <c r="AE2704" s="277"/>
      <c r="AF2704" s="277"/>
      <c r="AG2704" s="277"/>
      <c r="AH2704" s="277"/>
    </row>
    <row r="2705" spans="16:34" s="185" customFormat="1">
      <c r="P2705" s="277"/>
      <c r="Q2705" s="277"/>
      <c r="R2705" s="277"/>
      <c r="S2705" s="291">
        <v>44261</v>
      </c>
      <c r="T2705" s="279">
        <v>2622</v>
      </c>
      <c r="U2705" s="277"/>
      <c r="V2705" s="277"/>
      <c r="W2705" s="277"/>
      <c r="X2705" s="277"/>
      <c r="Y2705" s="277"/>
      <c r="Z2705" s="277"/>
      <c r="AA2705" s="277"/>
      <c r="AB2705" s="277"/>
      <c r="AC2705" s="277"/>
      <c r="AD2705" s="277"/>
      <c r="AE2705" s="277"/>
      <c r="AF2705" s="277"/>
      <c r="AG2705" s="277"/>
      <c r="AH2705" s="277"/>
    </row>
    <row r="2706" spans="16:34" s="185" customFormat="1">
      <c r="P2706" s="277"/>
      <c r="Q2706" s="277"/>
      <c r="R2706" s="277"/>
      <c r="S2706" s="291">
        <v>44262</v>
      </c>
      <c r="T2706" s="279">
        <v>2623</v>
      </c>
      <c r="U2706" s="277"/>
      <c r="V2706" s="277"/>
      <c r="W2706" s="277"/>
      <c r="X2706" s="277"/>
      <c r="Y2706" s="277"/>
      <c r="Z2706" s="277"/>
      <c r="AA2706" s="277"/>
      <c r="AB2706" s="277"/>
      <c r="AC2706" s="277"/>
      <c r="AD2706" s="277"/>
      <c r="AE2706" s="277"/>
      <c r="AF2706" s="277"/>
      <c r="AG2706" s="277"/>
      <c r="AH2706" s="277"/>
    </row>
    <row r="2707" spans="16:34" s="185" customFormat="1">
      <c r="P2707" s="277"/>
      <c r="Q2707" s="277"/>
      <c r="R2707" s="277"/>
      <c r="S2707" s="291">
        <v>44263</v>
      </c>
      <c r="T2707" s="279">
        <v>2624</v>
      </c>
      <c r="U2707" s="277"/>
      <c r="V2707" s="277"/>
      <c r="W2707" s="277"/>
      <c r="X2707" s="277"/>
      <c r="Y2707" s="277"/>
      <c r="Z2707" s="277"/>
      <c r="AA2707" s="277"/>
      <c r="AB2707" s="277"/>
      <c r="AC2707" s="277"/>
      <c r="AD2707" s="277"/>
      <c r="AE2707" s="277"/>
      <c r="AF2707" s="277"/>
      <c r="AG2707" s="277"/>
      <c r="AH2707" s="277"/>
    </row>
    <row r="2708" spans="16:34" s="185" customFormat="1">
      <c r="P2708" s="277"/>
      <c r="Q2708" s="277"/>
      <c r="R2708" s="277"/>
      <c r="S2708" s="291">
        <v>44264</v>
      </c>
      <c r="T2708" s="279">
        <v>2625</v>
      </c>
      <c r="U2708" s="277"/>
      <c r="V2708" s="277"/>
      <c r="W2708" s="277"/>
      <c r="X2708" s="277"/>
      <c r="Y2708" s="277"/>
      <c r="Z2708" s="277"/>
      <c r="AA2708" s="277"/>
      <c r="AB2708" s="277"/>
      <c r="AC2708" s="277"/>
      <c r="AD2708" s="277"/>
      <c r="AE2708" s="277"/>
      <c r="AF2708" s="277"/>
      <c r="AG2708" s="277"/>
      <c r="AH2708" s="277"/>
    </row>
    <row r="2709" spans="16:34" s="185" customFormat="1">
      <c r="P2709" s="277"/>
      <c r="Q2709" s="277"/>
      <c r="R2709" s="277"/>
      <c r="S2709" s="291">
        <v>44265</v>
      </c>
      <c r="T2709" s="279">
        <v>2626</v>
      </c>
      <c r="U2709" s="277"/>
      <c r="V2709" s="277"/>
      <c r="W2709" s="277"/>
      <c r="X2709" s="277"/>
      <c r="Y2709" s="277"/>
      <c r="Z2709" s="277"/>
      <c r="AA2709" s="277"/>
      <c r="AB2709" s="277"/>
      <c r="AC2709" s="277"/>
      <c r="AD2709" s="277"/>
      <c r="AE2709" s="277"/>
      <c r="AF2709" s="277"/>
      <c r="AG2709" s="277"/>
      <c r="AH2709" s="277"/>
    </row>
    <row r="2710" spans="16:34" s="185" customFormat="1">
      <c r="P2710" s="277"/>
      <c r="Q2710" s="277"/>
      <c r="R2710" s="277"/>
      <c r="S2710" s="291">
        <v>44266</v>
      </c>
      <c r="T2710" s="279">
        <v>2627</v>
      </c>
      <c r="U2710" s="277"/>
      <c r="V2710" s="277"/>
      <c r="W2710" s="277"/>
      <c r="X2710" s="277"/>
      <c r="Y2710" s="277"/>
      <c r="Z2710" s="277"/>
      <c r="AA2710" s="277"/>
      <c r="AB2710" s="277"/>
      <c r="AC2710" s="277"/>
      <c r="AD2710" s="277"/>
      <c r="AE2710" s="277"/>
      <c r="AF2710" s="277"/>
      <c r="AG2710" s="277"/>
      <c r="AH2710" s="277"/>
    </row>
    <row r="2711" spans="16:34" s="185" customFormat="1">
      <c r="P2711" s="277"/>
      <c r="Q2711" s="277"/>
      <c r="R2711" s="277"/>
      <c r="S2711" s="291">
        <v>44267</v>
      </c>
      <c r="T2711" s="279">
        <v>2628</v>
      </c>
      <c r="U2711" s="277"/>
      <c r="V2711" s="277"/>
      <c r="W2711" s="277"/>
      <c r="X2711" s="277"/>
      <c r="Y2711" s="277"/>
      <c r="Z2711" s="277"/>
      <c r="AA2711" s="277"/>
      <c r="AB2711" s="277"/>
      <c r="AC2711" s="277"/>
      <c r="AD2711" s="277"/>
      <c r="AE2711" s="277"/>
      <c r="AF2711" s="277"/>
      <c r="AG2711" s="277"/>
      <c r="AH2711" s="277"/>
    </row>
    <row r="2712" spans="16:34" s="185" customFormat="1">
      <c r="P2712" s="277"/>
      <c r="Q2712" s="277"/>
      <c r="R2712" s="277"/>
      <c r="S2712" s="291">
        <v>44268</v>
      </c>
      <c r="T2712" s="279">
        <v>2629</v>
      </c>
      <c r="U2712" s="277"/>
      <c r="V2712" s="277"/>
      <c r="W2712" s="277"/>
      <c r="X2712" s="277"/>
      <c r="Y2712" s="277"/>
      <c r="Z2712" s="277"/>
      <c r="AA2712" s="277"/>
      <c r="AB2712" s="277"/>
      <c r="AC2712" s="277"/>
      <c r="AD2712" s="277"/>
      <c r="AE2712" s="277"/>
      <c r="AF2712" s="277"/>
      <c r="AG2712" s="277"/>
      <c r="AH2712" s="277"/>
    </row>
    <row r="2713" spans="16:34" s="185" customFormat="1">
      <c r="P2713" s="277"/>
      <c r="Q2713" s="277"/>
      <c r="R2713" s="277"/>
      <c r="S2713" s="291">
        <v>44269</v>
      </c>
      <c r="T2713" s="279">
        <v>2630</v>
      </c>
      <c r="U2713" s="277"/>
      <c r="V2713" s="277"/>
      <c r="W2713" s="277"/>
      <c r="X2713" s="277"/>
      <c r="Y2713" s="277"/>
      <c r="Z2713" s="277"/>
      <c r="AA2713" s="277"/>
      <c r="AB2713" s="277"/>
      <c r="AC2713" s="277"/>
      <c r="AD2713" s="277"/>
      <c r="AE2713" s="277"/>
      <c r="AF2713" s="277"/>
      <c r="AG2713" s="277"/>
      <c r="AH2713" s="277"/>
    </row>
    <row r="2714" spans="16:34" s="185" customFormat="1">
      <c r="P2714" s="277"/>
      <c r="Q2714" s="277"/>
      <c r="R2714" s="277"/>
      <c r="S2714" s="291">
        <v>44270</v>
      </c>
      <c r="T2714" s="279">
        <v>2631</v>
      </c>
      <c r="U2714" s="277"/>
      <c r="V2714" s="277"/>
      <c r="W2714" s="277"/>
      <c r="X2714" s="277"/>
      <c r="Y2714" s="277"/>
      <c r="Z2714" s="277"/>
      <c r="AA2714" s="277"/>
      <c r="AB2714" s="277"/>
      <c r="AC2714" s="277"/>
      <c r="AD2714" s="277"/>
      <c r="AE2714" s="277"/>
      <c r="AF2714" s="277"/>
      <c r="AG2714" s="277"/>
      <c r="AH2714" s="277"/>
    </row>
    <row r="2715" spans="16:34" s="185" customFormat="1">
      <c r="P2715" s="277"/>
      <c r="Q2715" s="277"/>
      <c r="R2715" s="277"/>
      <c r="S2715" s="291">
        <v>44271</v>
      </c>
      <c r="T2715" s="279">
        <v>2632</v>
      </c>
      <c r="U2715" s="277"/>
      <c r="V2715" s="277"/>
      <c r="W2715" s="277"/>
      <c r="X2715" s="277"/>
      <c r="Y2715" s="277"/>
      <c r="Z2715" s="277"/>
      <c r="AA2715" s="277"/>
      <c r="AB2715" s="277"/>
      <c r="AC2715" s="277"/>
      <c r="AD2715" s="277"/>
      <c r="AE2715" s="277"/>
      <c r="AF2715" s="277"/>
      <c r="AG2715" s="277"/>
      <c r="AH2715" s="277"/>
    </row>
    <row r="2716" spans="16:34" s="185" customFormat="1">
      <c r="P2716" s="277"/>
      <c r="Q2716" s="277"/>
      <c r="R2716" s="277"/>
      <c r="S2716" s="291">
        <v>44272</v>
      </c>
      <c r="T2716" s="279">
        <v>2633</v>
      </c>
      <c r="U2716" s="277"/>
      <c r="V2716" s="277"/>
      <c r="W2716" s="277"/>
      <c r="X2716" s="277"/>
      <c r="Y2716" s="277"/>
      <c r="Z2716" s="277"/>
      <c r="AA2716" s="277"/>
      <c r="AB2716" s="277"/>
      <c r="AC2716" s="277"/>
      <c r="AD2716" s="277"/>
      <c r="AE2716" s="277"/>
      <c r="AF2716" s="277"/>
      <c r="AG2716" s="277"/>
      <c r="AH2716" s="277"/>
    </row>
    <row r="2717" spans="16:34" s="185" customFormat="1">
      <c r="P2717" s="277"/>
      <c r="Q2717" s="277"/>
      <c r="R2717" s="277"/>
      <c r="S2717" s="291">
        <v>44273</v>
      </c>
      <c r="T2717" s="279">
        <v>2634</v>
      </c>
      <c r="U2717" s="277"/>
      <c r="V2717" s="277"/>
      <c r="W2717" s="277"/>
      <c r="X2717" s="277"/>
      <c r="Y2717" s="277"/>
      <c r="Z2717" s="277"/>
      <c r="AA2717" s="277"/>
      <c r="AB2717" s="277"/>
      <c r="AC2717" s="277"/>
      <c r="AD2717" s="277"/>
      <c r="AE2717" s="277"/>
      <c r="AF2717" s="277"/>
      <c r="AG2717" s="277"/>
      <c r="AH2717" s="277"/>
    </row>
    <row r="2718" spans="16:34" s="185" customFormat="1">
      <c r="P2718" s="277"/>
      <c r="Q2718" s="277"/>
      <c r="R2718" s="277"/>
      <c r="S2718" s="291">
        <v>44274</v>
      </c>
      <c r="T2718" s="279">
        <v>2635</v>
      </c>
      <c r="U2718" s="277"/>
      <c r="V2718" s="277"/>
      <c r="W2718" s="277"/>
      <c r="X2718" s="277"/>
      <c r="Y2718" s="277"/>
      <c r="Z2718" s="277"/>
      <c r="AA2718" s="277"/>
      <c r="AB2718" s="277"/>
      <c r="AC2718" s="277"/>
      <c r="AD2718" s="277"/>
      <c r="AE2718" s="277"/>
      <c r="AF2718" s="277"/>
      <c r="AG2718" s="277"/>
      <c r="AH2718" s="277"/>
    </row>
    <row r="2719" spans="16:34" s="185" customFormat="1">
      <c r="P2719" s="277"/>
      <c r="Q2719" s="277"/>
      <c r="R2719" s="277"/>
      <c r="S2719" s="291">
        <v>44275</v>
      </c>
      <c r="T2719" s="279">
        <v>2636</v>
      </c>
      <c r="U2719" s="277"/>
      <c r="V2719" s="277"/>
      <c r="W2719" s="277"/>
      <c r="X2719" s="277"/>
      <c r="Y2719" s="277"/>
      <c r="Z2719" s="277"/>
      <c r="AA2719" s="277"/>
      <c r="AB2719" s="277"/>
      <c r="AC2719" s="277"/>
      <c r="AD2719" s="277"/>
      <c r="AE2719" s="277"/>
      <c r="AF2719" s="277"/>
      <c r="AG2719" s="277"/>
      <c r="AH2719" s="277"/>
    </row>
    <row r="2720" spans="16:34" s="185" customFormat="1">
      <c r="P2720" s="277"/>
      <c r="Q2720" s="277"/>
      <c r="R2720" s="277"/>
      <c r="S2720" s="291">
        <v>44276</v>
      </c>
      <c r="T2720" s="279">
        <v>2637</v>
      </c>
      <c r="U2720" s="277"/>
      <c r="V2720" s="277"/>
      <c r="W2720" s="277"/>
      <c r="X2720" s="277"/>
      <c r="Y2720" s="277"/>
      <c r="Z2720" s="277"/>
      <c r="AA2720" s="277"/>
      <c r="AB2720" s="277"/>
      <c r="AC2720" s="277"/>
      <c r="AD2720" s="277"/>
      <c r="AE2720" s="277"/>
      <c r="AF2720" s="277"/>
      <c r="AG2720" s="277"/>
      <c r="AH2720" s="277"/>
    </row>
    <row r="2721" spans="16:34" s="185" customFormat="1">
      <c r="P2721" s="277"/>
      <c r="Q2721" s="277"/>
      <c r="R2721" s="277"/>
      <c r="S2721" s="291">
        <v>44277</v>
      </c>
      <c r="T2721" s="279">
        <v>2638</v>
      </c>
      <c r="U2721" s="277"/>
      <c r="V2721" s="277"/>
      <c r="W2721" s="277"/>
      <c r="X2721" s="277"/>
      <c r="Y2721" s="277"/>
      <c r="Z2721" s="277"/>
      <c r="AA2721" s="277"/>
      <c r="AB2721" s="277"/>
      <c r="AC2721" s="277"/>
      <c r="AD2721" s="277"/>
      <c r="AE2721" s="277"/>
      <c r="AF2721" s="277"/>
      <c r="AG2721" s="277"/>
      <c r="AH2721" s="277"/>
    </row>
    <row r="2722" spans="16:34" s="185" customFormat="1">
      <c r="P2722" s="277"/>
      <c r="Q2722" s="277"/>
      <c r="R2722" s="277"/>
      <c r="S2722" s="291">
        <v>44278</v>
      </c>
      <c r="T2722" s="279">
        <v>2639</v>
      </c>
      <c r="U2722" s="277"/>
      <c r="V2722" s="277"/>
      <c r="W2722" s="277"/>
      <c r="X2722" s="277"/>
      <c r="Y2722" s="277"/>
      <c r="Z2722" s="277"/>
      <c r="AA2722" s="277"/>
      <c r="AB2722" s="277"/>
      <c r="AC2722" s="277"/>
      <c r="AD2722" s="277"/>
      <c r="AE2722" s="277"/>
      <c r="AF2722" s="277"/>
      <c r="AG2722" s="277"/>
      <c r="AH2722" s="277"/>
    </row>
    <row r="2723" spans="16:34" s="185" customFormat="1">
      <c r="P2723" s="277"/>
      <c r="Q2723" s="277"/>
      <c r="R2723" s="277"/>
      <c r="S2723" s="291">
        <v>44279</v>
      </c>
      <c r="T2723" s="279">
        <v>2640</v>
      </c>
      <c r="U2723" s="277"/>
      <c r="V2723" s="277"/>
      <c r="W2723" s="277"/>
      <c r="X2723" s="277"/>
      <c r="Y2723" s="277"/>
      <c r="Z2723" s="277"/>
      <c r="AA2723" s="277"/>
      <c r="AB2723" s="277"/>
      <c r="AC2723" s="277"/>
      <c r="AD2723" s="277"/>
      <c r="AE2723" s="277"/>
      <c r="AF2723" s="277"/>
      <c r="AG2723" s="277"/>
      <c r="AH2723" s="277"/>
    </row>
    <row r="2724" spans="16:34" s="185" customFormat="1">
      <c r="P2724" s="277"/>
      <c r="Q2724" s="277"/>
      <c r="R2724" s="277"/>
      <c r="S2724" s="291">
        <v>44280</v>
      </c>
      <c r="T2724" s="279">
        <v>2641</v>
      </c>
      <c r="U2724" s="277"/>
      <c r="V2724" s="277"/>
      <c r="W2724" s="277"/>
      <c r="X2724" s="277"/>
      <c r="Y2724" s="277"/>
      <c r="Z2724" s="277"/>
      <c r="AA2724" s="277"/>
      <c r="AB2724" s="277"/>
      <c r="AC2724" s="277"/>
      <c r="AD2724" s="277"/>
      <c r="AE2724" s="277"/>
      <c r="AF2724" s="277"/>
      <c r="AG2724" s="277"/>
      <c r="AH2724" s="277"/>
    </row>
    <row r="2725" spans="16:34" s="185" customFormat="1">
      <c r="P2725" s="277"/>
      <c r="Q2725" s="277"/>
      <c r="R2725" s="277"/>
      <c r="S2725" s="291">
        <v>44281</v>
      </c>
      <c r="T2725" s="279">
        <v>2642</v>
      </c>
      <c r="U2725" s="277"/>
      <c r="V2725" s="277"/>
      <c r="W2725" s="277"/>
      <c r="X2725" s="277"/>
      <c r="Y2725" s="277"/>
      <c r="Z2725" s="277"/>
      <c r="AA2725" s="277"/>
      <c r="AB2725" s="277"/>
      <c r="AC2725" s="277"/>
      <c r="AD2725" s="277"/>
      <c r="AE2725" s="277"/>
      <c r="AF2725" s="277"/>
      <c r="AG2725" s="277"/>
      <c r="AH2725" s="277"/>
    </row>
    <row r="2726" spans="16:34" s="185" customFormat="1">
      <c r="P2726" s="277"/>
      <c r="Q2726" s="277"/>
      <c r="R2726" s="277"/>
      <c r="S2726" s="291">
        <v>44282</v>
      </c>
      <c r="T2726" s="279">
        <v>2643</v>
      </c>
      <c r="U2726" s="277"/>
      <c r="V2726" s="277"/>
      <c r="W2726" s="277"/>
      <c r="X2726" s="277"/>
      <c r="Y2726" s="277"/>
      <c r="Z2726" s="277"/>
      <c r="AA2726" s="277"/>
      <c r="AB2726" s="277"/>
      <c r="AC2726" s="277"/>
      <c r="AD2726" s="277"/>
      <c r="AE2726" s="277"/>
      <c r="AF2726" s="277"/>
      <c r="AG2726" s="277"/>
      <c r="AH2726" s="277"/>
    </row>
    <row r="2727" spans="16:34" s="185" customFormat="1">
      <c r="P2727" s="277"/>
      <c r="Q2727" s="277"/>
      <c r="R2727" s="277"/>
      <c r="S2727" s="291">
        <v>44283</v>
      </c>
      <c r="T2727" s="279">
        <v>2644</v>
      </c>
      <c r="U2727" s="277"/>
      <c r="V2727" s="277"/>
      <c r="W2727" s="277"/>
      <c r="X2727" s="277"/>
      <c r="Y2727" s="277"/>
      <c r="Z2727" s="277"/>
      <c r="AA2727" s="277"/>
      <c r="AB2727" s="277"/>
      <c r="AC2727" s="277"/>
      <c r="AD2727" s="277"/>
      <c r="AE2727" s="277"/>
      <c r="AF2727" s="277"/>
      <c r="AG2727" s="277"/>
      <c r="AH2727" s="277"/>
    </row>
    <row r="2728" spans="16:34" s="185" customFormat="1">
      <c r="P2728" s="277"/>
      <c r="Q2728" s="277"/>
      <c r="R2728" s="277"/>
      <c r="S2728" s="291">
        <v>44284</v>
      </c>
      <c r="T2728" s="279">
        <v>2645</v>
      </c>
      <c r="U2728" s="277"/>
      <c r="V2728" s="277"/>
      <c r="W2728" s="277"/>
      <c r="X2728" s="277"/>
      <c r="Y2728" s="277"/>
      <c r="Z2728" s="277"/>
      <c r="AA2728" s="277"/>
      <c r="AB2728" s="277"/>
      <c r="AC2728" s="277"/>
      <c r="AD2728" s="277"/>
      <c r="AE2728" s="277"/>
      <c r="AF2728" s="277"/>
      <c r="AG2728" s="277"/>
      <c r="AH2728" s="277"/>
    </row>
    <row r="2729" spans="16:34" s="185" customFormat="1">
      <c r="P2729" s="277"/>
      <c r="Q2729" s="277"/>
      <c r="R2729" s="277"/>
      <c r="S2729" s="291">
        <v>44285</v>
      </c>
      <c r="T2729" s="279">
        <v>2646</v>
      </c>
      <c r="U2729" s="277"/>
      <c r="V2729" s="277"/>
      <c r="W2729" s="277"/>
      <c r="X2729" s="277"/>
      <c r="Y2729" s="277"/>
      <c r="Z2729" s="277"/>
      <c r="AA2729" s="277"/>
      <c r="AB2729" s="277"/>
      <c r="AC2729" s="277"/>
      <c r="AD2729" s="277"/>
      <c r="AE2729" s="277"/>
      <c r="AF2729" s="277"/>
      <c r="AG2729" s="277"/>
      <c r="AH2729" s="277"/>
    </row>
    <row r="2730" spans="16:34" s="185" customFormat="1">
      <c r="P2730" s="277"/>
      <c r="Q2730" s="277"/>
      <c r="R2730" s="277"/>
      <c r="S2730" s="291">
        <v>44286</v>
      </c>
      <c r="T2730" s="279">
        <v>2647</v>
      </c>
      <c r="U2730" s="277"/>
      <c r="V2730" s="277"/>
      <c r="W2730" s="277"/>
      <c r="X2730" s="277"/>
      <c r="Y2730" s="277"/>
      <c r="Z2730" s="277"/>
      <c r="AA2730" s="277"/>
      <c r="AB2730" s="277"/>
      <c r="AC2730" s="277"/>
      <c r="AD2730" s="277"/>
      <c r="AE2730" s="277"/>
      <c r="AF2730" s="277"/>
      <c r="AG2730" s="277"/>
      <c r="AH2730" s="277"/>
    </row>
    <row r="2731" spans="16:34" s="185" customFormat="1">
      <c r="P2731" s="277"/>
      <c r="Q2731" s="277"/>
      <c r="R2731" s="277"/>
      <c r="S2731" s="291">
        <v>44287</v>
      </c>
      <c r="T2731" s="279">
        <v>2648</v>
      </c>
      <c r="U2731" s="277"/>
      <c r="V2731" s="277"/>
      <c r="W2731" s="277"/>
      <c r="X2731" s="277"/>
      <c r="Y2731" s="277"/>
      <c r="Z2731" s="277"/>
      <c r="AA2731" s="277"/>
      <c r="AB2731" s="277"/>
      <c r="AC2731" s="277"/>
      <c r="AD2731" s="277"/>
      <c r="AE2731" s="277"/>
      <c r="AF2731" s="277"/>
      <c r="AG2731" s="277"/>
      <c r="AH2731" s="277"/>
    </row>
    <row r="2732" spans="16:34" s="185" customFormat="1">
      <c r="P2732" s="277"/>
      <c r="Q2732" s="277"/>
      <c r="R2732" s="277"/>
      <c r="S2732" s="291">
        <v>44288</v>
      </c>
      <c r="T2732" s="279">
        <v>2649</v>
      </c>
      <c r="U2732" s="277"/>
      <c r="V2732" s="277"/>
      <c r="W2732" s="277"/>
      <c r="X2732" s="277"/>
      <c r="Y2732" s="277"/>
      <c r="Z2732" s="277"/>
      <c r="AA2732" s="277"/>
      <c r="AB2732" s="277"/>
      <c r="AC2732" s="277"/>
      <c r="AD2732" s="277"/>
      <c r="AE2732" s="277"/>
      <c r="AF2732" s="277"/>
      <c r="AG2732" s="277"/>
      <c r="AH2732" s="277"/>
    </row>
    <row r="2733" spans="16:34" s="185" customFormat="1">
      <c r="P2733" s="277"/>
      <c r="Q2733" s="277"/>
      <c r="R2733" s="277"/>
      <c r="S2733" s="291">
        <v>44289</v>
      </c>
      <c r="T2733" s="279">
        <v>2650</v>
      </c>
      <c r="U2733" s="277"/>
      <c r="V2733" s="277"/>
      <c r="W2733" s="277"/>
      <c r="X2733" s="277"/>
      <c r="Y2733" s="277"/>
      <c r="Z2733" s="277"/>
      <c r="AA2733" s="277"/>
      <c r="AB2733" s="277"/>
      <c r="AC2733" s="277"/>
      <c r="AD2733" s="277"/>
      <c r="AE2733" s="277"/>
      <c r="AF2733" s="277"/>
      <c r="AG2733" s="277"/>
      <c r="AH2733" s="277"/>
    </row>
    <row r="2734" spans="16:34" s="185" customFormat="1">
      <c r="P2734" s="277"/>
      <c r="Q2734" s="277"/>
      <c r="R2734" s="277"/>
      <c r="S2734" s="291">
        <v>44290</v>
      </c>
      <c r="T2734" s="279">
        <v>2651</v>
      </c>
      <c r="U2734" s="277"/>
      <c r="V2734" s="277"/>
      <c r="W2734" s="277"/>
      <c r="X2734" s="277"/>
      <c r="Y2734" s="277"/>
      <c r="Z2734" s="277"/>
      <c r="AA2734" s="277"/>
      <c r="AB2734" s="277"/>
      <c r="AC2734" s="277"/>
      <c r="AD2734" s="277"/>
      <c r="AE2734" s="277"/>
      <c r="AF2734" s="277"/>
      <c r="AG2734" s="277"/>
      <c r="AH2734" s="277"/>
    </row>
    <row r="2735" spans="16:34" s="185" customFormat="1">
      <c r="P2735" s="277"/>
      <c r="Q2735" s="277"/>
      <c r="R2735" s="277"/>
      <c r="S2735" s="291">
        <v>44291</v>
      </c>
      <c r="T2735" s="279">
        <v>2652</v>
      </c>
      <c r="U2735" s="277"/>
      <c r="V2735" s="277"/>
      <c r="W2735" s="277"/>
      <c r="X2735" s="277"/>
      <c r="Y2735" s="277"/>
      <c r="Z2735" s="277"/>
      <c r="AA2735" s="277"/>
      <c r="AB2735" s="277"/>
      <c r="AC2735" s="277"/>
      <c r="AD2735" s="277"/>
      <c r="AE2735" s="277"/>
      <c r="AF2735" s="277"/>
      <c r="AG2735" s="277"/>
      <c r="AH2735" s="277"/>
    </row>
    <row r="2736" spans="16:34" s="185" customFormat="1">
      <c r="P2736" s="277"/>
      <c r="Q2736" s="277"/>
      <c r="R2736" s="277"/>
      <c r="S2736" s="291">
        <v>44292</v>
      </c>
      <c r="T2736" s="279">
        <v>2653</v>
      </c>
      <c r="U2736" s="277"/>
      <c r="V2736" s="277"/>
      <c r="W2736" s="277"/>
      <c r="X2736" s="277"/>
      <c r="Y2736" s="277"/>
      <c r="Z2736" s="277"/>
      <c r="AA2736" s="277"/>
      <c r="AB2736" s="277"/>
      <c r="AC2736" s="277"/>
      <c r="AD2736" s="277"/>
      <c r="AE2736" s="277"/>
      <c r="AF2736" s="277"/>
      <c r="AG2736" s="277"/>
      <c r="AH2736" s="277"/>
    </row>
    <row r="2737" spans="16:34" s="185" customFormat="1">
      <c r="P2737" s="277"/>
      <c r="Q2737" s="277"/>
      <c r="R2737" s="277"/>
      <c r="S2737" s="291">
        <v>44293</v>
      </c>
      <c r="T2737" s="279">
        <v>2654</v>
      </c>
      <c r="U2737" s="277"/>
      <c r="V2737" s="277"/>
      <c r="W2737" s="277"/>
      <c r="X2737" s="277"/>
      <c r="Y2737" s="277"/>
      <c r="Z2737" s="277"/>
      <c r="AA2737" s="277"/>
      <c r="AB2737" s="277"/>
      <c r="AC2737" s="277"/>
      <c r="AD2737" s="277"/>
      <c r="AE2737" s="277"/>
      <c r="AF2737" s="277"/>
      <c r="AG2737" s="277"/>
      <c r="AH2737" s="277"/>
    </row>
    <row r="2738" spans="16:34" s="185" customFormat="1">
      <c r="P2738" s="277"/>
      <c r="Q2738" s="277"/>
      <c r="R2738" s="277"/>
      <c r="S2738" s="291">
        <v>44294</v>
      </c>
      <c r="T2738" s="279">
        <v>2655</v>
      </c>
      <c r="U2738" s="277"/>
      <c r="V2738" s="277"/>
      <c r="W2738" s="277"/>
      <c r="X2738" s="277"/>
      <c r="Y2738" s="277"/>
      <c r="Z2738" s="277"/>
      <c r="AA2738" s="277"/>
      <c r="AB2738" s="277"/>
      <c r="AC2738" s="277"/>
      <c r="AD2738" s="277"/>
      <c r="AE2738" s="277"/>
      <c r="AF2738" s="277"/>
      <c r="AG2738" s="277"/>
      <c r="AH2738" s="277"/>
    </row>
    <row r="2739" spans="16:34" s="185" customFormat="1">
      <c r="P2739" s="277"/>
      <c r="Q2739" s="277"/>
      <c r="R2739" s="277"/>
      <c r="S2739" s="291">
        <v>44295</v>
      </c>
      <c r="T2739" s="279">
        <v>2656</v>
      </c>
      <c r="U2739" s="277"/>
      <c r="V2739" s="277"/>
      <c r="W2739" s="277"/>
      <c r="X2739" s="277"/>
      <c r="Y2739" s="277"/>
      <c r="Z2739" s="277"/>
      <c r="AA2739" s="277"/>
      <c r="AB2739" s="277"/>
      <c r="AC2739" s="277"/>
      <c r="AD2739" s="277"/>
      <c r="AE2739" s="277"/>
      <c r="AF2739" s="277"/>
      <c r="AG2739" s="277"/>
      <c r="AH2739" s="277"/>
    </row>
    <row r="2740" spans="16:34" s="185" customFormat="1">
      <c r="P2740" s="277"/>
      <c r="Q2740" s="277"/>
      <c r="R2740" s="277"/>
      <c r="S2740" s="291">
        <v>44296</v>
      </c>
      <c r="T2740" s="279">
        <v>2657</v>
      </c>
      <c r="U2740" s="277"/>
      <c r="V2740" s="277"/>
      <c r="W2740" s="277"/>
      <c r="X2740" s="277"/>
      <c r="Y2740" s="277"/>
      <c r="Z2740" s="277"/>
      <c r="AA2740" s="277"/>
      <c r="AB2740" s="277"/>
      <c r="AC2740" s="277"/>
      <c r="AD2740" s="277"/>
      <c r="AE2740" s="277"/>
      <c r="AF2740" s="277"/>
      <c r="AG2740" s="277"/>
      <c r="AH2740" s="277"/>
    </row>
    <row r="2741" spans="16:34" s="185" customFormat="1">
      <c r="P2741" s="277"/>
      <c r="Q2741" s="277"/>
      <c r="R2741" s="277"/>
      <c r="S2741" s="291">
        <v>44297</v>
      </c>
      <c r="T2741" s="279">
        <v>2658</v>
      </c>
      <c r="U2741" s="277"/>
      <c r="V2741" s="277"/>
      <c r="W2741" s="277"/>
      <c r="X2741" s="277"/>
      <c r="Y2741" s="277"/>
      <c r="Z2741" s="277"/>
      <c r="AA2741" s="277"/>
      <c r="AB2741" s="277"/>
      <c r="AC2741" s="277"/>
      <c r="AD2741" s="277"/>
      <c r="AE2741" s="277"/>
      <c r="AF2741" s="277"/>
      <c r="AG2741" s="277"/>
      <c r="AH2741" s="277"/>
    </row>
    <row r="2742" spans="16:34" s="185" customFormat="1">
      <c r="P2742" s="277"/>
      <c r="Q2742" s="277"/>
      <c r="R2742" s="277"/>
      <c r="S2742" s="291">
        <v>44298</v>
      </c>
      <c r="T2742" s="279">
        <v>2659</v>
      </c>
      <c r="U2742" s="277"/>
      <c r="V2742" s="277"/>
      <c r="W2742" s="277"/>
      <c r="X2742" s="277"/>
      <c r="Y2742" s="277"/>
      <c r="Z2742" s="277"/>
      <c r="AA2742" s="277"/>
      <c r="AB2742" s="277"/>
      <c r="AC2742" s="277"/>
      <c r="AD2742" s="277"/>
      <c r="AE2742" s="277"/>
      <c r="AF2742" s="277"/>
      <c r="AG2742" s="277"/>
      <c r="AH2742" s="277"/>
    </row>
    <row r="2743" spans="16:34" s="185" customFormat="1">
      <c r="P2743" s="277"/>
      <c r="Q2743" s="277"/>
      <c r="R2743" s="277"/>
      <c r="S2743" s="291">
        <v>44299</v>
      </c>
      <c r="T2743" s="279">
        <v>2660</v>
      </c>
      <c r="U2743" s="277"/>
      <c r="V2743" s="277"/>
      <c r="W2743" s="277"/>
      <c r="X2743" s="277"/>
      <c r="Y2743" s="277"/>
      <c r="Z2743" s="277"/>
      <c r="AA2743" s="277"/>
      <c r="AB2743" s="277"/>
      <c r="AC2743" s="277"/>
      <c r="AD2743" s="277"/>
      <c r="AE2743" s="277"/>
      <c r="AF2743" s="277"/>
      <c r="AG2743" s="277"/>
      <c r="AH2743" s="277"/>
    </row>
    <row r="2744" spans="16:34" s="185" customFormat="1">
      <c r="P2744" s="277"/>
      <c r="Q2744" s="277"/>
      <c r="R2744" s="277"/>
      <c r="S2744" s="291">
        <v>44300</v>
      </c>
      <c r="T2744" s="279">
        <v>2661</v>
      </c>
      <c r="U2744" s="277"/>
      <c r="V2744" s="277"/>
      <c r="W2744" s="277"/>
      <c r="X2744" s="277"/>
      <c r="Y2744" s="277"/>
      <c r="Z2744" s="277"/>
      <c r="AA2744" s="277"/>
      <c r="AB2744" s="277"/>
      <c r="AC2744" s="277"/>
      <c r="AD2744" s="277"/>
      <c r="AE2744" s="277"/>
      <c r="AF2744" s="277"/>
      <c r="AG2744" s="277"/>
      <c r="AH2744" s="277"/>
    </row>
    <row r="2745" spans="16:34" s="185" customFormat="1">
      <c r="P2745" s="277"/>
      <c r="Q2745" s="277"/>
      <c r="R2745" s="277"/>
      <c r="S2745" s="291">
        <v>44301</v>
      </c>
      <c r="T2745" s="279">
        <v>2662</v>
      </c>
      <c r="U2745" s="277"/>
      <c r="V2745" s="277"/>
      <c r="W2745" s="277"/>
      <c r="X2745" s="277"/>
      <c r="Y2745" s="277"/>
      <c r="Z2745" s="277"/>
      <c r="AA2745" s="277"/>
      <c r="AB2745" s="277"/>
      <c r="AC2745" s="277"/>
      <c r="AD2745" s="277"/>
      <c r="AE2745" s="277"/>
      <c r="AF2745" s="277"/>
      <c r="AG2745" s="277"/>
      <c r="AH2745" s="277"/>
    </row>
    <row r="2746" spans="16:34" s="185" customFormat="1">
      <c r="P2746" s="277"/>
      <c r="Q2746" s="277"/>
      <c r="R2746" s="277"/>
      <c r="S2746" s="291">
        <v>44302</v>
      </c>
      <c r="T2746" s="279">
        <v>2663</v>
      </c>
      <c r="U2746" s="277"/>
      <c r="V2746" s="277"/>
      <c r="W2746" s="277"/>
      <c r="X2746" s="277"/>
      <c r="Y2746" s="277"/>
      <c r="Z2746" s="277"/>
      <c r="AA2746" s="277"/>
      <c r="AB2746" s="277"/>
      <c r="AC2746" s="277"/>
      <c r="AD2746" s="277"/>
      <c r="AE2746" s="277"/>
      <c r="AF2746" s="277"/>
      <c r="AG2746" s="277"/>
      <c r="AH2746" s="277"/>
    </row>
    <row r="2747" spans="16:34" s="185" customFormat="1">
      <c r="P2747" s="277"/>
      <c r="Q2747" s="277"/>
      <c r="R2747" s="277"/>
      <c r="S2747" s="291">
        <v>44303</v>
      </c>
      <c r="T2747" s="279">
        <v>2664</v>
      </c>
      <c r="U2747" s="277"/>
      <c r="V2747" s="277"/>
      <c r="W2747" s="277"/>
      <c r="X2747" s="277"/>
      <c r="Y2747" s="277"/>
      <c r="Z2747" s="277"/>
      <c r="AA2747" s="277"/>
      <c r="AB2747" s="277"/>
      <c r="AC2747" s="277"/>
      <c r="AD2747" s="277"/>
      <c r="AE2747" s="277"/>
      <c r="AF2747" s="277"/>
      <c r="AG2747" s="277"/>
      <c r="AH2747" s="277"/>
    </row>
    <row r="2748" spans="16:34" s="185" customFormat="1">
      <c r="P2748" s="277"/>
      <c r="Q2748" s="277"/>
      <c r="R2748" s="277"/>
      <c r="S2748" s="291">
        <v>44304</v>
      </c>
      <c r="T2748" s="279">
        <v>2665</v>
      </c>
      <c r="U2748" s="277"/>
      <c r="V2748" s="277"/>
      <c r="W2748" s="277"/>
      <c r="X2748" s="277"/>
      <c r="Y2748" s="277"/>
      <c r="Z2748" s="277"/>
      <c r="AA2748" s="277"/>
      <c r="AB2748" s="277"/>
      <c r="AC2748" s="277"/>
      <c r="AD2748" s="277"/>
      <c r="AE2748" s="277"/>
      <c r="AF2748" s="277"/>
      <c r="AG2748" s="277"/>
      <c r="AH2748" s="277"/>
    </row>
    <row r="2749" spans="16:34" s="185" customFormat="1">
      <c r="P2749" s="277"/>
      <c r="Q2749" s="277"/>
      <c r="R2749" s="277"/>
      <c r="S2749" s="291">
        <v>44305</v>
      </c>
      <c r="T2749" s="279">
        <v>2666</v>
      </c>
      <c r="U2749" s="277"/>
      <c r="V2749" s="277"/>
      <c r="W2749" s="277"/>
      <c r="X2749" s="277"/>
      <c r="Y2749" s="277"/>
      <c r="Z2749" s="277"/>
      <c r="AA2749" s="277"/>
      <c r="AB2749" s="277"/>
      <c r="AC2749" s="277"/>
      <c r="AD2749" s="277"/>
      <c r="AE2749" s="277"/>
      <c r="AF2749" s="277"/>
      <c r="AG2749" s="277"/>
      <c r="AH2749" s="277"/>
    </row>
    <row r="2750" spans="16:34" s="185" customFormat="1">
      <c r="P2750" s="277"/>
      <c r="Q2750" s="277"/>
      <c r="R2750" s="277"/>
      <c r="S2750" s="291">
        <v>44306</v>
      </c>
      <c r="T2750" s="279">
        <v>2667</v>
      </c>
      <c r="U2750" s="277"/>
      <c r="V2750" s="277"/>
      <c r="W2750" s="277"/>
      <c r="X2750" s="277"/>
      <c r="Y2750" s="277"/>
      <c r="Z2750" s="277"/>
      <c r="AA2750" s="277"/>
      <c r="AB2750" s="277"/>
      <c r="AC2750" s="277"/>
      <c r="AD2750" s="277"/>
      <c r="AE2750" s="277"/>
      <c r="AF2750" s="277"/>
      <c r="AG2750" s="277"/>
      <c r="AH2750" s="277"/>
    </row>
    <row r="2751" spans="16:34" s="185" customFormat="1">
      <c r="P2751" s="277"/>
      <c r="Q2751" s="277"/>
      <c r="R2751" s="277"/>
      <c r="S2751" s="291">
        <v>44307</v>
      </c>
      <c r="T2751" s="279">
        <v>2668</v>
      </c>
      <c r="U2751" s="277"/>
      <c r="V2751" s="277"/>
      <c r="W2751" s="277"/>
      <c r="X2751" s="277"/>
      <c r="Y2751" s="277"/>
      <c r="Z2751" s="277"/>
      <c r="AA2751" s="277"/>
      <c r="AB2751" s="277"/>
      <c r="AC2751" s="277"/>
      <c r="AD2751" s="277"/>
      <c r="AE2751" s="277"/>
      <c r="AF2751" s="277"/>
      <c r="AG2751" s="277"/>
      <c r="AH2751" s="277"/>
    </row>
    <row r="2752" spans="16:34" s="185" customFormat="1">
      <c r="P2752" s="277"/>
      <c r="Q2752" s="277"/>
      <c r="R2752" s="277"/>
      <c r="S2752" s="291">
        <v>44308</v>
      </c>
      <c r="T2752" s="279">
        <v>2669</v>
      </c>
      <c r="U2752" s="277"/>
      <c r="V2752" s="277"/>
      <c r="W2752" s="277"/>
      <c r="X2752" s="277"/>
      <c r="Y2752" s="277"/>
      <c r="Z2752" s="277"/>
      <c r="AA2752" s="277"/>
      <c r="AB2752" s="277"/>
      <c r="AC2752" s="277"/>
      <c r="AD2752" s="277"/>
      <c r="AE2752" s="277"/>
      <c r="AF2752" s="277"/>
      <c r="AG2752" s="277"/>
      <c r="AH2752" s="277"/>
    </row>
    <row r="2753" spans="16:34" s="185" customFormat="1">
      <c r="P2753" s="277"/>
      <c r="Q2753" s="277"/>
      <c r="R2753" s="277"/>
      <c r="S2753" s="291">
        <v>44309</v>
      </c>
      <c r="T2753" s="279">
        <v>2670</v>
      </c>
      <c r="U2753" s="277"/>
      <c r="V2753" s="277"/>
      <c r="W2753" s="277"/>
      <c r="X2753" s="277"/>
      <c r="Y2753" s="277"/>
      <c r="Z2753" s="277"/>
      <c r="AA2753" s="277"/>
      <c r="AB2753" s="277"/>
      <c r="AC2753" s="277"/>
      <c r="AD2753" s="277"/>
      <c r="AE2753" s="277"/>
      <c r="AF2753" s="277"/>
      <c r="AG2753" s="277"/>
      <c r="AH2753" s="277"/>
    </row>
    <row r="2754" spans="16:34" s="185" customFormat="1">
      <c r="P2754" s="277"/>
      <c r="Q2754" s="277"/>
      <c r="R2754" s="277"/>
      <c r="S2754" s="291">
        <v>44310</v>
      </c>
      <c r="T2754" s="279">
        <v>2671</v>
      </c>
      <c r="U2754" s="277"/>
      <c r="V2754" s="277"/>
      <c r="W2754" s="277"/>
      <c r="X2754" s="277"/>
      <c r="Y2754" s="277"/>
      <c r="Z2754" s="277"/>
      <c r="AA2754" s="277"/>
      <c r="AB2754" s="277"/>
      <c r="AC2754" s="277"/>
      <c r="AD2754" s="277"/>
      <c r="AE2754" s="277"/>
      <c r="AF2754" s="277"/>
      <c r="AG2754" s="277"/>
      <c r="AH2754" s="277"/>
    </row>
    <row r="2755" spans="16:34" s="185" customFormat="1">
      <c r="P2755" s="277"/>
      <c r="Q2755" s="277"/>
      <c r="R2755" s="277"/>
      <c r="S2755" s="291">
        <v>44311</v>
      </c>
      <c r="T2755" s="279">
        <v>2672</v>
      </c>
      <c r="U2755" s="277"/>
      <c r="V2755" s="277"/>
      <c r="W2755" s="277"/>
      <c r="X2755" s="277"/>
      <c r="Y2755" s="277"/>
      <c r="Z2755" s="277"/>
      <c r="AA2755" s="277"/>
      <c r="AB2755" s="277"/>
      <c r="AC2755" s="277"/>
      <c r="AD2755" s="277"/>
      <c r="AE2755" s="277"/>
      <c r="AF2755" s="277"/>
      <c r="AG2755" s="277"/>
      <c r="AH2755" s="277"/>
    </row>
    <row r="2756" spans="16:34" s="185" customFormat="1">
      <c r="P2756" s="277"/>
      <c r="Q2756" s="277"/>
      <c r="R2756" s="277"/>
      <c r="S2756" s="291">
        <v>44312</v>
      </c>
      <c r="T2756" s="279">
        <v>2673</v>
      </c>
      <c r="U2756" s="277"/>
      <c r="V2756" s="277"/>
      <c r="W2756" s="277"/>
      <c r="X2756" s="277"/>
      <c r="Y2756" s="277"/>
      <c r="Z2756" s="277"/>
      <c r="AA2756" s="277"/>
      <c r="AB2756" s="277"/>
      <c r="AC2756" s="277"/>
      <c r="AD2756" s="277"/>
      <c r="AE2756" s="277"/>
      <c r="AF2756" s="277"/>
      <c r="AG2756" s="277"/>
      <c r="AH2756" s="277"/>
    </row>
    <row r="2757" spans="16:34" s="185" customFormat="1">
      <c r="P2757" s="277"/>
      <c r="Q2757" s="277"/>
      <c r="R2757" s="277"/>
      <c r="S2757" s="291">
        <v>44313</v>
      </c>
      <c r="T2757" s="279">
        <v>2674</v>
      </c>
      <c r="U2757" s="277"/>
      <c r="V2757" s="277"/>
      <c r="W2757" s="277"/>
      <c r="X2757" s="277"/>
      <c r="Y2757" s="277"/>
      <c r="Z2757" s="277"/>
      <c r="AA2757" s="277"/>
      <c r="AB2757" s="277"/>
      <c r="AC2757" s="277"/>
      <c r="AD2757" s="277"/>
      <c r="AE2757" s="277"/>
      <c r="AF2757" s="277"/>
      <c r="AG2757" s="277"/>
      <c r="AH2757" s="277"/>
    </row>
    <row r="2758" spans="16:34" s="185" customFormat="1">
      <c r="P2758" s="277"/>
      <c r="Q2758" s="277"/>
      <c r="R2758" s="277"/>
      <c r="S2758" s="291">
        <v>44314</v>
      </c>
      <c r="T2758" s="279">
        <v>2675</v>
      </c>
      <c r="U2758" s="277"/>
      <c r="V2758" s="277"/>
      <c r="W2758" s="277"/>
      <c r="X2758" s="277"/>
      <c r="Y2758" s="277"/>
      <c r="Z2758" s="277"/>
      <c r="AA2758" s="277"/>
      <c r="AB2758" s="277"/>
      <c r="AC2758" s="277"/>
      <c r="AD2758" s="277"/>
      <c r="AE2758" s="277"/>
      <c r="AF2758" s="277"/>
      <c r="AG2758" s="277"/>
      <c r="AH2758" s="277"/>
    </row>
    <row r="2759" spans="16:34" s="185" customFormat="1">
      <c r="P2759" s="277"/>
      <c r="Q2759" s="277"/>
      <c r="R2759" s="277"/>
      <c r="S2759" s="291">
        <v>44315</v>
      </c>
      <c r="T2759" s="279">
        <v>2676</v>
      </c>
      <c r="U2759" s="277"/>
      <c r="V2759" s="277"/>
      <c r="W2759" s="277"/>
      <c r="X2759" s="277"/>
      <c r="Y2759" s="277"/>
      <c r="Z2759" s="277"/>
      <c r="AA2759" s="277"/>
      <c r="AB2759" s="277"/>
      <c r="AC2759" s="277"/>
      <c r="AD2759" s="277"/>
      <c r="AE2759" s="277"/>
      <c r="AF2759" s="277"/>
      <c r="AG2759" s="277"/>
      <c r="AH2759" s="277"/>
    </row>
    <row r="2760" spans="16:34" s="185" customFormat="1">
      <c r="P2760" s="277"/>
      <c r="Q2760" s="277"/>
      <c r="R2760" s="277"/>
      <c r="S2760" s="291">
        <v>44316</v>
      </c>
      <c r="T2760" s="279">
        <v>2677</v>
      </c>
      <c r="U2760" s="277"/>
      <c r="V2760" s="277"/>
      <c r="W2760" s="277"/>
      <c r="X2760" s="277"/>
      <c r="Y2760" s="277"/>
      <c r="Z2760" s="277"/>
      <c r="AA2760" s="277"/>
      <c r="AB2760" s="277"/>
      <c r="AC2760" s="277"/>
      <c r="AD2760" s="277"/>
      <c r="AE2760" s="277"/>
      <c r="AF2760" s="277"/>
      <c r="AG2760" s="277"/>
      <c r="AH2760" s="277"/>
    </row>
    <row r="2761" spans="16:34" s="185" customFormat="1">
      <c r="P2761" s="277"/>
      <c r="Q2761" s="277"/>
      <c r="R2761" s="277"/>
      <c r="S2761" s="291">
        <v>44317</v>
      </c>
      <c r="T2761" s="279">
        <v>2678</v>
      </c>
      <c r="U2761" s="277"/>
      <c r="V2761" s="277"/>
      <c r="W2761" s="277"/>
      <c r="X2761" s="277"/>
      <c r="Y2761" s="277"/>
      <c r="Z2761" s="277"/>
      <c r="AA2761" s="277"/>
      <c r="AB2761" s="277"/>
      <c r="AC2761" s="277"/>
      <c r="AD2761" s="277"/>
      <c r="AE2761" s="277"/>
      <c r="AF2761" s="277"/>
      <c r="AG2761" s="277"/>
      <c r="AH2761" s="277"/>
    </row>
    <row r="2762" spans="16:34" s="185" customFormat="1">
      <c r="P2762" s="277"/>
      <c r="Q2762" s="277"/>
      <c r="R2762" s="277"/>
      <c r="S2762" s="291">
        <v>44318</v>
      </c>
      <c r="T2762" s="279">
        <v>2679</v>
      </c>
      <c r="U2762" s="277"/>
      <c r="V2762" s="277"/>
      <c r="W2762" s="277"/>
      <c r="X2762" s="277"/>
      <c r="Y2762" s="277"/>
      <c r="Z2762" s="277"/>
      <c r="AA2762" s="277"/>
      <c r="AB2762" s="277"/>
      <c r="AC2762" s="277"/>
      <c r="AD2762" s="277"/>
      <c r="AE2762" s="277"/>
      <c r="AF2762" s="277"/>
      <c r="AG2762" s="277"/>
      <c r="AH2762" s="277"/>
    </row>
    <row r="2763" spans="16:34" s="185" customFormat="1">
      <c r="P2763" s="277"/>
      <c r="Q2763" s="277"/>
      <c r="R2763" s="277"/>
      <c r="S2763" s="291">
        <v>44319</v>
      </c>
      <c r="T2763" s="279">
        <v>2680</v>
      </c>
      <c r="U2763" s="277"/>
      <c r="V2763" s="277"/>
      <c r="W2763" s="277"/>
      <c r="X2763" s="277"/>
      <c r="Y2763" s="277"/>
      <c r="Z2763" s="277"/>
      <c r="AA2763" s="277"/>
      <c r="AB2763" s="277"/>
      <c r="AC2763" s="277"/>
      <c r="AD2763" s="277"/>
      <c r="AE2763" s="277"/>
      <c r="AF2763" s="277"/>
      <c r="AG2763" s="277"/>
      <c r="AH2763" s="277"/>
    </row>
    <row r="2764" spans="16:34" s="185" customFormat="1">
      <c r="P2764" s="277"/>
      <c r="Q2764" s="277"/>
      <c r="R2764" s="277"/>
      <c r="S2764" s="291">
        <v>44320</v>
      </c>
      <c r="T2764" s="279">
        <v>2681</v>
      </c>
      <c r="U2764" s="277"/>
      <c r="V2764" s="277"/>
      <c r="W2764" s="277"/>
      <c r="X2764" s="277"/>
      <c r="Y2764" s="277"/>
      <c r="Z2764" s="277"/>
      <c r="AA2764" s="277"/>
      <c r="AB2764" s="277"/>
      <c r="AC2764" s="277"/>
      <c r="AD2764" s="277"/>
      <c r="AE2764" s="277"/>
      <c r="AF2764" s="277"/>
      <c r="AG2764" s="277"/>
      <c r="AH2764" s="277"/>
    </row>
    <row r="2765" spans="16:34" s="185" customFormat="1">
      <c r="P2765" s="277"/>
      <c r="Q2765" s="277"/>
      <c r="R2765" s="277"/>
      <c r="S2765" s="291">
        <v>44321</v>
      </c>
      <c r="T2765" s="279">
        <v>2682</v>
      </c>
      <c r="U2765" s="277"/>
      <c r="V2765" s="277"/>
      <c r="W2765" s="277"/>
      <c r="X2765" s="277"/>
      <c r="Y2765" s="277"/>
      <c r="Z2765" s="277"/>
      <c r="AA2765" s="277"/>
      <c r="AB2765" s="277"/>
      <c r="AC2765" s="277"/>
      <c r="AD2765" s="277"/>
      <c r="AE2765" s="277"/>
      <c r="AF2765" s="277"/>
      <c r="AG2765" s="277"/>
      <c r="AH2765" s="277"/>
    </row>
    <row r="2766" spans="16:34" s="185" customFormat="1">
      <c r="P2766" s="277"/>
      <c r="Q2766" s="277"/>
      <c r="R2766" s="277"/>
      <c r="S2766" s="291">
        <v>44322</v>
      </c>
      <c r="T2766" s="279">
        <v>2683</v>
      </c>
      <c r="U2766" s="277"/>
      <c r="V2766" s="277"/>
      <c r="W2766" s="277"/>
      <c r="X2766" s="277"/>
      <c r="Y2766" s="277"/>
      <c r="Z2766" s="277"/>
      <c r="AA2766" s="277"/>
      <c r="AB2766" s="277"/>
      <c r="AC2766" s="277"/>
      <c r="AD2766" s="277"/>
      <c r="AE2766" s="277"/>
      <c r="AF2766" s="277"/>
      <c r="AG2766" s="277"/>
      <c r="AH2766" s="277"/>
    </row>
    <row r="2767" spans="16:34" s="185" customFormat="1">
      <c r="P2767" s="277"/>
      <c r="Q2767" s="277"/>
      <c r="R2767" s="277"/>
      <c r="S2767" s="291">
        <v>44323</v>
      </c>
      <c r="T2767" s="279">
        <v>2684</v>
      </c>
      <c r="U2767" s="277"/>
      <c r="V2767" s="277"/>
      <c r="W2767" s="277"/>
      <c r="X2767" s="277"/>
      <c r="Y2767" s="277"/>
      <c r="Z2767" s="277"/>
      <c r="AA2767" s="277"/>
      <c r="AB2767" s="277"/>
      <c r="AC2767" s="277"/>
      <c r="AD2767" s="277"/>
      <c r="AE2767" s="277"/>
      <c r="AF2767" s="277"/>
      <c r="AG2767" s="277"/>
      <c r="AH2767" s="277"/>
    </row>
    <row r="2768" spans="16:34" s="185" customFormat="1">
      <c r="P2768" s="277"/>
      <c r="Q2768" s="277"/>
      <c r="R2768" s="277"/>
      <c r="S2768" s="291">
        <v>44324</v>
      </c>
      <c r="T2768" s="279">
        <v>2685</v>
      </c>
      <c r="U2768" s="277"/>
      <c r="V2768" s="277"/>
      <c r="W2768" s="277"/>
      <c r="X2768" s="277"/>
      <c r="Y2768" s="277"/>
      <c r="Z2768" s="277"/>
      <c r="AA2768" s="277"/>
      <c r="AB2768" s="277"/>
      <c r="AC2768" s="277"/>
      <c r="AD2768" s="277"/>
      <c r="AE2768" s="277"/>
      <c r="AF2768" s="277"/>
      <c r="AG2768" s="277"/>
      <c r="AH2768" s="277"/>
    </row>
    <row r="2769" spans="16:34" s="185" customFormat="1">
      <c r="P2769" s="277"/>
      <c r="Q2769" s="277"/>
      <c r="R2769" s="277"/>
      <c r="S2769" s="291">
        <v>44325</v>
      </c>
      <c r="T2769" s="279">
        <v>2686</v>
      </c>
      <c r="U2769" s="277"/>
      <c r="V2769" s="277"/>
      <c r="W2769" s="277"/>
      <c r="X2769" s="277"/>
      <c r="Y2769" s="277"/>
      <c r="Z2769" s="277"/>
      <c r="AA2769" s="277"/>
      <c r="AB2769" s="277"/>
      <c r="AC2769" s="277"/>
      <c r="AD2769" s="277"/>
      <c r="AE2769" s="277"/>
      <c r="AF2769" s="277"/>
      <c r="AG2769" s="277"/>
      <c r="AH2769" s="277"/>
    </row>
    <row r="2770" spans="16:34" s="185" customFormat="1">
      <c r="P2770" s="277"/>
      <c r="Q2770" s="277"/>
      <c r="R2770" s="277"/>
      <c r="S2770" s="291">
        <v>44326</v>
      </c>
      <c r="T2770" s="279">
        <v>2687</v>
      </c>
      <c r="U2770" s="277"/>
      <c r="V2770" s="277"/>
      <c r="W2770" s="277"/>
      <c r="X2770" s="277"/>
      <c r="Y2770" s="277"/>
      <c r="Z2770" s="277"/>
      <c r="AA2770" s="277"/>
      <c r="AB2770" s="277"/>
      <c r="AC2770" s="277"/>
      <c r="AD2770" s="277"/>
      <c r="AE2770" s="277"/>
      <c r="AF2770" s="277"/>
      <c r="AG2770" s="277"/>
      <c r="AH2770" s="277"/>
    </row>
    <row r="2771" spans="16:34" s="185" customFormat="1">
      <c r="P2771" s="277"/>
      <c r="Q2771" s="277"/>
      <c r="R2771" s="277"/>
      <c r="S2771" s="291">
        <v>44327</v>
      </c>
      <c r="T2771" s="279">
        <v>2688</v>
      </c>
      <c r="U2771" s="277"/>
      <c r="V2771" s="277"/>
      <c r="W2771" s="277"/>
      <c r="X2771" s="277"/>
      <c r="Y2771" s="277"/>
      <c r="Z2771" s="277"/>
      <c r="AA2771" s="277"/>
      <c r="AB2771" s="277"/>
      <c r="AC2771" s="277"/>
      <c r="AD2771" s="277"/>
      <c r="AE2771" s="277"/>
      <c r="AF2771" s="277"/>
      <c r="AG2771" s="277"/>
      <c r="AH2771" s="277"/>
    </row>
    <row r="2772" spans="16:34" s="185" customFormat="1">
      <c r="P2772" s="277"/>
      <c r="Q2772" s="277"/>
      <c r="R2772" s="277"/>
      <c r="S2772" s="291">
        <v>44328</v>
      </c>
      <c r="T2772" s="279">
        <v>2689</v>
      </c>
      <c r="U2772" s="277"/>
      <c r="V2772" s="277"/>
      <c r="W2772" s="277"/>
      <c r="X2772" s="277"/>
      <c r="Y2772" s="277"/>
      <c r="Z2772" s="277"/>
      <c r="AA2772" s="277"/>
      <c r="AB2772" s="277"/>
      <c r="AC2772" s="277"/>
      <c r="AD2772" s="277"/>
      <c r="AE2772" s="277"/>
      <c r="AF2772" s="277"/>
      <c r="AG2772" s="277"/>
      <c r="AH2772" s="277"/>
    </row>
    <row r="2773" spans="16:34" s="185" customFormat="1">
      <c r="P2773" s="277"/>
      <c r="Q2773" s="277"/>
      <c r="R2773" s="277"/>
      <c r="S2773" s="291">
        <v>44329</v>
      </c>
      <c r="T2773" s="279">
        <v>2690</v>
      </c>
      <c r="U2773" s="277"/>
      <c r="V2773" s="277"/>
      <c r="W2773" s="277"/>
      <c r="X2773" s="277"/>
      <c r="Y2773" s="277"/>
      <c r="Z2773" s="277"/>
      <c r="AA2773" s="277"/>
      <c r="AB2773" s="277"/>
      <c r="AC2773" s="277"/>
      <c r="AD2773" s="277"/>
      <c r="AE2773" s="277"/>
      <c r="AF2773" s="277"/>
      <c r="AG2773" s="277"/>
      <c r="AH2773" s="277"/>
    </row>
    <row r="2774" spans="16:34" s="185" customFormat="1">
      <c r="P2774" s="277"/>
      <c r="Q2774" s="277"/>
      <c r="R2774" s="277"/>
      <c r="S2774" s="291">
        <v>44330</v>
      </c>
      <c r="T2774" s="279">
        <v>2691</v>
      </c>
      <c r="U2774" s="277"/>
      <c r="V2774" s="277"/>
      <c r="W2774" s="277"/>
      <c r="X2774" s="277"/>
      <c r="Y2774" s="277"/>
      <c r="Z2774" s="277"/>
      <c r="AA2774" s="277"/>
      <c r="AB2774" s="277"/>
      <c r="AC2774" s="277"/>
      <c r="AD2774" s="277"/>
      <c r="AE2774" s="277"/>
      <c r="AF2774" s="277"/>
      <c r="AG2774" s="277"/>
      <c r="AH2774" s="277"/>
    </row>
    <row r="2775" spans="16:34" s="185" customFormat="1">
      <c r="P2775" s="277"/>
      <c r="Q2775" s="277"/>
      <c r="R2775" s="277"/>
      <c r="S2775" s="291">
        <v>44331</v>
      </c>
      <c r="T2775" s="279">
        <v>2692</v>
      </c>
      <c r="U2775" s="277"/>
      <c r="V2775" s="277"/>
      <c r="W2775" s="277"/>
      <c r="X2775" s="277"/>
      <c r="Y2775" s="277"/>
      <c r="Z2775" s="277"/>
      <c r="AA2775" s="277"/>
      <c r="AB2775" s="277"/>
      <c r="AC2775" s="277"/>
      <c r="AD2775" s="277"/>
      <c r="AE2775" s="277"/>
      <c r="AF2775" s="277"/>
      <c r="AG2775" s="277"/>
      <c r="AH2775" s="277"/>
    </row>
    <row r="2776" spans="16:34" s="185" customFormat="1">
      <c r="P2776" s="277"/>
      <c r="Q2776" s="277"/>
      <c r="R2776" s="277"/>
      <c r="S2776" s="291">
        <v>44332</v>
      </c>
      <c r="T2776" s="279">
        <v>2693</v>
      </c>
      <c r="U2776" s="277"/>
      <c r="V2776" s="277"/>
      <c r="W2776" s="277"/>
      <c r="X2776" s="277"/>
      <c r="Y2776" s="277"/>
      <c r="Z2776" s="277"/>
      <c r="AA2776" s="277"/>
      <c r="AB2776" s="277"/>
      <c r="AC2776" s="277"/>
      <c r="AD2776" s="277"/>
      <c r="AE2776" s="277"/>
      <c r="AF2776" s="277"/>
      <c r="AG2776" s="277"/>
      <c r="AH2776" s="277"/>
    </row>
    <row r="2777" spans="16:34" s="185" customFormat="1">
      <c r="P2777" s="277"/>
      <c r="Q2777" s="277"/>
      <c r="R2777" s="277"/>
      <c r="S2777" s="291">
        <v>44333</v>
      </c>
      <c r="T2777" s="279">
        <v>2694</v>
      </c>
      <c r="U2777" s="277"/>
      <c r="V2777" s="277"/>
      <c r="W2777" s="277"/>
      <c r="X2777" s="277"/>
      <c r="Y2777" s="277"/>
      <c r="Z2777" s="277"/>
      <c r="AA2777" s="277"/>
      <c r="AB2777" s="277"/>
      <c r="AC2777" s="277"/>
      <c r="AD2777" s="277"/>
      <c r="AE2777" s="277"/>
      <c r="AF2777" s="277"/>
      <c r="AG2777" s="277"/>
      <c r="AH2777" s="277"/>
    </row>
    <row r="2778" spans="16:34" s="185" customFormat="1">
      <c r="P2778" s="277"/>
      <c r="Q2778" s="277"/>
      <c r="R2778" s="277"/>
      <c r="S2778" s="291">
        <v>44334</v>
      </c>
      <c r="T2778" s="279">
        <v>2695</v>
      </c>
      <c r="U2778" s="277"/>
      <c r="V2778" s="277"/>
      <c r="W2778" s="277"/>
      <c r="X2778" s="277"/>
      <c r="Y2778" s="277"/>
      <c r="Z2778" s="277"/>
      <c r="AA2778" s="277"/>
      <c r="AB2778" s="277"/>
      <c r="AC2778" s="277"/>
      <c r="AD2778" s="277"/>
      <c r="AE2778" s="277"/>
      <c r="AF2778" s="277"/>
      <c r="AG2778" s="277"/>
      <c r="AH2778" s="277"/>
    </row>
    <row r="2779" spans="16:34" s="185" customFormat="1">
      <c r="P2779" s="277"/>
      <c r="Q2779" s="277"/>
      <c r="R2779" s="277"/>
      <c r="S2779" s="291">
        <v>44335</v>
      </c>
      <c r="T2779" s="279">
        <v>2696</v>
      </c>
      <c r="U2779" s="277"/>
      <c r="V2779" s="277"/>
      <c r="W2779" s="277"/>
      <c r="X2779" s="277"/>
      <c r="Y2779" s="277"/>
      <c r="Z2779" s="277"/>
      <c r="AA2779" s="277"/>
      <c r="AB2779" s="277"/>
      <c r="AC2779" s="277"/>
      <c r="AD2779" s="277"/>
      <c r="AE2779" s="277"/>
      <c r="AF2779" s="277"/>
      <c r="AG2779" s="277"/>
      <c r="AH2779" s="277"/>
    </row>
    <row r="2780" spans="16:34" s="185" customFormat="1">
      <c r="P2780" s="277"/>
      <c r="Q2780" s="277"/>
      <c r="R2780" s="277"/>
      <c r="S2780" s="291">
        <v>44336</v>
      </c>
      <c r="T2780" s="279">
        <v>2697</v>
      </c>
      <c r="U2780" s="277"/>
      <c r="V2780" s="277"/>
      <c r="W2780" s="277"/>
      <c r="X2780" s="277"/>
      <c r="Y2780" s="277"/>
      <c r="Z2780" s="277"/>
      <c r="AA2780" s="277"/>
      <c r="AB2780" s="277"/>
      <c r="AC2780" s="277"/>
      <c r="AD2780" s="277"/>
      <c r="AE2780" s="277"/>
      <c r="AF2780" s="277"/>
      <c r="AG2780" s="277"/>
      <c r="AH2780" s="277"/>
    </row>
    <row r="2781" spans="16:34" s="185" customFormat="1">
      <c r="P2781" s="277"/>
      <c r="Q2781" s="277"/>
      <c r="R2781" s="277"/>
      <c r="S2781" s="291">
        <v>44337</v>
      </c>
      <c r="T2781" s="279">
        <v>2698</v>
      </c>
      <c r="U2781" s="277"/>
      <c r="V2781" s="277"/>
      <c r="W2781" s="277"/>
      <c r="X2781" s="277"/>
      <c r="Y2781" s="277"/>
      <c r="Z2781" s="277"/>
      <c r="AA2781" s="277"/>
      <c r="AB2781" s="277"/>
      <c r="AC2781" s="277"/>
      <c r="AD2781" s="277"/>
      <c r="AE2781" s="277"/>
      <c r="AF2781" s="277"/>
      <c r="AG2781" s="277"/>
      <c r="AH2781" s="277"/>
    </row>
    <row r="2782" spans="16:34" s="185" customFormat="1">
      <c r="P2782" s="277"/>
      <c r="Q2782" s="277"/>
      <c r="R2782" s="277"/>
      <c r="S2782" s="291">
        <v>44338</v>
      </c>
      <c r="T2782" s="279">
        <v>2699</v>
      </c>
      <c r="U2782" s="277"/>
      <c r="V2782" s="277"/>
      <c r="W2782" s="277"/>
      <c r="X2782" s="277"/>
      <c r="Y2782" s="277"/>
      <c r="Z2782" s="277"/>
      <c r="AA2782" s="277"/>
      <c r="AB2782" s="277"/>
      <c r="AC2782" s="277"/>
      <c r="AD2782" s="277"/>
      <c r="AE2782" s="277"/>
      <c r="AF2782" s="277"/>
      <c r="AG2782" s="277"/>
      <c r="AH2782" s="277"/>
    </row>
    <row r="2783" spans="16:34" s="185" customFormat="1">
      <c r="P2783" s="277"/>
      <c r="Q2783" s="277"/>
      <c r="R2783" s="277"/>
      <c r="S2783" s="291">
        <v>44339</v>
      </c>
      <c r="T2783" s="279">
        <v>2700</v>
      </c>
      <c r="U2783" s="277"/>
      <c r="V2783" s="277"/>
      <c r="W2783" s="277"/>
      <c r="X2783" s="277"/>
      <c r="Y2783" s="277"/>
      <c r="Z2783" s="277"/>
      <c r="AA2783" s="277"/>
      <c r="AB2783" s="277"/>
      <c r="AC2783" s="277"/>
      <c r="AD2783" s="277"/>
      <c r="AE2783" s="277"/>
      <c r="AF2783" s="277"/>
      <c r="AG2783" s="277"/>
      <c r="AH2783" s="277"/>
    </row>
    <row r="2784" spans="16:34" s="185" customFormat="1">
      <c r="P2784" s="277"/>
      <c r="Q2784" s="277"/>
      <c r="R2784" s="277"/>
      <c r="S2784" s="291">
        <v>44340</v>
      </c>
      <c r="T2784" s="279">
        <v>2701</v>
      </c>
      <c r="U2784" s="277"/>
      <c r="V2784" s="277"/>
      <c r="W2784" s="277"/>
      <c r="X2784" s="277"/>
      <c r="Y2784" s="277"/>
      <c r="Z2784" s="277"/>
      <c r="AA2784" s="277"/>
      <c r="AB2784" s="277"/>
      <c r="AC2784" s="277"/>
      <c r="AD2784" s="277"/>
      <c r="AE2784" s="277"/>
      <c r="AF2784" s="277"/>
      <c r="AG2784" s="277"/>
      <c r="AH2784" s="277"/>
    </row>
    <row r="2785" spans="16:34" s="185" customFormat="1">
      <c r="P2785" s="277"/>
      <c r="Q2785" s="277"/>
      <c r="R2785" s="277"/>
      <c r="S2785" s="291">
        <v>44341</v>
      </c>
      <c r="T2785" s="279">
        <v>2702</v>
      </c>
      <c r="U2785" s="277"/>
      <c r="V2785" s="277"/>
      <c r="W2785" s="277"/>
      <c r="X2785" s="277"/>
      <c r="Y2785" s="277"/>
      <c r="Z2785" s="277"/>
      <c r="AA2785" s="277"/>
      <c r="AB2785" s="277"/>
      <c r="AC2785" s="277"/>
      <c r="AD2785" s="277"/>
      <c r="AE2785" s="277"/>
      <c r="AF2785" s="277"/>
      <c r="AG2785" s="277"/>
      <c r="AH2785" s="277"/>
    </row>
    <row r="2786" spans="16:34" s="185" customFormat="1">
      <c r="P2786" s="277"/>
      <c r="Q2786" s="277"/>
      <c r="R2786" s="277"/>
      <c r="S2786" s="291">
        <v>44342</v>
      </c>
      <c r="T2786" s="279">
        <v>2703</v>
      </c>
      <c r="U2786" s="277"/>
      <c r="V2786" s="277"/>
      <c r="W2786" s="277"/>
      <c r="X2786" s="277"/>
      <c r="Y2786" s="277"/>
      <c r="Z2786" s="277"/>
      <c r="AA2786" s="277"/>
      <c r="AB2786" s="277"/>
      <c r="AC2786" s="277"/>
      <c r="AD2786" s="277"/>
      <c r="AE2786" s="277"/>
      <c r="AF2786" s="277"/>
      <c r="AG2786" s="277"/>
      <c r="AH2786" s="277"/>
    </row>
    <row r="2787" spans="16:34" s="185" customFormat="1">
      <c r="P2787" s="277"/>
      <c r="Q2787" s="277"/>
      <c r="R2787" s="277"/>
      <c r="S2787" s="291">
        <v>44343</v>
      </c>
      <c r="T2787" s="279">
        <v>2704</v>
      </c>
      <c r="U2787" s="277"/>
      <c r="V2787" s="277"/>
      <c r="W2787" s="277"/>
      <c r="X2787" s="277"/>
      <c r="Y2787" s="277"/>
      <c r="Z2787" s="277"/>
      <c r="AA2787" s="277"/>
      <c r="AB2787" s="277"/>
      <c r="AC2787" s="277"/>
      <c r="AD2787" s="277"/>
      <c r="AE2787" s="277"/>
      <c r="AF2787" s="277"/>
      <c r="AG2787" s="277"/>
      <c r="AH2787" s="277"/>
    </row>
    <row r="2788" spans="16:34" s="185" customFormat="1">
      <c r="P2788" s="277"/>
      <c r="Q2788" s="277"/>
      <c r="R2788" s="277"/>
      <c r="S2788" s="291">
        <v>44344</v>
      </c>
      <c r="T2788" s="279">
        <v>2705</v>
      </c>
      <c r="U2788" s="277"/>
      <c r="V2788" s="277"/>
      <c r="W2788" s="277"/>
      <c r="X2788" s="277"/>
      <c r="Y2788" s="277"/>
      <c r="Z2788" s="277"/>
      <c r="AA2788" s="277"/>
      <c r="AB2788" s="277"/>
      <c r="AC2788" s="277"/>
      <c r="AD2788" s="277"/>
      <c r="AE2788" s="277"/>
      <c r="AF2788" s="277"/>
      <c r="AG2788" s="277"/>
      <c r="AH2788" s="277"/>
    </row>
    <row r="2789" spans="16:34" s="185" customFormat="1">
      <c r="P2789" s="277"/>
      <c r="Q2789" s="277"/>
      <c r="R2789" s="277"/>
      <c r="S2789" s="291">
        <v>44345</v>
      </c>
      <c r="T2789" s="279">
        <v>2706</v>
      </c>
      <c r="U2789" s="277"/>
      <c r="V2789" s="277"/>
      <c r="W2789" s="277"/>
      <c r="X2789" s="277"/>
      <c r="Y2789" s="277"/>
      <c r="Z2789" s="277"/>
      <c r="AA2789" s="277"/>
      <c r="AB2789" s="277"/>
      <c r="AC2789" s="277"/>
      <c r="AD2789" s="277"/>
      <c r="AE2789" s="277"/>
      <c r="AF2789" s="277"/>
      <c r="AG2789" s="277"/>
      <c r="AH2789" s="277"/>
    </row>
    <row r="2790" spans="16:34" s="185" customFormat="1">
      <c r="P2790" s="277"/>
      <c r="Q2790" s="277"/>
      <c r="R2790" s="277"/>
      <c r="S2790" s="291">
        <v>44346</v>
      </c>
      <c r="T2790" s="279">
        <v>2707</v>
      </c>
      <c r="U2790" s="277"/>
      <c r="V2790" s="277"/>
      <c r="W2790" s="277"/>
      <c r="X2790" s="277"/>
      <c r="Y2790" s="277"/>
      <c r="Z2790" s="277"/>
      <c r="AA2790" s="277"/>
      <c r="AB2790" s="277"/>
      <c r="AC2790" s="277"/>
      <c r="AD2790" s="277"/>
      <c r="AE2790" s="277"/>
      <c r="AF2790" s="277"/>
      <c r="AG2790" s="277"/>
      <c r="AH2790" s="277"/>
    </row>
    <row r="2791" spans="16:34" s="185" customFormat="1">
      <c r="P2791" s="277"/>
      <c r="Q2791" s="277"/>
      <c r="R2791" s="277"/>
      <c r="S2791" s="291">
        <v>44347</v>
      </c>
      <c r="T2791" s="279">
        <v>2708</v>
      </c>
      <c r="U2791" s="277"/>
      <c r="V2791" s="277"/>
      <c r="W2791" s="277"/>
      <c r="X2791" s="277"/>
      <c r="Y2791" s="277"/>
      <c r="Z2791" s="277"/>
      <c r="AA2791" s="277"/>
      <c r="AB2791" s="277"/>
      <c r="AC2791" s="277"/>
      <c r="AD2791" s="277"/>
      <c r="AE2791" s="277"/>
      <c r="AF2791" s="277"/>
      <c r="AG2791" s="277"/>
      <c r="AH2791" s="277"/>
    </row>
    <row r="2792" spans="16:34" s="185" customFormat="1">
      <c r="P2792" s="277"/>
      <c r="Q2792" s="277"/>
      <c r="R2792" s="277"/>
      <c r="S2792" s="291">
        <v>44348</v>
      </c>
      <c r="T2792" s="279">
        <v>2709</v>
      </c>
      <c r="U2792" s="277"/>
      <c r="V2792" s="277"/>
      <c r="W2792" s="277"/>
      <c r="X2792" s="277"/>
      <c r="Y2792" s="277"/>
      <c r="Z2792" s="277"/>
      <c r="AA2792" s="277"/>
      <c r="AB2792" s="277"/>
      <c r="AC2792" s="277"/>
      <c r="AD2792" s="277"/>
      <c r="AE2792" s="277"/>
      <c r="AF2792" s="277"/>
      <c r="AG2792" s="277"/>
      <c r="AH2792" s="277"/>
    </row>
    <row r="2793" spans="16:34" s="185" customFormat="1">
      <c r="P2793" s="277"/>
      <c r="Q2793" s="277"/>
      <c r="R2793" s="277"/>
      <c r="S2793" s="291">
        <v>44349</v>
      </c>
      <c r="T2793" s="279">
        <v>2710</v>
      </c>
      <c r="U2793" s="277"/>
      <c r="V2793" s="277"/>
      <c r="W2793" s="277"/>
      <c r="X2793" s="277"/>
      <c r="Y2793" s="277"/>
      <c r="Z2793" s="277"/>
      <c r="AA2793" s="277"/>
      <c r="AB2793" s="277"/>
      <c r="AC2793" s="277"/>
      <c r="AD2793" s="277"/>
      <c r="AE2793" s="277"/>
      <c r="AF2793" s="277"/>
      <c r="AG2793" s="277"/>
      <c r="AH2793" s="277"/>
    </row>
    <row r="2794" spans="16:34" s="185" customFormat="1">
      <c r="P2794" s="277"/>
      <c r="Q2794" s="277"/>
      <c r="R2794" s="277"/>
      <c r="S2794" s="291">
        <v>44350</v>
      </c>
      <c r="T2794" s="279">
        <v>2711</v>
      </c>
      <c r="U2794" s="277"/>
      <c r="V2794" s="277"/>
      <c r="W2794" s="277"/>
      <c r="X2794" s="277"/>
      <c r="Y2794" s="277"/>
      <c r="Z2794" s="277"/>
      <c r="AA2794" s="277"/>
      <c r="AB2794" s="277"/>
      <c r="AC2794" s="277"/>
      <c r="AD2794" s="277"/>
      <c r="AE2794" s="277"/>
      <c r="AF2794" s="277"/>
      <c r="AG2794" s="277"/>
      <c r="AH2794" s="277"/>
    </row>
    <row r="2795" spans="16:34" s="185" customFormat="1">
      <c r="P2795" s="277"/>
      <c r="Q2795" s="277"/>
      <c r="R2795" s="277"/>
      <c r="S2795" s="291">
        <v>44351</v>
      </c>
      <c r="T2795" s="279">
        <v>2712</v>
      </c>
      <c r="U2795" s="277"/>
      <c r="V2795" s="277"/>
      <c r="W2795" s="277"/>
      <c r="X2795" s="277"/>
      <c r="Y2795" s="277"/>
      <c r="Z2795" s="277"/>
      <c r="AA2795" s="277"/>
      <c r="AB2795" s="277"/>
      <c r="AC2795" s="277"/>
      <c r="AD2795" s="277"/>
      <c r="AE2795" s="277"/>
      <c r="AF2795" s="277"/>
      <c r="AG2795" s="277"/>
      <c r="AH2795" s="277"/>
    </row>
    <row r="2796" spans="16:34" s="185" customFormat="1">
      <c r="P2796" s="277"/>
      <c r="Q2796" s="277"/>
      <c r="R2796" s="277"/>
      <c r="S2796" s="291">
        <v>44352</v>
      </c>
      <c r="T2796" s="279">
        <v>2713</v>
      </c>
      <c r="U2796" s="277"/>
      <c r="V2796" s="277"/>
      <c r="W2796" s="277"/>
      <c r="X2796" s="277"/>
      <c r="Y2796" s="277"/>
      <c r="Z2796" s="277"/>
      <c r="AA2796" s="277"/>
      <c r="AB2796" s="277"/>
      <c r="AC2796" s="277"/>
      <c r="AD2796" s="277"/>
      <c r="AE2796" s="277"/>
      <c r="AF2796" s="277"/>
      <c r="AG2796" s="277"/>
      <c r="AH2796" s="277"/>
    </row>
    <row r="2797" spans="16:34" s="185" customFormat="1">
      <c r="P2797" s="277"/>
      <c r="Q2797" s="277"/>
      <c r="R2797" s="277"/>
      <c r="S2797" s="291">
        <v>44353</v>
      </c>
      <c r="T2797" s="279">
        <v>2714</v>
      </c>
      <c r="U2797" s="277"/>
      <c r="V2797" s="277"/>
      <c r="W2797" s="277"/>
      <c r="X2797" s="277"/>
      <c r="Y2797" s="277"/>
      <c r="Z2797" s="277"/>
      <c r="AA2797" s="277"/>
      <c r="AB2797" s="277"/>
      <c r="AC2797" s="277"/>
      <c r="AD2797" s="277"/>
      <c r="AE2797" s="277"/>
      <c r="AF2797" s="277"/>
      <c r="AG2797" s="277"/>
      <c r="AH2797" s="277"/>
    </row>
    <row r="2798" spans="16:34" s="185" customFormat="1">
      <c r="P2798" s="277"/>
      <c r="Q2798" s="277"/>
      <c r="R2798" s="277"/>
      <c r="S2798" s="291">
        <v>44354</v>
      </c>
      <c r="T2798" s="279">
        <v>2715</v>
      </c>
      <c r="U2798" s="277"/>
      <c r="V2798" s="277"/>
      <c r="W2798" s="277"/>
      <c r="X2798" s="277"/>
      <c r="Y2798" s="277"/>
      <c r="Z2798" s="277"/>
      <c r="AA2798" s="277"/>
      <c r="AB2798" s="277"/>
      <c r="AC2798" s="277"/>
      <c r="AD2798" s="277"/>
      <c r="AE2798" s="277"/>
      <c r="AF2798" s="277"/>
      <c r="AG2798" s="277"/>
      <c r="AH2798" s="277"/>
    </row>
    <row r="2799" spans="16:34" s="185" customFormat="1">
      <c r="P2799" s="277"/>
      <c r="Q2799" s="277"/>
      <c r="R2799" s="277"/>
      <c r="S2799" s="291">
        <v>44355</v>
      </c>
      <c r="T2799" s="279">
        <v>2716</v>
      </c>
      <c r="U2799" s="277"/>
      <c r="V2799" s="277"/>
      <c r="W2799" s="277"/>
      <c r="X2799" s="277"/>
      <c r="Y2799" s="277"/>
      <c r="Z2799" s="277"/>
      <c r="AA2799" s="277"/>
      <c r="AB2799" s="277"/>
      <c r="AC2799" s="277"/>
      <c r="AD2799" s="277"/>
      <c r="AE2799" s="277"/>
      <c r="AF2799" s="277"/>
      <c r="AG2799" s="277"/>
      <c r="AH2799" s="277"/>
    </row>
    <row r="2800" spans="16:34" s="185" customFormat="1">
      <c r="P2800" s="277"/>
      <c r="Q2800" s="277"/>
      <c r="R2800" s="277"/>
      <c r="S2800" s="291">
        <v>44356</v>
      </c>
      <c r="T2800" s="279">
        <v>2717</v>
      </c>
      <c r="U2800" s="277"/>
      <c r="V2800" s="277"/>
      <c r="W2800" s="277"/>
      <c r="X2800" s="277"/>
      <c r="Y2800" s="277"/>
      <c r="Z2800" s="277"/>
      <c r="AA2800" s="277"/>
      <c r="AB2800" s="277"/>
      <c r="AC2800" s="277"/>
      <c r="AD2800" s="277"/>
      <c r="AE2800" s="277"/>
      <c r="AF2800" s="277"/>
      <c r="AG2800" s="277"/>
      <c r="AH2800" s="277"/>
    </row>
    <row r="2801" spans="16:34" s="185" customFormat="1">
      <c r="P2801" s="277"/>
      <c r="Q2801" s="277"/>
      <c r="R2801" s="277"/>
      <c r="S2801" s="291">
        <v>44357</v>
      </c>
      <c r="T2801" s="279">
        <v>2718</v>
      </c>
      <c r="U2801" s="277"/>
      <c r="V2801" s="277"/>
      <c r="W2801" s="277"/>
      <c r="X2801" s="277"/>
      <c r="Y2801" s="277"/>
      <c r="Z2801" s="277"/>
      <c r="AA2801" s="277"/>
      <c r="AB2801" s="277"/>
      <c r="AC2801" s="277"/>
      <c r="AD2801" s="277"/>
      <c r="AE2801" s="277"/>
      <c r="AF2801" s="277"/>
      <c r="AG2801" s="277"/>
      <c r="AH2801" s="277"/>
    </row>
    <row r="2802" spans="16:34" s="185" customFormat="1">
      <c r="P2802" s="277"/>
      <c r="Q2802" s="277"/>
      <c r="R2802" s="277"/>
      <c r="S2802" s="291">
        <v>44358</v>
      </c>
      <c r="T2802" s="279">
        <v>2719</v>
      </c>
      <c r="U2802" s="277"/>
      <c r="V2802" s="277"/>
      <c r="W2802" s="277"/>
      <c r="X2802" s="277"/>
      <c r="Y2802" s="277"/>
      <c r="Z2802" s="277"/>
      <c r="AA2802" s="277"/>
      <c r="AB2802" s="277"/>
      <c r="AC2802" s="277"/>
      <c r="AD2802" s="277"/>
      <c r="AE2802" s="277"/>
      <c r="AF2802" s="277"/>
      <c r="AG2802" s="277"/>
      <c r="AH2802" s="277"/>
    </row>
    <row r="2803" spans="16:34" s="185" customFormat="1">
      <c r="P2803" s="277"/>
      <c r="Q2803" s="277"/>
      <c r="R2803" s="277"/>
      <c r="S2803" s="291">
        <v>44359</v>
      </c>
      <c r="T2803" s="279">
        <v>2720</v>
      </c>
      <c r="U2803" s="277"/>
      <c r="V2803" s="277"/>
      <c r="W2803" s="277"/>
      <c r="X2803" s="277"/>
      <c r="Y2803" s="277"/>
      <c r="Z2803" s="277"/>
      <c r="AA2803" s="277"/>
      <c r="AB2803" s="277"/>
      <c r="AC2803" s="277"/>
      <c r="AD2803" s="277"/>
      <c r="AE2803" s="277"/>
      <c r="AF2803" s="277"/>
      <c r="AG2803" s="277"/>
      <c r="AH2803" s="277"/>
    </row>
    <row r="2804" spans="16:34" s="185" customFormat="1">
      <c r="P2804" s="277"/>
      <c r="Q2804" s="277"/>
      <c r="R2804" s="277"/>
      <c r="S2804" s="291">
        <v>44360</v>
      </c>
      <c r="T2804" s="279">
        <v>2721</v>
      </c>
      <c r="U2804" s="277"/>
      <c r="V2804" s="277"/>
      <c r="W2804" s="277"/>
      <c r="X2804" s="277"/>
      <c r="Y2804" s="277"/>
      <c r="Z2804" s="277"/>
      <c r="AA2804" s="277"/>
      <c r="AB2804" s="277"/>
      <c r="AC2804" s="277"/>
      <c r="AD2804" s="277"/>
      <c r="AE2804" s="277"/>
      <c r="AF2804" s="277"/>
      <c r="AG2804" s="277"/>
      <c r="AH2804" s="277"/>
    </row>
    <row r="2805" spans="16:34" s="185" customFormat="1">
      <c r="P2805" s="277"/>
      <c r="Q2805" s="277"/>
      <c r="R2805" s="277"/>
      <c r="S2805" s="291">
        <v>44361</v>
      </c>
      <c r="T2805" s="279">
        <v>2722</v>
      </c>
      <c r="U2805" s="277"/>
      <c r="V2805" s="277"/>
      <c r="W2805" s="277"/>
      <c r="X2805" s="277"/>
      <c r="Y2805" s="277"/>
      <c r="Z2805" s="277"/>
      <c r="AA2805" s="277"/>
      <c r="AB2805" s="277"/>
      <c r="AC2805" s="277"/>
      <c r="AD2805" s="277"/>
      <c r="AE2805" s="277"/>
      <c r="AF2805" s="277"/>
      <c r="AG2805" s="277"/>
      <c r="AH2805" s="277"/>
    </row>
    <row r="2806" spans="16:34" s="185" customFormat="1">
      <c r="P2806" s="277"/>
      <c r="Q2806" s="277"/>
      <c r="R2806" s="277"/>
      <c r="S2806" s="291">
        <v>44362</v>
      </c>
      <c r="T2806" s="279">
        <v>2723</v>
      </c>
      <c r="U2806" s="277"/>
      <c r="V2806" s="277"/>
      <c r="W2806" s="277"/>
      <c r="X2806" s="277"/>
      <c r="Y2806" s="277"/>
      <c r="Z2806" s="277"/>
      <c r="AA2806" s="277"/>
      <c r="AB2806" s="277"/>
      <c r="AC2806" s="277"/>
      <c r="AD2806" s="277"/>
      <c r="AE2806" s="277"/>
      <c r="AF2806" s="277"/>
      <c r="AG2806" s="277"/>
      <c r="AH2806" s="277"/>
    </row>
    <row r="2807" spans="16:34" s="185" customFormat="1">
      <c r="P2807" s="277"/>
      <c r="Q2807" s="277"/>
      <c r="R2807" s="277"/>
      <c r="S2807" s="291">
        <v>44363</v>
      </c>
      <c r="T2807" s="279">
        <v>2724</v>
      </c>
      <c r="U2807" s="277"/>
      <c r="V2807" s="277"/>
      <c r="W2807" s="277"/>
      <c r="X2807" s="277"/>
      <c r="Y2807" s="277"/>
      <c r="Z2807" s="277"/>
      <c r="AA2807" s="277"/>
      <c r="AB2807" s="277"/>
      <c r="AC2807" s="277"/>
      <c r="AD2807" s="277"/>
      <c r="AE2807" s="277"/>
      <c r="AF2807" s="277"/>
      <c r="AG2807" s="277"/>
      <c r="AH2807" s="277"/>
    </row>
    <row r="2808" spans="16:34" s="185" customFormat="1">
      <c r="P2808" s="277"/>
      <c r="Q2808" s="277"/>
      <c r="R2808" s="277"/>
      <c r="S2808" s="291">
        <v>44364</v>
      </c>
      <c r="T2808" s="279">
        <v>2725</v>
      </c>
      <c r="U2808" s="277"/>
      <c r="V2808" s="277"/>
      <c r="W2808" s="277"/>
      <c r="X2808" s="277"/>
      <c r="Y2808" s="277"/>
      <c r="Z2808" s="277"/>
      <c r="AA2808" s="277"/>
      <c r="AB2808" s="277"/>
      <c r="AC2808" s="277"/>
      <c r="AD2808" s="277"/>
      <c r="AE2808" s="277"/>
      <c r="AF2808" s="277"/>
      <c r="AG2808" s="277"/>
      <c r="AH2808" s="277"/>
    </row>
    <row r="2809" spans="16:34" s="185" customFormat="1">
      <c r="P2809" s="277"/>
      <c r="Q2809" s="277"/>
      <c r="R2809" s="277"/>
      <c r="S2809" s="291">
        <v>44365</v>
      </c>
      <c r="T2809" s="279">
        <v>2726</v>
      </c>
      <c r="U2809" s="277"/>
      <c r="V2809" s="277"/>
      <c r="W2809" s="277"/>
      <c r="X2809" s="277"/>
      <c r="Y2809" s="277"/>
      <c r="Z2809" s="277"/>
      <c r="AA2809" s="277"/>
      <c r="AB2809" s="277"/>
      <c r="AC2809" s="277"/>
      <c r="AD2809" s="277"/>
      <c r="AE2809" s="277"/>
      <c r="AF2809" s="277"/>
      <c r="AG2809" s="277"/>
      <c r="AH2809" s="277"/>
    </row>
    <row r="2810" spans="16:34" s="185" customFormat="1">
      <c r="P2810" s="277"/>
      <c r="Q2810" s="277"/>
      <c r="R2810" s="277"/>
      <c r="S2810" s="291">
        <v>44366</v>
      </c>
      <c r="T2810" s="279">
        <v>2727</v>
      </c>
      <c r="U2810" s="277"/>
      <c r="V2810" s="277"/>
      <c r="W2810" s="277"/>
      <c r="X2810" s="277"/>
      <c r="Y2810" s="277"/>
      <c r="Z2810" s="277"/>
      <c r="AA2810" s="277"/>
      <c r="AB2810" s="277"/>
      <c r="AC2810" s="277"/>
      <c r="AD2810" s="277"/>
      <c r="AE2810" s="277"/>
      <c r="AF2810" s="277"/>
      <c r="AG2810" s="277"/>
      <c r="AH2810" s="277"/>
    </row>
    <row r="2811" spans="16:34" s="185" customFormat="1">
      <c r="P2811" s="277"/>
      <c r="Q2811" s="277"/>
      <c r="R2811" s="277"/>
      <c r="S2811" s="291">
        <v>44367</v>
      </c>
      <c r="T2811" s="279">
        <v>2728</v>
      </c>
      <c r="U2811" s="277"/>
      <c r="V2811" s="277"/>
      <c r="W2811" s="277"/>
      <c r="X2811" s="277"/>
      <c r="Y2811" s="277"/>
      <c r="Z2811" s="277"/>
      <c r="AA2811" s="277"/>
      <c r="AB2811" s="277"/>
      <c r="AC2811" s="277"/>
      <c r="AD2811" s="277"/>
      <c r="AE2811" s="277"/>
      <c r="AF2811" s="277"/>
      <c r="AG2811" s="277"/>
      <c r="AH2811" s="277"/>
    </row>
    <row r="2812" spans="16:34" s="185" customFormat="1">
      <c r="P2812" s="277"/>
      <c r="Q2812" s="277"/>
      <c r="R2812" s="277"/>
      <c r="S2812" s="291">
        <v>44368</v>
      </c>
      <c r="T2812" s="279">
        <v>2729</v>
      </c>
      <c r="U2812" s="277"/>
      <c r="V2812" s="277"/>
      <c r="W2812" s="277"/>
      <c r="X2812" s="277"/>
      <c r="Y2812" s="277"/>
      <c r="Z2812" s="277"/>
      <c r="AA2812" s="277"/>
      <c r="AB2812" s="277"/>
      <c r="AC2812" s="277"/>
      <c r="AD2812" s="277"/>
      <c r="AE2812" s="277"/>
      <c r="AF2812" s="277"/>
      <c r="AG2812" s="277"/>
      <c r="AH2812" s="277"/>
    </row>
    <row r="2813" spans="16:34" s="185" customFormat="1">
      <c r="P2813" s="277"/>
      <c r="Q2813" s="277"/>
      <c r="R2813" s="277"/>
      <c r="S2813" s="291">
        <v>44369</v>
      </c>
      <c r="T2813" s="279">
        <v>2730</v>
      </c>
      <c r="U2813" s="277"/>
      <c r="V2813" s="277"/>
      <c r="W2813" s="277"/>
      <c r="X2813" s="277"/>
      <c r="Y2813" s="277"/>
      <c r="Z2813" s="277"/>
      <c r="AA2813" s="277"/>
      <c r="AB2813" s="277"/>
      <c r="AC2813" s="277"/>
      <c r="AD2813" s="277"/>
      <c r="AE2813" s="277"/>
      <c r="AF2813" s="277"/>
      <c r="AG2813" s="277"/>
      <c r="AH2813" s="277"/>
    </row>
    <row r="2814" spans="16:34" s="185" customFormat="1">
      <c r="P2814" s="277"/>
      <c r="Q2814" s="277"/>
      <c r="R2814" s="277"/>
      <c r="S2814" s="291">
        <v>44370</v>
      </c>
      <c r="T2814" s="279">
        <v>2731</v>
      </c>
      <c r="U2814" s="277"/>
      <c r="V2814" s="277"/>
      <c r="W2814" s="277"/>
      <c r="X2814" s="277"/>
      <c r="Y2814" s="277"/>
      <c r="Z2814" s="277"/>
      <c r="AA2814" s="277"/>
      <c r="AB2814" s="277"/>
      <c r="AC2814" s="277"/>
      <c r="AD2814" s="277"/>
      <c r="AE2814" s="277"/>
      <c r="AF2814" s="277"/>
      <c r="AG2814" s="277"/>
      <c r="AH2814" s="277"/>
    </row>
    <row r="2815" spans="16:34" s="185" customFormat="1">
      <c r="P2815" s="277"/>
      <c r="Q2815" s="277"/>
      <c r="R2815" s="277"/>
      <c r="S2815" s="291">
        <v>44371</v>
      </c>
      <c r="T2815" s="279">
        <v>2732</v>
      </c>
      <c r="U2815" s="277"/>
      <c r="V2815" s="277"/>
      <c r="W2815" s="277"/>
      <c r="X2815" s="277"/>
      <c r="Y2815" s="277"/>
      <c r="Z2815" s="277"/>
      <c r="AA2815" s="277"/>
      <c r="AB2815" s="277"/>
      <c r="AC2815" s="277"/>
      <c r="AD2815" s="277"/>
      <c r="AE2815" s="277"/>
      <c r="AF2815" s="277"/>
      <c r="AG2815" s="277"/>
      <c r="AH2815" s="277"/>
    </row>
    <row r="2816" spans="16:34" s="185" customFormat="1">
      <c r="P2816" s="277"/>
      <c r="Q2816" s="277"/>
      <c r="R2816" s="277"/>
      <c r="S2816" s="291">
        <v>44372</v>
      </c>
      <c r="T2816" s="279">
        <v>2733</v>
      </c>
      <c r="U2816" s="277"/>
      <c r="V2816" s="277"/>
      <c r="W2816" s="277"/>
      <c r="X2816" s="277"/>
      <c r="Y2816" s="277"/>
      <c r="Z2816" s="277"/>
      <c r="AA2816" s="277"/>
      <c r="AB2816" s="277"/>
      <c r="AC2816" s="277"/>
      <c r="AD2816" s="277"/>
      <c r="AE2816" s="277"/>
      <c r="AF2816" s="277"/>
      <c r="AG2816" s="277"/>
      <c r="AH2816" s="277"/>
    </row>
    <row r="2817" spans="16:34" s="185" customFormat="1">
      <c r="P2817" s="277"/>
      <c r="Q2817" s="277"/>
      <c r="R2817" s="277"/>
      <c r="S2817" s="291">
        <v>44373</v>
      </c>
      <c r="T2817" s="279">
        <v>2734</v>
      </c>
      <c r="U2817" s="277"/>
      <c r="V2817" s="277"/>
      <c r="W2817" s="277"/>
      <c r="X2817" s="277"/>
      <c r="Y2817" s="277"/>
      <c r="Z2817" s="277"/>
      <c r="AA2817" s="277"/>
      <c r="AB2817" s="277"/>
      <c r="AC2817" s="277"/>
      <c r="AD2817" s="277"/>
      <c r="AE2817" s="277"/>
      <c r="AF2817" s="277"/>
      <c r="AG2817" s="277"/>
      <c r="AH2817" s="277"/>
    </row>
    <row r="2818" spans="16:34" s="185" customFormat="1">
      <c r="P2818" s="277"/>
      <c r="Q2818" s="277"/>
      <c r="R2818" s="277"/>
      <c r="S2818" s="291">
        <v>44374</v>
      </c>
      <c r="T2818" s="279">
        <v>2735</v>
      </c>
      <c r="U2818" s="277"/>
      <c r="V2818" s="277"/>
      <c r="W2818" s="277"/>
      <c r="X2818" s="277"/>
      <c r="Y2818" s="277"/>
      <c r="Z2818" s="277"/>
      <c r="AA2818" s="277"/>
      <c r="AB2818" s="277"/>
      <c r="AC2818" s="277"/>
      <c r="AD2818" s="277"/>
      <c r="AE2818" s="277"/>
      <c r="AF2818" s="277"/>
      <c r="AG2818" s="277"/>
      <c r="AH2818" s="277"/>
    </row>
    <row r="2819" spans="16:34" s="185" customFormat="1">
      <c r="P2819" s="277"/>
      <c r="Q2819" s="277"/>
      <c r="R2819" s="277"/>
      <c r="S2819" s="291">
        <v>44375</v>
      </c>
      <c r="T2819" s="279">
        <v>2736</v>
      </c>
      <c r="U2819" s="277"/>
      <c r="V2819" s="277"/>
      <c r="W2819" s="277"/>
      <c r="X2819" s="277"/>
      <c r="Y2819" s="277"/>
      <c r="Z2819" s="277"/>
      <c r="AA2819" s="277"/>
      <c r="AB2819" s="277"/>
      <c r="AC2819" s="277"/>
      <c r="AD2819" s="277"/>
      <c r="AE2819" s="277"/>
      <c r="AF2819" s="277"/>
      <c r="AG2819" s="277"/>
      <c r="AH2819" s="277"/>
    </row>
    <row r="2820" spans="16:34" s="185" customFormat="1">
      <c r="P2820" s="277"/>
      <c r="Q2820" s="277"/>
      <c r="R2820" s="277"/>
      <c r="S2820" s="291">
        <v>44376</v>
      </c>
      <c r="T2820" s="279">
        <v>2737</v>
      </c>
      <c r="U2820" s="277"/>
      <c r="V2820" s="277"/>
      <c r="W2820" s="277"/>
      <c r="X2820" s="277"/>
      <c r="Y2820" s="277"/>
      <c r="Z2820" s="277"/>
      <c r="AA2820" s="277"/>
      <c r="AB2820" s="277"/>
      <c r="AC2820" s="277"/>
      <c r="AD2820" s="277"/>
      <c r="AE2820" s="277"/>
      <c r="AF2820" s="277"/>
      <c r="AG2820" s="277"/>
      <c r="AH2820" s="277"/>
    </row>
    <row r="2821" spans="16:34" s="185" customFormat="1">
      <c r="P2821" s="277"/>
      <c r="Q2821" s="277"/>
      <c r="R2821" s="277"/>
      <c r="S2821" s="291">
        <v>44377</v>
      </c>
      <c r="T2821" s="279">
        <v>2738</v>
      </c>
      <c r="U2821" s="277"/>
      <c r="V2821" s="277"/>
      <c r="W2821" s="277"/>
      <c r="X2821" s="277"/>
      <c r="Y2821" s="277"/>
      <c r="Z2821" s="277"/>
      <c r="AA2821" s="277"/>
      <c r="AB2821" s="277"/>
      <c r="AC2821" s="277"/>
      <c r="AD2821" s="277"/>
      <c r="AE2821" s="277"/>
      <c r="AF2821" s="277"/>
      <c r="AG2821" s="277"/>
      <c r="AH2821" s="277"/>
    </row>
    <row r="2822" spans="16:34" s="185" customFormat="1">
      <c r="P2822" s="277"/>
      <c r="Q2822" s="277"/>
      <c r="R2822" s="277"/>
      <c r="S2822" s="291">
        <v>44378</v>
      </c>
      <c r="T2822" s="279">
        <v>2739</v>
      </c>
      <c r="U2822" s="277"/>
      <c r="V2822" s="277"/>
      <c r="W2822" s="277"/>
      <c r="X2822" s="277"/>
      <c r="Y2822" s="277"/>
      <c r="Z2822" s="277"/>
      <c r="AA2822" s="277"/>
      <c r="AB2822" s="277"/>
      <c r="AC2822" s="277"/>
      <c r="AD2822" s="277"/>
      <c r="AE2822" s="277"/>
      <c r="AF2822" s="277"/>
      <c r="AG2822" s="277"/>
      <c r="AH2822" s="277"/>
    </row>
    <row r="2823" spans="16:34" s="185" customFormat="1">
      <c r="P2823" s="277"/>
      <c r="Q2823" s="277"/>
      <c r="R2823" s="277"/>
      <c r="S2823" s="291">
        <v>44379</v>
      </c>
      <c r="T2823" s="279">
        <v>2740</v>
      </c>
      <c r="U2823" s="277"/>
      <c r="V2823" s="277"/>
      <c r="W2823" s="277"/>
      <c r="X2823" s="277"/>
      <c r="Y2823" s="277"/>
      <c r="Z2823" s="277"/>
      <c r="AA2823" s="277"/>
      <c r="AB2823" s="277"/>
      <c r="AC2823" s="277"/>
      <c r="AD2823" s="277"/>
      <c r="AE2823" s="277"/>
      <c r="AF2823" s="277"/>
      <c r="AG2823" s="277"/>
      <c r="AH2823" s="277"/>
    </row>
    <row r="2824" spans="16:34" s="185" customFormat="1">
      <c r="P2824" s="277"/>
      <c r="Q2824" s="277"/>
      <c r="R2824" s="277"/>
      <c r="S2824" s="291">
        <v>44380</v>
      </c>
      <c r="T2824" s="279">
        <v>2741</v>
      </c>
      <c r="U2824" s="277"/>
      <c r="V2824" s="277"/>
      <c r="W2824" s="277"/>
      <c r="X2824" s="277"/>
      <c r="Y2824" s="277"/>
      <c r="Z2824" s="277"/>
      <c r="AA2824" s="277"/>
      <c r="AB2824" s="277"/>
      <c r="AC2824" s="277"/>
      <c r="AD2824" s="277"/>
      <c r="AE2824" s="277"/>
      <c r="AF2824" s="277"/>
      <c r="AG2824" s="277"/>
      <c r="AH2824" s="277"/>
    </row>
    <row r="2825" spans="16:34" s="185" customFormat="1">
      <c r="P2825" s="277"/>
      <c r="Q2825" s="277"/>
      <c r="R2825" s="277"/>
      <c r="S2825" s="291">
        <v>44381</v>
      </c>
      <c r="T2825" s="279">
        <v>2742</v>
      </c>
      <c r="U2825" s="277"/>
      <c r="V2825" s="277"/>
      <c r="W2825" s="277"/>
      <c r="X2825" s="277"/>
      <c r="Y2825" s="277"/>
      <c r="Z2825" s="277"/>
      <c r="AA2825" s="277"/>
      <c r="AB2825" s="277"/>
      <c r="AC2825" s="277"/>
      <c r="AD2825" s="277"/>
      <c r="AE2825" s="277"/>
      <c r="AF2825" s="277"/>
      <c r="AG2825" s="277"/>
      <c r="AH2825" s="277"/>
    </row>
    <row r="2826" spans="16:34" s="185" customFormat="1">
      <c r="P2826" s="277"/>
      <c r="Q2826" s="277"/>
      <c r="R2826" s="277"/>
      <c r="S2826" s="291">
        <v>44382</v>
      </c>
      <c r="T2826" s="279">
        <v>2743</v>
      </c>
      <c r="U2826" s="277"/>
      <c r="V2826" s="277"/>
      <c r="W2826" s="277"/>
      <c r="X2826" s="277"/>
      <c r="Y2826" s="277"/>
      <c r="Z2826" s="277"/>
      <c r="AA2826" s="277"/>
      <c r="AB2826" s="277"/>
      <c r="AC2826" s="277"/>
      <c r="AD2826" s="277"/>
      <c r="AE2826" s="277"/>
      <c r="AF2826" s="277"/>
      <c r="AG2826" s="277"/>
      <c r="AH2826" s="277"/>
    </row>
    <row r="2827" spans="16:34" s="185" customFormat="1">
      <c r="P2827" s="277"/>
      <c r="Q2827" s="277"/>
      <c r="R2827" s="277"/>
      <c r="S2827" s="291">
        <v>44383</v>
      </c>
      <c r="T2827" s="279">
        <v>2744</v>
      </c>
      <c r="U2827" s="277"/>
      <c r="V2827" s="277"/>
      <c r="W2827" s="277"/>
      <c r="X2827" s="277"/>
      <c r="Y2827" s="277"/>
      <c r="Z2827" s="277"/>
      <c r="AA2827" s="277"/>
      <c r="AB2827" s="277"/>
      <c r="AC2827" s="277"/>
      <c r="AD2827" s="277"/>
      <c r="AE2827" s="277"/>
      <c r="AF2827" s="277"/>
      <c r="AG2827" s="277"/>
      <c r="AH2827" s="277"/>
    </row>
    <row r="2828" spans="16:34" s="185" customFormat="1">
      <c r="P2828" s="277"/>
      <c r="Q2828" s="277"/>
      <c r="R2828" s="277"/>
      <c r="S2828" s="291">
        <v>44384</v>
      </c>
      <c r="T2828" s="279">
        <v>2745</v>
      </c>
      <c r="U2828" s="277"/>
      <c r="V2828" s="277"/>
      <c r="W2828" s="277"/>
      <c r="X2828" s="277"/>
      <c r="Y2828" s="277"/>
      <c r="Z2828" s="277"/>
      <c r="AA2828" s="277"/>
      <c r="AB2828" s="277"/>
      <c r="AC2828" s="277"/>
      <c r="AD2828" s="277"/>
      <c r="AE2828" s="277"/>
      <c r="AF2828" s="277"/>
      <c r="AG2828" s="277"/>
      <c r="AH2828" s="277"/>
    </row>
    <row r="2829" spans="16:34" s="185" customFormat="1">
      <c r="P2829" s="277"/>
      <c r="Q2829" s="277"/>
      <c r="R2829" s="277"/>
      <c r="S2829" s="291">
        <v>44385</v>
      </c>
      <c r="T2829" s="279">
        <v>2746</v>
      </c>
      <c r="U2829" s="277"/>
      <c r="V2829" s="277"/>
      <c r="W2829" s="277"/>
      <c r="X2829" s="277"/>
      <c r="Y2829" s="277"/>
      <c r="Z2829" s="277"/>
      <c r="AA2829" s="277"/>
      <c r="AB2829" s="277"/>
      <c r="AC2829" s="277"/>
      <c r="AD2829" s="277"/>
      <c r="AE2829" s="277"/>
      <c r="AF2829" s="277"/>
      <c r="AG2829" s="277"/>
      <c r="AH2829" s="277"/>
    </row>
    <row r="2830" spans="16:34" s="185" customFormat="1">
      <c r="P2830" s="277"/>
      <c r="Q2830" s="277"/>
      <c r="R2830" s="277"/>
      <c r="S2830" s="291">
        <v>44386</v>
      </c>
      <c r="T2830" s="279">
        <v>2747</v>
      </c>
      <c r="U2830" s="277"/>
      <c r="V2830" s="277"/>
      <c r="W2830" s="277"/>
      <c r="X2830" s="277"/>
      <c r="Y2830" s="277"/>
      <c r="Z2830" s="277"/>
      <c r="AA2830" s="277"/>
      <c r="AB2830" s="277"/>
      <c r="AC2830" s="277"/>
      <c r="AD2830" s="277"/>
      <c r="AE2830" s="277"/>
      <c r="AF2830" s="277"/>
      <c r="AG2830" s="277"/>
      <c r="AH2830" s="277"/>
    </row>
    <row r="2831" spans="16:34" s="185" customFormat="1">
      <c r="P2831" s="277"/>
      <c r="Q2831" s="277"/>
      <c r="R2831" s="277"/>
      <c r="S2831" s="291">
        <v>44387</v>
      </c>
      <c r="T2831" s="279">
        <v>2748</v>
      </c>
      <c r="U2831" s="277"/>
      <c r="V2831" s="277"/>
      <c r="W2831" s="277"/>
      <c r="X2831" s="277"/>
      <c r="Y2831" s="277"/>
      <c r="Z2831" s="277"/>
      <c r="AA2831" s="277"/>
      <c r="AB2831" s="277"/>
      <c r="AC2831" s="277"/>
      <c r="AD2831" s="277"/>
      <c r="AE2831" s="277"/>
      <c r="AF2831" s="277"/>
      <c r="AG2831" s="277"/>
      <c r="AH2831" s="277"/>
    </row>
    <row r="2832" spans="16:34" s="185" customFormat="1">
      <c r="P2832" s="277"/>
      <c r="Q2832" s="277"/>
      <c r="R2832" s="277"/>
      <c r="S2832" s="291">
        <v>44388</v>
      </c>
      <c r="T2832" s="279">
        <v>2749</v>
      </c>
      <c r="U2832" s="277"/>
      <c r="V2832" s="277"/>
      <c r="W2832" s="277"/>
      <c r="X2832" s="277"/>
      <c r="Y2832" s="277"/>
      <c r="Z2832" s="277"/>
      <c r="AA2832" s="277"/>
      <c r="AB2832" s="277"/>
      <c r="AC2832" s="277"/>
      <c r="AD2832" s="277"/>
      <c r="AE2832" s="277"/>
      <c r="AF2832" s="277"/>
      <c r="AG2832" s="277"/>
      <c r="AH2832" s="277"/>
    </row>
    <row r="2833" spans="16:34" s="185" customFormat="1">
      <c r="P2833" s="277"/>
      <c r="Q2833" s="277"/>
      <c r="R2833" s="277"/>
      <c r="S2833" s="291">
        <v>44389</v>
      </c>
      <c r="T2833" s="279">
        <v>2750</v>
      </c>
      <c r="U2833" s="277"/>
      <c r="V2833" s="277"/>
      <c r="W2833" s="277"/>
      <c r="X2833" s="277"/>
      <c r="Y2833" s="277"/>
      <c r="Z2833" s="277"/>
      <c r="AA2833" s="277"/>
      <c r="AB2833" s="277"/>
      <c r="AC2833" s="277"/>
      <c r="AD2833" s="277"/>
      <c r="AE2833" s="277"/>
      <c r="AF2833" s="277"/>
      <c r="AG2833" s="277"/>
      <c r="AH2833" s="277"/>
    </row>
    <row r="2834" spans="16:34" s="185" customFormat="1">
      <c r="P2834" s="277"/>
      <c r="Q2834" s="277"/>
      <c r="R2834" s="277"/>
      <c r="S2834" s="291">
        <v>44390</v>
      </c>
      <c r="T2834" s="279">
        <v>2751</v>
      </c>
      <c r="U2834" s="277"/>
      <c r="V2834" s="277"/>
      <c r="W2834" s="277"/>
      <c r="X2834" s="277"/>
      <c r="Y2834" s="277"/>
      <c r="Z2834" s="277"/>
      <c r="AA2834" s="277"/>
      <c r="AB2834" s="277"/>
      <c r="AC2834" s="277"/>
      <c r="AD2834" s="277"/>
      <c r="AE2834" s="277"/>
      <c r="AF2834" s="277"/>
      <c r="AG2834" s="277"/>
      <c r="AH2834" s="277"/>
    </row>
    <row r="2835" spans="16:34" s="185" customFormat="1">
      <c r="P2835" s="277"/>
      <c r="Q2835" s="277"/>
      <c r="R2835" s="277"/>
      <c r="S2835" s="291">
        <v>44391</v>
      </c>
      <c r="T2835" s="279">
        <v>2752</v>
      </c>
      <c r="U2835" s="277"/>
      <c r="V2835" s="277"/>
      <c r="W2835" s="277"/>
      <c r="X2835" s="277"/>
      <c r="Y2835" s="277"/>
      <c r="Z2835" s="277"/>
      <c r="AA2835" s="277"/>
      <c r="AB2835" s="277"/>
      <c r="AC2835" s="277"/>
      <c r="AD2835" s="277"/>
      <c r="AE2835" s="277"/>
      <c r="AF2835" s="277"/>
      <c r="AG2835" s="277"/>
      <c r="AH2835" s="277"/>
    </row>
    <row r="2836" spans="16:34" s="185" customFormat="1">
      <c r="P2836" s="277"/>
      <c r="Q2836" s="277"/>
      <c r="R2836" s="277"/>
      <c r="S2836" s="291">
        <v>44392</v>
      </c>
      <c r="T2836" s="279">
        <v>2753</v>
      </c>
      <c r="U2836" s="277"/>
      <c r="V2836" s="277"/>
      <c r="W2836" s="277"/>
      <c r="X2836" s="277"/>
      <c r="Y2836" s="277"/>
      <c r="Z2836" s="277"/>
      <c r="AA2836" s="277"/>
      <c r="AB2836" s="277"/>
      <c r="AC2836" s="277"/>
      <c r="AD2836" s="277"/>
      <c r="AE2836" s="277"/>
      <c r="AF2836" s="277"/>
      <c r="AG2836" s="277"/>
      <c r="AH2836" s="277"/>
    </row>
    <row r="2837" spans="16:34" s="185" customFormat="1">
      <c r="P2837" s="277"/>
      <c r="Q2837" s="277"/>
      <c r="R2837" s="277"/>
      <c r="S2837" s="291">
        <v>44393</v>
      </c>
      <c r="T2837" s="279">
        <v>2754</v>
      </c>
      <c r="U2837" s="277"/>
      <c r="V2837" s="277"/>
      <c r="W2837" s="277"/>
      <c r="X2837" s="277"/>
      <c r="Y2837" s="277"/>
      <c r="Z2837" s="277"/>
      <c r="AA2837" s="277"/>
      <c r="AB2837" s="277"/>
      <c r="AC2837" s="277"/>
      <c r="AD2837" s="277"/>
      <c r="AE2837" s="277"/>
      <c r="AF2837" s="277"/>
      <c r="AG2837" s="277"/>
      <c r="AH2837" s="277"/>
    </row>
    <row r="2838" spans="16:34" s="185" customFormat="1">
      <c r="P2838" s="277"/>
      <c r="Q2838" s="277"/>
      <c r="R2838" s="277"/>
      <c r="S2838" s="291">
        <v>44394</v>
      </c>
      <c r="T2838" s="279">
        <v>2755</v>
      </c>
      <c r="U2838" s="277"/>
      <c r="V2838" s="277"/>
      <c r="W2838" s="277"/>
      <c r="X2838" s="277"/>
      <c r="Y2838" s="277"/>
      <c r="Z2838" s="277"/>
      <c r="AA2838" s="277"/>
      <c r="AB2838" s="277"/>
      <c r="AC2838" s="277"/>
      <c r="AD2838" s="277"/>
      <c r="AE2838" s="277"/>
      <c r="AF2838" s="277"/>
      <c r="AG2838" s="277"/>
      <c r="AH2838" s="277"/>
    </row>
    <row r="2839" spans="16:34" s="185" customFormat="1">
      <c r="P2839" s="277"/>
      <c r="Q2839" s="277"/>
      <c r="R2839" s="277"/>
      <c r="S2839" s="291">
        <v>44395</v>
      </c>
      <c r="T2839" s="279">
        <v>2756</v>
      </c>
      <c r="U2839" s="277"/>
      <c r="V2839" s="277"/>
      <c r="W2839" s="277"/>
      <c r="X2839" s="277"/>
      <c r="Y2839" s="277"/>
      <c r="Z2839" s="277"/>
      <c r="AA2839" s="277"/>
      <c r="AB2839" s="277"/>
      <c r="AC2839" s="277"/>
      <c r="AD2839" s="277"/>
      <c r="AE2839" s="277"/>
      <c r="AF2839" s="277"/>
      <c r="AG2839" s="277"/>
      <c r="AH2839" s="277"/>
    </row>
    <row r="2840" spans="16:34" s="185" customFormat="1">
      <c r="P2840" s="277"/>
      <c r="Q2840" s="277"/>
      <c r="R2840" s="277"/>
      <c r="S2840" s="291">
        <v>44396</v>
      </c>
      <c r="T2840" s="279">
        <v>2757</v>
      </c>
      <c r="U2840" s="277"/>
      <c r="V2840" s="277"/>
      <c r="W2840" s="277"/>
      <c r="X2840" s="277"/>
      <c r="Y2840" s="277"/>
      <c r="Z2840" s="277"/>
      <c r="AA2840" s="277"/>
      <c r="AB2840" s="277"/>
      <c r="AC2840" s="277"/>
      <c r="AD2840" s="277"/>
      <c r="AE2840" s="277"/>
      <c r="AF2840" s="277"/>
      <c r="AG2840" s="277"/>
      <c r="AH2840" s="277"/>
    </row>
    <row r="2841" spans="16:34" s="185" customFormat="1">
      <c r="P2841" s="277"/>
      <c r="Q2841" s="277"/>
      <c r="R2841" s="277"/>
      <c r="S2841" s="291">
        <v>44397</v>
      </c>
      <c r="T2841" s="279">
        <v>2758</v>
      </c>
      <c r="U2841" s="277"/>
      <c r="V2841" s="277"/>
      <c r="W2841" s="277"/>
      <c r="X2841" s="277"/>
      <c r="Y2841" s="277"/>
      <c r="Z2841" s="277"/>
      <c r="AA2841" s="277"/>
      <c r="AB2841" s="277"/>
      <c r="AC2841" s="277"/>
      <c r="AD2841" s="277"/>
      <c r="AE2841" s="277"/>
      <c r="AF2841" s="277"/>
      <c r="AG2841" s="277"/>
      <c r="AH2841" s="277"/>
    </row>
    <row r="2842" spans="16:34" s="185" customFormat="1">
      <c r="P2842" s="277"/>
      <c r="Q2842" s="277"/>
      <c r="R2842" s="277"/>
      <c r="S2842" s="291">
        <v>44398</v>
      </c>
      <c r="T2842" s="279">
        <v>2759</v>
      </c>
      <c r="U2842" s="277"/>
      <c r="V2842" s="277"/>
      <c r="W2842" s="277"/>
      <c r="X2842" s="277"/>
      <c r="Y2842" s="277"/>
      <c r="Z2842" s="277"/>
      <c r="AA2842" s="277"/>
      <c r="AB2842" s="277"/>
      <c r="AC2842" s="277"/>
      <c r="AD2842" s="277"/>
      <c r="AE2842" s="277"/>
      <c r="AF2842" s="277"/>
      <c r="AG2842" s="277"/>
      <c r="AH2842" s="277"/>
    </row>
    <row r="2843" spans="16:34" s="185" customFormat="1">
      <c r="P2843" s="277"/>
      <c r="Q2843" s="277"/>
      <c r="R2843" s="277"/>
      <c r="S2843" s="291">
        <v>44399</v>
      </c>
      <c r="T2843" s="279">
        <v>2760</v>
      </c>
      <c r="U2843" s="277"/>
      <c r="V2843" s="277"/>
      <c r="W2843" s="277"/>
      <c r="X2843" s="277"/>
      <c r="Y2843" s="277"/>
      <c r="Z2843" s="277"/>
      <c r="AA2843" s="277"/>
      <c r="AB2843" s="277"/>
      <c r="AC2843" s="277"/>
      <c r="AD2843" s="277"/>
      <c r="AE2843" s="277"/>
      <c r="AF2843" s="277"/>
      <c r="AG2843" s="277"/>
      <c r="AH2843" s="277"/>
    </row>
    <row r="2844" spans="16:34" s="185" customFormat="1">
      <c r="P2844" s="277"/>
      <c r="Q2844" s="277"/>
      <c r="R2844" s="277"/>
      <c r="S2844" s="291">
        <v>44400</v>
      </c>
      <c r="T2844" s="279">
        <v>2761</v>
      </c>
      <c r="U2844" s="277"/>
      <c r="V2844" s="277"/>
      <c r="W2844" s="277"/>
      <c r="X2844" s="277"/>
      <c r="Y2844" s="277"/>
      <c r="Z2844" s="277"/>
      <c r="AA2844" s="277"/>
      <c r="AB2844" s="277"/>
      <c r="AC2844" s="277"/>
      <c r="AD2844" s="277"/>
      <c r="AE2844" s="277"/>
      <c r="AF2844" s="277"/>
      <c r="AG2844" s="277"/>
      <c r="AH2844" s="277"/>
    </row>
    <row r="2845" spans="16:34" s="185" customFormat="1">
      <c r="P2845" s="277"/>
      <c r="Q2845" s="277"/>
      <c r="R2845" s="277"/>
      <c r="S2845" s="291">
        <v>44401</v>
      </c>
      <c r="T2845" s="279">
        <v>2762</v>
      </c>
      <c r="U2845" s="277"/>
      <c r="V2845" s="277"/>
      <c r="W2845" s="277"/>
      <c r="X2845" s="277"/>
      <c r="Y2845" s="277"/>
      <c r="Z2845" s="277"/>
      <c r="AA2845" s="277"/>
      <c r="AB2845" s="277"/>
      <c r="AC2845" s="277"/>
      <c r="AD2845" s="277"/>
      <c r="AE2845" s="277"/>
      <c r="AF2845" s="277"/>
      <c r="AG2845" s="277"/>
      <c r="AH2845" s="277"/>
    </row>
    <row r="2846" spans="16:34" s="185" customFormat="1">
      <c r="P2846" s="277"/>
      <c r="Q2846" s="277"/>
      <c r="R2846" s="277"/>
      <c r="S2846" s="291">
        <v>44402</v>
      </c>
      <c r="T2846" s="279">
        <v>2763</v>
      </c>
      <c r="U2846" s="277"/>
      <c r="V2846" s="277"/>
      <c r="W2846" s="277"/>
      <c r="X2846" s="277"/>
      <c r="Y2846" s="277"/>
      <c r="Z2846" s="277"/>
      <c r="AA2846" s="277"/>
      <c r="AB2846" s="277"/>
      <c r="AC2846" s="277"/>
      <c r="AD2846" s="277"/>
      <c r="AE2846" s="277"/>
      <c r="AF2846" s="277"/>
      <c r="AG2846" s="277"/>
      <c r="AH2846" s="277"/>
    </row>
    <row r="2847" spans="16:34" s="185" customFormat="1">
      <c r="P2847" s="277"/>
      <c r="Q2847" s="277"/>
      <c r="R2847" s="277"/>
      <c r="S2847" s="291">
        <v>44403</v>
      </c>
      <c r="T2847" s="279">
        <v>2764</v>
      </c>
      <c r="U2847" s="277"/>
      <c r="V2847" s="277"/>
      <c r="W2847" s="277"/>
      <c r="X2847" s="277"/>
      <c r="Y2847" s="277"/>
      <c r="Z2847" s="277"/>
      <c r="AA2847" s="277"/>
      <c r="AB2847" s="277"/>
      <c r="AC2847" s="277"/>
      <c r="AD2847" s="277"/>
      <c r="AE2847" s="277"/>
      <c r="AF2847" s="277"/>
      <c r="AG2847" s="277"/>
      <c r="AH2847" s="277"/>
    </row>
    <row r="2848" spans="16:34" s="185" customFormat="1">
      <c r="P2848" s="277"/>
      <c r="Q2848" s="277"/>
      <c r="R2848" s="277"/>
      <c r="S2848" s="291">
        <v>44404</v>
      </c>
      <c r="T2848" s="279">
        <v>2765</v>
      </c>
      <c r="U2848" s="277"/>
      <c r="V2848" s="277"/>
      <c r="W2848" s="277"/>
      <c r="X2848" s="277"/>
      <c r="Y2848" s="277"/>
      <c r="Z2848" s="277"/>
      <c r="AA2848" s="277"/>
      <c r="AB2848" s="277"/>
      <c r="AC2848" s="277"/>
      <c r="AD2848" s="277"/>
      <c r="AE2848" s="277"/>
      <c r="AF2848" s="277"/>
      <c r="AG2848" s="277"/>
      <c r="AH2848" s="277"/>
    </row>
    <row r="2849" spans="16:34" s="185" customFormat="1">
      <c r="P2849" s="277"/>
      <c r="Q2849" s="277"/>
      <c r="R2849" s="277"/>
      <c r="S2849" s="291">
        <v>44405</v>
      </c>
      <c r="T2849" s="279">
        <v>2766</v>
      </c>
      <c r="U2849" s="277"/>
      <c r="V2849" s="277"/>
      <c r="W2849" s="277"/>
      <c r="X2849" s="277"/>
      <c r="Y2849" s="277"/>
      <c r="Z2849" s="277"/>
      <c r="AA2849" s="277"/>
      <c r="AB2849" s="277"/>
      <c r="AC2849" s="277"/>
      <c r="AD2849" s="277"/>
      <c r="AE2849" s="277"/>
      <c r="AF2849" s="277"/>
      <c r="AG2849" s="277"/>
      <c r="AH2849" s="277"/>
    </row>
    <row r="2850" spans="16:34" s="185" customFormat="1">
      <c r="P2850" s="277"/>
      <c r="Q2850" s="277"/>
      <c r="R2850" s="277"/>
      <c r="S2850" s="291">
        <v>44406</v>
      </c>
      <c r="T2850" s="279">
        <v>2767</v>
      </c>
      <c r="U2850" s="277"/>
      <c r="V2850" s="277"/>
      <c r="W2850" s="277"/>
      <c r="X2850" s="277"/>
      <c r="Y2850" s="277"/>
      <c r="Z2850" s="277"/>
      <c r="AA2850" s="277"/>
      <c r="AB2850" s="277"/>
      <c r="AC2850" s="277"/>
      <c r="AD2850" s="277"/>
      <c r="AE2850" s="277"/>
      <c r="AF2850" s="277"/>
      <c r="AG2850" s="277"/>
      <c r="AH2850" s="277"/>
    </row>
    <row r="2851" spans="16:34" s="185" customFormat="1">
      <c r="P2851" s="277"/>
      <c r="Q2851" s="277"/>
      <c r="R2851" s="277"/>
      <c r="S2851" s="291">
        <v>44407</v>
      </c>
      <c r="T2851" s="279">
        <v>2768</v>
      </c>
      <c r="U2851" s="277"/>
      <c r="V2851" s="277"/>
      <c r="W2851" s="277"/>
      <c r="X2851" s="277"/>
      <c r="Y2851" s="277"/>
      <c r="Z2851" s="277"/>
      <c r="AA2851" s="277"/>
      <c r="AB2851" s="277"/>
      <c r="AC2851" s="277"/>
      <c r="AD2851" s="277"/>
      <c r="AE2851" s="277"/>
      <c r="AF2851" s="277"/>
      <c r="AG2851" s="277"/>
      <c r="AH2851" s="277"/>
    </row>
    <row r="2852" spans="16:34" s="185" customFormat="1">
      <c r="P2852" s="277"/>
      <c r="Q2852" s="277"/>
      <c r="R2852" s="277"/>
      <c r="S2852" s="291">
        <v>44408</v>
      </c>
      <c r="T2852" s="279">
        <v>2769</v>
      </c>
      <c r="U2852" s="277"/>
      <c r="V2852" s="277"/>
      <c r="W2852" s="277"/>
      <c r="X2852" s="277"/>
      <c r="Y2852" s="277"/>
      <c r="Z2852" s="277"/>
      <c r="AA2852" s="277"/>
      <c r="AB2852" s="277"/>
      <c r="AC2852" s="277"/>
      <c r="AD2852" s="277"/>
      <c r="AE2852" s="277"/>
      <c r="AF2852" s="277"/>
      <c r="AG2852" s="277"/>
      <c r="AH2852" s="277"/>
    </row>
    <row r="2853" spans="16:34" s="185" customFormat="1">
      <c r="P2853" s="277"/>
      <c r="Q2853" s="277"/>
      <c r="R2853" s="277"/>
      <c r="S2853" s="291">
        <v>44409</v>
      </c>
      <c r="T2853" s="279">
        <v>2770</v>
      </c>
      <c r="U2853" s="277"/>
      <c r="V2853" s="277"/>
      <c r="W2853" s="277"/>
      <c r="X2853" s="277"/>
      <c r="Y2853" s="277"/>
      <c r="Z2853" s="277"/>
      <c r="AA2853" s="277"/>
      <c r="AB2853" s="277"/>
      <c r="AC2853" s="277"/>
      <c r="AD2853" s="277"/>
      <c r="AE2853" s="277"/>
      <c r="AF2853" s="277"/>
      <c r="AG2853" s="277"/>
      <c r="AH2853" s="277"/>
    </row>
    <row r="2854" spans="16:34" s="185" customFormat="1">
      <c r="P2854" s="277"/>
      <c r="Q2854" s="277"/>
      <c r="R2854" s="277"/>
      <c r="S2854" s="291">
        <v>44410</v>
      </c>
      <c r="T2854" s="279">
        <v>2771</v>
      </c>
      <c r="U2854" s="277"/>
      <c r="V2854" s="277"/>
      <c r="W2854" s="277"/>
      <c r="X2854" s="277"/>
      <c r="Y2854" s="277"/>
      <c r="Z2854" s="277"/>
      <c r="AA2854" s="277"/>
      <c r="AB2854" s="277"/>
      <c r="AC2854" s="277"/>
      <c r="AD2854" s="277"/>
      <c r="AE2854" s="277"/>
      <c r="AF2854" s="277"/>
      <c r="AG2854" s="277"/>
      <c r="AH2854" s="277"/>
    </row>
    <row r="2855" spans="16:34" s="185" customFormat="1">
      <c r="P2855" s="277"/>
      <c r="Q2855" s="277"/>
      <c r="R2855" s="277"/>
      <c r="S2855" s="291">
        <v>44411</v>
      </c>
      <c r="T2855" s="279">
        <v>2772</v>
      </c>
      <c r="U2855" s="277"/>
      <c r="V2855" s="277"/>
      <c r="W2855" s="277"/>
      <c r="X2855" s="277"/>
      <c r="Y2855" s="277"/>
      <c r="Z2855" s="277"/>
      <c r="AA2855" s="277"/>
      <c r="AB2855" s="277"/>
      <c r="AC2855" s="277"/>
      <c r="AD2855" s="277"/>
      <c r="AE2855" s="277"/>
      <c r="AF2855" s="277"/>
      <c r="AG2855" s="277"/>
      <c r="AH2855" s="277"/>
    </row>
    <row r="2856" spans="16:34" s="185" customFormat="1">
      <c r="P2856" s="277"/>
      <c r="Q2856" s="277"/>
      <c r="R2856" s="277"/>
      <c r="S2856" s="291">
        <v>44412</v>
      </c>
      <c r="T2856" s="279">
        <v>2773</v>
      </c>
      <c r="U2856" s="277"/>
      <c r="V2856" s="277"/>
      <c r="W2856" s="277"/>
      <c r="X2856" s="277"/>
      <c r="Y2856" s="277"/>
      <c r="Z2856" s="277"/>
      <c r="AA2856" s="277"/>
      <c r="AB2856" s="277"/>
      <c r="AC2856" s="277"/>
      <c r="AD2856" s="277"/>
      <c r="AE2856" s="277"/>
      <c r="AF2856" s="277"/>
      <c r="AG2856" s="277"/>
      <c r="AH2856" s="277"/>
    </row>
    <row r="2857" spans="16:34" s="185" customFormat="1">
      <c r="P2857" s="277"/>
      <c r="Q2857" s="277"/>
      <c r="R2857" s="277"/>
      <c r="S2857" s="291">
        <v>44413</v>
      </c>
      <c r="T2857" s="279">
        <v>2774</v>
      </c>
      <c r="U2857" s="277"/>
      <c r="V2857" s="277"/>
      <c r="W2857" s="277"/>
      <c r="X2857" s="277"/>
      <c r="Y2857" s="277"/>
      <c r="Z2857" s="277"/>
      <c r="AA2857" s="277"/>
      <c r="AB2857" s="277"/>
      <c r="AC2857" s="277"/>
      <c r="AD2857" s="277"/>
      <c r="AE2857" s="277"/>
      <c r="AF2857" s="277"/>
      <c r="AG2857" s="277"/>
      <c r="AH2857" s="277"/>
    </row>
    <row r="2858" spans="16:34" s="185" customFormat="1">
      <c r="P2858" s="277"/>
      <c r="Q2858" s="277"/>
      <c r="R2858" s="277"/>
      <c r="S2858" s="291">
        <v>44414</v>
      </c>
      <c r="T2858" s="279">
        <v>2775</v>
      </c>
      <c r="U2858" s="277"/>
      <c r="V2858" s="277"/>
      <c r="W2858" s="277"/>
      <c r="X2858" s="277"/>
      <c r="Y2858" s="277"/>
      <c r="Z2858" s="277"/>
      <c r="AA2858" s="277"/>
      <c r="AB2858" s="277"/>
      <c r="AC2858" s="277"/>
      <c r="AD2858" s="277"/>
      <c r="AE2858" s="277"/>
      <c r="AF2858" s="277"/>
      <c r="AG2858" s="277"/>
      <c r="AH2858" s="277"/>
    </row>
    <row r="2859" spans="16:34" s="185" customFormat="1">
      <c r="P2859" s="277"/>
      <c r="Q2859" s="277"/>
      <c r="R2859" s="277"/>
      <c r="S2859" s="291">
        <v>44415</v>
      </c>
      <c r="T2859" s="279">
        <v>2776</v>
      </c>
      <c r="U2859" s="277"/>
      <c r="V2859" s="277"/>
      <c r="W2859" s="277"/>
      <c r="X2859" s="277"/>
      <c r="Y2859" s="277"/>
      <c r="Z2859" s="277"/>
      <c r="AA2859" s="277"/>
      <c r="AB2859" s="277"/>
      <c r="AC2859" s="277"/>
      <c r="AD2859" s="277"/>
      <c r="AE2859" s="277"/>
      <c r="AF2859" s="277"/>
      <c r="AG2859" s="277"/>
      <c r="AH2859" s="277"/>
    </row>
    <row r="2860" spans="16:34" s="185" customFormat="1">
      <c r="P2860" s="277"/>
      <c r="Q2860" s="277"/>
      <c r="R2860" s="277"/>
      <c r="S2860" s="291">
        <v>44416</v>
      </c>
      <c r="T2860" s="279">
        <v>2777</v>
      </c>
      <c r="U2860" s="277"/>
      <c r="V2860" s="277"/>
      <c r="W2860" s="277"/>
      <c r="X2860" s="277"/>
      <c r="Y2860" s="277"/>
      <c r="Z2860" s="277"/>
      <c r="AA2860" s="277"/>
      <c r="AB2860" s="277"/>
      <c r="AC2860" s="277"/>
      <c r="AD2860" s="277"/>
      <c r="AE2860" s="277"/>
      <c r="AF2860" s="277"/>
      <c r="AG2860" s="277"/>
      <c r="AH2860" s="277"/>
    </row>
    <row r="2861" spans="16:34" s="185" customFormat="1">
      <c r="P2861" s="277"/>
      <c r="Q2861" s="277"/>
      <c r="R2861" s="277"/>
      <c r="S2861" s="291">
        <v>44417</v>
      </c>
      <c r="T2861" s="279">
        <v>2778</v>
      </c>
      <c r="U2861" s="277"/>
      <c r="V2861" s="277"/>
      <c r="W2861" s="277"/>
      <c r="X2861" s="277"/>
      <c r="Y2861" s="277"/>
      <c r="Z2861" s="277"/>
      <c r="AA2861" s="277"/>
      <c r="AB2861" s="277"/>
      <c r="AC2861" s="277"/>
      <c r="AD2861" s="277"/>
      <c r="AE2861" s="277"/>
      <c r="AF2861" s="277"/>
      <c r="AG2861" s="277"/>
      <c r="AH2861" s="277"/>
    </row>
    <row r="2862" spans="16:34" s="185" customFormat="1">
      <c r="P2862" s="277"/>
      <c r="Q2862" s="277"/>
      <c r="R2862" s="277"/>
      <c r="S2862" s="291">
        <v>44418</v>
      </c>
      <c r="T2862" s="279">
        <v>2779</v>
      </c>
      <c r="U2862" s="277"/>
      <c r="V2862" s="277"/>
      <c r="W2862" s="277"/>
      <c r="X2862" s="277"/>
      <c r="Y2862" s="277"/>
      <c r="Z2862" s="277"/>
      <c r="AA2862" s="277"/>
      <c r="AB2862" s="277"/>
      <c r="AC2862" s="277"/>
      <c r="AD2862" s="277"/>
      <c r="AE2862" s="277"/>
      <c r="AF2862" s="277"/>
      <c r="AG2862" s="277"/>
      <c r="AH2862" s="277"/>
    </row>
    <row r="2863" spans="16:34" s="185" customFormat="1">
      <c r="P2863" s="277"/>
      <c r="Q2863" s="277"/>
      <c r="R2863" s="277"/>
      <c r="S2863" s="291">
        <v>44419</v>
      </c>
      <c r="T2863" s="279">
        <v>2780</v>
      </c>
      <c r="U2863" s="277"/>
      <c r="V2863" s="277"/>
      <c r="W2863" s="277"/>
      <c r="X2863" s="277"/>
      <c r="Y2863" s="277"/>
      <c r="Z2863" s="277"/>
      <c r="AA2863" s="277"/>
      <c r="AB2863" s="277"/>
      <c r="AC2863" s="277"/>
      <c r="AD2863" s="277"/>
      <c r="AE2863" s="277"/>
      <c r="AF2863" s="277"/>
      <c r="AG2863" s="277"/>
      <c r="AH2863" s="277"/>
    </row>
    <row r="2864" spans="16:34" s="185" customFormat="1">
      <c r="P2864" s="277"/>
      <c r="Q2864" s="277"/>
      <c r="R2864" s="277"/>
      <c r="S2864" s="291">
        <v>44420</v>
      </c>
      <c r="T2864" s="279">
        <v>2781</v>
      </c>
      <c r="U2864" s="277"/>
      <c r="V2864" s="277"/>
      <c r="W2864" s="277"/>
      <c r="X2864" s="277"/>
      <c r="Y2864" s="277"/>
      <c r="Z2864" s="277"/>
      <c r="AA2864" s="277"/>
      <c r="AB2864" s="277"/>
      <c r="AC2864" s="277"/>
      <c r="AD2864" s="277"/>
      <c r="AE2864" s="277"/>
      <c r="AF2864" s="277"/>
      <c r="AG2864" s="277"/>
      <c r="AH2864" s="277"/>
    </row>
    <row r="2865" spans="16:34" s="185" customFormat="1">
      <c r="P2865" s="277"/>
      <c r="Q2865" s="277"/>
      <c r="R2865" s="277"/>
      <c r="S2865" s="291">
        <v>44421</v>
      </c>
      <c r="T2865" s="279">
        <v>2782</v>
      </c>
      <c r="U2865" s="277"/>
      <c r="V2865" s="277"/>
      <c r="W2865" s="277"/>
      <c r="X2865" s="277"/>
      <c r="Y2865" s="277"/>
      <c r="Z2865" s="277"/>
      <c r="AA2865" s="277"/>
      <c r="AB2865" s="277"/>
      <c r="AC2865" s="277"/>
      <c r="AD2865" s="277"/>
      <c r="AE2865" s="277"/>
      <c r="AF2865" s="277"/>
      <c r="AG2865" s="277"/>
      <c r="AH2865" s="277"/>
    </row>
    <row r="2866" spans="16:34" s="185" customFormat="1">
      <c r="P2866" s="277"/>
      <c r="Q2866" s="277"/>
      <c r="R2866" s="277"/>
      <c r="S2866" s="291">
        <v>44422</v>
      </c>
      <c r="T2866" s="279">
        <v>2783</v>
      </c>
      <c r="U2866" s="277"/>
      <c r="V2866" s="277"/>
      <c r="W2866" s="277"/>
      <c r="X2866" s="277"/>
      <c r="Y2866" s="277"/>
      <c r="Z2866" s="277"/>
      <c r="AA2866" s="277"/>
      <c r="AB2866" s="277"/>
      <c r="AC2866" s="277"/>
      <c r="AD2866" s="277"/>
      <c r="AE2866" s="277"/>
      <c r="AF2866" s="277"/>
      <c r="AG2866" s="277"/>
      <c r="AH2866" s="277"/>
    </row>
    <row r="2867" spans="16:34" s="185" customFormat="1">
      <c r="P2867" s="277"/>
      <c r="Q2867" s="277"/>
      <c r="R2867" s="277"/>
      <c r="S2867" s="291">
        <v>44423</v>
      </c>
      <c r="T2867" s="279">
        <v>2784</v>
      </c>
      <c r="U2867" s="277"/>
      <c r="V2867" s="277"/>
      <c r="W2867" s="277"/>
      <c r="X2867" s="277"/>
      <c r="Y2867" s="277"/>
      <c r="Z2867" s="277"/>
      <c r="AA2867" s="277"/>
      <c r="AB2867" s="277"/>
      <c r="AC2867" s="277"/>
      <c r="AD2867" s="277"/>
      <c r="AE2867" s="277"/>
      <c r="AF2867" s="277"/>
      <c r="AG2867" s="277"/>
      <c r="AH2867" s="277"/>
    </row>
    <row r="2868" spans="16:34" s="185" customFormat="1">
      <c r="P2868" s="277"/>
      <c r="Q2868" s="277"/>
      <c r="R2868" s="277"/>
      <c r="S2868" s="291">
        <v>44424</v>
      </c>
      <c r="T2868" s="279">
        <v>2785</v>
      </c>
      <c r="U2868" s="277"/>
      <c r="V2868" s="277"/>
      <c r="W2868" s="277"/>
      <c r="X2868" s="277"/>
      <c r="Y2868" s="277"/>
      <c r="Z2868" s="277"/>
      <c r="AA2868" s="277"/>
      <c r="AB2868" s="277"/>
      <c r="AC2868" s="277"/>
      <c r="AD2868" s="277"/>
      <c r="AE2868" s="277"/>
      <c r="AF2868" s="277"/>
      <c r="AG2868" s="277"/>
      <c r="AH2868" s="277"/>
    </row>
    <row r="2869" spans="16:34" s="185" customFormat="1">
      <c r="P2869" s="277"/>
      <c r="Q2869" s="277"/>
      <c r="R2869" s="277"/>
      <c r="S2869" s="291">
        <v>44425</v>
      </c>
      <c r="T2869" s="279">
        <v>2786</v>
      </c>
      <c r="U2869" s="277"/>
      <c r="V2869" s="277"/>
      <c r="W2869" s="277"/>
      <c r="X2869" s="277"/>
      <c r="Y2869" s="277"/>
      <c r="Z2869" s="277"/>
      <c r="AA2869" s="277"/>
      <c r="AB2869" s="277"/>
      <c r="AC2869" s="277"/>
      <c r="AD2869" s="277"/>
      <c r="AE2869" s="277"/>
      <c r="AF2869" s="277"/>
      <c r="AG2869" s="277"/>
      <c r="AH2869" s="277"/>
    </row>
    <row r="2870" spans="16:34" s="185" customFormat="1">
      <c r="P2870" s="277"/>
      <c r="Q2870" s="277"/>
      <c r="R2870" s="277"/>
      <c r="S2870" s="291">
        <v>44426</v>
      </c>
      <c r="T2870" s="279">
        <v>2787</v>
      </c>
      <c r="U2870" s="277"/>
      <c r="V2870" s="277"/>
      <c r="W2870" s="277"/>
      <c r="X2870" s="277"/>
      <c r="Y2870" s="277"/>
      <c r="Z2870" s="277"/>
      <c r="AA2870" s="277"/>
      <c r="AB2870" s="277"/>
      <c r="AC2870" s="277"/>
      <c r="AD2870" s="277"/>
      <c r="AE2870" s="277"/>
      <c r="AF2870" s="277"/>
      <c r="AG2870" s="277"/>
      <c r="AH2870" s="277"/>
    </row>
    <row r="2871" spans="16:34" s="185" customFormat="1">
      <c r="P2871" s="277"/>
      <c r="Q2871" s="277"/>
      <c r="R2871" s="277"/>
      <c r="S2871" s="291">
        <v>44427</v>
      </c>
      <c r="T2871" s="279">
        <v>2788</v>
      </c>
      <c r="U2871" s="277"/>
      <c r="V2871" s="277"/>
      <c r="W2871" s="277"/>
      <c r="X2871" s="277"/>
      <c r="Y2871" s="277"/>
      <c r="Z2871" s="277"/>
      <c r="AA2871" s="277"/>
      <c r="AB2871" s="277"/>
      <c r="AC2871" s="277"/>
      <c r="AD2871" s="277"/>
      <c r="AE2871" s="277"/>
      <c r="AF2871" s="277"/>
      <c r="AG2871" s="277"/>
      <c r="AH2871" s="277"/>
    </row>
    <row r="2872" spans="16:34" s="185" customFormat="1">
      <c r="P2872" s="277"/>
      <c r="Q2872" s="277"/>
      <c r="R2872" s="277"/>
      <c r="S2872" s="291">
        <v>44428</v>
      </c>
      <c r="T2872" s="279">
        <v>2789</v>
      </c>
      <c r="U2872" s="277"/>
      <c r="V2872" s="277"/>
      <c r="W2872" s="277"/>
      <c r="X2872" s="277"/>
      <c r="Y2872" s="277"/>
      <c r="Z2872" s="277"/>
      <c r="AA2872" s="277"/>
      <c r="AB2872" s="277"/>
      <c r="AC2872" s="277"/>
      <c r="AD2872" s="277"/>
      <c r="AE2872" s="277"/>
      <c r="AF2872" s="277"/>
      <c r="AG2872" s="277"/>
      <c r="AH2872" s="277"/>
    </row>
    <row r="2873" spans="16:34" s="185" customFormat="1">
      <c r="P2873" s="277"/>
      <c r="Q2873" s="277"/>
      <c r="R2873" s="277"/>
      <c r="S2873" s="291">
        <v>44429</v>
      </c>
      <c r="T2873" s="279">
        <v>2790</v>
      </c>
      <c r="U2873" s="277"/>
      <c r="V2873" s="277"/>
      <c r="W2873" s="277"/>
      <c r="X2873" s="277"/>
      <c r="Y2873" s="277"/>
      <c r="Z2873" s="277"/>
      <c r="AA2873" s="277"/>
      <c r="AB2873" s="277"/>
      <c r="AC2873" s="277"/>
      <c r="AD2873" s="277"/>
      <c r="AE2873" s="277"/>
      <c r="AF2873" s="277"/>
      <c r="AG2873" s="277"/>
      <c r="AH2873" s="277"/>
    </row>
    <row r="2874" spans="16:34" s="185" customFormat="1">
      <c r="P2874" s="277"/>
      <c r="Q2874" s="277"/>
      <c r="R2874" s="277"/>
      <c r="S2874" s="291">
        <v>44430</v>
      </c>
      <c r="T2874" s="279">
        <v>2791</v>
      </c>
      <c r="U2874" s="277"/>
      <c r="V2874" s="277"/>
      <c r="W2874" s="277"/>
      <c r="X2874" s="277"/>
      <c r="Y2874" s="277"/>
      <c r="Z2874" s="277"/>
      <c r="AA2874" s="277"/>
      <c r="AB2874" s="277"/>
      <c r="AC2874" s="277"/>
      <c r="AD2874" s="277"/>
      <c r="AE2874" s="277"/>
      <c r="AF2874" s="277"/>
      <c r="AG2874" s="277"/>
      <c r="AH2874" s="277"/>
    </row>
    <row r="2875" spans="16:34" s="185" customFormat="1">
      <c r="P2875" s="277"/>
      <c r="Q2875" s="277"/>
      <c r="R2875" s="277"/>
      <c r="S2875" s="291">
        <v>44431</v>
      </c>
      <c r="T2875" s="279">
        <v>2792</v>
      </c>
      <c r="U2875" s="277"/>
      <c r="V2875" s="277"/>
      <c r="W2875" s="277"/>
      <c r="X2875" s="277"/>
      <c r="Y2875" s="277"/>
      <c r="Z2875" s="277"/>
      <c r="AA2875" s="277"/>
      <c r="AB2875" s="277"/>
      <c r="AC2875" s="277"/>
      <c r="AD2875" s="277"/>
      <c r="AE2875" s="277"/>
      <c r="AF2875" s="277"/>
      <c r="AG2875" s="277"/>
      <c r="AH2875" s="277"/>
    </row>
    <row r="2876" spans="16:34" s="185" customFormat="1">
      <c r="P2876" s="277"/>
      <c r="Q2876" s="277"/>
      <c r="R2876" s="277"/>
      <c r="S2876" s="291">
        <v>44432</v>
      </c>
      <c r="T2876" s="279">
        <v>2793</v>
      </c>
      <c r="U2876" s="277"/>
      <c r="V2876" s="277"/>
      <c r="W2876" s="277"/>
      <c r="X2876" s="277"/>
      <c r="Y2876" s="277"/>
      <c r="Z2876" s="277"/>
      <c r="AA2876" s="277"/>
      <c r="AB2876" s="277"/>
      <c r="AC2876" s="277"/>
      <c r="AD2876" s="277"/>
      <c r="AE2876" s="277"/>
      <c r="AF2876" s="277"/>
      <c r="AG2876" s="277"/>
      <c r="AH2876" s="277"/>
    </row>
    <row r="2877" spans="16:34" s="185" customFormat="1">
      <c r="P2877" s="277"/>
      <c r="Q2877" s="277"/>
      <c r="R2877" s="277"/>
      <c r="S2877" s="291">
        <v>44433</v>
      </c>
      <c r="T2877" s="279">
        <v>2794</v>
      </c>
      <c r="U2877" s="277"/>
      <c r="V2877" s="277"/>
      <c r="W2877" s="277"/>
      <c r="X2877" s="277"/>
      <c r="Y2877" s="277"/>
      <c r="Z2877" s="277"/>
      <c r="AA2877" s="277"/>
      <c r="AB2877" s="277"/>
      <c r="AC2877" s="277"/>
      <c r="AD2877" s="277"/>
      <c r="AE2877" s="277"/>
      <c r="AF2877" s="277"/>
      <c r="AG2877" s="277"/>
      <c r="AH2877" s="277"/>
    </row>
    <row r="2878" spans="16:34" s="185" customFormat="1">
      <c r="P2878" s="277"/>
      <c r="Q2878" s="277"/>
      <c r="R2878" s="277"/>
      <c r="S2878" s="291">
        <v>44434</v>
      </c>
      <c r="T2878" s="279">
        <v>2795</v>
      </c>
      <c r="U2878" s="277"/>
      <c r="V2878" s="277"/>
      <c r="W2878" s="277"/>
      <c r="X2878" s="277"/>
      <c r="Y2878" s="277"/>
      <c r="Z2878" s="277"/>
      <c r="AA2878" s="277"/>
      <c r="AB2878" s="277"/>
      <c r="AC2878" s="277"/>
      <c r="AD2878" s="277"/>
      <c r="AE2878" s="277"/>
      <c r="AF2878" s="277"/>
      <c r="AG2878" s="277"/>
      <c r="AH2878" s="277"/>
    </row>
    <row r="2879" spans="16:34" s="185" customFormat="1">
      <c r="P2879" s="277"/>
      <c r="Q2879" s="277"/>
      <c r="R2879" s="277"/>
      <c r="S2879" s="291">
        <v>44435</v>
      </c>
      <c r="T2879" s="279">
        <v>2796</v>
      </c>
      <c r="U2879" s="277"/>
      <c r="V2879" s="277"/>
      <c r="W2879" s="277"/>
      <c r="X2879" s="277"/>
      <c r="Y2879" s="277"/>
      <c r="Z2879" s="277"/>
      <c r="AA2879" s="277"/>
      <c r="AB2879" s="277"/>
      <c r="AC2879" s="277"/>
      <c r="AD2879" s="277"/>
      <c r="AE2879" s="277"/>
      <c r="AF2879" s="277"/>
      <c r="AG2879" s="277"/>
      <c r="AH2879" s="277"/>
    </row>
    <row r="2880" spans="16:34" s="185" customFormat="1">
      <c r="P2880" s="277"/>
      <c r="Q2880" s="277"/>
      <c r="R2880" s="277"/>
      <c r="S2880" s="291">
        <v>44436</v>
      </c>
      <c r="T2880" s="279">
        <v>2797</v>
      </c>
      <c r="U2880" s="277"/>
      <c r="V2880" s="277"/>
      <c r="W2880" s="277"/>
      <c r="X2880" s="277"/>
      <c r="Y2880" s="277"/>
      <c r="Z2880" s="277"/>
      <c r="AA2880" s="277"/>
      <c r="AB2880" s="277"/>
      <c r="AC2880" s="277"/>
      <c r="AD2880" s="277"/>
      <c r="AE2880" s="277"/>
      <c r="AF2880" s="277"/>
      <c r="AG2880" s="277"/>
      <c r="AH2880" s="277"/>
    </row>
    <row r="2881" spans="16:34" s="185" customFormat="1">
      <c r="P2881" s="277"/>
      <c r="Q2881" s="277"/>
      <c r="R2881" s="277"/>
      <c r="S2881" s="291">
        <v>44437</v>
      </c>
      <c r="T2881" s="279">
        <v>2798</v>
      </c>
      <c r="U2881" s="277"/>
      <c r="V2881" s="277"/>
      <c r="W2881" s="277"/>
      <c r="X2881" s="277"/>
      <c r="Y2881" s="277"/>
      <c r="Z2881" s="277"/>
      <c r="AA2881" s="277"/>
      <c r="AB2881" s="277"/>
      <c r="AC2881" s="277"/>
      <c r="AD2881" s="277"/>
      <c r="AE2881" s="277"/>
      <c r="AF2881" s="277"/>
      <c r="AG2881" s="277"/>
      <c r="AH2881" s="277"/>
    </row>
    <row r="2882" spans="16:34" s="185" customFormat="1">
      <c r="P2882" s="277"/>
      <c r="Q2882" s="277"/>
      <c r="R2882" s="277"/>
      <c r="S2882" s="291">
        <v>44438</v>
      </c>
      <c r="T2882" s="279">
        <v>2799</v>
      </c>
      <c r="U2882" s="277"/>
      <c r="V2882" s="277"/>
      <c r="W2882" s="277"/>
      <c r="X2882" s="277"/>
      <c r="Y2882" s="277"/>
      <c r="Z2882" s="277"/>
      <c r="AA2882" s="277"/>
      <c r="AB2882" s="277"/>
      <c r="AC2882" s="277"/>
      <c r="AD2882" s="277"/>
      <c r="AE2882" s="277"/>
      <c r="AF2882" s="277"/>
      <c r="AG2882" s="277"/>
      <c r="AH2882" s="277"/>
    </row>
    <row r="2883" spans="16:34" s="185" customFormat="1">
      <c r="P2883" s="277"/>
      <c r="Q2883" s="277"/>
      <c r="R2883" s="277"/>
      <c r="S2883" s="291">
        <v>44439</v>
      </c>
      <c r="T2883" s="279">
        <v>2800</v>
      </c>
      <c r="U2883" s="277"/>
      <c r="V2883" s="277"/>
      <c r="W2883" s="277"/>
      <c r="X2883" s="277"/>
      <c r="Y2883" s="277"/>
      <c r="Z2883" s="277"/>
      <c r="AA2883" s="277"/>
      <c r="AB2883" s="277"/>
      <c r="AC2883" s="277"/>
      <c r="AD2883" s="277"/>
      <c r="AE2883" s="277"/>
      <c r="AF2883" s="277"/>
      <c r="AG2883" s="277"/>
      <c r="AH2883" s="277"/>
    </row>
    <row r="2884" spans="16:34" s="185" customFormat="1">
      <c r="P2884" s="277"/>
      <c r="Q2884" s="277"/>
      <c r="R2884" s="277"/>
      <c r="S2884" s="291">
        <v>44440</v>
      </c>
      <c r="T2884" s="279">
        <v>2801</v>
      </c>
      <c r="U2884" s="277"/>
      <c r="V2884" s="277"/>
      <c r="W2884" s="277"/>
      <c r="X2884" s="277"/>
      <c r="Y2884" s="277"/>
      <c r="Z2884" s="277"/>
      <c r="AA2884" s="277"/>
      <c r="AB2884" s="277"/>
      <c r="AC2884" s="277"/>
      <c r="AD2884" s="277"/>
      <c r="AE2884" s="277"/>
      <c r="AF2884" s="277"/>
      <c r="AG2884" s="277"/>
      <c r="AH2884" s="277"/>
    </row>
    <row r="2885" spans="16:34" s="185" customFormat="1">
      <c r="P2885" s="277"/>
      <c r="Q2885" s="277"/>
      <c r="R2885" s="277"/>
      <c r="S2885" s="291">
        <v>44441</v>
      </c>
      <c r="T2885" s="279">
        <v>2802</v>
      </c>
      <c r="U2885" s="277"/>
      <c r="V2885" s="277"/>
      <c r="W2885" s="277"/>
      <c r="X2885" s="277"/>
      <c r="Y2885" s="277"/>
      <c r="Z2885" s="277"/>
      <c r="AA2885" s="277"/>
      <c r="AB2885" s="277"/>
      <c r="AC2885" s="277"/>
      <c r="AD2885" s="277"/>
      <c r="AE2885" s="277"/>
      <c r="AF2885" s="277"/>
      <c r="AG2885" s="277"/>
      <c r="AH2885" s="277"/>
    </row>
    <row r="2886" spans="16:34" s="185" customFormat="1">
      <c r="P2886" s="277"/>
      <c r="Q2886" s="277"/>
      <c r="R2886" s="277"/>
      <c r="S2886" s="291">
        <v>44442</v>
      </c>
      <c r="T2886" s="279">
        <v>2803</v>
      </c>
      <c r="U2886" s="277"/>
      <c r="V2886" s="277"/>
      <c r="W2886" s="277"/>
      <c r="X2886" s="277"/>
      <c r="Y2886" s="277"/>
      <c r="Z2886" s="277"/>
      <c r="AA2886" s="277"/>
      <c r="AB2886" s="277"/>
      <c r="AC2886" s="277"/>
      <c r="AD2886" s="277"/>
      <c r="AE2886" s="277"/>
      <c r="AF2886" s="277"/>
      <c r="AG2886" s="277"/>
      <c r="AH2886" s="277"/>
    </row>
    <row r="2887" spans="16:34" s="185" customFormat="1">
      <c r="P2887" s="277"/>
      <c r="Q2887" s="277"/>
      <c r="R2887" s="277"/>
      <c r="S2887" s="291">
        <v>44443</v>
      </c>
      <c r="T2887" s="279">
        <v>2804</v>
      </c>
      <c r="U2887" s="277"/>
      <c r="V2887" s="277"/>
      <c r="W2887" s="277"/>
      <c r="X2887" s="277"/>
      <c r="Y2887" s="277"/>
      <c r="Z2887" s="277"/>
      <c r="AA2887" s="277"/>
      <c r="AB2887" s="277"/>
      <c r="AC2887" s="277"/>
      <c r="AD2887" s="277"/>
      <c r="AE2887" s="277"/>
      <c r="AF2887" s="277"/>
      <c r="AG2887" s="277"/>
      <c r="AH2887" s="277"/>
    </row>
    <row r="2888" spans="16:34" s="185" customFormat="1">
      <c r="P2888" s="277"/>
      <c r="Q2888" s="277"/>
      <c r="R2888" s="277"/>
      <c r="S2888" s="291">
        <v>44444</v>
      </c>
      <c r="T2888" s="279">
        <v>2805</v>
      </c>
      <c r="U2888" s="277"/>
      <c r="V2888" s="277"/>
      <c r="W2888" s="277"/>
      <c r="X2888" s="277"/>
      <c r="Y2888" s="277"/>
      <c r="Z2888" s="277"/>
      <c r="AA2888" s="277"/>
      <c r="AB2888" s="277"/>
      <c r="AC2888" s="277"/>
      <c r="AD2888" s="277"/>
      <c r="AE2888" s="277"/>
      <c r="AF2888" s="277"/>
      <c r="AG2888" s="277"/>
      <c r="AH2888" s="277"/>
    </row>
    <row r="2889" spans="16:34" s="185" customFormat="1">
      <c r="P2889" s="277"/>
      <c r="Q2889" s="277"/>
      <c r="R2889" s="277"/>
      <c r="S2889" s="291">
        <v>44445</v>
      </c>
      <c r="T2889" s="279">
        <v>2806</v>
      </c>
      <c r="U2889" s="277"/>
      <c r="V2889" s="277"/>
      <c r="W2889" s="277"/>
      <c r="X2889" s="277"/>
      <c r="Y2889" s="277"/>
      <c r="Z2889" s="277"/>
      <c r="AA2889" s="277"/>
      <c r="AB2889" s="277"/>
      <c r="AC2889" s="277"/>
      <c r="AD2889" s="277"/>
      <c r="AE2889" s="277"/>
      <c r="AF2889" s="277"/>
      <c r="AG2889" s="277"/>
      <c r="AH2889" s="277"/>
    </row>
    <row r="2890" spans="16:34" s="185" customFormat="1">
      <c r="P2890" s="277"/>
      <c r="Q2890" s="277"/>
      <c r="R2890" s="277"/>
      <c r="S2890" s="291">
        <v>44446</v>
      </c>
      <c r="T2890" s="279">
        <v>2807</v>
      </c>
      <c r="U2890" s="277"/>
      <c r="V2890" s="277"/>
      <c r="W2890" s="277"/>
      <c r="X2890" s="277"/>
      <c r="Y2890" s="277"/>
      <c r="Z2890" s="277"/>
      <c r="AA2890" s="277"/>
      <c r="AB2890" s="277"/>
      <c r="AC2890" s="277"/>
      <c r="AD2890" s="277"/>
      <c r="AE2890" s="277"/>
      <c r="AF2890" s="277"/>
      <c r="AG2890" s="277"/>
      <c r="AH2890" s="277"/>
    </row>
    <row r="2891" spans="16:34" s="185" customFormat="1">
      <c r="P2891" s="277"/>
      <c r="Q2891" s="277"/>
      <c r="R2891" s="277"/>
      <c r="S2891" s="291">
        <v>44447</v>
      </c>
      <c r="T2891" s="279">
        <v>2808</v>
      </c>
      <c r="U2891" s="277"/>
      <c r="V2891" s="277"/>
      <c r="W2891" s="277"/>
      <c r="X2891" s="277"/>
      <c r="Y2891" s="277"/>
      <c r="Z2891" s="277"/>
      <c r="AA2891" s="277"/>
      <c r="AB2891" s="277"/>
      <c r="AC2891" s="277"/>
      <c r="AD2891" s="277"/>
      <c r="AE2891" s="277"/>
      <c r="AF2891" s="277"/>
      <c r="AG2891" s="277"/>
      <c r="AH2891" s="277"/>
    </row>
    <row r="2892" spans="16:34" s="185" customFormat="1">
      <c r="P2892" s="277"/>
      <c r="Q2892" s="277"/>
      <c r="R2892" s="277"/>
      <c r="S2892" s="291">
        <v>44448</v>
      </c>
      <c r="T2892" s="279">
        <v>2809</v>
      </c>
      <c r="U2892" s="277"/>
      <c r="V2892" s="277"/>
      <c r="W2892" s="277"/>
      <c r="X2892" s="277"/>
      <c r="Y2892" s="277"/>
      <c r="Z2892" s="277"/>
      <c r="AA2892" s="277"/>
      <c r="AB2892" s="277"/>
      <c r="AC2892" s="277"/>
      <c r="AD2892" s="277"/>
      <c r="AE2892" s="277"/>
      <c r="AF2892" s="277"/>
      <c r="AG2892" s="277"/>
      <c r="AH2892" s="277"/>
    </row>
    <row r="2893" spans="16:34" s="185" customFormat="1">
      <c r="P2893" s="277"/>
      <c r="Q2893" s="277"/>
      <c r="R2893" s="277"/>
      <c r="S2893" s="291">
        <v>44449</v>
      </c>
      <c r="T2893" s="279">
        <v>2810</v>
      </c>
      <c r="U2893" s="277"/>
      <c r="V2893" s="277"/>
      <c r="W2893" s="277"/>
      <c r="X2893" s="277"/>
      <c r="Y2893" s="277"/>
      <c r="Z2893" s="277"/>
      <c r="AA2893" s="277"/>
      <c r="AB2893" s="277"/>
      <c r="AC2893" s="277"/>
      <c r="AD2893" s="277"/>
      <c r="AE2893" s="277"/>
      <c r="AF2893" s="277"/>
      <c r="AG2893" s="277"/>
      <c r="AH2893" s="277"/>
    </row>
    <row r="2894" spans="16:34" s="185" customFormat="1">
      <c r="P2894" s="277"/>
      <c r="Q2894" s="277"/>
      <c r="R2894" s="277"/>
      <c r="S2894" s="291">
        <v>44450</v>
      </c>
      <c r="T2894" s="279">
        <v>2811</v>
      </c>
      <c r="U2894" s="277"/>
      <c r="V2894" s="277"/>
      <c r="W2894" s="277"/>
      <c r="X2894" s="277"/>
      <c r="Y2894" s="277"/>
      <c r="Z2894" s="277"/>
      <c r="AA2894" s="277"/>
      <c r="AB2894" s="277"/>
      <c r="AC2894" s="277"/>
      <c r="AD2894" s="277"/>
      <c r="AE2894" s="277"/>
      <c r="AF2894" s="277"/>
      <c r="AG2894" s="277"/>
      <c r="AH2894" s="277"/>
    </row>
    <row r="2895" spans="16:34" s="185" customFormat="1">
      <c r="P2895" s="277"/>
      <c r="Q2895" s="277"/>
      <c r="R2895" s="277"/>
      <c r="S2895" s="291">
        <v>44451</v>
      </c>
      <c r="T2895" s="279">
        <v>2812</v>
      </c>
      <c r="U2895" s="277"/>
      <c r="V2895" s="277"/>
      <c r="W2895" s="277"/>
      <c r="X2895" s="277"/>
      <c r="Y2895" s="277"/>
      <c r="Z2895" s="277"/>
      <c r="AA2895" s="277"/>
      <c r="AB2895" s="277"/>
      <c r="AC2895" s="277"/>
      <c r="AD2895" s="277"/>
      <c r="AE2895" s="277"/>
      <c r="AF2895" s="277"/>
      <c r="AG2895" s="277"/>
      <c r="AH2895" s="277"/>
    </row>
    <row r="2896" spans="16:34" s="185" customFormat="1">
      <c r="P2896" s="277"/>
      <c r="Q2896" s="277"/>
      <c r="R2896" s="277"/>
      <c r="S2896" s="291">
        <v>44452</v>
      </c>
      <c r="T2896" s="279">
        <v>2813</v>
      </c>
      <c r="U2896" s="277"/>
      <c r="V2896" s="277"/>
      <c r="W2896" s="277"/>
      <c r="X2896" s="277"/>
      <c r="Y2896" s="277"/>
      <c r="Z2896" s="277"/>
      <c r="AA2896" s="277"/>
      <c r="AB2896" s="277"/>
      <c r="AC2896" s="277"/>
      <c r="AD2896" s="277"/>
      <c r="AE2896" s="277"/>
      <c r="AF2896" s="277"/>
      <c r="AG2896" s="277"/>
      <c r="AH2896" s="277"/>
    </row>
    <row r="2897" spans="16:34" s="185" customFormat="1">
      <c r="P2897" s="277"/>
      <c r="Q2897" s="277"/>
      <c r="R2897" s="277"/>
      <c r="S2897" s="291">
        <v>44453</v>
      </c>
      <c r="T2897" s="279">
        <v>2814</v>
      </c>
      <c r="U2897" s="277"/>
      <c r="V2897" s="277"/>
      <c r="W2897" s="277"/>
      <c r="X2897" s="277"/>
      <c r="Y2897" s="277"/>
      <c r="Z2897" s="277"/>
      <c r="AA2897" s="277"/>
      <c r="AB2897" s="277"/>
      <c r="AC2897" s="277"/>
      <c r="AD2897" s="277"/>
      <c r="AE2897" s="277"/>
      <c r="AF2897" s="277"/>
      <c r="AG2897" s="277"/>
      <c r="AH2897" s="277"/>
    </row>
    <row r="2898" spans="16:34" s="185" customFormat="1">
      <c r="P2898" s="277"/>
      <c r="Q2898" s="277"/>
      <c r="R2898" s="277"/>
      <c r="S2898" s="291">
        <v>44454</v>
      </c>
      <c r="T2898" s="279">
        <v>2815</v>
      </c>
      <c r="U2898" s="277"/>
      <c r="V2898" s="277"/>
      <c r="W2898" s="277"/>
      <c r="X2898" s="277"/>
      <c r="Y2898" s="277"/>
      <c r="Z2898" s="277"/>
      <c r="AA2898" s="277"/>
      <c r="AB2898" s="277"/>
      <c r="AC2898" s="277"/>
      <c r="AD2898" s="277"/>
      <c r="AE2898" s="277"/>
      <c r="AF2898" s="277"/>
      <c r="AG2898" s="277"/>
      <c r="AH2898" s="277"/>
    </row>
    <row r="2899" spans="16:34" s="185" customFormat="1">
      <c r="P2899" s="277"/>
      <c r="Q2899" s="277"/>
      <c r="R2899" s="277"/>
      <c r="S2899" s="291">
        <v>44455</v>
      </c>
      <c r="T2899" s="279">
        <v>2816</v>
      </c>
      <c r="U2899" s="277"/>
      <c r="V2899" s="277"/>
      <c r="W2899" s="277"/>
      <c r="X2899" s="277"/>
      <c r="Y2899" s="277"/>
      <c r="Z2899" s="277"/>
      <c r="AA2899" s="277"/>
      <c r="AB2899" s="277"/>
      <c r="AC2899" s="277"/>
      <c r="AD2899" s="277"/>
      <c r="AE2899" s="277"/>
      <c r="AF2899" s="277"/>
      <c r="AG2899" s="277"/>
      <c r="AH2899" s="277"/>
    </row>
    <row r="2900" spans="16:34" s="185" customFormat="1">
      <c r="P2900" s="277"/>
      <c r="Q2900" s="277"/>
      <c r="R2900" s="277"/>
      <c r="S2900" s="291">
        <v>44456</v>
      </c>
      <c r="T2900" s="279">
        <v>2817</v>
      </c>
      <c r="U2900" s="277"/>
      <c r="V2900" s="277"/>
      <c r="W2900" s="277"/>
      <c r="X2900" s="277"/>
      <c r="Y2900" s="277"/>
      <c r="Z2900" s="277"/>
      <c r="AA2900" s="277"/>
      <c r="AB2900" s="277"/>
      <c r="AC2900" s="277"/>
      <c r="AD2900" s="277"/>
      <c r="AE2900" s="277"/>
      <c r="AF2900" s="277"/>
      <c r="AG2900" s="277"/>
      <c r="AH2900" s="277"/>
    </row>
    <row r="2901" spans="16:34" s="185" customFormat="1">
      <c r="P2901" s="277"/>
      <c r="Q2901" s="277"/>
      <c r="R2901" s="277"/>
      <c r="S2901" s="291">
        <v>44457</v>
      </c>
      <c r="T2901" s="279">
        <v>2818</v>
      </c>
      <c r="U2901" s="277"/>
      <c r="V2901" s="277"/>
      <c r="W2901" s="277"/>
      <c r="X2901" s="277"/>
      <c r="Y2901" s="277"/>
      <c r="Z2901" s="277"/>
      <c r="AA2901" s="277"/>
      <c r="AB2901" s="277"/>
      <c r="AC2901" s="277"/>
      <c r="AD2901" s="277"/>
      <c r="AE2901" s="277"/>
      <c r="AF2901" s="277"/>
      <c r="AG2901" s="277"/>
      <c r="AH2901" s="277"/>
    </row>
    <row r="2902" spans="16:34" s="185" customFormat="1">
      <c r="P2902" s="277"/>
      <c r="Q2902" s="277"/>
      <c r="R2902" s="277"/>
      <c r="S2902" s="291">
        <v>44458</v>
      </c>
      <c r="T2902" s="279">
        <v>2819</v>
      </c>
      <c r="U2902" s="277"/>
      <c r="V2902" s="277"/>
      <c r="W2902" s="277"/>
      <c r="X2902" s="277"/>
      <c r="Y2902" s="277"/>
      <c r="Z2902" s="277"/>
      <c r="AA2902" s="277"/>
      <c r="AB2902" s="277"/>
      <c r="AC2902" s="277"/>
      <c r="AD2902" s="277"/>
      <c r="AE2902" s="277"/>
      <c r="AF2902" s="277"/>
      <c r="AG2902" s="277"/>
      <c r="AH2902" s="277"/>
    </row>
    <row r="2903" spans="16:34" s="185" customFormat="1">
      <c r="P2903" s="277"/>
      <c r="Q2903" s="277"/>
      <c r="R2903" s="277"/>
      <c r="S2903" s="291">
        <v>44459</v>
      </c>
      <c r="T2903" s="279">
        <v>2820</v>
      </c>
      <c r="U2903" s="277"/>
      <c r="V2903" s="277"/>
      <c r="W2903" s="277"/>
      <c r="X2903" s="277"/>
      <c r="Y2903" s="277"/>
      <c r="Z2903" s="277"/>
      <c r="AA2903" s="277"/>
      <c r="AB2903" s="277"/>
      <c r="AC2903" s="277"/>
      <c r="AD2903" s="277"/>
      <c r="AE2903" s="277"/>
      <c r="AF2903" s="277"/>
      <c r="AG2903" s="277"/>
      <c r="AH2903" s="277"/>
    </row>
    <row r="2904" spans="16:34" s="185" customFormat="1">
      <c r="P2904" s="277"/>
      <c r="Q2904" s="277"/>
      <c r="R2904" s="277"/>
      <c r="S2904" s="291">
        <v>44460</v>
      </c>
      <c r="T2904" s="279">
        <v>2821</v>
      </c>
      <c r="U2904" s="277"/>
      <c r="V2904" s="277"/>
      <c r="W2904" s="277"/>
      <c r="X2904" s="277"/>
      <c r="Y2904" s="277"/>
      <c r="Z2904" s="277"/>
      <c r="AA2904" s="277"/>
      <c r="AB2904" s="277"/>
      <c r="AC2904" s="277"/>
      <c r="AD2904" s="277"/>
      <c r="AE2904" s="277"/>
      <c r="AF2904" s="277"/>
      <c r="AG2904" s="277"/>
      <c r="AH2904" s="277"/>
    </row>
    <row r="2905" spans="16:34" s="185" customFormat="1">
      <c r="P2905" s="277"/>
      <c r="Q2905" s="277"/>
      <c r="R2905" s="277"/>
      <c r="S2905" s="291">
        <v>44461</v>
      </c>
      <c r="T2905" s="279">
        <v>2822</v>
      </c>
      <c r="U2905" s="277"/>
      <c r="V2905" s="277"/>
      <c r="W2905" s="277"/>
      <c r="X2905" s="277"/>
      <c r="Y2905" s="277"/>
      <c r="Z2905" s="277"/>
      <c r="AA2905" s="277"/>
      <c r="AB2905" s="277"/>
      <c r="AC2905" s="277"/>
      <c r="AD2905" s="277"/>
      <c r="AE2905" s="277"/>
      <c r="AF2905" s="277"/>
      <c r="AG2905" s="277"/>
      <c r="AH2905" s="277"/>
    </row>
    <row r="2906" spans="16:34" s="185" customFormat="1">
      <c r="P2906" s="277"/>
      <c r="Q2906" s="277"/>
      <c r="R2906" s="277"/>
      <c r="S2906" s="291">
        <v>44462</v>
      </c>
      <c r="T2906" s="279">
        <v>2823</v>
      </c>
      <c r="U2906" s="277"/>
      <c r="V2906" s="277"/>
      <c r="W2906" s="277"/>
      <c r="X2906" s="277"/>
      <c r="Y2906" s="277"/>
      <c r="Z2906" s="277"/>
      <c r="AA2906" s="277"/>
      <c r="AB2906" s="277"/>
      <c r="AC2906" s="277"/>
      <c r="AD2906" s="277"/>
      <c r="AE2906" s="277"/>
      <c r="AF2906" s="277"/>
      <c r="AG2906" s="277"/>
      <c r="AH2906" s="277"/>
    </row>
    <row r="2907" spans="16:34" s="185" customFormat="1">
      <c r="P2907" s="277"/>
      <c r="Q2907" s="277"/>
      <c r="R2907" s="277"/>
      <c r="S2907" s="291">
        <v>44463</v>
      </c>
      <c r="T2907" s="279">
        <v>2824</v>
      </c>
      <c r="U2907" s="277"/>
      <c r="V2907" s="277"/>
      <c r="W2907" s="277"/>
      <c r="X2907" s="277"/>
      <c r="Y2907" s="277"/>
      <c r="Z2907" s="277"/>
      <c r="AA2907" s="277"/>
      <c r="AB2907" s="277"/>
      <c r="AC2907" s="277"/>
      <c r="AD2907" s="277"/>
      <c r="AE2907" s="277"/>
      <c r="AF2907" s="277"/>
      <c r="AG2907" s="277"/>
      <c r="AH2907" s="277"/>
    </row>
    <row r="2908" spans="16:34" s="185" customFormat="1">
      <c r="P2908" s="277"/>
      <c r="Q2908" s="277"/>
      <c r="R2908" s="277"/>
      <c r="S2908" s="291">
        <v>44464</v>
      </c>
      <c r="T2908" s="279">
        <v>2825</v>
      </c>
      <c r="U2908" s="277"/>
      <c r="V2908" s="277"/>
      <c r="W2908" s="277"/>
      <c r="X2908" s="277"/>
      <c r="Y2908" s="277"/>
      <c r="Z2908" s="277"/>
      <c r="AA2908" s="277"/>
      <c r="AB2908" s="277"/>
      <c r="AC2908" s="277"/>
      <c r="AD2908" s="277"/>
      <c r="AE2908" s="277"/>
      <c r="AF2908" s="277"/>
      <c r="AG2908" s="277"/>
      <c r="AH2908" s="277"/>
    </row>
    <row r="2909" spans="16:34" s="185" customFormat="1">
      <c r="P2909" s="277"/>
      <c r="Q2909" s="277"/>
      <c r="R2909" s="277"/>
      <c r="S2909" s="291">
        <v>44465</v>
      </c>
      <c r="T2909" s="279">
        <v>2826</v>
      </c>
      <c r="U2909" s="277"/>
      <c r="V2909" s="277"/>
      <c r="W2909" s="277"/>
      <c r="X2909" s="277"/>
      <c r="Y2909" s="277"/>
      <c r="Z2909" s="277"/>
      <c r="AA2909" s="277"/>
      <c r="AB2909" s="277"/>
      <c r="AC2909" s="277"/>
      <c r="AD2909" s="277"/>
      <c r="AE2909" s="277"/>
      <c r="AF2909" s="277"/>
      <c r="AG2909" s="277"/>
      <c r="AH2909" s="277"/>
    </row>
    <row r="2910" spans="16:34" s="185" customFormat="1">
      <c r="P2910" s="277"/>
      <c r="Q2910" s="277"/>
      <c r="R2910" s="277"/>
      <c r="S2910" s="291">
        <v>44466</v>
      </c>
      <c r="T2910" s="279">
        <v>2827</v>
      </c>
      <c r="U2910" s="277"/>
      <c r="V2910" s="277"/>
      <c r="W2910" s="277"/>
      <c r="X2910" s="277"/>
      <c r="Y2910" s="277"/>
      <c r="Z2910" s="277"/>
      <c r="AA2910" s="277"/>
      <c r="AB2910" s="277"/>
      <c r="AC2910" s="277"/>
      <c r="AD2910" s="277"/>
      <c r="AE2910" s="277"/>
      <c r="AF2910" s="277"/>
      <c r="AG2910" s="277"/>
      <c r="AH2910" s="277"/>
    </row>
    <row r="2911" spans="16:34" s="185" customFormat="1">
      <c r="P2911" s="277"/>
      <c r="Q2911" s="277"/>
      <c r="R2911" s="277"/>
      <c r="S2911" s="291">
        <v>44467</v>
      </c>
      <c r="T2911" s="279">
        <v>2828</v>
      </c>
      <c r="U2911" s="277"/>
      <c r="V2911" s="277"/>
      <c r="W2911" s="277"/>
      <c r="X2911" s="277"/>
      <c r="Y2911" s="277"/>
      <c r="Z2911" s="277"/>
      <c r="AA2911" s="277"/>
      <c r="AB2911" s="277"/>
      <c r="AC2911" s="277"/>
      <c r="AD2911" s="277"/>
      <c r="AE2911" s="277"/>
      <c r="AF2911" s="277"/>
      <c r="AG2911" s="277"/>
      <c r="AH2911" s="277"/>
    </row>
    <row r="2912" spans="16:34" s="185" customFormat="1">
      <c r="P2912" s="277"/>
      <c r="Q2912" s="277"/>
      <c r="R2912" s="277"/>
      <c r="S2912" s="291">
        <v>44468</v>
      </c>
      <c r="T2912" s="279">
        <v>2829</v>
      </c>
      <c r="U2912" s="277"/>
      <c r="V2912" s="277"/>
      <c r="W2912" s="277"/>
      <c r="X2912" s="277"/>
      <c r="Y2912" s="277"/>
      <c r="Z2912" s="277"/>
      <c r="AA2912" s="277"/>
      <c r="AB2912" s="277"/>
      <c r="AC2912" s="277"/>
      <c r="AD2912" s="277"/>
      <c r="AE2912" s="277"/>
      <c r="AF2912" s="277"/>
      <c r="AG2912" s="277"/>
      <c r="AH2912" s="277"/>
    </row>
    <row r="2913" spans="16:34" s="185" customFormat="1">
      <c r="P2913" s="277"/>
      <c r="Q2913" s="277"/>
      <c r="R2913" s="277"/>
      <c r="S2913" s="291">
        <v>44469</v>
      </c>
      <c r="T2913" s="279">
        <v>2830</v>
      </c>
      <c r="U2913" s="277"/>
      <c r="V2913" s="277"/>
      <c r="W2913" s="277"/>
      <c r="X2913" s="277"/>
      <c r="Y2913" s="277"/>
      <c r="Z2913" s="277"/>
      <c r="AA2913" s="277"/>
      <c r="AB2913" s="277"/>
      <c r="AC2913" s="277"/>
      <c r="AD2913" s="277"/>
      <c r="AE2913" s="277"/>
      <c r="AF2913" s="277"/>
      <c r="AG2913" s="277"/>
      <c r="AH2913" s="277"/>
    </row>
    <row r="2914" spans="16:34" s="185" customFormat="1">
      <c r="P2914" s="277"/>
      <c r="Q2914" s="277"/>
      <c r="R2914" s="277"/>
      <c r="S2914" s="291">
        <v>44470</v>
      </c>
      <c r="T2914" s="279">
        <v>2831</v>
      </c>
      <c r="U2914" s="277"/>
      <c r="V2914" s="277"/>
      <c r="W2914" s="277"/>
      <c r="X2914" s="277"/>
      <c r="Y2914" s="277"/>
      <c r="Z2914" s="277"/>
      <c r="AA2914" s="277"/>
      <c r="AB2914" s="277"/>
      <c r="AC2914" s="277"/>
      <c r="AD2914" s="277"/>
      <c r="AE2914" s="277"/>
      <c r="AF2914" s="277"/>
      <c r="AG2914" s="277"/>
      <c r="AH2914" s="277"/>
    </row>
    <row r="2915" spans="16:34" s="185" customFormat="1">
      <c r="P2915" s="277"/>
      <c r="Q2915" s="277"/>
      <c r="R2915" s="277"/>
      <c r="S2915" s="291">
        <v>44471</v>
      </c>
      <c r="T2915" s="279">
        <v>2832</v>
      </c>
      <c r="U2915" s="277"/>
      <c r="V2915" s="277"/>
      <c r="W2915" s="277"/>
      <c r="X2915" s="277"/>
      <c r="Y2915" s="277"/>
      <c r="Z2915" s="277"/>
      <c r="AA2915" s="277"/>
      <c r="AB2915" s="277"/>
      <c r="AC2915" s="277"/>
      <c r="AD2915" s="277"/>
      <c r="AE2915" s="277"/>
      <c r="AF2915" s="277"/>
      <c r="AG2915" s="277"/>
      <c r="AH2915" s="277"/>
    </row>
    <row r="2916" spans="16:34" s="185" customFormat="1">
      <c r="P2916" s="277"/>
      <c r="Q2916" s="277"/>
      <c r="R2916" s="277"/>
      <c r="S2916" s="291">
        <v>44472</v>
      </c>
      <c r="T2916" s="279">
        <v>2833</v>
      </c>
      <c r="U2916" s="277"/>
      <c r="V2916" s="277"/>
      <c r="W2916" s="277"/>
      <c r="X2916" s="277"/>
      <c r="Y2916" s="277"/>
      <c r="Z2916" s="277"/>
      <c r="AA2916" s="277"/>
      <c r="AB2916" s="277"/>
      <c r="AC2916" s="277"/>
      <c r="AD2916" s="277"/>
      <c r="AE2916" s="277"/>
      <c r="AF2916" s="277"/>
      <c r="AG2916" s="277"/>
      <c r="AH2916" s="277"/>
    </row>
    <row r="2917" spans="16:34" s="185" customFormat="1">
      <c r="P2917" s="277"/>
      <c r="Q2917" s="277"/>
      <c r="R2917" s="277"/>
      <c r="S2917" s="291">
        <v>44473</v>
      </c>
      <c r="T2917" s="279">
        <v>2834</v>
      </c>
      <c r="U2917" s="277"/>
      <c r="V2917" s="277"/>
      <c r="W2917" s="277"/>
      <c r="X2917" s="277"/>
      <c r="Y2917" s="277"/>
      <c r="Z2917" s="277"/>
      <c r="AA2917" s="277"/>
      <c r="AB2917" s="277"/>
      <c r="AC2917" s="277"/>
      <c r="AD2917" s="277"/>
      <c r="AE2917" s="277"/>
      <c r="AF2917" s="277"/>
      <c r="AG2917" s="277"/>
      <c r="AH2917" s="277"/>
    </row>
    <row r="2918" spans="16:34" s="185" customFormat="1">
      <c r="P2918" s="277"/>
      <c r="Q2918" s="277"/>
      <c r="R2918" s="277"/>
      <c r="S2918" s="291">
        <v>44474</v>
      </c>
      <c r="T2918" s="279">
        <v>2835</v>
      </c>
      <c r="U2918" s="277"/>
      <c r="V2918" s="277"/>
      <c r="W2918" s="277"/>
      <c r="X2918" s="277"/>
      <c r="Y2918" s="277"/>
      <c r="Z2918" s="277"/>
      <c r="AA2918" s="277"/>
      <c r="AB2918" s="277"/>
      <c r="AC2918" s="277"/>
      <c r="AD2918" s="277"/>
      <c r="AE2918" s="277"/>
      <c r="AF2918" s="277"/>
      <c r="AG2918" s="277"/>
      <c r="AH2918" s="277"/>
    </row>
    <row r="2919" spans="16:34" s="185" customFormat="1">
      <c r="P2919" s="277"/>
      <c r="Q2919" s="277"/>
      <c r="R2919" s="277"/>
      <c r="S2919" s="291">
        <v>44475</v>
      </c>
      <c r="T2919" s="279">
        <v>2836</v>
      </c>
      <c r="U2919" s="277"/>
      <c r="V2919" s="277"/>
      <c r="W2919" s="277"/>
      <c r="X2919" s="277"/>
      <c r="Y2919" s="277"/>
      <c r="Z2919" s="277"/>
      <c r="AA2919" s="277"/>
      <c r="AB2919" s="277"/>
      <c r="AC2919" s="277"/>
      <c r="AD2919" s="277"/>
      <c r="AE2919" s="277"/>
      <c r="AF2919" s="277"/>
      <c r="AG2919" s="277"/>
      <c r="AH2919" s="277"/>
    </row>
    <row r="2920" spans="16:34" s="185" customFormat="1">
      <c r="P2920" s="277"/>
      <c r="Q2920" s="277"/>
      <c r="R2920" s="277"/>
      <c r="S2920" s="291">
        <v>44476</v>
      </c>
      <c r="T2920" s="279">
        <v>2837</v>
      </c>
      <c r="U2920" s="277"/>
      <c r="V2920" s="277"/>
      <c r="W2920" s="277"/>
      <c r="X2920" s="277"/>
      <c r="Y2920" s="277"/>
      <c r="Z2920" s="277"/>
      <c r="AA2920" s="277"/>
      <c r="AB2920" s="277"/>
      <c r="AC2920" s="277"/>
      <c r="AD2920" s="277"/>
      <c r="AE2920" s="277"/>
      <c r="AF2920" s="277"/>
      <c r="AG2920" s="277"/>
      <c r="AH2920" s="277"/>
    </row>
    <row r="2921" spans="16:34" s="185" customFormat="1">
      <c r="P2921" s="277"/>
      <c r="Q2921" s="277"/>
      <c r="R2921" s="277"/>
      <c r="S2921" s="291">
        <v>44477</v>
      </c>
      <c r="T2921" s="279">
        <v>2838</v>
      </c>
      <c r="U2921" s="277"/>
      <c r="V2921" s="277"/>
      <c r="W2921" s="277"/>
      <c r="X2921" s="277"/>
      <c r="Y2921" s="277"/>
      <c r="Z2921" s="277"/>
      <c r="AA2921" s="277"/>
      <c r="AB2921" s="277"/>
      <c r="AC2921" s="277"/>
      <c r="AD2921" s="277"/>
      <c r="AE2921" s="277"/>
      <c r="AF2921" s="277"/>
      <c r="AG2921" s="277"/>
      <c r="AH2921" s="277"/>
    </row>
    <row r="2922" spans="16:34" s="185" customFormat="1">
      <c r="P2922" s="277"/>
      <c r="Q2922" s="277"/>
      <c r="R2922" s="277"/>
      <c r="S2922" s="291">
        <v>44478</v>
      </c>
      <c r="T2922" s="279">
        <v>2839</v>
      </c>
      <c r="U2922" s="277"/>
      <c r="V2922" s="277"/>
      <c r="W2922" s="277"/>
      <c r="X2922" s="277"/>
      <c r="Y2922" s="277"/>
      <c r="Z2922" s="277"/>
      <c r="AA2922" s="277"/>
      <c r="AB2922" s="277"/>
      <c r="AC2922" s="277"/>
      <c r="AD2922" s="277"/>
      <c r="AE2922" s="277"/>
      <c r="AF2922" s="277"/>
      <c r="AG2922" s="277"/>
      <c r="AH2922" s="277"/>
    </row>
    <row r="2923" spans="16:34" s="185" customFormat="1">
      <c r="P2923" s="277"/>
      <c r="Q2923" s="277"/>
      <c r="R2923" s="277"/>
      <c r="S2923" s="291">
        <v>44479</v>
      </c>
      <c r="T2923" s="279">
        <v>2840</v>
      </c>
      <c r="U2923" s="277"/>
      <c r="V2923" s="277"/>
      <c r="W2923" s="277"/>
      <c r="X2923" s="277"/>
      <c r="Y2923" s="277"/>
      <c r="Z2923" s="277"/>
      <c r="AA2923" s="277"/>
      <c r="AB2923" s="277"/>
      <c r="AC2923" s="277"/>
      <c r="AD2923" s="277"/>
      <c r="AE2923" s="277"/>
      <c r="AF2923" s="277"/>
      <c r="AG2923" s="277"/>
      <c r="AH2923" s="277"/>
    </row>
    <row r="2924" spans="16:34" s="185" customFormat="1">
      <c r="P2924" s="277"/>
      <c r="Q2924" s="277"/>
      <c r="R2924" s="277"/>
      <c r="S2924" s="291">
        <v>44480</v>
      </c>
      <c r="T2924" s="279">
        <v>2841</v>
      </c>
      <c r="U2924" s="277"/>
      <c r="V2924" s="277"/>
      <c r="W2924" s="277"/>
      <c r="X2924" s="277"/>
      <c r="Y2924" s="277"/>
      <c r="Z2924" s="277"/>
      <c r="AA2924" s="277"/>
      <c r="AB2924" s="277"/>
      <c r="AC2924" s="277"/>
      <c r="AD2924" s="277"/>
      <c r="AE2924" s="277"/>
      <c r="AF2924" s="277"/>
      <c r="AG2924" s="277"/>
      <c r="AH2924" s="277"/>
    </row>
    <row r="2925" spans="16:34" s="185" customFormat="1">
      <c r="P2925" s="277"/>
      <c r="Q2925" s="277"/>
      <c r="R2925" s="277"/>
      <c r="S2925" s="291">
        <v>44481</v>
      </c>
      <c r="T2925" s="279">
        <v>2842</v>
      </c>
      <c r="U2925" s="277"/>
      <c r="V2925" s="277"/>
      <c r="W2925" s="277"/>
      <c r="X2925" s="277"/>
      <c r="Y2925" s="277"/>
      <c r="Z2925" s="277"/>
      <c r="AA2925" s="277"/>
      <c r="AB2925" s="277"/>
      <c r="AC2925" s="277"/>
      <c r="AD2925" s="277"/>
      <c r="AE2925" s="277"/>
      <c r="AF2925" s="277"/>
      <c r="AG2925" s="277"/>
      <c r="AH2925" s="277"/>
    </row>
    <row r="2926" spans="16:34" s="185" customFormat="1">
      <c r="P2926" s="277"/>
      <c r="Q2926" s="277"/>
      <c r="R2926" s="277"/>
      <c r="S2926" s="291">
        <v>44482</v>
      </c>
      <c r="T2926" s="279">
        <v>2843</v>
      </c>
      <c r="U2926" s="277"/>
      <c r="V2926" s="277"/>
      <c r="W2926" s="277"/>
      <c r="X2926" s="277"/>
      <c r="Y2926" s="277"/>
      <c r="Z2926" s="277"/>
      <c r="AA2926" s="277"/>
      <c r="AB2926" s="277"/>
      <c r="AC2926" s="277"/>
      <c r="AD2926" s="277"/>
      <c r="AE2926" s="277"/>
      <c r="AF2926" s="277"/>
      <c r="AG2926" s="277"/>
      <c r="AH2926" s="277"/>
    </row>
    <row r="2927" spans="16:34" s="185" customFormat="1">
      <c r="P2927" s="277"/>
      <c r="Q2927" s="277"/>
      <c r="R2927" s="277"/>
      <c r="S2927" s="291">
        <v>44483</v>
      </c>
      <c r="T2927" s="279">
        <v>2844</v>
      </c>
      <c r="U2927" s="277"/>
      <c r="V2927" s="277"/>
      <c r="W2927" s="277"/>
      <c r="X2927" s="277"/>
      <c r="Y2927" s="277"/>
      <c r="Z2927" s="277"/>
      <c r="AA2927" s="277"/>
      <c r="AB2927" s="277"/>
      <c r="AC2927" s="277"/>
      <c r="AD2927" s="277"/>
      <c r="AE2927" s="277"/>
      <c r="AF2927" s="277"/>
      <c r="AG2927" s="277"/>
      <c r="AH2927" s="277"/>
    </row>
    <row r="2928" spans="16:34" s="185" customFormat="1">
      <c r="P2928" s="277"/>
      <c r="Q2928" s="277"/>
      <c r="R2928" s="277"/>
      <c r="S2928" s="291">
        <v>44484</v>
      </c>
      <c r="T2928" s="279">
        <v>2845</v>
      </c>
      <c r="U2928" s="277"/>
      <c r="V2928" s="277"/>
      <c r="W2928" s="277"/>
      <c r="X2928" s="277"/>
      <c r="Y2928" s="277"/>
      <c r="Z2928" s="277"/>
      <c r="AA2928" s="277"/>
      <c r="AB2928" s="277"/>
      <c r="AC2928" s="277"/>
      <c r="AD2928" s="277"/>
      <c r="AE2928" s="277"/>
      <c r="AF2928" s="277"/>
      <c r="AG2928" s="277"/>
      <c r="AH2928" s="277"/>
    </row>
    <row r="2929" spans="16:34" s="185" customFormat="1">
      <c r="P2929" s="277"/>
      <c r="Q2929" s="277"/>
      <c r="R2929" s="277"/>
      <c r="S2929" s="291">
        <v>44485</v>
      </c>
      <c r="T2929" s="279">
        <v>2846</v>
      </c>
      <c r="U2929" s="277"/>
      <c r="V2929" s="277"/>
      <c r="W2929" s="277"/>
      <c r="X2929" s="277"/>
      <c r="Y2929" s="277"/>
      <c r="Z2929" s="277"/>
      <c r="AA2929" s="277"/>
      <c r="AB2929" s="277"/>
      <c r="AC2929" s="277"/>
      <c r="AD2929" s="277"/>
      <c r="AE2929" s="277"/>
      <c r="AF2929" s="277"/>
      <c r="AG2929" s="277"/>
      <c r="AH2929" s="277"/>
    </row>
    <row r="2930" spans="16:34" s="185" customFormat="1">
      <c r="P2930" s="277"/>
      <c r="Q2930" s="277"/>
      <c r="R2930" s="277"/>
      <c r="S2930" s="291">
        <v>44486</v>
      </c>
      <c r="T2930" s="279">
        <v>2847</v>
      </c>
      <c r="U2930" s="277"/>
      <c r="V2930" s="277"/>
      <c r="W2930" s="277"/>
      <c r="X2930" s="277"/>
      <c r="Y2930" s="277"/>
      <c r="Z2930" s="277"/>
      <c r="AA2930" s="277"/>
      <c r="AB2930" s="277"/>
      <c r="AC2930" s="277"/>
      <c r="AD2930" s="277"/>
      <c r="AE2930" s="277"/>
      <c r="AF2930" s="277"/>
      <c r="AG2930" s="277"/>
      <c r="AH2930" s="277"/>
    </row>
    <row r="2931" spans="16:34" s="185" customFormat="1">
      <c r="P2931" s="277"/>
      <c r="Q2931" s="277"/>
      <c r="R2931" s="277"/>
      <c r="S2931" s="291">
        <v>44487</v>
      </c>
      <c r="T2931" s="279">
        <v>2848</v>
      </c>
      <c r="U2931" s="277"/>
      <c r="V2931" s="277"/>
      <c r="W2931" s="277"/>
      <c r="X2931" s="277"/>
      <c r="Y2931" s="277"/>
      <c r="Z2931" s="277"/>
      <c r="AA2931" s="277"/>
      <c r="AB2931" s="277"/>
      <c r="AC2931" s="277"/>
      <c r="AD2931" s="277"/>
      <c r="AE2931" s="277"/>
      <c r="AF2931" s="277"/>
      <c r="AG2931" s="277"/>
      <c r="AH2931" s="277"/>
    </row>
    <row r="2932" spans="16:34" s="185" customFormat="1">
      <c r="P2932" s="277"/>
      <c r="Q2932" s="277"/>
      <c r="R2932" s="277"/>
      <c r="S2932" s="291">
        <v>44488</v>
      </c>
      <c r="T2932" s="279">
        <v>2849</v>
      </c>
      <c r="U2932" s="277"/>
      <c r="V2932" s="277"/>
      <c r="W2932" s="277"/>
      <c r="X2932" s="277"/>
      <c r="Y2932" s="277"/>
      <c r="Z2932" s="277"/>
      <c r="AA2932" s="277"/>
      <c r="AB2932" s="277"/>
      <c r="AC2932" s="277"/>
      <c r="AD2932" s="277"/>
      <c r="AE2932" s="277"/>
      <c r="AF2932" s="277"/>
      <c r="AG2932" s="277"/>
      <c r="AH2932" s="277"/>
    </row>
    <row r="2933" spans="16:34" s="185" customFormat="1">
      <c r="P2933" s="277"/>
      <c r="Q2933" s="277"/>
      <c r="R2933" s="277"/>
      <c r="S2933" s="291">
        <v>44489</v>
      </c>
      <c r="T2933" s="279">
        <v>2850</v>
      </c>
      <c r="U2933" s="277"/>
      <c r="V2933" s="277"/>
      <c r="W2933" s="277"/>
      <c r="X2933" s="277"/>
      <c r="Y2933" s="277"/>
      <c r="Z2933" s="277"/>
      <c r="AA2933" s="277"/>
      <c r="AB2933" s="277"/>
      <c r="AC2933" s="277"/>
      <c r="AD2933" s="277"/>
      <c r="AE2933" s="277"/>
      <c r="AF2933" s="277"/>
      <c r="AG2933" s="277"/>
      <c r="AH2933" s="277"/>
    </row>
    <row r="2934" spans="16:34" s="185" customFormat="1">
      <c r="P2934" s="277"/>
      <c r="Q2934" s="277"/>
      <c r="R2934" s="277"/>
      <c r="S2934" s="291">
        <v>44490</v>
      </c>
      <c r="T2934" s="279">
        <v>2851</v>
      </c>
      <c r="U2934" s="277"/>
      <c r="V2934" s="277"/>
      <c r="W2934" s="277"/>
      <c r="X2934" s="277"/>
      <c r="Y2934" s="277"/>
      <c r="Z2934" s="277"/>
      <c r="AA2934" s="277"/>
      <c r="AB2934" s="277"/>
      <c r="AC2934" s="277"/>
      <c r="AD2934" s="277"/>
      <c r="AE2934" s="277"/>
      <c r="AF2934" s="277"/>
      <c r="AG2934" s="277"/>
      <c r="AH2934" s="277"/>
    </row>
    <row r="2935" spans="16:34" s="185" customFormat="1">
      <c r="P2935" s="277"/>
      <c r="Q2935" s="277"/>
      <c r="R2935" s="277"/>
      <c r="S2935" s="291">
        <v>44491</v>
      </c>
      <c r="T2935" s="279">
        <v>2852</v>
      </c>
      <c r="U2935" s="277"/>
      <c r="V2935" s="277"/>
      <c r="W2935" s="277"/>
      <c r="X2935" s="277"/>
      <c r="Y2935" s="277"/>
      <c r="Z2935" s="277"/>
      <c r="AA2935" s="277"/>
      <c r="AB2935" s="277"/>
      <c r="AC2935" s="277"/>
      <c r="AD2935" s="277"/>
      <c r="AE2935" s="277"/>
      <c r="AF2935" s="277"/>
      <c r="AG2935" s="277"/>
      <c r="AH2935" s="277"/>
    </row>
    <row r="2936" spans="16:34" s="185" customFormat="1">
      <c r="P2936" s="277"/>
      <c r="Q2936" s="277"/>
      <c r="R2936" s="277"/>
      <c r="S2936" s="291">
        <v>44492</v>
      </c>
      <c r="T2936" s="279">
        <v>2853</v>
      </c>
      <c r="U2936" s="277"/>
      <c r="V2936" s="277"/>
      <c r="W2936" s="277"/>
      <c r="X2936" s="277"/>
      <c r="Y2936" s="277"/>
      <c r="Z2936" s="277"/>
      <c r="AA2936" s="277"/>
      <c r="AB2936" s="277"/>
      <c r="AC2936" s="277"/>
      <c r="AD2936" s="277"/>
      <c r="AE2936" s="277"/>
      <c r="AF2936" s="277"/>
      <c r="AG2936" s="277"/>
      <c r="AH2936" s="277"/>
    </row>
    <row r="2937" spans="16:34" s="185" customFormat="1">
      <c r="P2937" s="277"/>
      <c r="Q2937" s="277"/>
      <c r="R2937" s="277"/>
      <c r="S2937" s="291">
        <v>44493</v>
      </c>
      <c r="T2937" s="279">
        <v>2854</v>
      </c>
      <c r="U2937" s="277"/>
      <c r="V2937" s="277"/>
      <c r="W2937" s="277"/>
      <c r="X2937" s="277"/>
      <c r="Y2937" s="277"/>
      <c r="Z2937" s="277"/>
      <c r="AA2937" s="277"/>
      <c r="AB2937" s="277"/>
      <c r="AC2937" s="277"/>
      <c r="AD2937" s="277"/>
      <c r="AE2937" s="277"/>
      <c r="AF2937" s="277"/>
      <c r="AG2937" s="277"/>
      <c r="AH2937" s="277"/>
    </row>
    <row r="2938" spans="16:34" s="185" customFormat="1">
      <c r="P2938" s="277"/>
      <c r="Q2938" s="277"/>
      <c r="R2938" s="277"/>
      <c r="S2938" s="291">
        <v>44494</v>
      </c>
      <c r="T2938" s="279">
        <v>2855</v>
      </c>
      <c r="U2938" s="277"/>
      <c r="V2938" s="277"/>
      <c r="W2938" s="277"/>
      <c r="X2938" s="277"/>
      <c r="Y2938" s="277"/>
      <c r="Z2938" s="277"/>
      <c r="AA2938" s="277"/>
      <c r="AB2938" s="277"/>
      <c r="AC2938" s="277"/>
      <c r="AD2938" s="277"/>
      <c r="AE2938" s="277"/>
      <c r="AF2938" s="277"/>
      <c r="AG2938" s="277"/>
      <c r="AH2938" s="277"/>
    </row>
    <row r="2939" spans="16:34" s="185" customFormat="1">
      <c r="P2939" s="277"/>
      <c r="Q2939" s="277"/>
      <c r="R2939" s="277"/>
      <c r="S2939" s="291">
        <v>44495</v>
      </c>
      <c r="T2939" s="279">
        <v>2856</v>
      </c>
      <c r="U2939" s="277"/>
      <c r="V2939" s="277"/>
      <c r="W2939" s="277"/>
      <c r="X2939" s="277"/>
      <c r="Y2939" s="277"/>
      <c r="Z2939" s="277"/>
      <c r="AA2939" s="277"/>
      <c r="AB2939" s="277"/>
      <c r="AC2939" s="277"/>
      <c r="AD2939" s="277"/>
      <c r="AE2939" s="277"/>
      <c r="AF2939" s="277"/>
      <c r="AG2939" s="277"/>
      <c r="AH2939" s="277"/>
    </row>
    <row r="2940" spans="16:34" s="185" customFormat="1">
      <c r="P2940" s="277"/>
      <c r="Q2940" s="277"/>
      <c r="R2940" s="277"/>
      <c r="S2940" s="291">
        <v>44496</v>
      </c>
      <c r="T2940" s="279">
        <v>2857</v>
      </c>
      <c r="U2940" s="277"/>
      <c r="V2940" s="277"/>
      <c r="W2940" s="277"/>
      <c r="X2940" s="277"/>
      <c r="Y2940" s="277"/>
      <c r="Z2940" s="277"/>
      <c r="AA2940" s="277"/>
      <c r="AB2940" s="277"/>
      <c r="AC2940" s="277"/>
      <c r="AD2940" s="277"/>
      <c r="AE2940" s="277"/>
      <c r="AF2940" s="277"/>
      <c r="AG2940" s="277"/>
      <c r="AH2940" s="277"/>
    </row>
    <row r="2941" spans="16:34" s="185" customFormat="1">
      <c r="P2941" s="277"/>
      <c r="Q2941" s="277"/>
      <c r="R2941" s="277"/>
      <c r="S2941" s="291">
        <v>44497</v>
      </c>
      <c r="T2941" s="279">
        <v>2858</v>
      </c>
      <c r="U2941" s="277"/>
      <c r="V2941" s="277"/>
      <c r="W2941" s="277"/>
      <c r="X2941" s="277"/>
      <c r="Y2941" s="277"/>
      <c r="Z2941" s="277"/>
      <c r="AA2941" s="277"/>
      <c r="AB2941" s="277"/>
      <c r="AC2941" s="277"/>
      <c r="AD2941" s="277"/>
      <c r="AE2941" s="277"/>
      <c r="AF2941" s="277"/>
      <c r="AG2941" s="277"/>
      <c r="AH2941" s="277"/>
    </row>
    <row r="2942" spans="16:34" s="185" customFormat="1">
      <c r="P2942" s="277"/>
      <c r="Q2942" s="277"/>
      <c r="R2942" s="277"/>
      <c r="S2942" s="291">
        <v>44498</v>
      </c>
      <c r="T2942" s="279">
        <v>2859</v>
      </c>
      <c r="U2942" s="277"/>
      <c r="V2942" s="277"/>
      <c r="W2942" s="277"/>
      <c r="X2942" s="277"/>
      <c r="Y2942" s="277"/>
      <c r="Z2942" s="277"/>
      <c r="AA2942" s="277"/>
      <c r="AB2942" s="277"/>
      <c r="AC2942" s="277"/>
      <c r="AD2942" s="277"/>
      <c r="AE2942" s="277"/>
      <c r="AF2942" s="277"/>
      <c r="AG2942" s="277"/>
      <c r="AH2942" s="277"/>
    </row>
    <row r="2943" spans="16:34" s="185" customFormat="1">
      <c r="P2943" s="277"/>
      <c r="Q2943" s="277"/>
      <c r="R2943" s="277"/>
      <c r="S2943" s="291">
        <v>44499</v>
      </c>
      <c r="T2943" s="279">
        <v>2860</v>
      </c>
      <c r="U2943" s="277"/>
      <c r="V2943" s="277"/>
      <c r="W2943" s="277"/>
      <c r="X2943" s="277"/>
      <c r="Y2943" s="277"/>
      <c r="Z2943" s="277"/>
      <c r="AA2943" s="277"/>
      <c r="AB2943" s="277"/>
      <c r="AC2943" s="277"/>
      <c r="AD2943" s="277"/>
      <c r="AE2943" s="277"/>
      <c r="AF2943" s="277"/>
      <c r="AG2943" s="277"/>
      <c r="AH2943" s="277"/>
    </row>
    <row r="2944" spans="16:34" s="185" customFormat="1">
      <c r="P2944" s="277"/>
      <c r="Q2944" s="277"/>
      <c r="R2944" s="277"/>
      <c r="S2944" s="291">
        <v>44500</v>
      </c>
      <c r="T2944" s="279">
        <v>2861</v>
      </c>
      <c r="U2944" s="277"/>
      <c r="V2944" s="277"/>
      <c r="W2944" s="277"/>
      <c r="X2944" s="277"/>
      <c r="Y2944" s="277"/>
      <c r="Z2944" s="277"/>
      <c r="AA2944" s="277"/>
      <c r="AB2944" s="277"/>
      <c r="AC2944" s="277"/>
      <c r="AD2944" s="277"/>
      <c r="AE2944" s="277"/>
      <c r="AF2944" s="277"/>
      <c r="AG2944" s="277"/>
      <c r="AH2944" s="277"/>
    </row>
    <row r="2945" spans="16:34" s="185" customFormat="1">
      <c r="P2945" s="277"/>
      <c r="Q2945" s="277"/>
      <c r="R2945" s="277"/>
      <c r="S2945" s="291">
        <v>44501</v>
      </c>
      <c r="T2945" s="279">
        <v>2862</v>
      </c>
      <c r="U2945" s="277"/>
      <c r="V2945" s="277"/>
      <c r="W2945" s="277"/>
      <c r="X2945" s="277"/>
      <c r="Y2945" s="277"/>
      <c r="Z2945" s="277"/>
      <c r="AA2945" s="277"/>
      <c r="AB2945" s="277"/>
      <c r="AC2945" s="277"/>
      <c r="AD2945" s="277"/>
      <c r="AE2945" s="277"/>
      <c r="AF2945" s="277"/>
      <c r="AG2945" s="277"/>
      <c r="AH2945" s="277"/>
    </row>
    <row r="2946" spans="16:34" s="185" customFormat="1">
      <c r="P2946" s="277"/>
      <c r="Q2946" s="277"/>
      <c r="R2946" s="277"/>
      <c r="S2946" s="291">
        <v>44502</v>
      </c>
      <c r="T2946" s="279">
        <v>2863</v>
      </c>
      <c r="U2946" s="277"/>
      <c r="V2946" s="277"/>
      <c r="W2946" s="277"/>
      <c r="X2946" s="277"/>
      <c r="Y2946" s="277"/>
      <c r="Z2946" s="277"/>
      <c r="AA2946" s="277"/>
      <c r="AB2946" s="277"/>
      <c r="AC2946" s="277"/>
      <c r="AD2946" s="277"/>
      <c r="AE2946" s="277"/>
      <c r="AF2946" s="277"/>
      <c r="AG2946" s="277"/>
      <c r="AH2946" s="277"/>
    </row>
    <row r="2947" spans="16:34" s="185" customFormat="1">
      <c r="P2947" s="277"/>
      <c r="Q2947" s="277"/>
      <c r="R2947" s="277"/>
      <c r="S2947" s="291">
        <v>44503</v>
      </c>
      <c r="T2947" s="279">
        <v>2864</v>
      </c>
      <c r="U2947" s="277"/>
      <c r="V2947" s="277"/>
      <c r="W2947" s="277"/>
      <c r="X2947" s="277"/>
      <c r="Y2947" s="277"/>
      <c r="Z2947" s="277"/>
      <c r="AA2947" s="277"/>
      <c r="AB2947" s="277"/>
      <c r="AC2947" s="277"/>
      <c r="AD2947" s="277"/>
      <c r="AE2947" s="277"/>
      <c r="AF2947" s="277"/>
      <c r="AG2947" s="277"/>
      <c r="AH2947" s="277"/>
    </row>
    <row r="2948" spans="16:34" s="185" customFormat="1">
      <c r="P2948" s="277"/>
      <c r="Q2948" s="277"/>
      <c r="R2948" s="277"/>
      <c r="S2948" s="291">
        <v>44504</v>
      </c>
      <c r="T2948" s="279">
        <v>2865</v>
      </c>
      <c r="U2948" s="277"/>
      <c r="V2948" s="277"/>
      <c r="W2948" s="277"/>
      <c r="X2948" s="277"/>
      <c r="Y2948" s="277"/>
      <c r="Z2948" s="277"/>
      <c r="AA2948" s="277"/>
      <c r="AB2948" s="277"/>
      <c r="AC2948" s="277"/>
      <c r="AD2948" s="277"/>
      <c r="AE2948" s="277"/>
      <c r="AF2948" s="277"/>
      <c r="AG2948" s="277"/>
      <c r="AH2948" s="277"/>
    </row>
    <row r="2949" spans="16:34" s="185" customFormat="1">
      <c r="P2949" s="277"/>
      <c r="Q2949" s="277"/>
      <c r="R2949" s="277"/>
      <c r="S2949" s="291">
        <v>44505</v>
      </c>
      <c r="T2949" s="279">
        <v>2866</v>
      </c>
      <c r="U2949" s="277"/>
      <c r="V2949" s="277"/>
      <c r="W2949" s="277"/>
      <c r="X2949" s="277"/>
      <c r="Y2949" s="277"/>
      <c r="Z2949" s="277"/>
      <c r="AA2949" s="277"/>
      <c r="AB2949" s="277"/>
      <c r="AC2949" s="277"/>
      <c r="AD2949" s="277"/>
      <c r="AE2949" s="277"/>
      <c r="AF2949" s="277"/>
      <c r="AG2949" s="277"/>
      <c r="AH2949" s="277"/>
    </row>
    <row r="2950" spans="16:34" s="185" customFormat="1">
      <c r="P2950" s="277"/>
      <c r="Q2950" s="277"/>
      <c r="R2950" s="277"/>
      <c r="S2950" s="291">
        <v>44506</v>
      </c>
      <c r="T2950" s="279">
        <v>2867</v>
      </c>
      <c r="U2950" s="277"/>
      <c r="V2950" s="277"/>
      <c r="W2950" s="277"/>
      <c r="X2950" s="277"/>
      <c r="Y2950" s="277"/>
      <c r="Z2950" s="277"/>
      <c r="AA2950" s="277"/>
      <c r="AB2950" s="277"/>
      <c r="AC2950" s="277"/>
      <c r="AD2950" s="277"/>
      <c r="AE2950" s="277"/>
      <c r="AF2950" s="277"/>
      <c r="AG2950" s="277"/>
      <c r="AH2950" s="277"/>
    </row>
    <row r="2951" spans="16:34" s="185" customFormat="1">
      <c r="P2951" s="277"/>
      <c r="Q2951" s="277"/>
      <c r="R2951" s="277"/>
      <c r="S2951" s="291">
        <v>44507</v>
      </c>
      <c r="T2951" s="279">
        <v>2868</v>
      </c>
      <c r="U2951" s="277"/>
      <c r="V2951" s="277"/>
      <c r="W2951" s="277"/>
      <c r="X2951" s="277"/>
      <c r="Y2951" s="277"/>
      <c r="Z2951" s="277"/>
      <c r="AA2951" s="277"/>
      <c r="AB2951" s="277"/>
      <c r="AC2951" s="277"/>
      <c r="AD2951" s="277"/>
      <c r="AE2951" s="277"/>
      <c r="AF2951" s="277"/>
      <c r="AG2951" s="277"/>
      <c r="AH2951" s="277"/>
    </row>
    <row r="2952" spans="16:34" s="185" customFormat="1">
      <c r="P2952" s="277"/>
      <c r="Q2952" s="277"/>
      <c r="R2952" s="277"/>
      <c r="S2952" s="291">
        <v>44508</v>
      </c>
      <c r="T2952" s="279">
        <v>2869</v>
      </c>
      <c r="U2952" s="277"/>
      <c r="V2952" s="277"/>
      <c r="W2952" s="277"/>
      <c r="X2952" s="277"/>
      <c r="Y2952" s="277"/>
      <c r="Z2952" s="277"/>
      <c r="AA2952" s="277"/>
      <c r="AB2952" s="277"/>
      <c r="AC2952" s="277"/>
      <c r="AD2952" s="277"/>
      <c r="AE2952" s="277"/>
      <c r="AF2952" s="277"/>
      <c r="AG2952" s="277"/>
      <c r="AH2952" s="277"/>
    </row>
    <row r="2953" spans="16:34" s="185" customFormat="1">
      <c r="P2953" s="277"/>
      <c r="Q2953" s="277"/>
      <c r="R2953" s="277"/>
      <c r="S2953" s="291">
        <v>44509</v>
      </c>
      <c r="T2953" s="279">
        <v>2870</v>
      </c>
      <c r="U2953" s="277"/>
      <c r="V2953" s="277"/>
      <c r="W2953" s="277"/>
      <c r="X2953" s="277"/>
      <c r="Y2953" s="277"/>
      <c r="Z2953" s="277"/>
      <c r="AA2953" s="277"/>
      <c r="AB2953" s="277"/>
      <c r="AC2953" s="277"/>
      <c r="AD2953" s="277"/>
      <c r="AE2953" s="277"/>
      <c r="AF2953" s="277"/>
      <c r="AG2953" s="277"/>
      <c r="AH2953" s="277"/>
    </row>
    <row r="2954" spans="16:34" s="185" customFormat="1">
      <c r="P2954" s="277"/>
      <c r="Q2954" s="277"/>
      <c r="R2954" s="277"/>
      <c r="S2954" s="291">
        <v>44510</v>
      </c>
      <c r="T2954" s="279">
        <v>2871</v>
      </c>
      <c r="U2954" s="277"/>
      <c r="V2954" s="277"/>
      <c r="W2954" s="277"/>
      <c r="X2954" s="277"/>
      <c r="Y2954" s="277"/>
      <c r="Z2954" s="277"/>
      <c r="AA2954" s="277"/>
      <c r="AB2954" s="277"/>
      <c r="AC2954" s="277"/>
      <c r="AD2954" s="277"/>
      <c r="AE2954" s="277"/>
      <c r="AF2954" s="277"/>
      <c r="AG2954" s="277"/>
      <c r="AH2954" s="277"/>
    </row>
    <row r="2955" spans="16:34" s="185" customFormat="1">
      <c r="P2955" s="277"/>
      <c r="Q2955" s="277"/>
      <c r="R2955" s="277"/>
      <c r="S2955" s="291">
        <v>44511</v>
      </c>
      <c r="T2955" s="279">
        <v>2872</v>
      </c>
      <c r="U2955" s="277"/>
      <c r="V2955" s="277"/>
      <c r="W2955" s="277"/>
      <c r="X2955" s="277"/>
      <c r="Y2955" s="277"/>
      <c r="Z2955" s="277"/>
      <c r="AA2955" s="277"/>
      <c r="AB2955" s="277"/>
      <c r="AC2955" s="277"/>
      <c r="AD2955" s="277"/>
      <c r="AE2955" s="277"/>
      <c r="AF2955" s="277"/>
      <c r="AG2955" s="277"/>
      <c r="AH2955" s="277"/>
    </row>
    <row r="2956" spans="16:34" s="185" customFormat="1">
      <c r="P2956" s="277"/>
      <c r="Q2956" s="277"/>
      <c r="R2956" s="277"/>
      <c r="S2956" s="291">
        <v>44512</v>
      </c>
      <c r="T2956" s="279">
        <v>2873</v>
      </c>
      <c r="U2956" s="277"/>
      <c r="V2956" s="277"/>
      <c r="W2956" s="277"/>
      <c r="X2956" s="277"/>
      <c r="Y2956" s="277"/>
      <c r="Z2956" s="277"/>
      <c r="AA2956" s="277"/>
      <c r="AB2956" s="277"/>
      <c r="AC2956" s="277"/>
      <c r="AD2956" s="277"/>
      <c r="AE2956" s="277"/>
      <c r="AF2956" s="277"/>
      <c r="AG2956" s="277"/>
      <c r="AH2956" s="277"/>
    </row>
    <row r="2957" spans="16:34" s="185" customFormat="1">
      <c r="P2957" s="277"/>
      <c r="Q2957" s="277"/>
      <c r="R2957" s="277"/>
      <c r="S2957" s="291">
        <v>44513</v>
      </c>
      <c r="T2957" s="279">
        <v>2874</v>
      </c>
      <c r="U2957" s="277"/>
      <c r="V2957" s="277"/>
      <c r="W2957" s="277"/>
      <c r="X2957" s="277"/>
      <c r="Y2957" s="277"/>
      <c r="Z2957" s="277"/>
      <c r="AA2957" s="277"/>
      <c r="AB2957" s="277"/>
      <c r="AC2957" s="277"/>
      <c r="AD2957" s="277"/>
      <c r="AE2957" s="277"/>
      <c r="AF2957" s="277"/>
      <c r="AG2957" s="277"/>
      <c r="AH2957" s="277"/>
    </row>
    <row r="2958" spans="16:34" s="185" customFormat="1">
      <c r="P2958" s="277"/>
      <c r="Q2958" s="277"/>
      <c r="R2958" s="277"/>
      <c r="S2958" s="291">
        <v>44514</v>
      </c>
      <c r="T2958" s="279">
        <v>2875</v>
      </c>
      <c r="U2958" s="277"/>
      <c r="V2958" s="277"/>
      <c r="W2958" s="277"/>
      <c r="X2958" s="277"/>
      <c r="Y2958" s="277"/>
      <c r="Z2958" s="277"/>
      <c r="AA2958" s="277"/>
      <c r="AB2958" s="277"/>
      <c r="AC2958" s="277"/>
      <c r="AD2958" s="277"/>
      <c r="AE2958" s="277"/>
      <c r="AF2958" s="277"/>
      <c r="AG2958" s="277"/>
      <c r="AH2958" s="277"/>
    </row>
    <row r="2959" spans="16:34" s="185" customFormat="1">
      <c r="P2959" s="277"/>
      <c r="Q2959" s="277"/>
      <c r="R2959" s="277"/>
      <c r="S2959" s="291">
        <v>44515</v>
      </c>
      <c r="T2959" s="279">
        <v>2876</v>
      </c>
      <c r="U2959" s="277"/>
      <c r="V2959" s="277"/>
      <c r="W2959" s="277"/>
      <c r="X2959" s="277"/>
      <c r="Y2959" s="277"/>
      <c r="Z2959" s="277"/>
      <c r="AA2959" s="277"/>
      <c r="AB2959" s="277"/>
      <c r="AC2959" s="277"/>
      <c r="AD2959" s="277"/>
      <c r="AE2959" s="277"/>
      <c r="AF2959" s="277"/>
      <c r="AG2959" s="277"/>
      <c r="AH2959" s="277"/>
    </row>
    <row r="2960" spans="16:34" s="185" customFormat="1">
      <c r="P2960" s="277"/>
      <c r="Q2960" s="277"/>
      <c r="R2960" s="277"/>
      <c r="S2960" s="291">
        <v>44516</v>
      </c>
      <c r="T2960" s="279">
        <v>2877</v>
      </c>
      <c r="U2960" s="277"/>
      <c r="V2960" s="277"/>
      <c r="W2960" s="277"/>
      <c r="X2960" s="277"/>
      <c r="Y2960" s="277"/>
      <c r="Z2960" s="277"/>
      <c r="AA2960" s="277"/>
      <c r="AB2960" s="277"/>
      <c r="AC2960" s="277"/>
      <c r="AD2960" s="277"/>
      <c r="AE2960" s="277"/>
      <c r="AF2960" s="277"/>
      <c r="AG2960" s="277"/>
      <c r="AH2960" s="277"/>
    </row>
    <row r="2961" spans="16:34" s="185" customFormat="1">
      <c r="P2961" s="277"/>
      <c r="Q2961" s="277"/>
      <c r="R2961" s="277"/>
      <c r="S2961" s="291">
        <v>44517</v>
      </c>
      <c r="T2961" s="279">
        <v>2878</v>
      </c>
      <c r="U2961" s="277"/>
      <c r="V2961" s="277"/>
      <c r="W2961" s="277"/>
      <c r="X2961" s="277"/>
      <c r="Y2961" s="277"/>
      <c r="Z2961" s="277"/>
      <c r="AA2961" s="277"/>
      <c r="AB2961" s="277"/>
      <c r="AC2961" s="277"/>
      <c r="AD2961" s="277"/>
      <c r="AE2961" s="277"/>
      <c r="AF2961" s="277"/>
      <c r="AG2961" s="277"/>
      <c r="AH2961" s="277"/>
    </row>
    <row r="2962" spans="16:34" s="185" customFormat="1">
      <c r="P2962" s="277"/>
      <c r="Q2962" s="277"/>
      <c r="R2962" s="277"/>
      <c r="S2962" s="291">
        <v>44518</v>
      </c>
      <c r="T2962" s="279">
        <v>2879</v>
      </c>
      <c r="U2962" s="277"/>
      <c r="V2962" s="277"/>
      <c r="W2962" s="277"/>
      <c r="X2962" s="277"/>
      <c r="Y2962" s="277"/>
      <c r="Z2962" s="277"/>
      <c r="AA2962" s="277"/>
      <c r="AB2962" s="277"/>
      <c r="AC2962" s="277"/>
      <c r="AD2962" s="277"/>
      <c r="AE2962" s="277"/>
      <c r="AF2962" s="277"/>
      <c r="AG2962" s="277"/>
      <c r="AH2962" s="277"/>
    </row>
    <row r="2963" spans="16:34" s="185" customFormat="1">
      <c r="P2963" s="277"/>
      <c r="Q2963" s="277"/>
      <c r="R2963" s="277"/>
      <c r="S2963" s="291">
        <v>44519</v>
      </c>
      <c r="T2963" s="279">
        <v>2880</v>
      </c>
      <c r="U2963" s="277"/>
      <c r="V2963" s="277"/>
      <c r="W2963" s="277"/>
      <c r="X2963" s="277"/>
      <c r="Y2963" s="277"/>
      <c r="Z2963" s="277"/>
      <c r="AA2963" s="277"/>
      <c r="AB2963" s="277"/>
      <c r="AC2963" s="277"/>
      <c r="AD2963" s="277"/>
      <c r="AE2963" s="277"/>
      <c r="AF2963" s="277"/>
      <c r="AG2963" s="277"/>
      <c r="AH2963" s="277"/>
    </row>
    <row r="2964" spans="16:34" s="185" customFormat="1">
      <c r="P2964" s="277"/>
      <c r="Q2964" s="277"/>
      <c r="R2964" s="277"/>
      <c r="S2964" s="291">
        <v>44520</v>
      </c>
      <c r="T2964" s="279">
        <v>2881</v>
      </c>
      <c r="U2964" s="277"/>
      <c r="V2964" s="277"/>
      <c r="W2964" s="277"/>
      <c r="X2964" s="277"/>
      <c r="Y2964" s="277"/>
      <c r="Z2964" s="277"/>
      <c r="AA2964" s="277"/>
      <c r="AB2964" s="277"/>
      <c r="AC2964" s="277"/>
      <c r="AD2964" s="277"/>
      <c r="AE2964" s="277"/>
      <c r="AF2964" s="277"/>
      <c r="AG2964" s="277"/>
      <c r="AH2964" s="277"/>
    </row>
    <row r="2965" spans="16:34" s="185" customFormat="1">
      <c r="P2965" s="277"/>
      <c r="Q2965" s="277"/>
      <c r="R2965" s="277"/>
      <c r="S2965" s="291">
        <v>44521</v>
      </c>
      <c r="T2965" s="279">
        <v>2882</v>
      </c>
      <c r="U2965" s="277"/>
      <c r="V2965" s="277"/>
      <c r="W2965" s="277"/>
      <c r="X2965" s="277"/>
      <c r="Y2965" s="277"/>
      <c r="Z2965" s="277"/>
      <c r="AA2965" s="277"/>
      <c r="AB2965" s="277"/>
      <c r="AC2965" s="277"/>
      <c r="AD2965" s="277"/>
      <c r="AE2965" s="277"/>
      <c r="AF2965" s="277"/>
      <c r="AG2965" s="277"/>
      <c r="AH2965" s="277"/>
    </row>
    <row r="2966" spans="16:34" s="185" customFormat="1">
      <c r="P2966" s="277"/>
      <c r="Q2966" s="277"/>
      <c r="R2966" s="277"/>
      <c r="S2966" s="291">
        <v>44522</v>
      </c>
      <c r="T2966" s="279">
        <v>2883</v>
      </c>
      <c r="U2966" s="277"/>
      <c r="V2966" s="277"/>
      <c r="W2966" s="277"/>
      <c r="X2966" s="277"/>
      <c r="Y2966" s="277"/>
      <c r="Z2966" s="277"/>
      <c r="AA2966" s="277"/>
      <c r="AB2966" s="277"/>
      <c r="AC2966" s="277"/>
      <c r="AD2966" s="277"/>
      <c r="AE2966" s="277"/>
      <c r="AF2966" s="277"/>
      <c r="AG2966" s="277"/>
      <c r="AH2966" s="277"/>
    </row>
    <row r="2967" spans="16:34" s="185" customFormat="1">
      <c r="P2967" s="277"/>
      <c r="Q2967" s="277"/>
      <c r="R2967" s="277"/>
      <c r="S2967" s="291">
        <v>44523</v>
      </c>
      <c r="T2967" s="279">
        <v>2884</v>
      </c>
      <c r="U2967" s="277"/>
      <c r="V2967" s="277"/>
      <c r="W2967" s="277"/>
      <c r="X2967" s="277"/>
      <c r="Y2967" s="277"/>
      <c r="Z2967" s="277"/>
      <c r="AA2967" s="277"/>
      <c r="AB2967" s="277"/>
      <c r="AC2967" s="277"/>
      <c r="AD2967" s="277"/>
      <c r="AE2967" s="277"/>
      <c r="AF2967" s="277"/>
      <c r="AG2967" s="277"/>
      <c r="AH2967" s="277"/>
    </row>
    <row r="2968" spans="16:34" s="185" customFormat="1">
      <c r="P2968" s="277"/>
      <c r="Q2968" s="277"/>
      <c r="R2968" s="277"/>
      <c r="S2968" s="291">
        <v>44524</v>
      </c>
      <c r="T2968" s="279">
        <v>2885</v>
      </c>
      <c r="U2968" s="277"/>
      <c r="V2968" s="277"/>
      <c r="W2968" s="277"/>
      <c r="X2968" s="277"/>
      <c r="Y2968" s="277"/>
      <c r="Z2968" s="277"/>
      <c r="AA2968" s="277"/>
      <c r="AB2968" s="277"/>
      <c r="AC2968" s="277"/>
      <c r="AD2968" s="277"/>
      <c r="AE2968" s="277"/>
      <c r="AF2968" s="277"/>
      <c r="AG2968" s="277"/>
      <c r="AH2968" s="277"/>
    </row>
    <row r="2969" spans="16:34" s="185" customFormat="1">
      <c r="P2969" s="277"/>
      <c r="Q2969" s="277"/>
      <c r="R2969" s="277"/>
      <c r="S2969" s="291">
        <v>44525</v>
      </c>
      <c r="T2969" s="279">
        <v>2886</v>
      </c>
      <c r="U2969" s="277"/>
      <c r="V2969" s="277"/>
      <c r="W2969" s="277"/>
      <c r="X2969" s="277"/>
      <c r="Y2969" s="277"/>
      <c r="Z2969" s="277"/>
      <c r="AA2969" s="277"/>
      <c r="AB2969" s="277"/>
      <c r="AC2969" s="277"/>
      <c r="AD2969" s="277"/>
      <c r="AE2969" s="277"/>
      <c r="AF2969" s="277"/>
      <c r="AG2969" s="277"/>
      <c r="AH2969" s="277"/>
    </row>
    <row r="2970" spans="16:34" s="185" customFormat="1">
      <c r="P2970" s="277"/>
      <c r="Q2970" s="277"/>
      <c r="R2970" s="277"/>
      <c r="S2970" s="291">
        <v>44526</v>
      </c>
      <c r="T2970" s="279">
        <v>2887</v>
      </c>
      <c r="U2970" s="277"/>
      <c r="V2970" s="277"/>
      <c r="W2970" s="277"/>
      <c r="X2970" s="277"/>
      <c r="Y2970" s="277"/>
      <c r="Z2970" s="277"/>
      <c r="AA2970" s="277"/>
      <c r="AB2970" s="277"/>
      <c r="AC2970" s="277"/>
      <c r="AD2970" s="277"/>
      <c r="AE2970" s="277"/>
      <c r="AF2970" s="277"/>
      <c r="AG2970" s="277"/>
      <c r="AH2970" s="277"/>
    </row>
    <row r="2971" spans="16:34" s="185" customFormat="1">
      <c r="P2971" s="277"/>
      <c r="Q2971" s="277"/>
      <c r="R2971" s="277"/>
      <c r="S2971" s="291">
        <v>44527</v>
      </c>
      <c r="T2971" s="279">
        <v>2888</v>
      </c>
      <c r="U2971" s="277"/>
      <c r="V2971" s="277"/>
      <c r="W2971" s="277"/>
      <c r="X2971" s="277"/>
      <c r="Y2971" s="277"/>
      <c r="Z2971" s="277"/>
      <c r="AA2971" s="277"/>
      <c r="AB2971" s="277"/>
      <c r="AC2971" s="277"/>
      <c r="AD2971" s="277"/>
      <c r="AE2971" s="277"/>
      <c r="AF2971" s="277"/>
      <c r="AG2971" s="277"/>
      <c r="AH2971" s="277"/>
    </row>
    <row r="2972" spans="16:34" s="185" customFormat="1">
      <c r="P2972" s="277"/>
      <c r="Q2972" s="277"/>
      <c r="R2972" s="277"/>
      <c r="S2972" s="291">
        <v>44528</v>
      </c>
      <c r="T2972" s="279">
        <v>2889</v>
      </c>
      <c r="U2972" s="277"/>
      <c r="V2972" s="277"/>
      <c r="W2972" s="277"/>
      <c r="X2972" s="277"/>
      <c r="Y2972" s="277"/>
      <c r="Z2972" s="277"/>
      <c r="AA2972" s="277"/>
      <c r="AB2972" s="277"/>
      <c r="AC2972" s="277"/>
      <c r="AD2972" s="277"/>
      <c r="AE2972" s="277"/>
      <c r="AF2972" s="277"/>
      <c r="AG2972" s="277"/>
      <c r="AH2972" s="277"/>
    </row>
    <row r="2973" spans="16:34" s="185" customFormat="1">
      <c r="P2973" s="277"/>
      <c r="Q2973" s="277"/>
      <c r="R2973" s="277"/>
      <c r="S2973" s="291">
        <v>44529</v>
      </c>
      <c r="T2973" s="279">
        <v>2890</v>
      </c>
      <c r="U2973" s="277"/>
      <c r="V2973" s="277"/>
      <c r="W2973" s="277"/>
      <c r="X2973" s="277"/>
      <c r="Y2973" s="277"/>
      <c r="Z2973" s="277"/>
      <c r="AA2973" s="277"/>
      <c r="AB2973" s="277"/>
      <c r="AC2973" s="277"/>
      <c r="AD2973" s="277"/>
      <c r="AE2973" s="277"/>
      <c r="AF2973" s="277"/>
      <c r="AG2973" s="277"/>
      <c r="AH2973" s="277"/>
    </row>
    <row r="2974" spans="16:34" s="185" customFormat="1">
      <c r="P2974" s="277"/>
      <c r="Q2974" s="277"/>
      <c r="R2974" s="277"/>
      <c r="S2974" s="291">
        <v>44530</v>
      </c>
      <c r="T2974" s="279">
        <v>2891</v>
      </c>
      <c r="U2974" s="277"/>
      <c r="V2974" s="277"/>
      <c r="W2974" s="277"/>
      <c r="X2974" s="277"/>
      <c r="Y2974" s="277"/>
      <c r="Z2974" s="277"/>
      <c r="AA2974" s="277"/>
      <c r="AB2974" s="277"/>
      <c r="AC2974" s="277"/>
      <c r="AD2974" s="277"/>
      <c r="AE2974" s="277"/>
      <c r="AF2974" s="277"/>
      <c r="AG2974" s="277"/>
      <c r="AH2974" s="277"/>
    </row>
    <row r="2975" spans="16:34" s="185" customFormat="1">
      <c r="P2975" s="277"/>
      <c r="Q2975" s="277"/>
      <c r="R2975" s="277"/>
      <c r="S2975" s="291">
        <v>44531</v>
      </c>
      <c r="T2975" s="279">
        <v>2892</v>
      </c>
      <c r="U2975" s="277"/>
      <c r="V2975" s="277"/>
      <c r="W2975" s="277"/>
      <c r="X2975" s="277"/>
      <c r="Y2975" s="277"/>
      <c r="Z2975" s="277"/>
      <c r="AA2975" s="277"/>
      <c r="AB2975" s="277"/>
      <c r="AC2975" s="277"/>
      <c r="AD2975" s="277"/>
      <c r="AE2975" s="277"/>
      <c r="AF2975" s="277"/>
      <c r="AG2975" s="277"/>
      <c r="AH2975" s="277"/>
    </row>
    <row r="2976" spans="16:34" s="185" customFormat="1">
      <c r="P2976" s="277"/>
      <c r="Q2976" s="277"/>
      <c r="R2976" s="277"/>
      <c r="S2976" s="291">
        <v>44532</v>
      </c>
      <c r="T2976" s="279">
        <v>2893</v>
      </c>
      <c r="U2976" s="277"/>
      <c r="V2976" s="277"/>
      <c r="W2976" s="277"/>
      <c r="X2976" s="277"/>
      <c r="Y2976" s="277"/>
      <c r="Z2976" s="277"/>
      <c r="AA2976" s="277"/>
      <c r="AB2976" s="277"/>
      <c r="AC2976" s="277"/>
      <c r="AD2976" s="277"/>
      <c r="AE2976" s="277"/>
      <c r="AF2976" s="277"/>
      <c r="AG2976" s="277"/>
      <c r="AH2976" s="277"/>
    </row>
    <row r="2977" spans="16:34" s="185" customFormat="1">
      <c r="P2977" s="277"/>
      <c r="Q2977" s="277"/>
      <c r="R2977" s="277"/>
      <c r="S2977" s="291">
        <v>44533</v>
      </c>
      <c r="T2977" s="279">
        <v>2894</v>
      </c>
      <c r="U2977" s="277"/>
      <c r="V2977" s="277"/>
      <c r="W2977" s="277"/>
      <c r="X2977" s="277"/>
      <c r="Y2977" s="277"/>
      <c r="Z2977" s="277"/>
      <c r="AA2977" s="277"/>
      <c r="AB2977" s="277"/>
      <c r="AC2977" s="277"/>
      <c r="AD2977" s="277"/>
      <c r="AE2977" s="277"/>
      <c r="AF2977" s="277"/>
      <c r="AG2977" s="277"/>
      <c r="AH2977" s="277"/>
    </row>
    <row r="2978" spans="16:34" s="185" customFormat="1">
      <c r="P2978" s="277"/>
      <c r="Q2978" s="277"/>
      <c r="R2978" s="277"/>
      <c r="S2978" s="291">
        <v>44534</v>
      </c>
      <c r="T2978" s="279">
        <v>2895</v>
      </c>
      <c r="U2978" s="277"/>
      <c r="V2978" s="277"/>
      <c r="W2978" s="277"/>
      <c r="X2978" s="277"/>
      <c r="Y2978" s="277"/>
      <c r="Z2978" s="277"/>
      <c r="AA2978" s="277"/>
      <c r="AB2978" s="277"/>
      <c r="AC2978" s="277"/>
      <c r="AD2978" s="277"/>
      <c r="AE2978" s="277"/>
      <c r="AF2978" s="277"/>
      <c r="AG2978" s="277"/>
      <c r="AH2978" s="277"/>
    </row>
    <row r="2979" spans="16:34" s="185" customFormat="1">
      <c r="P2979" s="277"/>
      <c r="Q2979" s="277"/>
      <c r="R2979" s="277"/>
      <c r="S2979" s="291">
        <v>44535</v>
      </c>
      <c r="T2979" s="279">
        <v>2896</v>
      </c>
      <c r="U2979" s="277"/>
      <c r="V2979" s="277"/>
      <c r="W2979" s="277"/>
      <c r="X2979" s="277"/>
      <c r="Y2979" s="277"/>
      <c r="Z2979" s="277"/>
      <c r="AA2979" s="277"/>
      <c r="AB2979" s="277"/>
      <c r="AC2979" s="277"/>
      <c r="AD2979" s="277"/>
      <c r="AE2979" s="277"/>
      <c r="AF2979" s="277"/>
      <c r="AG2979" s="277"/>
      <c r="AH2979" s="277"/>
    </row>
    <row r="2980" spans="16:34" s="185" customFormat="1">
      <c r="P2980" s="277"/>
      <c r="Q2980" s="277"/>
      <c r="R2980" s="277"/>
      <c r="S2980" s="291">
        <v>44536</v>
      </c>
      <c r="T2980" s="279">
        <v>2897</v>
      </c>
      <c r="U2980" s="277"/>
      <c r="V2980" s="277"/>
      <c r="W2980" s="277"/>
      <c r="X2980" s="277"/>
      <c r="Y2980" s="277"/>
      <c r="Z2980" s="277"/>
      <c r="AA2980" s="277"/>
      <c r="AB2980" s="277"/>
      <c r="AC2980" s="277"/>
      <c r="AD2980" s="277"/>
      <c r="AE2980" s="277"/>
      <c r="AF2980" s="277"/>
      <c r="AG2980" s="277"/>
      <c r="AH2980" s="277"/>
    </row>
    <row r="2981" spans="16:34" s="185" customFormat="1">
      <c r="P2981" s="277"/>
      <c r="Q2981" s="277"/>
      <c r="R2981" s="277"/>
      <c r="S2981" s="291">
        <v>44537</v>
      </c>
      <c r="T2981" s="279">
        <v>2898</v>
      </c>
      <c r="U2981" s="277"/>
      <c r="V2981" s="277"/>
      <c r="W2981" s="277"/>
      <c r="X2981" s="277"/>
      <c r="Y2981" s="277"/>
      <c r="Z2981" s="277"/>
      <c r="AA2981" s="277"/>
      <c r="AB2981" s="277"/>
      <c r="AC2981" s="277"/>
      <c r="AD2981" s="277"/>
      <c r="AE2981" s="277"/>
      <c r="AF2981" s="277"/>
      <c r="AG2981" s="277"/>
      <c r="AH2981" s="277"/>
    </row>
    <row r="2982" spans="16:34" s="185" customFormat="1">
      <c r="P2982" s="277"/>
      <c r="Q2982" s="277"/>
      <c r="R2982" s="277"/>
      <c r="S2982" s="291">
        <v>44538</v>
      </c>
      <c r="T2982" s="279">
        <v>2899</v>
      </c>
      <c r="U2982" s="277"/>
      <c r="V2982" s="277"/>
      <c r="W2982" s="277"/>
      <c r="X2982" s="277"/>
      <c r="Y2982" s="277"/>
      <c r="Z2982" s="277"/>
      <c r="AA2982" s="277"/>
      <c r="AB2982" s="277"/>
      <c r="AC2982" s="277"/>
      <c r="AD2982" s="277"/>
      <c r="AE2982" s="277"/>
      <c r="AF2982" s="277"/>
      <c r="AG2982" s="277"/>
      <c r="AH2982" s="277"/>
    </row>
    <row r="2983" spans="16:34" s="185" customFormat="1">
      <c r="P2983" s="277"/>
      <c r="Q2983" s="277"/>
      <c r="R2983" s="277"/>
      <c r="S2983" s="291">
        <v>44539</v>
      </c>
      <c r="T2983" s="279">
        <v>2900</v>
      </c>
      <c r="U2983" s="277"/>
      <c r="V2983" s="277"/>
      <c r="W2983" s="277"/>
      <c r="X2983" s="277"/>
      <c r="Y2983" s="277"/>
      <c r="Z2983" s="277"/>
      <c r="AA2983" s="277"/>
      <c r="AB2983" s="277"/>
      <c r="AC2983" s="277"/>
      <c r="AD2983" s="277"/>
      <c r="AE2983" s="277"/>
      <c r="AF2983" s="277"/>
      <c r="AG2983" s="277"/>
      <c r="AH2983" s="277"/>
    </row>
    <row r="2984" spans="16:34" s="185" customFormat="1">
      <c r="P2984" s="277"/>
      <c r="Q2984" s="277"/>
      <c r="R2984" s="277"/>
      <c r="S2984" s="291">
        <v>44540</v>
      </c>
      <c r="T2984" s="279">
        <v>2901</v>
      </c>
      <c r="U2984" s="277"/>
      <c r="V2984" s="277"/>
      <c r="W2984" s="277"/>
      <c r="X2984" s="277"/>
      <c r="Y2984" s="277"/>
      <c r="Z2984" s="277"/>
      <c r="AA2984" s="277"/>
      <c r="AB2984" s="277"/>
      <c r="AC2984" s="277"/>
      <c r="AD2984" s="277"/>
      <c r="AE2984" s="277"/>
      <c r="AF2984" s="277"/>
      <c r="AG2984" s="277"/>
      <c r="AH2984" s="277"/>
    </row>
    <row r="2985" spans="16:34" s="185" customFormat="1">
      <c r="P2985" s="277"/>
      <c r="Q2985" s="277"/>
      <c r="R2985" s="277"/>
      <c r="S2985" s="291">
        <v>44541</v>
      </c>
      <c r="T2985" s="279">
        <v>2902</v>
      </c>
      <c r="U2985" s="277"/>
      <c r="V2985" s="277"/>
      <c r="W2985" s="277"/>
      <c r="X2985" s="277"/>
      <c r="Y2985" s="277"/>
      <c r="Z2985" s="277"/>
      <c r="AA2985" s="277"/>
      <c r="AB2985" s="277"/>
      <c r="AC2985" s="277"/>
      <c r="AD2985" s="277"/>
      <c r="AE2985" s="277"/>
      <c r="AF2985" s="277"/>
      <c r="AG2985" s="277"/>
      <c r="AH2985" s="277"/>
    </row>
    <row r="2986" spans="16:34" s="185" customFormat="1">
      <c r="P2986" s="277"/>
      <c r="Q2986" s="277"/>
      <c r="R2986" s="277"/>
      <c r="S2986" s="291">
        <v>44542</v>
      </c>
      <c r="T2986" s="279">
        <v>2903</v>
      </c>
      <c r="U2986" s="277"/>
      <c r="V2986" s="277"/>
      <c r="W2986" s="277"/>
      <c r="X2986" s="277"/>
      <c r="Y2986" s="277"/>
      <c r="Z2986" s="277"/>
      <c r="AA2986" s="277"/>
      <c r="AB2986" s="277"/>
      <c r="AC2986" s="277"/>
      <c r="AD2986" s="277"/>
      <c r="AE2986" s="277"/>
      <c r="AF2986" s="277"/>
      <c r="AG2986" s="277"/>
      <c r="AH2986" s="277"/>
    </row>
    <row r="2987" spans="16:34" s="185" customFormat="1">
      <c r="P2987" s="277"/>
      <c r="Q2987" s="277"/>
      <c r="R2987" s="277"/>
      <c r="S2987" s="291">
        <v>44543</v>
      </c>
      <c r="T2987" s="279">
        <v>2904</v>
      </c>
      <c r="U2987" s="277"/>
      <c r="V2987" s="277"/>
      <c r="W2987" s="277"/>
      <c r="X2987" s="277"/>
      <c r="Y2987" s="277"/>
      <c r="Z2987" s="277"/>
      <c r="AA2987" s="277"/>
      <c r="AB2987" s="277"/>
      <c r="AC2987" s="277"/>
      <c r="AD2987" s="277"/>
      <c r="AE2987" s="277"/>
      <c r="AF2987" s="277"/>
      <c r="AG2987" s="277"/>
      <c r="AH2987" s="277"/>
    </row>
    <row r="2988" spans="16:34" s="185" customFormat="1">
      <c r="P2988" s="277"/>
      <c r="Q2988" s="277"/>
      <c r="R2988" s="277"/>
      <c r="S2988" s="291">
        <v>44544</v>
      </c>
      <c r="T2988" s="279">
        <v>2905</v>
      </c>
      <c r="U2988" s="277"/>
      <c r="V2988" s="277"/>
      <c r="W2988" s="277"/>
      <c r="X2988" s="277"/>
      <c r="Y2988" s="277"/>
      <c r="Z2988" s="277"/>
      <c r="AA2988" s="277"/>
      <c r="AB2988" s="277"/>
      <c r="AC2988" s="277"/>
      <c r="AD2988" s="277"/>
      <c r="AE2988" s="277"/>
      <c r="AF2988" s="277"/>
      <c r="AG2988" s="277"/>
      <c r="AH2988" s="277"/>
    </row>
    <row r="2989" spans="16:34" s="185" customFormat="1">
      <c r="P2989" s="277"/>
      <c r="Q2989" s="277"/>
      <c r="R2989" s="277"/>
      <c r="S2989" s="291">
        <v>44545</v>
      </c>
      <c r="T2989" s="279">
        <v>2906</v>
      </c>
      <c r="U2989" s="277"/>
      <c r="V2989" s="277"/>
      <c r="W2989" s="277"/>
      <c r="X2989" s="277"/>
      <c r="Y2989" s="277"/>
      <c r="Z2989" s="277"/>
      <c r="AA2989" s="277"/>
      <c r="AB2989" s="277"/>
      <c r="AC2989" s="277"/>
      <c r="AD2989" s="277"/>
      <c r="AE2989" s="277"/>
      <c r="AF2989" s="277"/>
      <c r="AG2989" s="277"/>
      <c r="AH2989" s="277"/>
    </row>
    <row r="2990" spans="16:34" s="185" customFormat="1">
      <c r="P2990" s="277"/>
      <c r="Q2990" s="277"/>
      <c r="R2990" s="277"/>
      <c r="S2990" s="291">
        <v>44546</v>
      </c>
      <c r="T2990" s="279">
        <v>2907</v>
      </c>
      <c r="U2990" s="277"/>
      <c r="V2990" s="277"/>
      <c r="W2990" s="277"/>
      <c r="X2990" s="277"/>
      <c r="Y2990" s="277"/>
      <c r="Z2990" s="277"/>
      <c r="AA2990" s="277"/>
      <c r="AB2990" s="277"/>
      <c r="AC2990" s="277"/>
      <c r="AD2990" s="277"/>
      <c r="AE2990" s="277"/>
      <c r="AF2990" s="277"/>
      <c r="AG2990" s="277"/>
      <c r="AH2990" s="277"/>
    </row>
    <row r="2991" spans="16:34" s="185" customFormat="1">
      <c r="P2991" s="277"/>
      <c r="Q2991" s="277"/>
      <c r="R2991" s="277"/>
      <c r="S2991" s="291">
        <v>44547</v>
      </c>
      <c r="T2991" s="279">
        <v>2908</v>
      </c>
      <c r="U2991" s="277"/>
      <c r="V2991" s="277"/>
      <c r="W2991" s="277"/>
      <c r="X2991" s="277"/>
      <c r="Y2991" s="277"/>
      <c r="Z2991" s="277"/>
      <c r="AA2991" s="277"/>
      <c r="AB2991" s="277"/>
      <c r="AC2991" s="277"/>
      <c r="AD2991" s="277"/>
      <c r="AE2991" s="277"/>
      <c r="AF2991" s="277"/>
      <c r="AG2991" s="277"/>
      <c r="AH2991" s="277"/>
    </row>
    <row r="2992" spans="16:34" s="185" customFormat="1">
      <c r="P2992" s="277"/>
      <c r="Q2992" s="277"/>
      <c r="R2992" s="277"/>
      <c r="S2992" s="291">
        <v>44548</v>
      </c>
      <c r="T2992" s="279">
        <v>2909</v>
      </c>
      <c r="U2992" s="277"/>
      <c r="V2992" s="277"/>
      <c r="W2992" s="277"/>
      <c r="X2992" s="277"/>
      <c r="Y2992" s="277"/>
      <c r="Z2992" s="277"/>
      <c r="AA2992" s="277"/>
      <c r="AB2992" s="277"/>
      <c r="AC2992" s="277"/>
      <c r="AD2992" s="277"/>
      <c r="AE2992" s="277"/>
      <c r="AF2992" s="277"/>
      <c r="AG2992" s="277"/>
      <c r="AH2992" s="277"/>
    </row>
    <row r="2993" spans="16:34" s="185" customFormat="1">
      <c r="P2993" s="277"/>
      <c r="Q2993" s="277"/>
      <c r="R2993" s="277"/>
      <c r="S2993" s="291">
        <v>44549</v>
      </c>
      <c r="T2993" s="279">
        <v>2910</v>
      </c>
      <c r="U2993" s="277"/>
      <c r="V2993" s="277"/>
      <c r="W2993" s="277"/>
      <c r="X2993" s="277"/>
      <c r="Y2993" s="277"/>
      <c r="Z2993" s="277"/>
      <c r="AA2993" s="277"/>
      <c r="AB2993" s="277"/>
      <c r="AC2993" s="277"/>
      <c r="AD2993" s="277"/>
      <c r="AE2993" s="277"/>
      <c r="AF2993" s="277"/>
      <c r="AG2993" s="277"/>
      <c r="AH2993" s="277"/>
    </row>
    <row r="2994" spans="16:34" s="185" customFormat="1">
      <c r="P2994" s="277"/>
      <c r="Q2994" s="277"/>
      <c r="R2994" s="277"/>
      <c r="S2994" s="291">
        <v>44550</v>
      </c>
      <c r="T2994" s="279">
        <v>2911</v>
      </c>
      <c r="U2994" s="277"/>
      <c r="V2994" s="277"/>
      <c r="W2994" s="277"/>
      <c r="X2994" s="277"/>
      <c r="Y2994" s="277"/>
      <c r="Z2994" s="277"/>
      <c r="AA2994" s="277"/>
      <c r="AB2994" s="277"/>
      <c r="AC2994" s="277"/>
      <c r="AD2994" s="277"/>
      <c r="AE2994" s="277"/>
      <c r="AF2994" s="277"/>
      <c r="AG2994" s="277"/>
      <c r="AH2994" s="277"/>
    </row>
    <row r="2995" spans="16:34" s="185" customFormat="1">
      <c r="P2995" s="277"/>
      <c r="Q2995" s="277"/>
      <c r="R2995" s="277"/>
      <c r="S2995" s="291">
        <v>44551</v>
      </c>
      <c r="T2995" s="279">
        <v>2912</v>
      </c>
      <c r="U2995" s="277"/>
      <c r="V2995" s="277"/>
      <c r="W2995" s="277"/>
      <c r="X2995" s="277"/>
      <c r="Y2995" s="277"/>
      <c r="Z2995" s="277"/>
      <c r="AA2995" s="277"/>
      <c r="AB2995" s="277"/>
      <c r="AC2995" s="277"/>
      <c r="AD2995" s="277"/>
      <c r="AE2995" s="277"/>
      <c r="AF2995" s="277"/>
      <c r="AG2995" s="277"/>
      <c r="AH2995" s="277"/>
    </row>
    <row r="2996" spans="16:34" s="185" customFormat="1">
      <c r="P2996" s="277"/>
      <c r="Q2996" s="277"/>
      <c r="R2996" s="277"/>
      <c r="S2996" s="291">
        <v>44552</v>
      </c>
      <c r="T2996" s="279">
        <v>2913</v>
      </c>
      <c r="U2996" s="277"/>
      <c r="V2996" s="277"/>
      <c r="W2996" s="277"/>
      <c r="X2996" s="277"/>
      <c r="Y2996" s="277"/>
      <c r="Z2996" s="277"/>
      <c r="AA2996" s="277"/>
      <c r="AB2996" s="277"/>
      <c r="AC2996" s="277"/>
      <c r="AD2996" s="277"/>
      <c r="AE2996" s="277"/>
      <c r="AF2996" s="277"/>
      <c r="AG2996" s="277"/>
      <c r="AH2996" s="277"/>
    </row>
    <row r="2997" spans="16:34" s="185" customFormat="1">
      <c r="P2997" s="277"/>
      <c r="Q2997" s="277"/>
      <c r="R2997" s="277"/>
      <c r="S2997" s="291">
        <v>44553</v>
      </c>
      <c r="T2997" s="279">
        <v>2914</v>
      </c>
      <c r="U2997" s="277"/>
      <c r="V2997" s="277"/>
      <c r="W2997" s="277"/>
      <c r="X2997" s="277"/>
      <c r="Y2997" s="277"/>
      <c r="Z2997" s="277"/>
      <c r="AA2997" s="277"/>
      <c r="AB2997" s="277"/>
      <c r="AC2997" s="277"/>
      <c r="AD2997" s="277"/>
      <c r="AE2997" s="277"/>
      <c r="AF2997" s="277"/>
      <c r="AG2997" s="277"/>
      <c r="AH2997" s="277"/>
    </row>
    <row r="2998" spans="16:34" s="185" customFormat="1">
      <c r="P2998" s="277"/>
      <c r="Q2998" s="277"/>
      <c r="R2998" s="277"/>
      <c r="S2998" s="291">
        <v>44554</v>
      </c>
      <c r="T2998" s="279">
        <v>2915</v>
      </c>
      <c r="U2998" s="277"/>
      <c r="V2998" s="277"/>
      <c r="W2998" s="277"/>
      <c r="X2998" s="277"/>
      <c r="Y2998" s="277"/>
      <c r="Z2998" s="277"/>
      <c r="AA2998" s="277"/>
      <c r="AB2998" s="277"/>
      <c r="AC2998" s="277"/>
      <c r="AD2998" s="277"/>
      <c r="AE2998" s="277"/>
      <c r="AF2998" s="277"/>
      <c r="AG2998" s="277"/>
      <c r="AH2998" s="277"/>
    </row>
    <row r="2999" spans="16:34" s="185" customFormat="1">
      <c r="P2999" s="277"/>
      <c r="Q2999" s="277"/>
      <c r="R2999" s="277"/>
      <c r="S2999" s="291">
        <v>44555</v>
      </c>
      <c r="T2999" s="279">
        <v>2916</v>
      </c>
      <c r="U2999" s="277"/>
      <c r="V2999" s="277"/>
      <c r="W2999" s="277"/>
      <c r="X2999" s="277"/>
      <c r="Y2999" s="277"/>
      <c r="Z2999" s="277"/>
      <c r="AA2999" s="277"/>
      <c r="AB2999" s="277"/>
      <c r="AC2999" s="277"/>
      <c r="AD2999" s="277"/>
      <c r="AE2999" s="277"/>
      <c r="AF2999" s="277"/>
      <c r="AG2999" s="277"/>
      <c r="AH2999" s="277"/>
    </row>
    <row r="3000" spans="16:34" s="185" customFormat="1">
      <c r="P3000" s="277"/>
      <c r="Q3000" s="277"/>
      <c r="R3000" s="277"/>
      <c r="S3000" s="291">
        <v>44556</v>
      </c>
      <c r="T3000" s="279">
        <v>2917</v>
      </c>
      <c r="U3000" s="277"/>
      <c r="V3000" s="277"/>
      <c r="W3000" s="277"/>
      <c r="X3000" s="277"/>
      <c r="Y3000" s="277"/>
      <c r="Z3000" s="277"/>
      <c r="AA3000" s="277"/>
      <c r="AB3000" s="277"/>
      <c r="AC3000" s="277"/>
      <c r="AD3000" s="277"/>
      <c r="AE3000" s="277"/>
      <c r="AF3000" s="277"/>
      <c r="AG3000" s="277"/>
      <c r="AH3000" s="277"/>
    </row>
    <row r="3001" spans="16:34" s="185" customFormat="1">
      <c r="P3001" s="277"/>
      <c r="Q3001" s="277"/>
      <c r="R3001" s="277"/>
      <c r="S3001" s="291">
        <v>44557</v>
      </c>
      <c r="T3001" s="279">
        <v>2918</v>
      </c>
      <c r="U3001" s="277"/>
      <c r="V3001" s="277"/>
      <c r="W3001" s="277"/>
      <c r="X3001" s="277"/>
      <c r="Y3001" s="277"/>
      <c r="Z3001" s="277"/>
      <c r="AA3001" s="277"/>
      <c r="AB3001" s="277"/>
      <c r="AC3001" s="277"/>
      <c r="AD3001" s="277"/>
      <c r="AE3001" s="277"/>
      <c r="AF3001" s="277"/>
      <c r="AG3001" s="277"/>
      <c r="AH3001" s="277"/>
    </row>
    <row r="3002" spans="16:34" s="185" customFormat="1">
      <c r="P3002" s="277"/>
      <c r="Q3002" s="277"/>
      <c r="R3002" s="277"/>
      <c r="S3002" s="291">
        <v>44558</v>
      </c>
      <c r="T3002" s="279">
        <v>2919</v>
      </c>
      <c r="U3002" s="277"/>
      <c r="V3002" s="277"/>
      <c r="W3002" s="277"/>
      <c r="X3002" s="277"/>
      <c r="Y3002" s="277"/>
      <c r="Z3002" s="277"/>
      <c r="AA3002" s="277"/>
      <c r="AB3002" s="277"/>
      <c r="AC3002" s="277"/>
      <c r="AD3002" s="277"/>
      <c r="AE3002" s="277"/>
      <c r="AF3002" s="277"/>
      <c r="AG3002" s="277"/>
      <c r="AH3002" s="277"/>
    </row>
    <row r="3003" spans="16:34" s="185" customFormat="1">
      <c r="P3003" s="277"/>
      <c r="Q3003" s="277"/>
      <c r="R3003" s="277"/>
      <c r="S3003" s="291">
        <v>44559</v>
      </c>
      <c r="T3003" s="279">
        <v>2920</v>
      </c>
      <c r="U3003" s="277"/>
      <c r="V3003" s="277"/>
      <c r="W3003" s="277"/>
      <c r="X3003" s="277"/>
      <c r="Y3003" s="277"/>
      <c r="Z3003" s="277"/>
      <c r="AA3003" s="277"/>
      <c r="AB3003" s="277"/>
      <c r="AC3003" s="277"/>
      <c r="AD3003" s="277"/>
      <c r="AE3003" s="277"/>
      <c r="AF3003" s="277"/>
      <c r="AG3003" s="277"/>
      <c r="AH3003" s="277"/>
    </row>
    <row r="3004" spans="16:34" s="185" customFormat="1">
      <c r="P3004" s="277"/>
      <c r="Q3004" s="277"/>
      <c r="R3004" s="277"/>
      <c r="S3004" s="291">
        <v>44560</v>
      </c>
      <c r="T3004" s="279">
        <v>2921</v>
      </c>
      <c r="U3004" s="277"/>
      <c r="V3004" s="277"/>
      <c r="W3004" s="277"/>
      <c r="X3004" s="277"/>
      <c r="Y3004" s="277"/>
      <c r="Z3004" s="277"/>
      <c r="AA3004" s="277"/>
      <c r="AB3004" s="277"/>
      <c r="AC3004" s="277"/>
      <c r="AD3004" s="277"/>
      <c r="AE3004" s="277"/>
      <c r="AF3004" s="277"/>
      <c r="AG3004" s="277"/>
      <c r="AH3004" s="277"/>
    </row>
    <row r="3005" spans="16:34" s="185" customFormat="1">
      <c r="P3005" s="277"/>
      <c r="Q3005" s="277"/>
      <c r="R3005" s="277"/>
      <c r="S3005" s="291">
        <v>44561</v>
      </c>
      <c r="T3005" s="279">
        <v>2922</v>
      </c>
      <c r="U3005" s="277"/>
      <c r="V3005" s="277"/>
      <c r="W3005" s="277"/>
      <c r="X3005" s="277"/>
      <c r="Y3005" s="277"/>
      <c r="Z3005" s="277"/>
      <c r="AA3005" s="277"/>
      <c r="AB3005" s="277"/>
      <c r="AC3005" s="277"/>
      <c r="AD3005" s="277"/>
      <c r="AE3005" s="277"/>
      <c r="AF3005" s="277"/>
      <c r="AG3005" s="277"/>
      <c r="AH3005" s="277"/>
    </row>
    <row r="3006" spans="16:34" s="185" customFormat="1">
      <c r="P3006" s="277"/>
      <c r="Q3006" s="277"/>
      <c r="R3006" s="277"/>
      <c r="S3006" s="291">
        <v>44562</v>
      </c>
      <c r="T3006" s="279">
        <v>2923</v>
      </c>
      <c r="U3006" s="277"/>
      <c r="V3006" s="277"/>
      <c r="W3006" s="277"/>
      <c r="X3006" s="277"/>
      <c r="Y3006" s="277"/>
      <c r="Z3006" s="277"/>
      <c r="AA3006" s="277"/>
      <c r="AB3006" s="277"/>
      <c r="AC3006" s="277"/>
      <c r="AD3006" s="277"/>
      <c r="AE3006" s="277"/>
      <c r="AF3006" s="277"/>
      <c r="AG3006" s="277"/>
      <c r="AH3006" s="277"/>
    </row>
    <row r="3007" spans="16:34" s="185" customFormat="1">
      <c r="P3007" s="277"/>
      <c r="Q3007" s="277"/>
      <c r="R3007" s="277"/>
      <c r="S3007" s="291">
        <v>44563</v>
      </c>
      <c r="T3007" s="279">
        <v>2924</v>
      </c>
      <c r="U3007" s="277"/>
      <c r="V3007" s="277"/>
      <c r="W3007" s="277"/>
      <c r="X3007" s="277"/>
      <c r="Y3007" s="277"/>
      <c r="Z3007" s="277"/>
      <c r="AA3007" s="277"/>
      <c r="AB3007" s="277"/>
      <c r="AC3007" s="277"/>
      <c r="AD3007" s="277"/>
      <c r="AE3007" s="277"/>
      <c r="AF3007" s="277"/>
      <c r="AG3007" s="277"/>
      <c r="AH3007" s="277"/>
    </row>
    <row r="3008" spans="16:34" s="185" customFormat="1">
      <c r="P3008" s="277"/>
      <c r="Q3008" s="277"/>
      <c r="R3008" s="277"/>
      <c r="S3008" s="291">
        <v>44564</v>
      </c>
      <c r="T3008" s="279">
        <v>2925</v>
      </c>
      <c r="U3008" s="277"/>
      <c r="V3008" s="277"/>
      <c r="W3008" s="277"/>
      <c r="X3008" s="277"/>
      <c r="Y3008" s="277"/>
      <c r="Z3008" s="277"/>
      <c r="AA3008" s="277"/>
      <c r="AB3008" s="277"/>
      <c r="AC3008" s="277"/>
      <c r="AD3008" s="277"/>
      <c r="AE3008" s="277"/>
      <c r="AF3008" s="277"/>
      <c r="AG3008" s="277"/>
      <c r="AH3008" s="277"/>
    </row>
    <row r="3009" spans="16:34" s="185" customFormat="1">
      <c r="P3009" s="277"/>
      <c r="Q3009" s="277"/>
      <c r="R3009" s="277"/>
      <c r="S3009" s="291">
        <v>44565</v>
      </c>
      <c r="T3009" s="279">
        <v>2926</v>
      </c>
      <c r="U3009" s="277"/>
      <c r="V3009" s="277"/>
      <c r="W3009" s="277"/>
      <c r="X3009" s="277"/>
      <c r="Y3009" s="277"/>
      <c r="Z3009" s="277"/>
      <c r="AA3009" s="277"/>
      <c r="AB3009" s="277"/>
      <c r="AC3009" s="277"/>
      <c r="AD3009" s="277"/>
      <c r="AE3009" s="277"/>
      <c r="AF3009" s="277"/>
      <c r="AG3009" s="277"/>
      <c r="AH3009" s="277"/>
    </row>
    <row r="3010" spans="16:34" s="185" customFormat="1">
      <c r="P3010" s="277"/>
      <c r="Q3010" s="277"/>
      <c r="R3010" s="277"/>
      <c r="S3010" s="291">
        <v>44566</v>
      </c>
      <c r="T3010" s="279">
        <v>2927</v>
      </c>
      <c r="U3010" s="277"/>
      <c r="V3010" s="277"/>
      <c r="W3010" s="277"/>
      <c r="X3010" s="277"/>
      <c r="Y3010" s="277"/>
      <c r="Z3010" s="277"/>
      <c r="AA3010" s="277"/>
      <c r="AB3010" s="277"/>
      <c r="AC3010" s="277"/>
      <c r="AD3010" s="277"/>
      <c r="AE3010" s="277"/>
      <c r="AF3010" s="277"/>
      <c r="AG3010" s="277"/>
      <c r="AH3010" s="277"/>
    </row>
    <row r="3011" spans="16:34" s="185" customFormat="1">
      <c r="P3011" s="277"/>
      <c r="Q3011" s="277"/>
      <c r="R3011" s="277"/>
      <c r="S3011" s="291">
        <v>44567</v>
      </c>
      <c r="T3011" s="279">
        <v>2928</v>
      </c>
      <c r="U3011" s="277"/>
      <c r="V3011" s="277"/>
      <c r="W3011" s="277"/>
      <c r="X3011" s="277"/>
      <c r="Y3011" s="277"/>
      <c r="Z3011" s="277"/>
      <c r="AA3011" s="277"/>
      <c r="AB3011" s="277"/>
      <c r="AC3011" s="277"/>
      <c r="AD3011" s="277"/>
      <c r="AE3011" s="277"/>
      <c r="AF3011" s="277"/>
      <c r="AG3011" s="277"/>
      <c r="AH3011" s="277"/>
    </row>
    <row r="3012" spans="16:34" s="185" customFormat="1">
      <c r="P3012" s="277"/>
      <c r="Q3012" s="277"/>
      <c r="R3012" s="277"/>
      <c r="S3012" s="291">
        <v>44568</v>
      </c>
      <c r="T3012" s="279">
        <v>2929</v>
      </c>
      <c r="U3012" s="277"/>
      <c r="V3012" s="277"/>
      <c r="W3012" s="277"/>
      <c r="X3012" s="277"/>
      <c r="Y3012" s="277"/>
      <c r="Z3012" s="277"/>
      <c r="AA3012" s="277"/>
      <c r="AB3012" s="277"/>
      <c r="AC3012" s="277"/>
      <c r="AD3012" s="277"/>
      <c r="AE3012" s="277"/>
      <c r="AF3012" s="277"/>
      <c r="AG3012" s="277"/>
      <c r="AH3012" s="277"/>
    </row>
    <row r="3013" spans="16:34" s="185" customFormat="1">
      <c r="P3013" s="277"/>
      <c r="Q3013" s="277"/>
      <c r="R3013" s="277"/>
      <c r="S3013" s="291">
        <v>44569</v>
      </c>
      <c r="T3013" s="279">
        <v>2930</v>
      </c>
      <c r="U3013" s="277"/>
      <c r="V3013" s="277"/>
      <c r="W3013" s="277"/>
      <c r="X3013" s="277"/>
      <c r="Y3013" s="277"/>
      <c r="Z3013" s="277"/>
      <c r="AA3013" s="277"/>
      <c r="AB3013" s="277"/>
      <c r="AC3013" s="277"/>
      <c r="AD3013" s="277"/>
      <c r="AE3013" s="277"/>
      <c r="AF3013" s="277"/>
      <c r="AG3013" s="277"/>
      <c r="AH3013" s="277"/>
    </row>
    <row r="3014" spans="16:34" s="185" customFormat="1">
      <c r="P3014" s="277"/>
      <c r="Q3014" s="277"/>
      <c r="R3014" s="277"/>
      <c r="S3014" s="291">
        <v>44570</v>
      </c>
      <c r="T3014" s="279">
        <v>2931</v>
      </c>
      <c r="U3014" s="277"/>
      <c r="V3014" s="277"/>
      <c r="W3014" s="277"/>
      <c r="X3014" s="277"/>
      <c r="Y3014" s="277"/>
      <c r="Z3014" s="277"/>
      <c r="AA3014" s="277"/>
      <c r="AB3014" s="277"/>
      <c r="AC3014" s="277"/>
      <c r="AD3014" s="277"/>
      <c r="AE3014" s="277"/>
      <c r="AF3014" s="277"/>
      <c r="AG3014" s="277"/>
      <c r="AH3014" s="277"/>
    </row>
    <row r="3015" spans="16:34" s="185" customFormat="1">
      <c r="P3015" s="277"/>
      <c r="Q3015" s="277"/>
      <c r="R3015" s="277"/>
      <c r="S3015" s="291">
        <v>44571</v>
      </c>
      <c r="T3015" s="279">
        <v>2932</v>
      </c>
      <c r="U3015" s="277"/>
      <c r="V3015" s="277"/>
      <c r="W3015" s="277"/>
      <c r="X3015" s="277"/>
      <c r="Y3015" s="277"/>
      <c r="Z3015" s="277"/>
      <c r="AA3015" s="277"/>
      <c r="AB3015" s="277"/>
      <c r="AC3015" s="277"/>
      <c r="AD3015" s="277"/>
      <c r="AE3015" s="277"/>
      <c r="AF3015" s="277"/>
      <c r="AG3015" s="277"/>
      <c r="AH3015" s="277"/>
    </row>
    <row r="3016" spans="16:34" s="185" customFormat="1">
      <c r="P3016" s="277"/>
      <c r="Q3016" s="277"/>
      <c r="R3016" s="277"/>
      <c r="S3016" s="291">
        <v>44572</v>
      </c>
      <c r="T3016" s="279">
        <v>2933</v>
      </c>
      <c r="U3016" s="277"/>
      <c r="V3016" s="277"/>
      <c r="W3016" s="277"/>
      <c r="X3016" s="277"/>
      <c r="Y3016" s="277"/>
      <c r="Z3016" s="277"/>
      <c r="AA3016" s="277"/>
      <c r="AB3016" s="277"/>
      <c r="AC3016" s="277"/>
      <c r="AD3016" s="277"/>
      <c r="AE3016" s="277"/>
      <c r="AF3016" s="277"/>
      <c r="AG3016" s="277"/>
      <c r="AH3016" s="277"/>
    </row>
    <row r="3017" spans="16:34" s="185" customFormat="1">
      <c r="P3017" s="277"/>
      <c r="Q3017" s="277"/>
      <c r="R3017" s="277"/>
      <c r="S3017" s="291">
        <v>44573</v>
      </c>
      <c r="T3017" s="279">
        <v>2934</v>
      </c>
      <c r="U3017" s="277"/>
      <c r="V3017" s="277"/>
      <c r="W3017" s="277"/>
      <c r="X3017" s="277"/>
      <c r="Y3017" s="277"/>
      <c r="Z3017" s="277"/>
      <c r="AA3017" s="277"/>
      <c r="AB3017" s="277"/>
      <c r="AC3017" s="277"/>
      <c r="AD3017" s="277"/>
      <c r="AE3017" s="277"/>
      <c r="AF3017" s="277"/>
      <c r="AG3017" s="277"/>
      <c r="AH3017" s="277"/>
    </row>
    <row r="3018" spans="16:34" s="185" customFormat="1">
      <c r="P3018" s="277"/>
      <c r="Q3018" s="277"/>
      <c r="R3018" s="277"/>
      <c r="S3018" s="291">
        <v>44574</v>
      </c>
      <c r="T3018" s="279">
        <v>2935</v>
      </c>
      <c r="U3018" s="277"/>
      <c r="V3018" s="277"/>
      <c r="W3018" s="277"/>
      <c r="X3018" s="277"/>
      <c r="Y3018" s="277"/>
      <c r="Z3018" s="277"/>
      <c r="AA3018" s="277"/>
      <c r="AB3018" s="277"/>
      <c r="AC3018" s="277"/>
      <c r="AD3018" s="277"/>
      <c r="AE3018" s="277"/>
      <c r="AF3018" s="277"/>
      <c r="AG3018" s="277"/>
      <c r="AH3018" s="277"/>
    </row>
    <row r="3019" spans="16:34" s="185" customFormat="1">
      <c r="P3019" s="277"/>
      <c r="Q3019" s="277"/>
      <c r="R3019" s="277"/>
      <c r="S3019" s="291">
        <v>44575</v>
      </c>
      <c r="T3019" s="279">
        <v>2936</v>
      </c>
      <c r="U3019" s="277"/>
      <c r="V3019" s="277"/>
      <c r="W3019" s="277"/>
      <c r="X3019" s="277"/>
      <c r="Y3019" s="277"/>
      <c r="Z3019" s="277"/>
      <c r="AA3019" s="277"/>
      <c r="AB3019" s="277"/>
      <c r="AC3019" s="277"/>
      <c r="AD3019" s="277"/>
      <c r="AE3019" s="277"/>
      <c r="AF3019" s="277"/>
      <c r="AG3019" s="277"/>
      <c r="AH3019" s="277"/>
    </row>
    <row r="3020" spans="16:34" s="185" customFormat="1">
      <c r="P3020" s="277"/>
      <c r="Q3020" s="277"/>
      <c r="R3020" s="277"/>
      <c r="S3020" s="291">
        <v>44576</v>
      </c>
      <c r="T3020" s="279">
        <v>2937</v>
      </c>
      <c r="U3020" s="277"/>
      <c r="V3020" s="277"/>
      <c r="W3020" s="277"/>
      <c r="X3020" s="277"/>
      <c r="Y3020" s="277"/>
      <c r="Z3020" s="277"/>
      <c r="AA3020" s="277"/>
      <c r="AB3020" s="277"/>
      <c r="AC3020" s="277"/>
      <c r="AD3020" s="277"/>
      <c r="AE3020" s="277"/>
      <c r="AF3020" s="277"/>
      <c r="AG3020" s="277"/>
      <c r="AH3020" s="277"/>
    </row>
    <row r="3021" spans="16:34" s="185" customFormat="1">
      <c r="P3021" s="277"/>
      <c r="Q3021" s="277"/>
      <c r="R3021" s="277"/>
      <c r="S3021" s="291">
        <v>44577</v>
      </c>
      <c r="T3021" s="279">
        <v>2938</v>
      </c>
      <c r="U3021" s="277"/>
      <c r="V3021" s="277"/>
      <c r="W3021" s="277"/>
      <c r="X3021" s="277"/>
      <c r="Y3021" s="277"/>
      <c r="Z3021" s="277"/>
      <c r="AA3021" s="277"/>
      <c r="AB3021" s="277"/>
      <c r="AC3021" s="277"/>
      <c r="AD3021" s="277"/>
      <c r="AE3021" s="277"/>
      <c r="AF3021" s="277"/>
      <c r="AG3021" s="277"/>
      <c r="AH3021" s="277"/>
    </row>
    <row r="3022" spans="16:34" s="185" customFormat="1">
      <c r="P3022" s="277"/>
      <c r="Q3022" s="277"/>
      <c r="R3022" s="277"/>
      <c r="S3022" s="291">
        <v>44578</v>
      </c>
      <c r="T3022" s="279">
        <v>2939</v>
      </c>
      <c r="U3022" s="277"/>
      <c r="V3022" s="277"/>
      <c r="W3022" s="277"/>
      <c r="X3022" s="277"/>
      <c r="Y3022" s="277"/>
      <c r="Z3022" s="277"/>
      <c r="AA3022" s="277"/>
      <c r="AB3022" s="277"/>
      <c r="AC3022" s="277"/>
      <c r="AD3022" s="277"/>
      <c r="AE3022" s="277"/>
      <c r="AF3022" s="277"/>
      <c r="AG3022" s="277"/>
      <c r="AH3022" s="277"/>
    </row>
    <row r="3023" spans="16:34" s="185" customFormat="1">
      <c r="P3023" s="277"/>
      <c r="Q3023" s="277"/>
      <c r="R3023" s="277"/>
      <c r="S3023" s="291">
        <v>44579</v>
      </c>
      <c r="T3023" s="279">
        <v>2940</v>
      </c>
      <c r="U3023" s="277"/>
      <c r="V3023" s="277"/>
      <c r="W3023" s="277"/>
      <c r="X3023" s="277"/>
      <c r="Y3023" s="277"/>
      <c r="Z3023" s="277"/>
      <c r="AA3023" s="277"/>
      <c r="AB3023" s="277"/>
      <c r="AC3023" s="277"/>
      <c r="AD3023" s="277"/>
      <c r="AE3023" s="277"/>
      <c r="AF3023" s="277"/>
      <c r="AG3023" s="277"/>
      <c r="AH3023" s="277"/>
    </row>
    <row r="3024" spans="16:34" s="185" customFormat="1">
      <c r="P3024" s="277"/>
      <c r="Q3024" s="277"/>
      <c r="R3024" s="277"/>
      <c r="S3024" s="291">
        <v>44580</v>
      </c>
      <c r="T3024" s="279">
        <v>2941</v>
      </c>
      <c r="U3024" s="277"/>
      <c r="V3024" s="277"/>
      <c r="W3024" s="277"/>
      <c r="X3024" s="277"/>
      <c r="Y3024" s="277"/>
      <c r="Z3024" s="277"/>
      <c r="AA3024" s="277"/>
      <c r="AB3024" s="277"/>
      <c r="AC3024" s="277"/>
      <c r="AD3024" s="277"/>
      <c r="AE3024" s="277"/>
      <c r="AF3024" s="277"/>
      <c r="AG3024" s="277"/>
      <c r="AH3024" s="277"/>
    </row>
    <row r="3025" spans="16:34" s="185" customFormat="1">
      <c r="P3025" s="277"/>
      <c r="Q3025" s="277"/>
      <c r="R3025" s="277"/>
      <c r="S3025" s="291">
        <v>44581</v>
      </c>
      <c r="T3025" s="279">
        <v>2942</v>
      </c>
      <c r="U3025" s="277"/>
      <c r="V3025" s="277"/>
      <c r="W3025" s="277"/>
      <c r="X3025" s="277"/>
      <c r="Y3025" s="277"/>
      <c r="Z3025" s="277"/>
      <c r="AA3025" s="277"/>
      <c r="AB3025" s="277"/>
      <c r="AC3025" s="277"/>
      <c r="AD3025" s="277"/>
      <c r="AE3025" s="277"/>
      <c r="AF3025" s="277"/>
      <c r="AG3025" s="277"/>
      <c r="AH3025" s="277"/>
    </row>
    <row r="3026" spans="16:34" s="185" customFormat="1">
      <c r="P3026" s="277"/>
      <c r="Q3026" s="277"/>
      <c r="R3026" s="277"/>
      <c r="S3026" s="291">
        <v>44582</v>
      </c>
      <c r="T3026" s="279">
        <v>2943</v>
      </c>
      <c r="U3026" s="277"/>
      <c r="V3026" s="277"/>
      <c r="W3026" s="277"/>
      <c r="X3026" s="277"/>
      <c r="Y3026" s="277"/>
      <c r="Z3026" s="277"/>
      <c r="AA3026" s="277"/>
      <c r="AB3026" s="277"/>
      <c r="AC3026" s="277"/>
      <c r="AD3026" s="277"/>
      <c r="AE3026" s="277"/>
      <c r="AF3026" s="277"/>
      <c r="AG3026" s="277"/>
      <c r="AH3026" s="277"/>
    </row>
    <row r="3027" spans="16:34" s="185" customFormat="1">
      <c r="P3027" s="277"/>
      <c r="Q3027" s="277"/>
      <c r="R3027" s="277"/>
      <c r="S3027" s="291">
        <v>44583</v>
      </c>
      <c r="T3027" s="279">
        <v>2944</v>
      </c>
      <c r="U3027" s="277"/>
      <c r="V3027" s="277"/>
      <c r="W3027" s="277"/>
      <c r="X3027" s="277"/>
      <c r="Y3027" s="277"/>
      <c r="Z3027" s="277"/>
      <c r="AA3027" s="277"/>
      <c r="AB3027" s="277"/>
      <c r="AC3027" s="277"/>
      <c r="AD3027" s="277"/>
      <c r="AE3027" s="277"/>
      <c r="AF3027" s="277"/>
      <c r="AG3027" s="277"/>
      <c r="AH3027" s="277"/>
    </row>
    <row r="3028" spans="16:34" s="185" customFormat="1">
      <c r="P3028" s="277"/>
      <c r="Q3028" s="277"/>
      <c r="R3028" s="277"/>
      <c r="S3028" s="291">
        <v>44584</v>
      </c>
      <c r="T3028" s="279">
        <v>2945</v>
      </c>
      <c r="U3028" s="277"/>
      <c r="V3028" s="277"/>
      <c r="W3028" s="277"/>
      <c r="X3028" s="277"/>
      <c r="Y3028" s="277"/>
      <c r="Z3028" s="277"/>
      <c r="AA3028" s="277"/>
      <c r="AB3028" s="277"/>
      <c r="AC3028" s="277"/>
      <c r="AD3028" s="277"/>
      <c r="AE3028" s="277"/>
      <c r="AF3028" s="277"/>
      <c r="AG3028" s="277"/>
      <c r="AH3028" s="277"/>
    </row>
    <row r="3029" spans="16:34" s="185" customFormat="1">
      <c r="P3029" s="277"/>
      <c r="Q3029" s="277"/>
      <c r="R3029" s="277"/>
      <c r="S3029" s="291">
        <v>44585</v>
      </c>
      <c r="T3029" s="279">
        <v>2946</v>
      </c>
      <c r="U3029" s="277"/>
      <c r="V3029" s="277"/>
      <c r="W3029" s="277"/>
      <c r="X3029" s="277"/>
      <c r="Y3029" s="277"/>
      <c r="Z3029" s="277"/>
      <c r="AA3029" s="277"/>
      <c r="AB3029" s="277"/>
      <c r="AC3029" s="277"/>
      <c r="AD3029" s="277"/>
      <c r="AE3029" s="277"/>
      <c r="AF3029" s="277"/>
      <c r="AG3029" s="277"/>
      <c r="AH3029" s="277"/>
    </row>
    <row r="3030" spans="16:34" s="185" customFormat="1">
      <c r="P3030" s="277"/>
      <c r="Q3030" s="277"/>
      <c r="R3030" s="277"/>
      <c r="S3030" s="291">
        <v>44586</v>
      </c>
      <c r="T3030" s="279">
        <v>2947</v>
      </c>
      <c r="U3030" s="277"/>
      <c r="V3030" s="277"/>
      <c r="W3030" s="277"/>
      <c r="X3030" s="277"/>
      <c r="Y3030" s="277"/>
      <c r="Z3030" s="277"/>
      <c r="AA3030" s="277"/>
      <c r="AB3030" s="277"/>
      <c r="AC3030" s="277"/>
      <c r="AD3030" s="277"/>
      <c r="AE3030" s="277"/>
      <c r="AF3030" s="277"/>
      <c r="AG3030" s="277"/>
      <c r="AH3030" s="277"/>
    </row>
    <row r="3031" spans="16:34" s="185" customFormat="1">
      <c r="P3031" s="277"/>
      <c r="Q3031" s="277"/>
      <c r="R3031" s="277"/>
      <c r="S3031" s="291">
        <v>44587</v>
      </c>
      <c r="T3031" s="279">
        <v>2948</v>
      </c>
      <c r="U3031" s="277"/>
      <c r="V3031" s="277"/>
      <c r="W3031" s="277"/>
      <c r="X3031" s="277"/>
      <c r="Y3031" s="277"/>
      <c r="Z3031" s="277"/>
      <c r="AA3031" s="277"/>
      <c r="AB3031" s="277"/>
      <c r="AC3031" s="277"/>
      <c r="AD3031" s="277"/>
      <c r="AE3031" s="277"/>
      <c r="AF3031" s="277"/>
      <c r="AG3031" s="277"/>
      <c r="AH3031" s="277"/>
    </row>
    <row r="3032" spans="16:34" s="185" customFormat="1">
      <c r="P3032" s="277"/>
      <c r="Q3032" s="277"/>
      <c r="R3032" s="277"/>
      <c r="S3032" s="291">
        <v>44588</v>
      </c>
      <c r="T3032" s="279">
        <v>2949</v>
      </c>
      <c r="U3032" s="277"/>
      <c r="V3032" s="277"/>
      <c r="W3032" s="277"/>
      <c r="X3032" s="277"/>
      <c r="Y3032" s="277"/>
      <c r="Z3032" s="277"/>
      <c r="AA3032" s="277"/>
      <c r="AB3032" s="277"/>
      <c r="AC3032" s="277"/>
      <c r="AD3032" s="277"/>
      <c r="AE3032" s="277"/>
      <c r="AF3032" s="277"/>
      <c r="AG3032" s="277"/>
      <c r="AH3032" s="277"/>
    </row>
    <row r="3033" spans="16:34" s="185" customFormat="1">
      <c r="P3033" s="277"/>
      <c r="Q3033" s="277"/>
      <c r="R3033" s="277"/>
      <c r="S3033" s="291">
        <v>44589</v>
      </c>
      <c r="T3033" s="279">
        <v>2950</v>
      </c>
      <c r="U3033" s="277"/>
      <c r="V3033" s="277"/>
      <c r="W3033" s="277"/>
      <c r="X3033" s="277"/>
      <c r="Y3033" s="277"/>
      <c r="Z3033" s="277"/>
      <c r="AA3033" s="277"/>
      <c r="AB3033" s="277"/>
      <c r="AC3033" s="277"/>
      <c r="AD3033" s="277"/>
      <c r="AE3033" s="277"/>
      <c r="AF3033" s="277"/>
      <c r="AG3033" s="277"/>
      <c r="AH3033" s="277"/>
    </row>
    <row r="3034" spans="16:34" s="185" customFormat="1">
      <c r="P3034" s="277"/>
      <c r="Q3034" s="277"/>
      <c r="R3034" s="277"/>
      <c r="S3034" s="291">
        <v>44590</v>
      </c>
      <c r="T3034" s="279">
        <v>2951</v>
      </c>
      <c r="U3034" s="277"/>
      <c r="V3034" s="277"/>
      <c r="W3034" s="277"/>
      <c r="X3034" s="277"/>
      <c r="Y3034" s="277"/>
      <c r="Z3034" s="277"/>
      <c r="AA3034" s="277"/>
      <c r="AB3034" s="277"/>
      <c r="AC3034" s="277"/>
      <c r="AD3034" s="277"/>
      <c r="AE3034" s="277"/>
      <c r="AF3034" s="277"/>
      <c r="AG3034" s="277"/>
      <c r="AH3034" s="277"/>
    </row>
    <row r="3035" spans="16:34" s="185" customFormat="1">
      <c r="P3035" s="277"/>
      <c r="Q3035" s="277"/>
      <c r="R3035" s="277"/>
      <c r="S3035" s="291">
        <v>44591</v>
      </c>
      <c r="T3035" s="279">
        <v>2952</v>
      </c>
      <c r="U3035" s="277"/>
      <c r="V3035" s="277"/>
      <c r="W3035" s="277"/>
      <c r="X3035" s="277"/>
      <c r="Y3035" s="277"/>
      <c r="Z3035" s="277"/>
      <c r="AA3035" s="277"/>
      <c r="AB3035" s="277"/>
      <c r="AC3035" s="277"/>
      <c r="AD3035" s="277"/>
      <c r="AE3035" s="277"/>
      <c r="AF3035" s="277"/>
      <c r="AG3035" s="277"/>
      <c r="AH3035" s="277"/>
    </row>
    <row r="3036" spans="16:34" s="185" customFormat="1">
      <c r="P3036" s="277"/>
      <c r="Q3036" s="277"/>
      <c r="R3036" s="277"/>
      <c r="S3036" s="291">
        <v>44592</v>
      </c>
      <c r="T3036" s="279">
        <v>2953</v>
      </c>
      <c r="U3036" s="277"/>
      <c r="V3036" s="277"/>
      <c r="W3036" s="277"/>
      <c r="X3036" s="277"/>
      <c r="Y3036" s="277"/>
      <c r="Z3036" s="277"/>
      <c r="AA3036" s="277"/>
      <c r="AB3036" s="277"/>
      <c r="AC3036" s="277"/>
      <c r="AD3036" s="277"/>
      <c r="AE3036" s="277"/>
      <c r="AF3036" s="277"/>
      <c r="AG3036" s="277"/>
      <c r="AH3036" s="277"/>
    </row>
    <row r="3037" spans="16:34" s="185" customFormat="1">
      <c r="P3037" s="277"/>
      <c r="Q3037" s="277"/>
      <c r="R3037" s="277"/>
      <c r="S3037" s="291">
        <v>44593</v>
      </c>
      <c r="T3037" s="279">
        <v>2954</v>
      </c>
      <c r="U3037" s="277"/>
      <c r="V3037" s="277"/>
      <c r="W3037" s="277"/>
      <c r="X3037" s="277"/>
      <c r="Y3037" s="277"/>
      <c r="Z3037" s="277"/>
      <c r="AA3037" s="277"/>
      <c r="AB3037" s="277"/>
      <c r="AC3037" s="277"/>
      <c r="AD3037" s="277"/>
      <c r="AE3037" s="277"/>
      <c r="AF3037" s="277"/>
      <c r="AG3037" s="277"/>
      <c r="AH3037" s="277"/>
    </row>
    <row r="3038" spans="16:34" s="185" customFormat="1">
      <c r="P3038" s="277"/>
      <c r="Q3038" s="277"/>
      <c r="R3038" s="277"/>
      <c r="S3038" s="291">
        <v>44594</v>
      </c>
      <c r="T3038" s="279">
        <v>2955</v>
      </c>
      <c r="U3038" s="277"/>
      <c r="V3038" s="277"/>
      <c r="W3038" s="277"/>
      <c r="X3038" s="277"/>
      <c r="Y3038" s="277"/>
      <c r="Z3038" s="277"/>
      <c r="AA3038" s="277"/>
      <c r="AB3038" s="277"/>
      <c r="AC3038" s="277"/>
      <c r="AD3038" s="277"/>
      <c r="AE3038" s="277"/>
      <c r="AF3038" s="277"/>
      <c r="AG3038" s="277"/>
      <c r="AH3038" s="277"/>
    </row>
    <row r="3039" spans="16:34" s="185" customFormat="1">
      <c r="P3039" s="277"/>
      <c r="Q3039" s="277"/>
      <c r="R3039" s="277"/>
      <c r="S3039" s="291">
        <v>44595</v>
      </c>
      <c r="T3039" s="279">
        <v>2956</v>
      </c>
      <c r="U3039" s="277"/>
      <c r="V3039" s="277"/>
      <c r="W3039" s="277"/>
      <c r="X3039" s="277"/>
      <c r="Y3039" s="277"/>
      <c r="Z3039" s="277"/>
      <c r="AA3039" s="277"/>
      <c r="AB3039" s="277"/>
      <c r="AC3039" s="277"/>
      <c r="AD3039" s="277"/>
      <c r="AE3039" s="277"/>
      <c r="AF3039" s="277"/>
      <c r="AG3039" s="277"/>
      <c r="AH3039" s="277"/>
    </row>
    <row r="3040" spans="16:34" s="185" customFormat="1">
      <c r="P3040" s="277"/>
      <c r="Q3040" s="277"/>
      <c r="R3040" s="277"/>
      <c r="S3040" s="291">
        <v>44596</v>
      </c>
      <c r="T3040" s="279">
        <v>2957</v>
      </c>
      <c r="U3040" s="277"/>
      <c r="V3040" s="277"/>
      <c r="W3040" s="277"/>
      <c r="X3040" s="277"/>
      <c r="Y3040" s="277"/>
      <c r="Z3040" s="277"/>
      <c r="AA3040" s="277"/>
      <c r="AB3040" s="277"/>
      <c r="AC3040" s="277"/>
      <c r="AD3040" s="277"/>
      <c r="AE3040" s="277"/>
      <c r="AF3040" s="277"/>
      <c r="AG3040" s="277"/>
      <c r="AH3040" s="277"/>
    </row>
    <row r="3041" spans="16:34" s="185" customFormat="1">
      <c r="P3041" s="277"/>
      <c r="Q3041" s="277"/>
      <c r="R3041" s="277"/>
      <c r="S3041" s="291">
        <v>44597</v>
      </c>
      <c r="T3041" s="279">
        <v>2958</v>
      </c>
      <c r="U3041" s="277"/>
      <c r="V3041" s="277"/>
      <c r="W3041" s="277"/>
      <c r="X3041" s="277"/>
      <c r="Y3041" s="277"/>
      <c r="Z3041" s="277"/>
      <c r="AA3041" s="277"/>
      <c r="AB3041" s="277"/>
      <c r="AC3041" s="277"/>
      <c r="AD3041" s="277"/>
      <c r="AE3041" s="277"/>
      <c r="AF3041" s="277"/>
      <c r="AG3041" s="277"/>
      <c r="AH3041" s="277"/>
    </row>
    <row r="3042" spans="16:34" s="185" customFormat="1">
      <c r="P3042" s="277"/>
      <c r="Q3042" s="277"/>
      <c r="R3042" s="277"/>
      <c r="S3042" s="291">
        <v>44598</v>
      </c>
      <c r="T3042" s="279">
        <v>2959</v>
      </c>
      <c r="U3042" s="277"/>
      <c r="V3042" s="277"/>
      <c r="W3042" s="277"/>
      <c r="X3042" s="277"/>
      <c r="Y3042" s="277"/>
      <c r="Z3042" s="277"/>
      <c r="AA3042" s="277"/>
      <c r="AB3042" s="277"/>
      <c r="AC3042" s="277"/>
      <c r="AD3042" s="277"/>
      <c r="AE3042" s="277"/>
      <c r="AF3042" s="277"/>
      <c r="AG3042" s="277"/>
      <c r="AH3042" s="277"/>
    </row>
    <row r="3043" spans="16:34" s="185" customFormat="1">
      <c r="P3043" s="277"/>
      <c r="Q3043" s="277"/>
      <c r="R3043" s="277"/>
      <c r="S3043" s="291">
        <v>44599</v>
      </c>
      <c r="T3043" s="279">
        <v>2960</v>
      </c>
      <c r="U3043" s="277"/>
      <c r="V3043" s="277"/>
      <c r="W3043" s="277"/>
      <c r="X3043" s="277"/>
      <c r="Y3043" s="277"/>
      <c r="Z3043" s="277"/>
      <c r="AA3043" s="277"/>
      <c r="AB3043" s="277"/>
      <c r="AC3043" s="277"/>
      <c r="AD3043" s="277"/>
      <c r="AE3043" s="277"/>
      <c r="AF3043" s="277"/>
      <c r="AG3043" s="277"/>
      <c r="AH3043" s="277"/>
    </row>
    <row r="3044" spans="16:34" s="185" customFormat="1">
      <c r="P3044" s="277"/>
      <c r="Q3044" s="277"/>
      <c r="R3044" s="277"/>
      <c r="S3044" s="291">
        <v>44600</v>
      </c>
      <c r="T3044" s="279">
        <v>2961</v>
      </c>
      <c r="U3044" s="277"/>
      <c r="V3044" s="277"/>
      <c r="W3044" s="277"/>
      <c r="X3044" s="277"/>
      <c r="Y3044" s="277"/>
      <c r="Z3044" s="277"/>
      <c r="AA3044" s="277"/>
      <c r="AB3044" s="277"/>
      <c r="AC3044" s="277"/>
      <c r="AD3044" s="277"/>
      <c r="AE3044" s="277"/>
      <c r="AF3044" s="277"/>
      <c r="AG3044" s="277"/>
      <c r="AH3044" s="277"/>
    </row>
    <row r="3045" spans="16:34" s="185" customFormat="1">
      <c r="P3045" s="277"/>
      <c r="Q3045" s="277"/>
      <c r="R3045" s="277"/>
      <c r="S3045" s="291">
        <v>44601</v>
      </c>
      <c r="T3045" s="279">
        <v>2962</v>
      </c>
      <c r="U3045" s="277"/>
      <c r="V3045" s="277"/>
      <c r="W3045" s="277"/>
      <c r="X3045" s="277"/>
      <c r="Y3045" s="277"/>
      <c r="Z3045" s="277"/>
      <c r="AA3045" s="277"/>
      <c r="AB3045" s="277"/>
      <c r="AC3045" s="277"/>
      <c r="AD3045" s="277"/>
      <c r="AE3045" s="277"/>
      <c r="AF3045" s="277"/>
      <c r="AG3045" s="277"/>
      <c r="AH3045" s="277"/>
    </row>
    <row r="3046" spans="16:34" s="185" customFormat="1">
      <c r="P3046" s="277"/>
      <c r="Q3046" s="277"/>
      <c r="R3046" s="277"/>
      <c r="S3046" s="291">
        <v>44602</v>
      </c>
      <c r="T3046" s="279">
        <v>2963</v>
      </c>
      <c r="U3046" s="277"/>
      <c r="V3046" s="277"/>
      <c r="W3046" s="277"/>
      <c r="X3046" s="277"/>
      <c r="Y3046" s="277"/>
      <c r="Z3046" s="277"/>
      <c r="AA3046" s="277"/>
      <c r="AB3046" s="277"/>
      <c r="AC3046" s="277"/>
      <c r="AD3046" s="277"/>
      <c r="AE3046" s="277"/>
      <c r="AF3046" s="277"/>
      <c r="AG3046" s="277"/>
      <c r="AH3046" s="277"/>
    </row>
    <row r="3047" spans="16:34" s="185" customFormat="1">
      <c r="P3047" s="277"/>
      <c r="Q3047" s="277"/>
      <c r="R3047" s="277"/>
      <c r="S3047" s="291">
        <v>44603</v>
      </c>
      <c r="T3047" s="279">
        <v>2964</v>
      </c>
      <c r="U3047" s="277"/>
      <c r="V3047" s="277"/>
      <c r="W3047" s="277"/>
      <c r="X3047" s="277"/>
      <c r="Y3047" s="277"/>
      <c r="Z3047" s="277"/>
      <c r="AA3047" s="277"/>
      <c r="AB3047" s="277"/>
      <c r="AC3047" s="277"/>
      <c r="AD3047" s="277"/>
      <c r="AE3047" s="277"/>
      <c r="AF3047" s="277"/>
      <c r="AG3047" s="277"/>
      <c r="AH3047" s="277"/>
    </row>
    <row r="3048" spans="16:34" s="185" customFormat="1">
      <c r="P3048" s="277"/>
      <c r="Q3048" s="277"/>
      <c r="R3048" s="277"/>
      <c r="S3048" s="291">
        <v>44604</v>
      </c>
      <c r="T3048" s="279">
        <v>2965</v>
      </c>
      <c r="U3048" s="277"/>
      <c r="V3048" s="277"/>
      <c r="W3048" s="277"/>
      <c r="X3048" s="277"/>
      <c r="Y3048" s="277"/>
      <c r="Z3048" s="277"/>
      <c r="AA3048" s="277"/>
      <c r="AB3048" s="277"/>
      <c r="AC3048" s="277"/>
      <c r="AD3048" s="277"/>
      <c r="AE3048" s="277"/>
      <c r="AF3048" s="277"/>
      <c r="AG3048" s="277"/>
      <c r="AH3048" s="277"/>
    </row>
    <row r="3049" spans="16:34" s="185" customFormat="1">
      <c r="P3049" s="277"/>
      <c r="Q3049" s="277"/>
      <c r="R3049" s="277"/>
      <c r="S3049" s="291">
        <v>44605</v>
      </c>
      <c r="T3049" s="279">
        <v>2966</v>
      </c>
      <c r="U3049" s="277"/>
      <c r="V3049" s="277"/>
      <c r="W3049" s="277"/>
      <c r="X3049" s="277"/>
      <c r="Y3049" s="277"/>
      <c r="Z3049" s="277"/>
      <c r="AA3049" s="277"/>
      <c r="AB3049" s="277"/>
      <c r="AC3049" s="277"/>
      <c r="AD3049" s="277"/>
      <c r="AE3049" s="277"/>
      <c r="AF3049" s="277"/>
      <c r="AG3049" s="277"/>
      <c r="AH3049" s="277"/>
    </row>
    <row r="3050" spans="16:34" s="185" customFormat="1">
      <c r="P3050" s="277"/>
      <c r="Q3050" s="277"/>
      <c r="R3050" s="277"/>
      <c r="S3050" s="291">
        <v>44606</v>
      </c>
      <c r="T3050" s="279">
        <v>2967</v>
      </c>
      <c r="U3050" s="277"/>
      <c r="V3050" s="277"/>
      <c r="W3050" s="277"/>
      <c r="X3050" s="277"/>
      <c r="Y3050" s="277"/>
      <c r="Z3050" s="277"/>
      <c r="AA3050" s="277"/>
      <c r="AB3050" s="277"/>
      <c r="AC3050" s="277"/>
      <c r="AD3050" s="277"/>
      <c r="AE3050" s="277"/>
      <c r="AF3050" s="277"/>
      <c r="AG3050" s="277"/>
      <c r="AH3050" s="277"/>
    </row>
    <row r="3051" spans="16:34" s="185" customFormat="1">
      <c r="P3051" s="277"/>
      <c r="Q3051" s="277"/>
      <c r="R3051" s="277"/>
      <c r="S3051" s="291">
        <v>44607</v>
      </c>
      <c r="T3051" s="279">
        <v>2968</v>
      </c>
      <c r="U3051" s="277"/>
      <c r="V3051" s="277"/>
      <c r="W3051" s="277"/>
      <c r="X3051" s="277"/>
      <c r="Y3051" s="277"/>
      <c r="Z3051" s="277"/>
      <c r="AA3051" s="277"/>
      <c r="AB3051" s="277"/>
      <c r="AC3051" s="277"/>
      <c r="AD3051" s="277"/>
      <c r="AE3051" s="277"/>
      <c r="AF3051" s="277"/>
      <c r="AG3051" s="277"/>
      <c r="AH3051" s="277"/>
    </row>
    <row r="3052" spans="16:34" s="185" customFormat="1">
      <c r="P3052" s="277"/>
      <c r="Q3052" s="277"/>
      <c r="R3052" s="277"/>
      <c r="S3052" s="291">
        <v>44608</v>
      </c>
      <c r="T3052" s="279">
        <v>2969</v>
      </c>
      <c r="U3052" s="277"/>
      <c r="V3052" s="277"/>
      <c r="W3052" s="277"/>
      <c r="X3052" s="277"/>
      <c r="Y3052" s="277"/>
      <c r="Z3052" s="277"/>
      <c r="AA3052" s="277"/>
      <c r="AB3052" s="277"/>
      <c r="AC3052" s="277"/>
      <c r="AD3052" s="277"/>
      <c r="AE3052" s="277"/>
      <c r="AF3052" s="277"/>
      <c r="AG3052" s="277"/>
      <c r="AH3052" s="277"/>
    </row>
    <row r="3053" spans="16:34" s="185" customFormat="1">
      <c r="P3053" s="277"/>
      <c r="Q3053" s="277"/>
      <c r="R3053" s="277"/>
      <c r="S3053" s="291">
        <v>44609</v>
      </c>
      <c r="T3053" s="279">
        <v>2970</v>
      </c>
      <c r="U3053" s="277"/>
      <c r="V3053" s="277"/>
      <c r="W3053" s="277"/>
      <c r="X3053" s="277"/>
      <c r="Y3053" s="277"/>
      <c r="Z3053" s="277"/>
      <c r="AA3053" s="277"/>
      <c r="AB3053" s="277"/>
      <c r="AC3053" s="277"/>
      <c r="AD3053" s="277"/>
      <c r="AE3053" s="277"/>
      <c r="AF3053" s="277"/>
      <c r="AG3053" s="277"/>
      <c r="AH3053" s="277"/>
    </row>
    <row r="3054" spans="16:34" s="185" customFormat="1">
      <c r="P3054" s="277"/>
      <c r="Q3054" s="277"/>
      <c r="R3054" s="277"/>
      <c r="S3054" s="291">
        <v>44610</v>
      </c>
      <c r="T3054" s="279">
        <v>2971</v>
      </c>
      <c r="U3054" s="277"/>
      <c r="V3054" s="277"/>
      <c r="W3054" s="277"/>
      <c r="X3054" s="277"/>
      <c r="Y3054" s="277"/>
      <c r="Z3054" s="277"/>
      <c r="AA3054" s="277"/>
      <c r="AB3054" s="277"/>
      <c r="AC3054" s="277"/>
      <c r="AD3054" s="277"/>
      <c r="AE3054" s="277"/>
      <c r="AF3054" s="277"/>
      <c r="AG3054" s="277"/>
      <c r="AH3054" s="277"/>
    </row>
    <row r="3055" spans="16:34" s="185" customFormat="1">
      <c r="P3055" s="277"/>
      <c r="Q3055" s="277"/>
      <c r="R3055" s="277"/>
      <c r="S3055" s="291">
        <v>44611</v>
      </c>
      <c r="T3055" s="279">
        <v>2972</v>
      </c>
      <c r="U3055" s="277"/>
      <c r="V3055" s="277"/>
      <c r="W3055" s="277"/>
      <c r="X3055" s="277"/>
      <c r="Y3055" s="277"/>
      <c r="Z3055" s="277"/>
      <c r="AA3055" s="277"/>
      <c r="AB3055" s="277"/>
      <c r="AC3055" s="277"/>
      <c r="AD3055" s="277"/>
      <c r="AE3055" s="277"/>
      <c r="AF3055" s="277"/>
      <c r="AG3055" s="277"/>
      <c r="AH3055" s="277"/>
    </row>
    <row r="3056" spans="16:34" s="185" customFormat="1">
      <c r="P3056" s="277"/>
      <c r="Q3056" s="277"/>
      <c r="R3056" s="277"/>
      <c r="S3056" s="291">
        <v>44612</v>
      </c>
      <c r="T3056" s="279">
        <v>2973</v>
      </c>
      <c r="U3056" s="277"/>
      <c r="V3056" s="277"/>
      <c r="W3056" s="277"/>
      <c r="X3056" s="277"/>
      <c r="Y3056" s="277"/>
      <c r="Z3056" s="277"/>
      <c r="AA3056" s="277"/>
      <c r="AB3056" s="277"/>
      <c r="AC3056" s="277"/>
      <c r="AD3056" s="277"/>
      <c r="AE3056" s="277"/>
      <c r="AF3056" s="277"/>
      <c r="AG3056" s="277"/>
      <c r="AH3056" s="277"/>
    </row>
    <row r="3057" spans="16:34" s="185" customFormat="1">
      <c r="P3057" s="277"/>
      <c r="Q3057" s="277"/>
      <c r="R3057" s="277"/>
      <c r="S3057" s="291">
        <v>44613</v>
      </c>
      <c r="T3057" s="279">
        <v>2974</v>
      </c>
      <c r="U3057" s="277"/>
      <c r="V3057" s="277"/>
      <c r="W3057" s="277"/>
      <c r="X3057" s="277"/>
      <c r="Y3057" s="277"/>
      <c r="Z3057" s="277"/>
      <c r="AA3057" s="277"/>
      <c r="AB3057" s="277"/>
      <c r="AC3057" s="277"/>
      <c r="AD3057" s="277"/>
      <c r="AE3057" s="277"/>
      <c r="AF3057" s="277"/>
      <c r="AG3057" s="277"/>
      <c r="AH3057" s="277"/>
    </row>
    <row r="3058" spans="16:34" s="185" customFormat="1">
      <c r="P3058" s="277"/>
      <c r="Q3058" s="277"/>
      <c r="R3058" s="277"/>
      <c r="S3058" s="291">
        <v>44614</v>
      </c>
      <c r="T3058" s="279">
        <v>2975</v>
      </c>
      <c r="U3058" s="277"/>
      <c r="V3058" s="277"/>
      <c r="W3058" s="277"/>
      <c r="X3058" s="277"/>
      <c r="Y3058" s="277"/>
      <c r="Z3058" s="277"/>
      <c r="AA3058" s="277"/>
      <c r="AB3058" s="277"/>
      <c r="AC3058" s="277"/>
      <c r="AD3058" s="277"/>
      <c r="AE3058" s="277"/>
      <c r="AF3058" s="277"/>
      <c r="AG3058" s="277"/>
      <c r="AH3058" s="277"/>
    </row>
    <row r="3059" spans="16:34" s="185" customFormat="1">
      <c r="P3059" s="277"/>
      <c r="Q3059" s="277"/>
      <c r="R3059" s="277"/>
      <c r="S3059" s="291">
        <v>44615</v>
      </c>
      <c r="T3059" s="279">
        <v>2976</v>
      </c>
      <c r="U3059" s="277"/>
      <c r="V3059" s="277"/>
      <c r="W3059" s="277"/>
      <c r="X3059" s="277"/>
      <c r="Y3059" s="277"/>
      <c r="Z3059" s="277"/>
      <c r="AA3059" s="277"/>
      <c r="AB3059" s="277"/>
      <c r="AC3059" s="277"/>
      <c r="AD3059" s="277"/>
      <c r="AE3059" s="277"/>
      <c r="AF3059" s="277"/>
      <c r="AG3059" s="277"/>
      <c r="AH3059" s="277"/>
    </row>
    <row r="3060" spans="16:34" s="185" customFormat="1">
      <c r="P3060" s="277"/>
      <c r="Q3060" s="277"/>
      <c r="R3060" s="277"/>
      <c r="S3060" s="291">
        <v>44616</v>
      </c>
      <c r="T3060" s="279">
        <v>2977</v>
      </c>
      <c r="U3060" s="277"/>
      <c r="V3060" s="277"/>
      <c r="W3060" s="277"/>
      <c r="X3060" s="277"/>
      <c r="Y3060" s="277"/>
      <c r="Z3060" s="277"/>
      <c r="AA3060" s="277"/>
      <c r="AB3060" s="277"/>
      <c r="AC3060" s="277"/>
      <c r="AD3060" s="277"/>
      <c r="AE3060" s="277"/>
      <c r="AF3060" s="277"/>
      <c r="AG3060" s="277"/>
      <c r="AH3060" s="277"/>
    </row>
    <row r="3061" spans="16:34" s="185" customFormat="1">
      <c r="P3061" s="277"/>
      <c r="Q3061" s="277"/>
      <c r="R3061" s="277"/>
      <c r="S3061" s="291">
        <v>44617</v>
      </c>
      <c r="T3061" s="279">
        <v>2978</v>
      </c>
      <c r="U3061" s="277"/>
      <c r="V3061" s="277"/>
      <c r="W3061" s="277"/>
      <c r="X3061" s="277"/>
      <c r="Y3061" s="277"/>
      <c r="Z3061" s="277"/>
      <c r="AA3061" s="277"/>
      <c r="AB3061" s="277"/>
      <c r="AC3061" s="277"/>
      <c r="AD3061" s="277"/>
      <c r="AE3061" s="277"/>
      <c r="AF3061" s="277"/>
      <c r="AG3061" s="277"/>
      <c r="AH3061" s="277"/>
    </row>
    <row r="3062" spans="16:34" s="185" customFormat="1">
      <c r="P3062" s="277"/>
      <c r="Q3062" s="277"/>
      <c r="R3062" s="277"/>
      <c r="S3062" s="291">
        <v>44618</v>
      </c>
      <c r="T3062" s="279">
        <v>2979</v>
      </c>
      <c r="U3062" s="277"/>
      <c r="V3062" s="277"/>
      <c r="W3062" s="277"/>
      <c r="X3062" s="277"/>
      <c r="Y3062" s="277"/>
      <c r="Z3062" s="277"/>
      <c r="AA3062" s="277"/>
      <c r="AB3062" s="277"/>
      <c r="AC3062" s="277"/>
      <c r="AD3062" s="277"/>
      <c r="AE3062" s="277"/>
      <c r="AF3062" s="277"/>
      <c r="AG3062" s="277"/>
      <c r="AH3062" s="277"/>
    </row>
    <row r="3063" spans="16:34" s="185" customFormat="1">
      <c r="P3063" s="277"/>
      <c r="Q3063" s="277"/>
      <c r="R3063" s="277"/>
      <c r="S3063" s="291">
        <v>44619</v>
      </c>
      <c r="T3063" s="279">
        <v>2980</v>
      </c>
      <c r="U3063" s="277"/>
      <c r="V3063" s="277"/>
      <c r="W3063" s="277"/>
      <c r="X3063" s="277"/>
      <c r="Y3063" s="277"/>
      <c r="Z3063" s="277"/>
      <c r="AA3063" s="277"/>
      <c r="AB3063" s="277"/>
      <c r="AC3063" s="277"/>
      <c r="AD3063" s="277"/>
      <c r="AE3063" s="277"/>
      <c r="AF3063" s="277"/>
      <c r="AG3063" s="277"/>
      <c r="AH3063" s="277"/>
    </row>
    <row r="3064" spans="16:34" s="185" customFormat="1">
      <c r="P3064" s="277"/>
      <c r="Q3064" s="277"/>
      <c r="R3064" s="277"/>
      <c r="S3064" s="291">
        <v>44620</v>
      </c>
      <c r="T3064" s="279">
        <v>2981</v>
      </c>
      <c r="U3064" s="277"/>
      <c r="V3064" s="277"/>
      <c r="W3064" s="277"/>
      <c r="X3064" s="277"/>
      <c r="Y3064" s="277"/>
      <c r="Z3064" s="277"/>
      <c r="AA3064" s="277"/>
      <c r="AB3064" s="277"/>
      <c r="AC3064" s="277"/>
      <c r="AD3064" s="277"/>
      <c r="AE3064" s="277"/>
      <c r="AF3064" s="277"/>
      <c r="AG3064" s="277"/>
      <c r="AH3064" s="277"/>
    </row>
    <row r="3065" spans="16:34" s="185" customFormat="1">
      <c r="P3065" s="277"/>
      <c r="Q3065" s="277"/>
      <c r="R3065" s="277"/>
      <c r="S3065" s="291">
        <v>44621</v>
      </c>
      <c r="T3065" s="279">
        <v>2982</v>
      </c>
      <c r="U3065" s="277"/>
      <c r="V3065" s="277"/>
      <c r="W3065" s="277"/>
      <c r="X3065" s="277"/>
      <c r="Y3065" s="277"/>
      <c r="Z3065" s="277"/>
      <c r="AA3065" s="277"/>
      <c r="AB3065" s="277"/>
      <c r="AC3065" s="277"/>
      <c r="AD3065" s="277"/>
      <c r="AE3065" s="277"/>
      <c r="AF3065" s="277"/>
      <c r="AG3065" s="277"/>
      <c r="AH3065" s="277"/>
    </row>
    <row r="3066" spans="16:34" s="185" customFormat="1">
      <c r="P3066" s="277"/>
      <c r="Q3066" s="277"/>
      <c r="R3066" s="277"/>
      <c r="S3066" s="291">
        <v>44622</v>
      </c>
      <c r="T3066" s="279">
        <v>2983</v>
      </c>
      <c r="U3066" s="277"/>
      <c r="V3066" s="277"/>
      <c r="W3066" s="277"/>
      <c r="X3066" s="277"/>
      <c r="Y3066" s="277"/>
      <c r="Z3066" s="277"/>
      <c r="AA3066" s="277"/>
      <c r="AB3066" s="277"/>
      <c r="AC3066" s="277"/>
      <c r="AD3066" s="277"/>
      <c r="AE3066" s="277"/>
      <c r="AF3066" s="277"/>
      <c r="AG3066" s="277"/>
      <c r="AH3066" s="277"/>
    </row>
    <row r="3067" spans="16:34" s="185" customFormat="1">
      <c r="P3067" s="277"/>
      <c r="Q3067" s="277"/>
      <c r="R3067" s="277"/>
      <c r="S3067" s="291">
        <v>44623</v>
      </c>
      <c r="T3067" s="279">
        <v>2984</v>
      </c>
      <c r="U3067" s="277"/>
      <c r="V3067" s="277"/>
      <c r="W3067" s="277"/>
      <c r="X3067" s="277"/>
      <c r="Y3067" s="277"/>
      <c r="Z3067" s="277"/>
      <c r="AA3067" s="277"/>
      <c r="AB3067" s="277"/>
      <c r="AC3067" s="277"/>
      <c r="AD3067" s="277"/>
      <c r="AE3067" s="277"/>
      <c r="AF3067" s="277"/>
      <c r="AG3067" s="277"/>
      <c r="AH3067" s="277"/>
    </row>
    <row r="3068" spans="16:34" s="185" customFormat="1">
      <c r="P3068" s="277"/>
      <c r="Q3068" s="277"/>
      <c r="R3068" s="277"/>
      <c r="S3068" s="291">
        <v>44624</v>
      </c>
      <c r="T3068" s="279">
        <v>2985</v>
      </c>
      <c r="U3068" s="277"/>
      <c r="V3068" s="277"/>
      <c r="W3068" s="277"/>
      <c r="X3068" s="277"/>
      <c r="Y3068" s="277"/>
      <c r="Z3068" s="277"/>
      <c r="AA3068" s="277"/>
      <c r="AB3068" s="277"/>
      <c r="AC3068" s="277"/>
      <c r="AD3068" s="277"/>
      <c r="AE3068" s="277"/>
      <c r="AF3068" s="277"/>
      <c r="AG3068" s="277"/>
      <c r="AH3068" s="277"/>
    </row>
    <row r="3069" spans="16:34" s="185" customFormat="1">
      <c r="P3069" s="277"/>
      <c r="Q3069" s="277"/>
      <c r="R3069" s="277"/>
      <c r="S3069" s="291">
        <v>44625</v>
      </c>
      <c r="T3069" s="279">
        <v>2986</v>
      </c>
      <c r="U3069" s="277"/>
      <c r="V3069" s="277"/>
      <c r="W3069" s="277"/>
      <c r="X3069" s="277"/>
      <c r="Y3069" s="277"/>
      <c r="Z3069" s="277"/>
      <c r="AA3069" s="277"/>
      <c r="AB3069" s="277"/>
      <c r="AC3069" s="277"/>
      <c r="AD3069" s="277"/>
      <c r="AE3069" s="277"/>
      <c r="AF3069" s="277"/>
      <c r="AG3069" s="277"/>
      <c r="AH3069" s="277"/>
    </row>
    <row r="3070" spans="16:34" s="185" customFormat="1">
      <c r="P3070" s="277"/>
      <c r="Q3070" s="277"/>
      <c r="R3070" s="277"/>
      <c r="S3070" s="291">
        <v>44626</v>
      </c>
      <c r="T3070" s="279">
        <v>2987</v>
      </c>
      <c r="U3070" s="277"/>
      <c r="V3070" s="277"/>
      <c r="W3070" s="277"/>
      <c r="X3070" s="277"/>
      <c r="Y3070" s="277"/>
      <c r="Z3070" s="277"/>
      <c r="AA3070" s="277"/>
      <c r="AB3070" s="277"/>
      <c r="AC3070" s="277"/>
      <c r="AD3070" s="277"/>
      <c r="AE3070" s="277"/>
      <c r="AF3070" s="277"/>
      <c r="AG3070" s="277"/>
      <c r="AH3070" s="277"/>
    </row>
    <row r="3071" spans="16:34" s="185" customFormat="1">
      <c r="P3071" s="277"/>
      <c r="Q3071" s="277"/>
      <c r="R3071" s="277"/>
      <c r="S3071" s="291">
        <v>44627</v>
      </c>
      <c r="T3071" s="279">
        <v>2988</v>
      </c>
      <c r="U3071" s="277"/>
      <c r="V3071" s="277"/>
      <c r="W3071" s="277"/>
      <c r="X3071" s="277"/>
      <c r="Y3071" s="277"/>
      <c r="Z3071" s="277"/>
      <c r="AA3071" s="277"/>
      <c r="AB3071" s="277"/>
      <c r="AC3071" s="277"/>
      <c r="AD3071" s="277"/>
      <c r="AE3071" s="277"/>
      <c r="AF3071" s="277"/>
      <c r="AG3071" s="277"/>
      <c r="AH3071" s="277"/>
    </row>
    <row r="3072" spans="16:34" s="185" customFormat="1">
      <c r="P3072" s="277"/>
      <c r="Q3072" s="277"/>
      <c r="R3072" s="277"/>
      <c r="S3072" s="291">
        <v>44628</v>
      </c>
      <c r="T3072" s="279">
        <v>2989</v>
      </c>
      <c r="U3072" s="277"/>
      <c r="V3072" s="277"/>
      <c r="W3072" s="277"/>
      <c r="X3072" s="277"/>
      <c r="Y3072" s="277"/>
      <c r="Z3072" s="277"/>
      <c r="AA3072" s="277"/>
      <c r="AB3072" s="277"/>
      <c r="AC3072" s="277"/>
      <c r="AD3072" s="277"/>
      <c r="AE3072" s="277"/>
      <c r="AF3072" s="277"/>
      <c r="AG3072" s="277"/>
      <c r="AH3072" s="277"/>
    </row>
    <row r="3073" spans="16:34" s="185" customFormat="1">
      <c r="P3073" s="277"/>
      <c r="Q3073" s="277"/>
      <c r="R3073" s="277"/>
      <c r="S3073" s="291">
        <v>44629</v>
      </c>
      <c r="T3073" s="279">
        <v>2990</v>
      </c>
      <c r="U3073" s="277"/>
      <c r="V3073" s="277"/>
      <c r="W3073" s="277"/>
      <c r="X3073" s="277"/>
      <c r="Y3073" s="277"/>
      <c r="Z3073" s="277"/>
      <c r="AA3073" s="277"/>
      <c r="AB3073" s="277"/>
      <c r="AC3073" s="277"/>
      <c r="AD3073" s="277"/>
      <c r="AE3073" s="277"/>
      <c r="AF3073" s="277"/>
      <c r="AG3073" s="277"/>
      <c r="AH3073" s="277"/>
    </row>
    <row r="3074" spans="16:34" s="185" customFormat="1">
      <c r="P3074" s="277"/>
      <c r="Q3074" s="277"/>
      <c r="R3074" s="277"/>
      <c r="S3074" s="291">
        <v>44630</v>
      </c>
      <c r="T3074" s="279">
        <v>2991</v>
      </c>
      <c r="U3074" s="277"/>
      <c r="V3074" s="277"/>
      <c r="W3074" s="277"/>
      <c r="X3074" s="277"/>
      <c r="Y3074" s="277"/>
      <c r="Z3074" s="277"/>
      <c r="AA3074" s="277"/>
      <c r="AB3074" s="277"/>
      <c r="AC3074" s="277"/>
      <c r="AD3074" s="277"/>
      <c r="AE3074" s="277"/>
      <c r="AF3074" s="277"/>
      <c r="AG3074" s="277"/>
      <c r="AH3074" s="277"/>
    </row>
    <row r="3075" spans="16:34" s="185" customFormat="1">
      <c r="P3075" s="277"/>
      <c r="Q3075" s="277"/>
      <c r="R3075" s="277"/>
      <c r="S3075" s="291">
        <v>44631</v>
      </c>
      <c r="T3075" s="279">
        <v>2992</v>
      </c>
      <c r="U3075" s="277"/>
      <c r="V3075" s="277"/>
      <c r="W3075" s="277"/>
      <c r="X3075" s="277"/>
      <c r="Y3075" s="277"/>
      <c r="Z3075" s="277"/>
      <c r="AA3075" s="277"/>
      <c r="AB3075" s="277"/>
      <c r="AC3075" s="277"/>
      <c r="AD3075" s="277"/>
      <c r="AE3075" s="277"/>
      <c r="AF3075" s="277"/>
      <c r="AG3075" s="277"/>
      <c r="AH3075" s="277"/>
    </row>
    <row r="3076" spans="16:34" s="185" customFormat="1">
      <c r="P3076" s="277"/>
      <c r="Q3076" s="277"/>
      <c r="R3076" s="277"/>
      <c r="S3076" s="291">
        <v>44632</v>
      </c>
      <c r="T3076" s="279">
        <v>2993</v>
      </c>
      <c r="U3076" s="277"/>
      <c r="V3076" s="277"/>
      <c r="W3076" s="277"/>
      <c r="X3076" s="277"/>
      <c r="Y3076" s="277"/>
      <c r="Z3076" s="277"/>
      <c r="AA3076" s="277"/>
      <c r="AB3076" s="277"/>
      <c r="AC3076" s="277"/>
      <c r="AD3076" s="277"/>
      <c r="AE3076" s="277"/>
      <c r="AF3076" s="277"/>
      <c r="AG3076" s="277"/>
      <c r="AH3076" s="277"/>
    </row>
    <row r="3077" spans="16:34" s="185" customFormat="1">
      <c r="P3077" s="277"/>
      <c r="Q3077" s="277"/>
      <c r="R3077" s="277"/>
      <c r="S3077" s="291">
        <v>44633</v>
      </c>
      <c r="T3077" s="279">
        <v>2994</v>
      </c>
      <c r="U3077" s="277"/>
      <c r="V3077" s="277"/>
      <c r="W3077" s="277"/>
      <c r="X3077" s="277"/>
      <c r="Y3077" s="277"/>
      <c r="Z3077" s="277"/>
      <c r="AA3077" s="277"/>
      <c r="AB3077" s="277"/>
      <c r="AC3077" s="277"/>
      <c r="AD3077" s="277"/>
      <c r="AE3077" s="277"/>
      <c r="AF3077" s="277"/>
      <c r="AG3077" s="277"/>
      <c r="AH3077" s="277"/>
    </row>
    <row r="3078" spans="16:34" s="185" customFormat="1">
      <c r="P3078" s="277"/>
      <c r="Q3078" s="277"/>
      <c r="R3078" s="277"/>
      <c r="S3078" s="291">
        <v>44634</v>
      </c>
      <c r="T3078" s="279">
        <v>2995</v>
      </c>
      <c r="U3078" s="277"/>
      <c r="V3078" s="277"/>
      <c r="W3078" s="277"/>
      <c r="X3078" s="277"/>
      <c r="Y3078" s="277"/>
      <c r="Z3078" s="277"/>
      <c r="AA3078" s="277"/>
      <c r="AB3078" s="277"/>
      <c r="AC3078" s="277"/>
      <c r="AD3078" s="277"/>
      <c r="AE3078" s="277"/>
      <c r="AF3078" s="277"/>
      <c r="AG3078" s="277"/>
      <c r="AH3078" s="277"/>
    </row>
    <row r="3079" spans="16:34" s="185" customFormat="1">
      <c r="P3079" s="277"/>
      <c r="Q3079" s="277"/>
      <c r="R3079" s="277"/>
      <c r="S3079" s="291">
        <v>44635</v>
      </c>
      <c r="T3079" s="279">
        <v>2996</v>
      </c>
      <c r="U3079" s="277"/>
      <c r="V3079" s="277"/>
      <c r="W3079" s="277"/>
      <c r="X3079" s="277"/>
      <c r="Y3079" s="277"/>
      <c r="Z3079" s="277"/>
      <c r="AA3079" s="277"/>
      <c r="AB3079" s="277"/>
      <c r="AC3079" s="277"/>
      <c r="AD3079" s="277"/>
      <c r="AE3079" s="277"/>
      <c r="AF3079" s="277"/>
      <c r="AG3079" s="277"/>
      <c r="AH3079" s="277"/>
    </row>
    <row r="3080" spans="16:34" s="185" customFormat="1">
      <c r="P3080" s="277"/>
      <c r="Q3080" s="277"/>
      <c r="R3080" s="277"/>
      <c r="S3080" s="291">
        <v>44636</v>
      </c>
      <c r="T3080" s="279">
        <v>2997</v>
      </c>
      <c r="U3080" s="277"/>
      <c r="V3080" s="277"/>
      <c r="W3080" s="277"/>
      <c r="X3080" s="277"/>
      <c r="Y3080" s="277"/>
      <c r="Z3080" s="277"/>
      <c r="AA3080" s="277"/>
      <c r="AB3080" s="277"/>
      <c r="AC3080" s="277"/>
      <c r="AD3080" s="277"/>
      <c r="AE3080" s="277"/>
      <c r="AF3080" s="277"/>
      <c r="AG3080" s="277"/>
      <c r="AH3080" s="277"/>
    </row>
    <row r="3081" spans="16:34" s="185" customFormat="1">
      <c r="P3081" s="277"/>
      <c r="Q3081" s="277"/>
      <c r="R3081" s="277"/>
      <c r="S3081" s="291">
        <v>44637</v>
      </c>
      <c r="T3081" s="279">
        <v>2998</v>
      </c>
      <c r="U3081" s="277"/>
      <c r="V3081" s="277"/>
      <c r="W3081" s="277"/>
      <c r="X3081" s="277"/>
      <c r="Y3081" s="277"/>
      <c r="Z3081" s="277"/>
      <c r="AA3081" s="277"/>
      <c r="AB3081" s="277"/>
      <c r="AC3081" s="277"/>
      <c r="AD3081" s="277"/>
      <c r="AE3081" s="277"/>
      <c r="AF3081" s="277"/>
      <c r="AG3081" s="277"/>
      <c r="AH3081" s="277"/>
    </row>
    <row r="3082" spans="16:34" s="185" customFormat="1">
      <c r="P3082" s="277"/>
      <c r="Q3082" s="277"/>
      <c r="R3082" s="277"/>
      <c r="S3082" s="291">
        <v>44638</v>
      </c>
      <c r="T3082" s="279">
        <v>2999</v>
      </c>
      <c r="U3082" s="277"/>
      <c r="V3082" s="277"/>
      <c r="W3082" s="277"/>
      <c r="X3082" s="277"/>
      <c r="Y3082" s="277"/>
      <c r="Z3082" s="277"/>
      <c r="AA3082" s="277"/>
      <c r="AB3082" s="277"/>
      <c r="AC3082" s="277"/>
      <c r="AD3082" s="277"/>
      <c r="AE3082" s="277"/>
      <c r="AF3082" s="277"/>
      <c r="AG3082" s="277"/>
      <c r="AH3082" s="277"/>
    </row>
    <row r="3083" spans="16:34" s="185" customFormat="1">
      <c r="P3083" s="277"/>
      <c r="Q3083" s="277"/>
      <c r="R3083" s="277"/>
      <c r="S3083" s="291">
        <v>44639</v>
      </c>
      <c r="T3083" s="279">
        <v>3000</v>
      </c>
      <c r="U3083" s="277"/>
      <c r="V3083" s="277"/>
      <c r="W3083" s="277"/>
      <c r="X3083" s="277"/>
      <c r="Y3083" s="277"/>
      <c r="Z3083" s="277"/>
      <c r="AA3083" s="277"/>
      <c r="AB3083" s="277"/>
      <c r="AC3083" s="277"/>
      <c r="AD3083" s="277"/>
      <c r="AE3083" s="277"/>
      <c r="AF3083" s="277"/>
      <c r="AG3083" s="277"/>
      <c r="AH3083" s="277"/>
    </row>
    <row r="3084" spans="16:34" s="185" customFormat="1">
      <c r="P3084" s="277"/>
      <c r="Q3084" s="277"/>
      <c r="R3084" s="277"/>
      <c r="S3084" s="291">
        <v>44640</v>
      </c>
      <c r="T3084" s="279">
        <v>3001</v>
      </c>
      <c r="U3084" s="277"/>
      <c r="V3084" s="277"/>
      <c r="W3084" s="277"/>
      <c r="X3084" s="277"/>
      <c r="Y3084" s="277"/>
      <c r="Z3084" s="277"/>
      <c r="AA3084" s="277"/>
      <c r="AB3084" s="277"/>
      <c r="AC3084" s="277"/>
      <c r="AD3084" s="277"/>
      <c r="AE3084" s="277"/>
      <c r="AF3084" s="277"/>
      <c r="AG3084" s="277"/>
      <c r="AH3084" s="277"/>
    </row>
    <row r="3085" spans="16:34" s="185" customFormat="1">
      <c r="P3085" s="277"/>
      <c r="Q3085" s="277"/>
      <c r="R3085" s="277"/>
      <c r="S3085" s="291">
        <v>44641</v>
      </c>
      <c r="T3085" s="279">
        <v>3002</v>
      </c>
      <c r="U3085" s="277"/>
      <c r="V3085" s="277"/>
      <c r="W3085" s="277"/>
      <c r="X3085" s="277"/>
      <c r="Y3085" s="277"/>
      <c r="Z3085" s="277"/>
      <c r="AA3085" s="277"/>
      <c r="AB3085" s="277"/>
      <c r="AC3085" s="277"/>
      <c r="AD3085" s="277"/>
      <c r="AE3085" s="277"/>
      <c r="AF3085" s="277"/>
      <c r="AG3085" s="277"/>
      <c r="AH3085" s="277"/>
    </row>
    <row r="3086" spans="16:34" s="185" customFormat="1">
      <c r="P3086" s="277"/>
      <c r="Q3086" s="277"/>
      <c r="R3086" s="277"/>
      <c r="S3086" s="291">
        <v>44642</v>
      </c>
      <c r="T3086" s="279">
        <v>3003</v>
      </c>
      <c r="U3086" s="277"/>
      <c r="V3086" s="277"/>
      <c r="W3086" s="277"/>
      <c r="X3086" s="277"/>
      <c r="Y3086" s="277"/>
      <c r="Z3086" s="277"/>
      <c r="AA3086" s="277"/>
      <c r="AB3086" s="277"/>
      <c r="AC3086" s="277"/>
      <c r="AD3086" s="277"/>
      <c r="AE3086" s="277"/>
      <c r="AF3086" s="277"/>
      <c r="AG3086" s="277"/>
      <c r="AH3086" s="277"/>
    </row>
    <row r="3087" spans="16:34" s="185" customFormat="1">
      <c r="P3087" s="277"/>
      <c r="Q3087" s="277"/>
      <c r="R3087" s="277"/>
      <c r="S3087" s="291">
        <v>44643</v>
      </c>
      <c r="T3087" s="279">
        <v>3004</v>
      </c>
      <c r="U3087" s="277"/>
      <c r="V3087" s="277"/>
      <c r="W3087" s="277"/>
      <c r="X3087" s="277"/>
      <c r="Y3087" s="277"/>
      <c r="Z3087" s="277"/>
      <c r="AA3087" s="277"/>
      <c r="AB3087" s="277"/>
      <c r="AC3087" s="277"/>
      <c r="AD3087" s="277"/>
      <c r="AE3087" s="277"/>
      <c r="AF3087" s="277"/>
      <c r="AG3087" s="277"/>
      <c r="AH3087" s="277"/>
    </row>
    <row r="3088" spans="16:34" s="185" customFormat="1">
      <c r="P3088" s="277"/>
      <c r="Q3088" s="277"/>
      <c r="R3088" s="277"/>
      <c r="S3088" s="291">
        <v>44644</v>
      </c>
      <c r="T3088" s="279">
        <v>3005</v>
      </c>
      <c r="U3088" s="277"/>
      <c r="V3088" s="277"/>
      <c r="W3088" s="277"/>
      <c r="X3088" s="277"/>
      <c r="Y3088" s="277"/>
      <c r="Z3088" s="277"/>
      <c r="AA3088" s="277"/>
      <c r="AB3088" s="277"/>
      <c r="AC3088" s="277"/>
      <c r="AD3088" s="277"/>
      <c r="AE3088" s="277"/>
      <c r="AF3088" s="277"/>
      <c r="AG3088" s="277"/>
      <c r="AH3088" s="277"/>
    </row>
    <row r="3089" spans="16:34" s="185" customFormat="1">
      <c r="P3089" s="277"/>
      <c r="Q3089" s="277"/>
      <c r="R3089" s="277"/>
      <c r="S3089" s="291">
        <v>44645</v>
      </c>
      <c r="T3089" s="279">
        <v>3006</v>
      </c>
      <c r="U3089" s="277"/>
      <c r="V3089" s="277"/>
      <c r="W3089" s="277"/>
      <c r="X3089" s="277"/>
      <c r="Y3089" s="277"/>
      <c r="Z3089" s="277"/>
      <c r="AA3089" s="277"/>
      <c r="AB3089" s="277"/>
      <c r="AC3089" s="277"/>
      <c r="AD3089" s="277"/>
      <c r="AE3089" s="277"/>
      <c r="AF3089" s="277"/>
      <c r="AG3089" s="277"/>
      <c r="AH3089" s="277"/>
    </row>
    <row r="3090" spans="16:34" s="185" customFormat="1">
      <c r="P3090" s="277"/>
      <c r="Q3090" s="277"/>
      <c r="R3090" s="277"/>
      <c r="S3090" s="291">
        <v>44646</v>
      </c>
      <c r="T3090" s="279">
        <v>3007</v>
      </c>
      <c r="U3090" s="277"/>
      <c r="V3090" s="277"/>
      <c r="W3090" s="277"/>
      <c r="X3090" s="277"/>
      <c r="Y3090" s="277"/>
      <c r="Z3090" s="277"/>
      <c r="AA3090" s="277"/>
      <c r="AB3090" s="277"/>
      <c r="AC3090" s="277"/>
      <c r="AD3090" s="277"/>
      <c r="AE3090" s="277"/>
      <c r="AF3090" s="277"/>
      <c r="AG3090" s="277"/>
      <c r="AH3090" s="277"/>
    </row>
    <row r="3091" spans="16:34" s="185" customFormat="1">
      <c r="P3091" s="277"/>
      <c r="Q3091" s="277"/>
      <c r="R3091" s="277"/>
      <c r="S3091" s="291">
        <v>44647</v>
      </c>
      <c r="T3091" s="279">
        <v>3008</v>
      </c>
      <c r="U3091" s="277"/>
      <c r="V3091" s="277"/>
      <c r="W3091" s="277"/>
      <c r="X3091" s="277"/>
      <c r="Y3091" s="277"/>
      <c r="Z3091" s="277"/>
      <c r="AA3091" s="277"/>
      <c r="AB3091" s="277"/>
      <c r="AC3091" s="277"/>
      <c r="AD3091" s="277"/>
      <c r="AE3091" s="277"/>
      <c r="AF3091" s="277"/>
      <c r="AG3091" s="277"/>
      <c r="AH3091" s="277"/>
    </row>
    <row r="3092" spans="16:34" s="185" customFormat="1">
      <c r="P3092" s="277"/>
      <c r="Q3092" s="277"/>
      <c r="R3092" s="277"/>
      <c r="S3092" s="291">
        <v>44648</v>
      </c>
      <c r="T3092" s="279">
        <v>3009</v>
      </c>
      <c r="U3092" s="277"/>
      <c r="V3092" s="277"/>
      <c r="W3092" s="277"/>
      <c r="X3092" s="277"/>
      <c r="Y3092" s="277"/>
      <c r="Z3092" s="277"/>
      <c r="AA3092" s="277"/>
      <c r="AB3092" s="277"/>
      <c r="AC3092" s="277"/>
      <c r="AD3092" s="277"/>
      <c r="AE3092" s="277"/>
      <c r="AF3092" s="277"/>
      <c r="AG3092" s="277"/>
      <c r="AH3092" s="277"/>
    </row>
    <row r="3093" spans="16:34" s="185" customFormat="1">
      <c r="P3093" s="277"/>
      <c r="Q3093" s="277"/>
      <c r="R3093" s="277"/>
      <c r="S3093" s="291">
        <v>44649</v>
      </c>
      <c r="T3093" s="279">
        <v>3010</v>
      </c>
      <c r="U3093" s="277"/>
      <c r="V3093" s="277"/>
      <c r="W3093" s="277"/>
      <c r="X3093" s="277"/>
      <c r="Y3093" s="277"/>
      <c r="Z3093" s="277"/>
      <c r="AA3093" s="277"/>
      <c r="AB3093" s="277"/>
      <c r="AC3093" s="277"/>
      <c r="AD3093" s="277"/>
      <c r="AE3093" s="277"/>
      <c r="AF3093" s="277"/>
      <c r="AG3093" s="277"/>
      <c r="AH3093" s="277"/>
    </row>
    <row r="3094" spans="16:34" s="185" customFormat="1">
      <c r="P3094" s="277"/>
      <c r="Q3094" s="277"/>
      <c r="R3094" s="277"/>
      <c r="S3094" s="291">
        <v>44650</v>
      </c>
      <c r="T3094" s="279">
        <v>3011</v>
      </c>
      <c r="U3094" s="277"/>
      <c r="V3094" s="277"/>
      <c r="W3094" s="277"/>
      <c r="X3094" s="277"/>
      <c r="Y3094" s="277"/>
      <c r="Z3094" s="277"/>
      <c r="AA3094" s="277"/>
      <c r="AB3094" s="277"/>
      <c r="AC3094" s="277"/>
      <c r="AD3094" s="277"/>
      <c r="AE3094" s="277"/>
      <c r="AF3094" s="277"/>
      <c r="AG3094" s="277"/>
      <c r="AH3094" s="277"/>
    </row>
    <row r="3095" spans="16:34" s="185" customFormat="1">
      <c r="P3095" s="277"/>
      <c r="Q3095" s="277"/>
      <c r="R3095" s="277"/>
      <c r="S3095" s="291">
        <v>44651</v>
      </c>
      <c r="T3095" s="279">
        <v>3012</v>
      </c>
      <c r="U3095" s="277"/>
      <c r="V3095" s="277"/>
      <c r="W3095" s="277"/>
      <c r="X3095" s="277"/>
      <c r="Y3095" s="277"/>
      <c r="Z3095" s="277"/>
      <c r="AA3095" s="277"/>
      <c r="AB3095" s="277"/>
      <c r="AC3095" s="277"/>
      <c r="AD3095" s="277"/>
      <c r="AE3095" s="277"/>
      <c r="AF3095" s="277"/>
      <c r="AG3095" s="277"/>
      <c r="AH3095" s="277"/>
    </row>
    <row r="3096" spans="16:34" s="185" customFormat="1">
      <c r="P3096" s="277"/>
      <c r="Q3096" s="277"/>
      <c r="R3096" s="277"/>
      <c r="S3096" s="291">
        <v>44652</v>
      </c>
      <c r="T3096" s="279">
        <v>3013</v>
      </c>
      <c r="U3096" s="277"/>
      <c r="V3096" s="277"/>
      <c r="W3096" s="277"/>
      <c r="X3096" s="277"/>
      <c r="Y3096" s="277"/>
      <c r="Z3096" s="277"/>
      <c r="AA3096" s="277"/>
      <c r="AB3096" s="277"/>
      <c r="AC3096" s="277"/>
      <c r="AD3096" s="277"/>
      <c r="AE3096" s="277"/>
      <c r="AF3096" s="277"/>
      <c r="AG3096" s="277"/>
      <c r="AH3096" s="277"/>
    </row>
    <row r="3097" spans="16:34" s="185" customFormat="1">
      <c r="P3097" s="277"/>
      <c r="Q3097" s="277"/>
      <c r="R3097" s="277"/>
      <c r="S3097" s="291">
        <v>44653</v>
      </c>
      <c r="T3097" s="279">
        <v>3014</v>
      </c>
      <c r="U3097" s="277"/>
      <c r="V3097" s="277"/>
      <c r="W3097" s="277"/>
      <c r="X3097" s="277"/>
      <c r="Y3097" s="277"/>
      <c r="Z3097" s="277"/>
      <c r="AA3097" s="277"/>
      <c r="AB3097" s="277"/>
      <c r="AC3097" s="277"/>
      <c r="AD3097" s="277"/>
      <c r="AE3097" s="277"/>
      <c r="AF3097" s="277"/>
      <c r="AG3097" s="277"/>
      <c r="AH3097" s="277"/>
    </row>
    <row r="3098" spans="16:34" s="185" customFormat="1">
      <c r="P3098" s="277"/>
      <c r="Q3098" s="277"/>
      <c r="R3098" s="277"/>
      <c r="S3098" s="291">
        <v>44654</v>
      </c>
      <c r="T3098" s="279">
        <v>3015</v>
      </c>
      <c r="U3098" s="277"/>
      <c r="V3098" s="277"/>
      <c r="W3098" s="277"/>
      <c r="X3098" s="277"/>
      <c r="Y3098" s="277"/>
      <c r="Z3098" s="277"/>
      <c r="AA3098" s="277"/>
      <c r="AB3098" s="277"/>
      <c r="AC3098" s="277"/>
      <c r="AD3098" s="277"/>
      <c r="AE3098" s="277"/>
      <c r="AF3098" s="277"/>
      <c r="AG3098" s="277"/>
      <c r="AH3098" s="277"/>
    </row>
    <row r="3099" spans="16:34" s="185" customFormat="1">
      <c r="P3099" s="277"/>
      <c r="Q3099" s="277"/>
      <c r="R3099" s="277"/>
      <c r="S3099" s="291">
        <v>44655</v>
      </c>
      <c r="T3099" s="279">
        <v>3016</v>
      </c>
      <c r="U3099" s="277"/>
      <c r="V3099" s="277"/>
      <c r="W3099" s="277"/>
      <c r="X3099" s="277"/>
      <c r="Y3099" s="277"/>
      <c r="Z3099" s="277"/>
      <c r="AA3099" s="277"/>
      <c r="AB3099" s="277"/>
      <c r="AC3099" s="277"/>
      <c r="AD3099" s="277"/>
      <c r="AE3099" s="277"/>
      <c r="AF3099" s="277"/>
      <c r="AG3099" s="277"/>
      <c r="AH3099" s="277"/>
    </row>
    <row r="3100" spans="16:34" s="185" customFormat="1">
      <c r="P3100" s="277"/>
      <c r="Q3100" s="277"/>
      <c r="R3100" s="277"/>
      <c r="S3100" s="291">
        <v>44656</v>
      </c>
      <c r="T3100" s="279">
        <v>3017</v>
      </c>
      <c r="U3100" s="277"/>
      <c r="V3100" s="277"/>
      <c r="W3100" s="277"/>
      <c r="X3100" s="277"/>
      <c r="Y3100" s="277"/>
      <c r="Z3100" s="277"/>
      <c r="AA3100" s="277"/>
      <c r="AB3100" s="277"/>
      <c r="AC3100" s="277"/>
      <c r="AD3100" s="277"/>
      <c r="AE3100" s="277"/>
      <c r="AF3100" s="277"/>
      <c r="AG3100" s="277"/>
      <c r="AH3100" s="277"/>
    </row>
    <row r="3101" spans="16:34" s="185" customFormat="1">
      <c r="P3101" s="277"/>
      <c r="Q3101" s="277"/>
      <c r="R3101" s="277"/>
      <c r="S3101" s="291">
        <v>44657</v>
      </c>
      <c r="T3101" s="279">
        <v>3018</v>
      </c>
      <c r="U3101" s="277"/>
      <c r="V3101" s="277"/>
      <c r="W3101" s="277"/>
      <c r="X3101" s="277"/>
      <c r="Y3101" s="277"/>
      <c r="Z3101" s="277"/>
      <c r="AA3101" s="277"/>
      <c r="AB3101" s="277"/>
      <c r="AC3101" s="277"/>
      <c r="AD3101" s="277"/>
      <c r="AE3101" s="277"/>
      <c r="AF3101" s="277"/>
      <c r="AG3101" s="277"/>
      <c r="AH3101" s="277"/>
    </row>
    <row r="3102" spans="16:34" s="185" customFormat="1">
      <c r="P3102" s="277"/>
      <c r="Q3102" s="277"/>
      <c r="R3102" s="277"/>
      <c r="S3102" s="291">
        <v>44658</v>
      </c>
      <c r="T3102" s="279">
        <v>3019</v>
      </c>
      <c r="U3102" s="277"/>
      <c r="V3102" s="277"/>
      <c r="W3102" s="277"/>
      <c r="X3102" s="277"/>
      <c r="Y3102" s="277"/>
      <c r="Z3102" s="277"/>
      <c r="AA3102" s="277"/>
      <c r="AB3102" s="277"/>
      <c r="AC3102" s="277"/>
      <c r="AD3102" s="277"/>
      <c r="AE3102" s="277"/>
      <c r="AF3102" s="277"/>
      <c r="AG3102" s="277"/>
      <c r="AH3102" s="277"/>
    </row>
    <row r="3103" spans="16:34" s="185" customFormat="1">
      <c r="P3103" s="277"/>
      <c r="Q3103" s="277"/>
      <c r="R3103" s="277"/>
      <c r="S3103" s="291">
        <v>44659</v>
      </c>
      <c r="T3103" s="279">
        <v>3020</v>
      </c>
      <c r="U3103" s="277"/>
      <c r="V3103" s="277"/>
      <c r="W3103" s="277"/>
      <c r="X3103" s="277"/>
      <c r="Y3103" s="277"/>
      <c r="Z3103" s="277"/>
      <c r="AA3103" s="277"/>
      <c r="AB3103" s="277"/>
      <c r="AC3103" s="277"/>
      <c r="AD3103" s="277"/>
      <c r="AE3103" s="277"/>
      <c r="AF3103" s="277"/>
      <c r="AG3103" s="277"/>
      <c r="AH3103" s="277"/>
    </row>
    <row r="3104" spans="16:34" s="185" customFormat="1">
      <c r="P3104" s="277"/>
      <c r="Q3104" s="277"/>
      <c r="R3104" s="277"/>
      <c r="S3104" s="291">
        <v>44660</v>
      </c>
      <c r="T3104" s="279">
        <v>3021</v>
      </c>
      <c r="U3104" s="277"/>
      <c r="V3104" s="277"/>
      <c r="W3104" s="277"/>
      <c r="X3104" s="277"/>
      <c r="Y3104" s="277"/>
      <c r="Z3104" s="277"/>
      <c r="AA3104" s="277"/>
      <c r="AB3104" s="277"/>
      <c r="AC3104" s="277"/>
      <c r="AD3104" s="277"/>
      <c r="AE3104" s="277"/>
      <c r="AF3104" s="277"/>
      <c r="AG3104" s="277"/>
      <c r="AH3104" s="277"/>
    </row>
    <row r="3105" spans="16:34" s="185" customFormat="1">
      <c r="P3105" s="277"/>
      <c r="Q3105" s="277"/>
      <c r="R3105" s="277"/>
      <c r="S3105" s="291">
        <v>44661</v>
      </c>
      <c r="T3105" s="279">
        <v>3022</v>
      </c>
      <c r="U3105" s="277"/>
      <c r="V3105" s="277"/>
      <c r="W3105" s="277"/>
      <c r="X3105" s="277"/>
      <c r="Y3105" s="277"/>
      <c r="Z3105" s="277"/>
      <c r="AA3105" s="277"/>
      <c r="AB3105" s="277"/>
      <c r="AC3105" s="277"/>
      <c r="AD3105" s="277"/>
      <c r="AE3105" s="277"/>
      <c r="AF3105" s="277"/>
      <c r="AG3105" s="277"/>
      <c r="AH3105" s="277"/>
    </row>
    <row r="3106" spans="16:34" s="185" customFormat="1">
      <c r="P3106" s="277"/>
      <c r="Q3106" s="277"/>
      <c r="R3106" s="277"/>
      <c r="S3106" s="291">
        <v>44662</v>
      </c>
      <c r="T3106" s="279">
        <v>3023</v>
      </c>
      <c r="U3106" s="277"/>
      <c r="V3106" s="277"/>
      <c r="W3106" s="277"/>
      <c r="X3106" s="277"/>
      <c r="Y3106" s="277"/>
      <c r="Z3106" s="277"/>
      <c r="AA3106" s="277"/>
      <c r="AB3106" s="277"/>
      <c r="AC3106" s="277"/>
      <c r="AD3106" s="277"/>
      <c r="AE3106" s="277"/>
      <c r="AF3106" s="277"/>
      <c r="AG3106" s="277"/>
      <c r="AH3106" s="277"/>
    </row>
    <row r="3107" spans="16:34" s="185" customFormat="1">
      <c r="P3107" s="277"/>
      <c r="Q3107" s="277"/>
      <c r="R3107" s="277"/>
      <c r="S3107" s="291">
        <v>44663</v>
      </c>
      <c r="T3107" s="279">
        <v>3024</v>
      </c>
      <c r="U3107" s="277"/>
      <c r="V3107" s="277"/>
      <c r="W3107" s="277"/>
      <c r="X3107" s="277"/>
      <c r="Y3107" s="277"/>
      <c r="Z3107" s="277"/>
      <c r="AA3107" s="277"/>
      <c r="AB3107" s="277"/>
      <c r="AC3107" s="277"/>
      <c r="AD3107" s="277"/>
      <c r="AE3107" s="277"/>
      <c r="AF3107" s="277"/>
      <c r="AG3107" s="277"/>
      <c r="AH3107" s="277"/>
    </row>
    <row r="3108" spans="16:34" s="185" customFormat="1">
      <c r="P3108" s="277"/>
      <c r="Q3108" s="277"/>
      <c r="R3108" s="277"/>
      <c r="S3108" s="291">
        <v>44664</v>
      </c>
      <c r="T3108" s="279">
        <v>3025</v>
      </c>
      <c r="U3108" s="277"/>
      <c r="V3108" s="277"/>
      <c r="W3108" s="277"/>
      <c r="X3108" s="277"/>
      <c r="Y3108" s="277"/>
      <c r="Z3108" s="277"/>
      <c r="AA3108" s="277"/>
      <c r="AB3108" s="277"/>
      <c r="AC3108" s="277"/>
      <c r="AD3108" s="277"/>
      <c r="AE3108" s="277"/>
      <c r="AF3108" s="277"/>
      <c r="AG3108" s="277"/>
      <c r="AH3108" s="277"/>
    </row>
    <row r="3109" spans="16:34" s="185" customFormat="1">
      <c r="P3109" s="277"/>
      <c r="Q3109" s="277"/>
      <c r="R3109" s="277"/>
      <c r="S3109" s="291">
        <v>44665</v>
      </c>
      <c r="T3109" s="279">
        <v>3026</v>
      </c>
      <c r="U3109" s="277"/>
      <c r="V3109" s="277"/>
      <c r="W3109" s="277"/>
      <c r="X3109" s="277"/>
      <c r="Y3109" s="277"/>
      <c r="Z3109" s="277"/>
      <c r="AA3109" s="277"/>
      <c r="AB3109" s="277"/>
      <c r="AC3109" s="277"/>
      <c r="AD3109" s="277"/>
      <c r="AE3109" s="277"/>
      <c r="AF3109" s="277"/>
      <c r="AG3109" s="277"/>
      <c r="AH3109" s="277"/>
    </row>
    <row r="3110" spans="16:34" s="185" customFormat="1">
      <c r="P3110" s="277"/>
      <c r="Q3110" s="277"/>
      <c r="R3110" s="277"/>
      <c r="S3110" s="291">
        <v>44666</v>
      </c>
      <c r="T3110" s="279">
        <v>3027</v>
      </c>
      <c r="U3110" s="277"/>
      <c r="V3110" s="277"/>
      <c r="W3110" s="277"/>
      <c r="X3110" s="277"/>
      <c r="Y3110" s="277"/>
      <c r="Z3110" s="277"/>
      <c r="AA3110" s="277"/>
      <c r="AB3110" s="277"/>
      <c r="AC3110" s="277"/>
      <c r="AD3110" s="277"/>
      <c r="AE3110" s="277"/>
      <c r="AF3110" s="277"/>
      <c r="AG3110" s="277"/>
      <c r="AH3110" s="277"/>
    </row>
    <row r="3111" spans="16:34" s="185" customFormat="1">
      <c r="P3111" s="277"/>
      <c r="Q3111" s="277"/>
      <c r="R3111" s="277"/>
      <c r="S3111" s="291">
        <v>44667</v>
      </c>
      <c r="T3111" s="279">
        <v>3028</v>
      </c>
      <c r="U3111" s="277"/>
      <c r="V3111" s="277"/>
      <c r="W3111" s="277"/>
      <c r="X3111" s="277"/>
      <c r="Y3111" s="277"/>
      <c r="Z3111" s="277"/>
      <c r="AA3111" s="277"/>
      <c r="AB3111" s="277"/>
      <c r="AC3111" s="277"/>
      <c r="AD3111" s="277"/>
      <c r="AE3111" s="277"/>
      <c r="AF3111" s="277"/>
      <c r="AG3111" s="277"/>
      <c r="AH3111" s="277"/>
    </row>
    <row r="3112" spans="16:34" s="185" customFormat="1">
      <c r="P3112" s="277"/>
      <c r="Q3112" s="277"/>
      <c r="R3112" s="277"/>
      <c r="S3112" s="291">
        <v>44668</v>
      </c>
      <c r="T3112" s="279">
        <v>3029</v>
      </c>
      <c r="U3112" s="277"/>
      <c r="V3112" s="277"/>
      <c r="W3112" s="277"/>
      <c r="X3112" s="277"/>
      <c r="Y3112" s="277"/>
      <c r="Z3112" s="277"/>
      <c r="AA3112" s="277"/>
      <c r="AB3112" s="277"/>
      <c r="AC3112" s="277"/>
      <c r="AD3112" s="277"/>
      <c r="AE3112" s="277"/>
      <c r="AF3112" s="277"/>
      <c r="AG3112" s="277"/>
      <c r="AH3112" s="277"/>
    </row>
    <row r="3113" spans="16:34" s="185" customFormat="1">
      <c r="P3113" s="277"/>
      <c r="Q3113" s="277"/>
      <c r="R3113" s="277"/>
      <c r="S3113" s="291">
        <v>44669</v>
      </c>
      <c r="T3113" s="279">
        <v>3030</v>
      </c>
      <c r="U3113" s="277"/>
      <c r="V3113" s="277"/>
      <c r="W3113" s="277"/>
      <c r="X3113" s="277"/>
      <c r="Y3113" s="277"/>
      <c r="Z3113" s="277"/>
      <c r="AA3113" s="277"/>
      <c r="AB3113" s="277"/>
      <c r="AC3113" s="277"/>
      <c r="AD3113" s="277"/>
      <c r="AE3113" s="277"/>
      <c r="AF3113" s="277"/>
      <c r="AG3113" s="277"/>
      <c r="AH3113" s="277"/>
    </row>
    <row r="3114" spans="16:34" s="185" customFormat="1">
      <c r="P3114" s="277"/>
      <c r="Q3114" s="277"/>
      <c r="R3114" s="277"/>
      <c r="S3114" s="291">
        <v>44670</v>
      </c>
      <c r="T3114" s="279">
        <v>3031</v>
      </c>
      <c r="U3114" s="277"/>
      <c r="V3114" s="277"/>
      <c r="W3114" s="277"/>
      <c r="X3114" s="277"/>
      <c r="Y3114" s="277"/>
      <c r="Z3114" s="277"/>
      <c r="AA3114" s="277"/>
      <c r="AB3114" s="277"/>
      <c r="AC3114" s="277"/>
      <c r="AD3114" s="277"/>
      <c r="AE3114" s="277"/>
      <c r="AF3114" s="277"/>
      <c r="AG3114" s="277"/>
      <c r="AH3114" s="277"/>
    </row>
    <row r="3115" spans="16:34" s="185" customFormat="1">
      <c r="P3115" s="277"/>
      <c r="Q3115" s="277"/>
      <c r="R3115" s="277"/>
      <c r="S3115" s="291">
        <v>44671</v>
      </c>
      <c r="T3115" s="279">
        <v>3032</v>
      </c>
      <c r="U3115" s="277"/>
      <c r="V3115" s="277"/>
      <c r="W3115" s="277"/>
      <c r="X3115" s="277"/>
      <c r="Y3115" s="277"/>
      <c r="Z3115" s="277"/>
      <c r="AA3115" s="277"/>
      <c r="AB3115" s="277"/>
      <c r="AC3115" s="277"/>
      <c r="AD3115" s="277"/>
      <c r="AE3115" s="277"/>
      <c r="AF3115" s="277"/>
      <c r="AG3115" s="277"/>
      <c r="AH3115" s="277"/>
    </row>
    <row r="3116" spans="16:34" s="185" customFormat="1">
      <c r="P3116" s="277"/>
      <c r="Q3116" s="277"/>
      <c r="R3116" s="277"/>
      <c r="S3116" s="291">
        <v>44672</v>
      </c>
      <c r="T3116" s="279">
        <v>3033</v>
      </c>
      <c r="U3116" s="277"/>
      <c r="V3116" s="277"/>
      <c r="W3116" s="277"/>
      <c r="X3116" s="277"/>
      <c r="Y3116" s="277"/>
      <c r="Z3116" s="277"/>
      <c r="AA3116" s="277"/>
      <c r="AB3116" s="277"/>
      <c r="AC3116" s="277"/>
      <c r="AD3116" s="277"/>
      <c r="AE3116" s="277"/>
      <c r="AF3116" s="277"/>
      <c r="AG3116" s="277"/>
      <c r="AH3116" s="277"/>
    </row>
    <row r="3117" spans="16:34" s="185" customFormat="1">
      <c r="P3117" s="277"/>
      <c r="Q3117" s="277"/>
      <c r="R3117" s="277"/>
      <c r="S3117" s="291">
        <v>44673</v>
      </c>
      <c r="T3117" s="279">
        <v>3034</v>
      </c>
      <c r="U3117" s="277"/>
      <c r="V3117" s="277"/>
      <c r="W3117" s="277"/>
      <c r="X3117" s="277"/>
      <c r="Y3117" s="277"/>
      <c r="Z3117" s="277"/>
      <c r="AA3117" s="277"/>
      <c r="AB3117" s="277"/>
      <c r="AC3117" s="277"/>
      <c r="AD3117" s="277"/>
      <c r="AE3117" s="277"/>
      <c r="AF3117" s="277"/>
      <c r="AG3117" s="277"/>
      <c r="AH3117" s="277"/>
    </row>
    <row r="3118" spans="16:34" s="185" customFormat="1">
      <c r="P3118" s="277"/>
      <c r="Q3118" s="277"/>
      <c r="R3118" s="277"/>
      <c r="S3118" s="291">
        <v>44674</v>
      </c>
      <c r="T3118" s="279">
        <v>3035</v>
      </c>
      <c r="U3118" s="277"/>
      <c r="V3118" s="277"/>
      <c r="W3118" s="277"/>
      <c r="X3118" s="277"/>
      <c r="Y3118" s="277"/>
      <c r="Z3118" s="277"/>
      <c r="AA3118" s="277"/>
      <c r="AB3118" s="277"/>
      <c r="AC3118" s="277"/>
      <c r="AD3118" s="277"/>
      <c r="AE3118" s="277"/>
      <c r="AF3118" s="277"/>
      <c r="AG3118" s="277"/>
      <c r="AH3118" s="277"/>
    </row>
    <row r="3119" spans="16:34" s="185" customFormat="1">
      <c r="P3119" s="277"/>
      <c r="Q3119" s="277"/>
      <c r="R3119" s="277"/>
      <c r="S3119" s="291">
        <v>44675</v>
      </c>
      <c r="T3119" s="279">
        <v>3036</v>
      </c>
      <c r="U3119" s="277"/>
      <c r="V3119" s="277"/>
      <c r="W3119" s="277"/>
      <c r="X3119" s="277"/>
      <c r="Y3119" s="277"/>
      <c r="Z3119" s="277"/>
      <c r="AA3119" s="277"/>
      <c r="AB3119" s="277"/>
      <c r="AC3119" s="277"/>
      <c r="AD3119" s="277"/>
      <c r="AE3119" s="277"/>
      <c r="AF3119" s="277"/>
      <c r="AG3119" s="277"/>
      <c r="AH3119" s="277"/>
    </row>
    <row r="3120" spans="16:34" s="185" customFormat="1">
      <c r="P3120" s="277"/>
      <c r="Q3120" s="277"/>
      <c r="R3120" s="277"/>
      <c r="S3120" s="291">
        <v>44676</v>
      </c>
      <c r="T3120" s="279">
        <v>3037</v>
      </c>
      <c r="U3120" s="277"/>
      <c r="V3120" s="277"/>
      <c r="W3120" s="277"/>
      <c r="X3120" s="277"/>
      <c r="Y3120" s="277"/>
      <c r="Z3120" s="277"/>
      <c r="AA3120" s="277"/>
      <c r="AB3120" s="277"/>
      <c r="AC3120" s="277"/>
      <c r="AD3120" s="277"/>
      <c r="AE3120" s="277"/>
      <c r="AF3120" s="277"/>
      <c r="AG3120" s="277"/>
      <c r="AH3120" s="277"/>
    </row>
    <row r="3121" spans="16:34" s="185" customFormat="1">
      <c r="P3121" s="277"/>
      <c r="Q3121" s="277"/>
      <c r="R3121" s="277"/>
      <c r="S3121" s="291">
        <v>44677</v>
      </c>
      <c r="T3121" s="279">
        <v>3038</v>
      </c>
      <c r="U3121" s="277"/>
      <c r="V3121" s="277"/>
      <c r="W3121" s="277"/>
      <c r="X3121" s="277"/>
      <c r="Y3121" s="277"/>
      <c r="Z3121" s="277"/>
      <c r="AA3121" s="277"/>
      <c r="AB3121" s="277"/>
      <c r="AC3121" s="277"/>
      <c r="AD3121" s="277"/>
      <c r="AE3121" s="277"/>
      <c r="AF3121" s="277"/>
      <c r="AG3121" s="277"/>
      <c r="AH3121" s="277"/>
    </row>
    <row r="3122" spans="16:34" s="185" customFormat="1">
      <c r="P3122" s="277"/>
      <c r="Q3122" s="277"/>
      <c r="R3122" s="277"/>
      <c r="S3122" s="291">
        <v>44678</v>
      </c>
      <c r="T3122" s="279">
        <v>3039</v>
      </c>
      <c r="U3122" s="277"/>
      <c r="V3122" s="277"/>
      <c r="W3122" s="277"/>
      <c r="X3122" s="277"/>
      <c r="Y3122" s="277"/>
      <c r="Z3122" s="277"/>
      <c r="AA3122" s="277"/>
      <c r="AB3122" s="277"/>
      <c r="AC3122" s="277"/>
      <c r="AD3122" s="277"/>
      <c r="AE3122" s="277"/>
      <c r="AF3122" s="277"/>
      <c r="AG3122" s="277"/>
      <c r="AH3122" s="277"/>
    </row>
    <row r="3123" spans="16:34" s="185" customFormat="1">
      <c r="P3123" s="277"/>
      <c r="Q3123" s="277"/>
      <c r="R3123" s="277"/>
      <c r="S3123" s="291">
        <v>44679</v>
      </c>
      <c r="T3123" s="279">
        <v>3040</v>
      </c>
      <c r="U3123" s="277"/>
      <c r="V3123" s="277"/>
      <c r="W3123" s="277"/>
      <c r="X3123" s="277"/>
      <c r="Y3123" s="277"/>
      <c r="Z3123" s="277"/>
      <c r="AA3123" s="277"/>
      <c r="AB3123" s="277"/>
      <c r="AC3123" s="277"/>
      <c r="AD3123" s="277"/>
      <c r="AE3123" s="277"/>
      <c r="AF3123" s="277"/>
      <c r="AG3123" s="277"/>
      <c r="AH3123" s="277"/>
    </row>
    <row r="3124" spans="16:34" s="185" customFormat="1">
      <c r="P3124" s="277"/>
      <c r="Q3124" s="277"/>
      <c r="R3124" s="277"/>
      <c r="S3124" s="291">
        <v>44680</v>
      </c>
      <c r="T3124" s="279">
        <v>3041</v>
      </c>
      <c r="U3124" s="277"/>
      <c r="V3124" s="277"/>
      <c r="W3124" s="277"/>
      <c r="X3124" s="277"/>
      <c r="Y3124" s="277"/>
      <c r="Z3124" s="277"/>
      <c r="AA3124" s="277"/>
      <c r="AB3124" s="277"/>
      <c r="AC3124" s="277"/>
      <c r="AD3124" s="277"/>
      <c r="AE3124" s="277"/>
      <c r="AF3124" s="277"/>
      <c r="AG3124" s="277"/>
      <c r="AH3124" s="277"/>
    </row>
    <row r="3125" spans="16:34" s="185" customFormat="1">
      <c r="P3125" s="277"/>
      <c r="Q3125" s="277"/>
      <c r="R3125" s="277"/>
      <c r="S3125" s="291">
        <v>44681</v>
      </c>
      <c r="T3125" s="279">
        <v>3042</v>
      </c>
      <c r="U3125" s="277"/>
      <c r="V3125" s="277"/>
      <c r="W3125" s="277"/>
      <c r="X3125" s="277"/>
      <c r="Y3125" s="277"/>
      <c r="Z3125" s="277"/>
      <c r="AA3125" s="277"/>
      <c r="AB3125" s="277"/>
      <c r="AC3125" s="277"/>
      <c r="AD3125" s="277"/>
      <c r="AE3125" s="277"/>
      <c r="AF3125" s="277"/>
      <c r="AG3125" s="277"/>
      <c r="AH3125" s="277"/>
    </row>
    <row r="3126" spans="16:34" s="185" customFormat="1">
      <c r="P3126" s="277"/>
      <c r="Q3126" s="277"/>
      <c r="R3126" s="277"/>
      <c r="S3126" s="291">
        <v>44682</v>
      </c>
      <c r="T3126" s="279">
        <v>3043</v>
      </c>
      <c r="U3126" s="277"/>
      <c r="V3126" s="277"/>
      <c r="W3126" s="277"/>
      <c r="X3126" s="277"/>
      <c r="Y3126" s="277"/>
      <c r="Z3126" s="277"/>
      <c r="AA3126" s="277"/>
      <c r="AB3126" s="277"/>
      <c r="AC3126" s="277"/>
      <c r="AD3126" s="277"/>
      <c r="AE3126" s="277"/>
      <c r="AF3126" s="277"/>
      <c r="AG3126" s="277"/>
      <c r="AH3126" s="277"/>
    </row>
    <row r="3127" spans="16:34" s="185" customFormat="1">
      <c r="P3127" s="277"/>
      <c r="Q3127" s="277"/>
      <c r="R3127" s="277"/>
      <c r="S3127" s="291">
        <v>44683</v>
      </c>
      <c r="T3127" s="279">
        <v>3044</v>
      </c>
      <c r="U3127" s="277"/>
      <c r="V3127" s="277"/>
      <c r="W3127" s="277"/>
      <c r="X3127" s="277"/>
      <c r="Y3127" s="277"/>
      <c r="Z3127" s="277"/>
      <c r="AA3127" s="277"/>
      <c r="AB3127" s="277"/>
      <c r="AC3127" s="277"/>
      <c r="AD3127" s="277"/>
      <c r="AE3127" s="277"/>
      <c r="AF3127" s="277"/>
      <c r="AG3127" s="277"/>
      <c r="AH3127" s="277"/>
    </row>
    <row r="3128" spans="16:34" s="185" customFormat="1">
      <c r="P3128" s="277"/>
      <c r="Q3128" s="277"/>
      <c r="R3128" s="277"/>
      <c r="S3128" s="291">
        <v>44684</v>
      </c>
      <c r="T3128" s="279">
        <v>3045</v>
      </c>
      <c r="U3128" s="277"/>
      <c r="V3128" s="277"/>
      <c r="W3128" s="277"/>
      <c r="X3128" s="277"/>
      <c r="Y3128" s="277"/>
      <c r="Z3128" s="277"/>
      <c r="AA3128" s="277"/>
      <c r="AB3128" s="277"/>
      <c r="AC3128" s="277"/>
      <c r="AD3128" s="277"/>
      <c r="AE3128" s="277"/>
      <c r="AF3128" s="277"/>
      <c r="AG3128" s="277"/>
      <c r="AH3128" s="277"/>
    </row>
    <row r="3129" spans="16:34" s="185" customFormat="1">
      <c r="P3129" s="277"/>
      <c r="Q3129" s="277"/>
      <c r="R3129" s="277"/>
      <c r="S3129" s="291">
        <v>44685</v>
      </c>
      <c r="T3129" s="279">
        <v>3046</v>
      </c>
      <c r="U3129" s="277"/>
      <c r="V3129" s="277"/>
      <c r="W3129" s="277"/>
      <c r="X3129" s="277"/>
      <c r="Y3129" s="277"/>
      <c r="Z3129" s="277"/>
      <c r="AA3129" s="277"/>
      <c r="AB3129" s="277"/>
      <c r="AC3129" s="277"/>
      <c r="AD3129" s="277"/>
      <c r="AE3129" s="277"/>
      <c r="AF3129" s="277"/>
      <c r="AG3129" s="277"/>
      <c r="AH3129" s="277"/>
    </row>
    <row r="3130" spans="16:34" s="185" customFormat="1">
      <c r="P3130" s="277"/>
      <c r="Q3130" s="277"/>
      <c r="R3130" s="277"/>
      <c r="S3130" s="291">
        <v>44686</v>
      </c>
      <c r="T3130" s="279">
        <v>3047</v>
      </c>
      <c r="U3130" s="277"/>
      <c r="V3130" s="277"/>
      <c r="W3130" s="277"/>
      <c r="X3130" s="277"/>
      <c r="Y3130" s="277"/>
      <c r="Z3130" s="277"/>
      <c r="AA3130" s="277"/>
      <c r="AB3130" s="277"/>
      <c r="AC3130" s="277"/>
      <c r="AD3130" s="277"/>
      <c r="AE3130" s="277"/>
      <c r="AF3130" s="277"/>
      <c r="AG3130" s="277"/>
      <c r="AH3130" s="277"/>
    </row>
    <row r="3131" spans="16:34" s="185" customFormat="1">
      <c r="P3131" s="277"/>
      <c r="Q3131" s="277"/>
      <c r="R3131" s="277"/>
      <c r="S3131" s="291">
        <v>44687</v>
      </c>
      <c r="T3131" s="279">
        <v>3048</v>
      </c>
      <c r="U3131" s="277"/>
      <c r="V3131" s="277"/>
      <c r="W3131" s="277"/>
      <c r="X3131" s="277"/>
      <c r="Y3131" s="277"/>
      <c r="Z3131" s="277"/>
      <c r="AA3131" s="277"/>
      <c r="AB3131" s="277"/>
      <c r="AC3131" s="277"/>
      <c r="AD3131" s="277"/>
      <c r="AE3131" s="277"/>
      <c r="AF3131" s="277"/>
      <c r="AG3131" s="277"/>
      <c r="AH3131" s="277"/>
    </row>
    <row r="3132" spans="16:34" s="185" customFormat="1">
      <c r="P3132" s="277"/>
      <c r="Q3132" s="277"/>
      <c r="R3132" s="277"/>
      <c r="S3132" s="291">
        <v>44688</v>
      </c>
      <c r="T3132" s="279">
        <v>3049</v>
      </c>
      <c r="U3132" s="277"/>
      <c r="V3132" s="277"/>
      <c r="W3132" s="277"/>
      <c r="X3132" s="277"/>
      <c r="Y3132" s="277"/>
      <c r="Z3132" s="277"/>
      <c r="AA3132" s="277"/>
      <c r="AB3132" s="277"/>
      <c r="AC3132" s="277"/>
      <c r="AD3132" s="277"/>
      <c r="AE3132" s="277"/>
      <c r="AF3132" s="277"/>
      <c r="AG3132" s="277"/>
      <c r="AH3132" s="277"/>
    </row>
    <row r="3133" spans="16:34" s="185" customFormat="1">
      <c r="P3133" s="277"/>
      <c r="Q3133" s="277"/>
      <c r="R3133" s="277"/>
      <c r="S3133" s="291">
        <v>44689</v>
      </c>
      <c r="T3133" s="279">
        <v>3050</v>
      </c>
      <c r="U3133" s="277"/>
      <c r="V3133" s="277"/>
      <c r="W3133" s="277"/>
      <c r="X3133" s="277"/>
      <c r="Y3133" s="277"/>
      <c r="Z3133" s="277"/>
      <c r="AA3133" s="277"/>
      <c r="AB3133" s="277"/>
      <c r="AC3133" s="277"/>
      <c r="AD3133" s="277"/>
      <c r="AE3133" s="277"/>
      <c r="AF3133" s="277"/>
      <c r="AG3133" s="277"/>
      <c r="AH3133" s="277"/>
    </row>
    <row r="3134" spans="16:34" s="185" customFormat="1">
      <c r="P3134" s="277"/>
      <c r="Q3134" s="277"/>
      <c r="R3134" s="277"/>
      <c r="S3134" s="291">
        <v>44690</v>
      </c>
      <c r="T3134" s="279">
        <v>3051</v>
      </c>
      <c r="U3134" s="277"/>
      <c r="V3134" s="277"/>
      <c r="W3134" s="277"/>
      <c r="X3134" s="277"/>
      <c r="Y3134" s="277"/>
      <c r="Z3134" s="277"/>
      <c r="AA3134" s="277"/>
      <c r="AB3134" s="277"/>
      <c r="AC3134" s="277"/>
      <c r="AD3134" s="277"/>
      <c r="AE3134" s="277"/>
      <c r="AF3134" s="277"/>
      <c r="AG3134" s="277"/>
      <c r="AH3134" s="277"/>
    </row>
    <row r="3135" spans="16:34" s="185" customFormat="1">
      <c r="P3135" s="277"/>
      <c r="Q3135" s="277"/>
      <c r="R3135" s="277"/>
      <c r="S3135" s="291">
        <v>44691</v>
      </c>
      <c r="T3135" s="279">
        <v>3052</v>
      </c>
      <c r="U3135" s="277"/>
      <c r="V3135" s="277"/>
      <c r="W3135" s="277"/>
      <c r="X3135" s="277"/>
      <c r="Y3135" s="277"/>
      <c r="Z3135" s="277"/>
      <c r="AA3135" s="277"/>
      <c r="AB3135" s="277"/>
      <c r="AC3135" s="277"/>
      <c r="AD3135" s="277"/>
      <c r="AE3135" s="277"/>
      <c r="AF3135" s="277"/>
      <c r="AG3135" s="277"/>
      <c r="AH3135" s="277"/>
    </row>
    <row r="3136" spans="16:34" s="185" customFormat="1">
      <c r="P3136" s="277"/>
      <c r="Q3136" s="277"/>
      <c r="R3136" s="277"/>
      <c r="S3136" s="291">
        <v>44692</v>
      </c>
      <c r="T3136" s="279">
        <v>3053</v>
      </c>
      <c r="U3136" s="277"/>
      <c r="V3136" s="277"/>
      <c r="W3136" s="277"/>
      <c r="X3136" s="277"/>
      <c r="Y3136" s="277"/>
      <c r="Z3136" s="277"/>
      <c r="AA3136" s="277"/>
      <c r="AB3136" s="277"/>
      <c r="AC3136" s="277"/>
      <c r="AD3136" s="277"/>
      <c r="AE3136" s="277"/>
      <c r="AF3136" s="277"/>
      <c r="AG3136" s="277"/>
      <c r="AH3136" s="277"/>
    </row>
    <row r="3137" spans="16:34" s="185" customFormat="1">
      <c r="P3137" s="277"/>
      <c r="Q3137" s="277"/>
      <c r="R3137" s="277"/>
      <c r="S3137" s="291">
        <v>44693</v>
      </c>
      <c r="T3137" s="279">
        <v>3054</v>
      </c>
      <c r="U3137" s="277"/>
      <c r="V3137" s="277"/>
      <c r="W3137" s="277"/>
      <c r="X3137" s="277"/>
      <c r="Y3137" s="277"/>
      <c r="Z3137" s="277"/>
      <c r="AA3137" s="277"/>
      <c r="AB3137" s="277"/>
      <c r="AC3137" s="277"/>
      <c r="AD3137" s="277"/>
      <c r="AE3137" s="277"/>
      <c r="AF3137" s="277"/>
      <c r="AG3137" s="277"/>
      <c r="AH3137" s="277"/>
    </row>
    <row r="3138" spans="16:34" s="185" customFormat="1">
      <c r="P3138" s="277"/>
      <c r="Q3138" s="277"/>
      <c r="R3138" s="277"/>
      <c r="S3138" s="291">
        <v>44694</v>
      </c>
      <c r="T3138" s="279">
        <v>3055</v>
      </c>
      <c r="U3138" s="277"/>
      <c r="V3138" s="277"/>
      <c r="W3138" s="277"/>
      <c r="X3138" s="277"/>
      <c r="Y3138" s="277"/>
      <c r="Z3138" s="277"/>
      <c r="AA3138" s="277"/>
      <c r="AB3138" s="277"/>
      <c r="AC3138" s="277"/>
      <c r="AD3138" s="277"/>
      <c r="AE3138" s="277"/>
      <c r="AF3138" s="277"/>
      <c r="AG3138" s="277"/>
      <c r="AH3138" s="277"/>
    </row>
    <row r="3139" spans="16:34" s="185" customFormat="1">
      <c r="P3139" s="277"/>
      <c r="Q3139" s="277"/>
      <c r="R3139" s="277"/>
      <c r="S3139" s="291">
        <v>44695</v>
      </c>
      <c r="T3139" s="279">
        <v>3056</v>
      </c>
      <c r="U3139" s="277"/>
      <c r="V3139" s="277"/>
      <c r="W3139" s="277"/>
      <c r="X3139" s="277"/>
      <c r="Y3139" s="277"/>
      <c r="Z3139" s="277"/>
      <c r="AA3139" s="277"/>
      <c r="AB3139" s="277"/>
      <c r="AC3139" s="277"/>
      <c r="AD3139" s="277"/>
      <c r="AE3139" s="277"/>
      <c r="AF3139" s="277"/>
      <c r="AG3139" s="277"/>
      <c r="AH3139" s="277"/>
    </row>
    <row r="3140" spans="16:34" s="185" customFormat="1">
      <c r="P3140" s="277"/>
      <c r="Q3140" s="277"/>
      <c r="R3140" s="277"/>
      <c r="S3140" s="291">
        <v>44696</v>
      </c>
      <c r="T3140" s="279">
        <v>3057</v>
      </c>
      <c r="U3140" s="277"/>
      <c r="V3140" s="277"/>
      <c r="W3140" s="277"/>
      <c r="X3140" s="277"/>
      <c r="Y3140" s="277"/>
      <c r="Z3140" s="277"/>
      <c r="AA3140" s="277"/>
      <c r="AB3140" s="277"/>
      <c r="AC3140" s="277"/>
      <c r="AD3140" s="277"/>
      <c r="AE3140" s="277"/>
      <c r="AF3140" s="277"/>
      <c r="AG3140" s="277"/>
      <c r="AH3140" s="277"/>
    </row>
    <row r="3141" spans="16:34" s="185" customFormat="1">
      <c r="P3141" s="277"/>
      <c r="Q3141" s="277"/>
      <c r="R3141" s="277"/>
      <c r="S3141" s="291">
        <v>44697</v>
      </c>
      <c r="T3141" s="279">
        <v>3058</v>
      </c>
      <c r="U3141" s="277"/>
      <c r="V3141" s="277"/>
      <c r="W3141" s="277"/>
      <c r="X3141" s="277"/>
      <c r="Y3141" s="277"/>
      <c r="Z3141" s="277"/>
      <c r="AA3141" s="277"/>
      <c r="AB3141" s="277"/>
      <c r="AC3141" s="277"/>
      <c r="AD3141" s="277"/>
      <c r="AE3141" s="277"/>
      <c r="AF3141" s="277"/>
      <c r="AG3141" s="277"/>
      <c r="AH3141" s="277"/>
    </row>
    <row r="3142" spans="16:34" s="185" customFormat="1">
      <c r="P3142" s="277"/>
      <c r="Q3142" s="277"/>
      <c r="R3142" s="277"/>
      <c r="S3142" s="291">
        <v>44698</v>
      </c>
      <c r="T3142" s="279">
        <v>3059</v>
      </c>
      <c r="U3142" s="277"/>
      <c r="V3142" s="277"/>
      <c r="W3142" s="277"/>
      <c r="X3142" s="277"/>
      <c r="Y3142" s="277"/>
      <c r="Z3142" s="277"/>
      <c r="AA3142" s="277"/>
      <c r="AB3142" s="277"/>
      <c r="AC3142" s="277"/>
      <c r="AD3142" s="277"/>
      <c r="AE3142" s="277"/>
      <c r="AF3142" s="277"/>
      <c r="AG3142" s="277"/>
      <c r="AH3142" s="277"/>
    </row>
    <row r="3143" spans="16:34" s="185" customFormat="1">
      <c r="P3143" s="277"/>
      <c r="Q3143" s="277"/>
      <c r="R3143" s="277"/>
      <c r="S3143" s="291">
        <v>44699</v>
      </c>
      <c r="T3143" s="279">
        <v>3060</v>
      </c>
      <c r="U3143" s="277"/>
      <c r="V3143" s="277"/>
      <c r="W3143" s="277"/>
      <c r="X3143" s="277"/>
      <c r="Y3143" s="277"/>
      <c r="Z3143" s="277"/>
      <c r="AA3143" s="277"/>
      <c r="AB3143" s="277"/>
      <c r="AC3143" s="277"/>
      <c r="AD3143" s="277"/>
      <c r="AE3143" s="277"/>
      <c r="AF3143" s="277"/>
      <c r="AG3143" s="277"/>
      <c r="AH3143" s="277"/>
    </row>
    <row r="3144" spans="16:34" s="185" customFormat="1">
      <c r="P3144" s="277"/>
      <c r="Q3144" s="277"/>
      <c r="R3144" s="277"/>
      <c r="S3144" s="291">
        <v>44700</v>
      </c>
      <c r="T3144" s="279">
        <v>3061</v>
      </c>
      <c r="U3144" s="277"/>
      <c r="V3144" s="277"/>
      <c r="W3144" s="277"/>
      <c r="X3144" s="277"/>
      <c r="Y3144" s="277"/>
      <c r="Z3144" s="277"/>
      <c r="AA3144" s="277"/>
      <c r="AB3144" s="277"/>
      <c r="AC3144" s="277"/>
      <c r="AD3144" s="277"/>
      <c r="AE3144" s="277"/>
      <c r="AF3144" s="277"/>
      <c r="AG3144" s="277"/>
      <c r="AH3144" s="277"/>
    </row>
    <row r="3145" spans="16:34" s="185" customFormat="1">
      <c r="P3145" s="277"/>
      <c r="Q3145" s="277"/>
      <c r="R3145" s="277"/>
      <c r="S3145" s="291">
        <v>44701</v>
      </c>
      <c r="T3145" s="279">
        <v>3062</v>
      </c>
      <c r="U3145" s="277"/>
      <c r="V3145" s="277"/>
      <c r="W3145" s="277"/>
      <c r="X3145" s="277"/>
      <c r="Y3145" s="277"/>
      <c r="Z3145" s="277"/>
      <c r="AA3145" s="277"/>
      <c r="AB3145" s="277"/>
      <c r="AC3145" s="277"/>
      <c r="AD3145" s="277"/>
      <c r="AE3145" s="277"/>
      <c r="AF3145" s="277"/>
      <c r="AG3145" s="277"/>
      <c r="AH3145" s="277"/>
    </row>
    <row r="3146" spans="16:34" s="185" customFormat="1">
      <c r="P3146" s="277"/>
      <c r="Q3146" s="277"/>
      <c r="R3146" s="277"/>
      <c r="S3146" s="291">
        <v>44702</v>
      </c>
      <c r="T3146" s="279">
        <v>3063</v>
      </c>
      <c r="U3146" s="277"/>
      <c r="V3146" s="277"/>
      <c r="W3146" s="277"/>
      <c r="X3146" s="277"/>
      <c r="Y3146" s="277"/>
      <c r="Z3146" s="277"/>
      <c r="AA3146" s="277"/>
      <c r="AB3146" s="277"/>
      <c r="AC3146" s="277"/>
      <c r="AD3146" s="277"/>
      <c r="AE3146" s="277"/>
      <c r="AF3146" s="277"/>
      <c r="AG3146" s="277"/>
      <c r="AH3146" s="277"/>
    </row>
    <row r="3147" spans="16:34" s="185" customFormat="1">
      <c r="P3147" s="277"/>
      <c r="Q3147" s="277"/>
      <c r="R3147" s="277"/>
      <c r="S3147" s="291">
        <v>44703</v>
      </c>
      <c r="T3147" s="279">
        <v>3064</v>
      </c>
      <c r="U3147" s="277"/>
      <c r="V3147" s="277"/>
      <c r="W3147" s="277"/>
      <c r="X3147" s="277"/>
      <c r="Y3147" s="277"/>
      <c r="Z3147" s="277"/>
      <c r="AA3147" s="277"/>
      <c r="AB3147" s="277"/>
      <c r="AC3147" s="277"/>
      <c r="AD3147" s="277"/>
      <c r="AE3147" s="277"/>
      <c r="AF3147" s="277"/>
      <c r="AG3147" s="277"/>
      <c r="AH3147" s="277"/>
    </row>
    <row r="3148" spans="16:34" s="185" customFormat="1">
      <c r="P3148" s="277"/>
      <c r="Q3148" s="277"/>
      <c r="R3148" s="277"/>
      <c r="S3148" s="291">
        <v>44704</v>
      </c>
      <c r="T3148" s="279">
        <v>3065</v>
      </c>
      <c r="U3148" s="277"/>
      <c r="V3148" s="277"/>
      <c r="W3148" s="277"/>
      <c r="X3148" s="277"/>
      <c r="Y3148" s="277"/>
      <c r="Z3148" s="277"/>
      <c r="AA3148" s="277"/>
      <c r="AB3148" s="277"/>
      <c r="AC3148" s="277"/>
      <c r="AD3148" s="277"/>
      <c r="AE3148" s="277"/>
      <c r="AF3148" s="277"/>
      <c r="AG3148" s="277"/>
      <c r="AH3148" s="277"/>
    </row>
    <row r="3149" spans="16:34" s="185" customFormat="1">
      <c r="P3149" s="277"/>
      <c r="Q3149" s="277"/>
      <c r="R3149" s="277"/>
      <c r="S3149" s="291">
        <v>44705</v>
      </c>
      <c r="T3149" s="279">
        <v>3066</v>
      </c>
      <c r="U3149" s="277"/>
      <c r="V3149" s="277"/>
      <c r="W3149" s="277"/>
      <c r="X3149" s="277"/>
      <c r="Y3149" s="277"/>
      <c r="Z3149" s="277"/>
      <c r="AA3149" s="277"/>
      <c r="AB3149" s="277"/>
      <c r="AC3149" s="277"/>
      <c r="AD3149" s="277"/>
      <c r="AE3149" s="277"/>
      <c r="AF3149" s="277"/>
      <c r="AG3149" s="277"/>
      <c r="AH3149" s="277"/>
    </row>
    <row r="3150" spans="16:34" s="185" customFormat="1">
      <c r="P3150" s="277"/>
      <c r="Q3150" s="277"/>
      <c r="R3150" s="277"/>
      <c r="S3150" s="291">
        <v>44706</v>
      </c>
      <c r="T3150" s="279">
        <v>3067</v>
      </c>
      <c r="U3150" s="277"/>
      <c r="V3150" s="277"/>
      <c r="W3150" s="277"/>
      <c r="X3150" s="277"/>
      <c r="Y3150" s="277"/>
      <c r="Z3150" s="277"/>
      <c r="AA3150" s="277"/>
      <c r="AB3150" s="277"/>
      <c r="AC3150" s="277"/>
      <c r="AD3150" s="277"/>
      <c r="AE3150" s="277"/>
      <c r="AF3150" s="277"/>
      <c r="AG3150" s="277"/>
      <c r="AH3150" s="277"/>
    </row>
    <row r="3151" spans="16:34" s="185" customFormat="1">
      <c r="P3151" s="277"/>
      <c r="Q3151" s="277"/>
      <c r="R3151" s="277"/>
      <c r="S3151" s="291">
        <v>44707</v>
      </c>
      <c r="T3151" s="279">
        <v>3068</v>
      </c>
      <c r="U3151" s="277"/>
      <c r="V3151" s="277"/>
      <c r="W3151" s="277"/>
      <c r="X3151" s="277"/>
      <c r="Y3151" s="277"/>
      <c r="Z3151" s="277"/>
      <c r="AA3151" s="277"/>
      <c r="AB3151" s="277"/>
      <c r="AC3151" s="277"/>
      <c r="AD3151" s="277"/>
      <c r="AE3151" s="277"/>
      <c r="AF3151" s="277"/>
      <c r="AG3151" s="277"/>
      <c r="AH3151" s="277"/>
    </row>
    <row r="3152" spans="16:34" s="185" customFormat="1">
      <c r="P3152" s="277"/>
      <c r="Q3152" s="277"/>
      <c r="R3152" s="277"/>
      <c r="S3152" s="291">
        <v>44708</v>
      </c>
      <c r="T3152" s="279">
        <v>3069</v>
      </c>
      <c r="U3152" s="277"/>
      <c r="V3152" s="277"/>
      <c r="W3152" s="277"/>
      <c r="X3152" s="277"/>
      <c r="Y3152" s="277"/>
      <c r="Z3152" s="277"/>
      <c r="AA3152" s="277"/>
      <c r="AB3152" s="277"/>
      <c r="AC3152" s="277"/>
      <c r="AD3152" s="277"/>
      <c r="AE3152" s="277"/>
      <c r="AF3152" s="277"/>
      <c r="AG3152" s="277"/>
      <c r="AH3152" s="277"/>
    </row>
    <row r="3153" spans="1:34" s="185" customFormat="1">
      <c r="P3153" s="277"/>
      <c r="Q3153" s="277"/>
      <c r="R3153" s="277"/>
      <c r="S3153" s="291">
        <v>44709</v>
      </c>
      <c r="T3153" s="279">
        <v>3070</v>
      </c>
      <c r="U3153" s="277"/>
      <c r="V3153" s="277"/>
      <c r="W3153" s="277"/>
      <c r="X3153" s="277"/>
      <c r="Y3153" s="277"/>
      <c r="Z3153" s="277"/>
      <c r="AA3153" s="277"/>
      <c r="AB3153" s="277"/>
      <c r="AC3153" s="277"/>
      <c r="AD3153" s="277"/>
      <c r="AE3153" s="277"/>
      <c r="AF3153" s="277"/>
      <c r="AG3153" s="277"/>
      <c r="AH3153" s="277"/>
    </row>
    <row r="3154" spans="1:34" s="185" customFormat="1">
      <c r="P3154" s="277"/>
      <c r="Q3154" s="277"/>
      <c r="R3154" s="277"/>
      <c r="S3154" s="291">
        <v>44710</v>
      </c>
      <c r="T3154" s="279">
        <v>3071</v>
      </c>
      <c r="U3154" s="277"/>
      <c r="V3154" s="277"/>
      <c r="W3154" s="277"/>
      <c r="X3154" s="277"/>
      <c r="Y3154" s="277"/>
      <c r="Z3154" s="277"/>
      <c r="AA3154" s="277"/>
      <c r="AB3154" s="277"/>
      <c r="AC3154" s="277"/>
      <c r="AD3154" s="277"/>
      <c r="AE3154" s="277"/>
      <c r="AF3154" s="277"/>
      <c r="AG3154" s="277"/>
      <c r="AH3154" s="277"/>
    </row>
    <row r="3155" spans="1:34" s="185" customFormat="1">
      <c r="P3155" s="277"/>
      <c r="Q3155" s="277"/>
      <c r="R3155" s="277"/>
      <c r="S3155" s="291">
        <v>44711</v>
      </c>
      <c r="T3155" s="279">
        <v>3072</v>
      </c>
      <c r="U3155" s="277"/>
      <c r="V3155" s="277"/>
      <c r="W3155" s="277"/>
      <c r="X3155" s="277"/>
      <c r="Y3155" s="277"/>
      <c r="Z3155" s="277"/>
      <c r="AA3155" s="277"/>
      <c r="AB3155" s="277"/>
      <c r="AC3155" s="277"/>
      <c r="AD3155" s="277"/>
      <c r="AE3155" s="277"/>
      <c r="AF3155" s="277"/>
      <c r="AG3155" s="277"/>
      <c r="AH3155" s="277"/>
    </row>
    <row r="3156" spans="1:34" s="185" customFormat="1">
      <c r="P3156" s="277"/>
      <c r="Q3156" s="277"/>
      <c r="R3156" s="277"/>
      <c r="S3156" s="291">
        <v>44712</v>
      </c>
      <c r="T3156" s="279">
        <v>3073</v>
      </c>
      <c r="U3156" s="277"/>
      <c r="V3156" s="277"/>
      <c r="W3156" s="277"/>
      <c r="X3156" s="277"/>
      <c r="Y3156" s="277"/>
      <c r="Z3156" s="277"/>
      <c r="AA3156" s="277"/>
      <c r="AB3156" s="277"/>
      <c r="AC3156" s="277"/>
      <c r="AD3156" s="277"/>
      <c r="AE3156" s="277"/>
      <c r="AF3156" s="277"/>
      <c r="AG3156" s="277"/>
      <c r="AH3156" s="277"/>
    </row>
    <row r="3157" spans="1:34" s="185" customFormat="1">
      <c r="P3157" s="277"/>
      <c r="Q3157" s="277"/>
      <c r="R3157" s="277"/>
      <c r="S3157" s="291">
        <v>44713</v>
      </c>
      <c r="T3157" s="279">
        <v>3074</v>
      </c>
      <c r="U3157" s="277"/>
      <c r="V3157" s="277"/>
      <c r="W3157" s="277"/>
      <c r="X3157" s="277"/>
      <c r="Y3157" s="277"/>
      <c r="Z3157" s="277"/>
      <c r="AA3157" s="277"/>
      <c r="AB3157" s="277"/>
      <c r="AC3157" s="277"/>
      <c r="AD3157" s="277"/>
      <c r="AE3157" s="277"/>
      <c r="AF3157" s="277"/>
      <c r="AG3157" s="277"/>
      <c r="AH3157" s="277"/>
    </row>
    <row r="3158" spans="1:34" s="185" customFormat="1">
      <c r="P3158" s="277"/>
      <c r="Q3158" s="277"/>
      <c r="R3158" s="277"/>
      <c r="S3158" s="291">
        <v>44714</v>
      </c>
      <c r="T3158" s="279">
        <v>3075</v>
      </c>
      <c r="U3158" s="277"/>
      <c r="V3158" s="277"/>
      <c r="W3158" s="277"/>
      <c r="X3158" s="277"/>
      <c r="Y3158" s="277"/>
      <c r="Z3158" s="277"/>
      <c r="AA3158" s="277"/>
      <c r="AB3158" s="277"/>
      <c r="AC3158" s="277"/>
      <c r="AD3158" s="277"/>
      <c r="AE3158" s="277"/>
      <c r="AF3158" s="277"/>
      <c r="AG3158" s="277"/>
      <c r="AH3158" s="277"/>
    </row>
    <row r="3159" spans="1:34" s="185" customFormat="1">
      <c r="P3159" s="277"/>
      <c r="Q3159" s="277"/>
      <c r="R3159" s="277"/>
      <c r="S3159" s="291">
        <v>44715</v>
      </c>
      <c r="T3159" s="279">
        <v>3076</v>
      </c>
      <c r="U3159" s="277"/>
      <c r="V3159" s="277"/>
      <c r="W3159" s="277"/>
      <c r="X3159" s="277"/>
      <c r="Y3159" s="277"/>
      <c r="Z3159" s="277"/>
      <c r="AA3159" s="277"/>
      <c r="AB3159" s="277"/>
      <c r="AC3159" s="277"/>
      <c r="AD3159" s="277"/>
      <c r="AE3159" s="277"/>
      <c r="AF3159" s="277"/>
      <c r="AG3159" s="277"/>
      <c r="AH3159" s="277"/>
    </row>
    <row r="3160" spans="1:34" s="185" customFormat="1">
      <c r="P3160" s="277"/>
      <c r="Q3160" s="277"/>
      <c r="R3160" s="277"/>
      <c r="S3160" s="291">
        <v>44716</v>
      </c>
      <c r="T3160" s="279">
        <v>3077</v>
      </c>
      <c r="U3160" s="277"/>
      <c r="V3160" s="277"/>
      <c r="W3160" s="277"/>
      <c r="X3160" s="277"/>
      <c r="Y3160" s="277"/>
      <c r="Z3160" s="277"/>
      <c r="AA3160" s="277"/>
      <c r="AB3160" s="277"/>
      <c r="AC3160" s="277"/>
      <c r="AD3160" s="277"/>
      <c r="AE3160" s="277"/>
      <c r="AF3160" s="277"/>
      <c r="AG3160" s="277"/>
      <c r="AH3160" s="277"/>
    </row>
    <row r="3161" spans="1:34" s="185" customFormat="1">
      <c r="P3161" s="277"/>
      <c r="Q3161" s="277"/>
      <c r="R3161" s="277"/>
      <c r="S3161" s="291">
        <v>44717</v>
      </c>
      <c r="T3161" s="279">
        <v>3078</v>
      </c>
      <c r="U3161" s="277"/>
      <c r="V3161" s="277"/>
      <c r="W3161" s="277"/>
      <c r="X3161" s="277"/>
      <c r="Y3161" s="277"/>
      <c r="Z3161" s="277"/>
      <c r="AA3161" s="277"/>
      <c r="AB3161" s="277"/>
      <c r="AC3161" s="277"/>
      <c r="AD3161" s="277"/>
      <c r="AE3161" s="277"/>
      <c r="AF3161" s="277"/>
      <c r="AG3161" s="277"/>
      <c r="AH3161" s="277"/>
    </row>
    <row r="3162" spans="1:34" s="185" customFormat="1">
      <c r="P3162" s="277"/>
      <c r="Q3162" s="277"/>
      <c r="R3162" s="277"/>
      <c r="S3162" s="291">
        <v>44718</v>
      </c>
      <c r="T3162" s="279">
        <v>3079</v>
      </c>
      <c r="U3162" s="277"/>
      <c r="V3162" s="277"/>
      <c r="W3162" s="277"/>
      <c r="X3162" s="277"/>
      <c r="Y3162" s="277"/>
      <c r="Z3162" s="277"/>
      <c r="AA3162" s="277"/>
      <c r="AB3162" s="277"/>
      <c r="AC3162" s="277"/>
      <c r="AD3162" s="277"/>
      <c r="AE3162" s="277"/>
      <c r="AF3162" s="277"/>
      <c r="AG3162" s="277"/>
      <c r="AH3162" s="277"/>
    </row>
    <row r="3163" spans="1:34" s="185" customFormat="1">
      <c r="P3163" s="277"/>
      <c r="Q3163" s="277"/>
      <c r="R3163" s="277"/>
      <c r="S3163" s="291">
        <v>44719</v>
      </c>
      <c r="T3163" s="279">
        <v>3080</v>
      </c>
      <c r="U3163" s="277"/>
      <c r="V3163" s="277"/>
      <c r="W3163" s="277"/>
      <c r="X3163" s="277"/>
      <c r="Y3163" s="277"/>
      <c r="Z3163" s="277"/>
      <c r="AA3163" s="277"/>
      <c r="AB3163" s="277"/>
      <c r="AC3163" s="277"/>
      <c r="AD3163" s="277"/>
      <c r="AE3163" s="277"/>
      <c r="AF3163" s="277"/>
      <c r="AG3163" s="277"/>
      <c r="AH3163" s="277"/>
    </row>
    <row r="3164" spans="1:34" s="185" customFormat="1">
      <c r="P3164" s="277"/>
      <c r="Q3164" s="277"/>
      <c r="R3164" s="277"/>
      <c r="S3164" s="291">
        <v>44720</v>
      </c>
      <c r="T3164" s="279">
        <v>3081</v>
      </c>
      <c r="U3164" s="277"/>
      <c r="V3164" s="277"/>
      <c r="W3164" s="277"/>
      <c r="X3164" s="277"/>
      <c r="Y3164" s="277"/>
      <c r="Z3164" s="277"/>
      <c r="AA3164" s="277"/>
      <c r="AB3164" s="277"/>
      <c r="AC3164" s="277"/>
      <c r="AD3164" s="277"/>
      <c r="AE3164" s="277"/>
      <c r="AF3164" s="277"/>
      <c r="AG3164" s="277"/>
      <c r="AH3164" s="277"/>
    </row>
    <row r="3165" spans="1:34" s="185" customFormat="1">
      <c r="A3165" s="304"/>
      <c r="B3165" s="304"/>
      <c r="C3165" s="304"/>
      <c r="D3165" s="304"/>
      <c r="E3165" s="304"/>
      <c r="F3165" s="304"/>
      <c r="G3165" s="304"/>
      <c r="P3165" s="277"/>
      <c r="Q3165" s="277"/>
      <c r="R3165" s="277"/>
      <c r="S3165" s="291">
        <v>44721</v>
      </c>
      <c r="T3165" s="279">
        <v>3082</v>
      </c>
      <c r="U3165" s="277"/>
      <c r="V3165" s="277"/>
      <c r="W3165" s="277"/>
      <c r="X3165" s="277"/>
      <c r="Y3165" s="277"/>
      <c r="Z3165" s="277"/>
      <c r="AA3165" s="277"/>
      <c r="AB3165" s="277"/>
      <c r="AC3165" s="277"/>
      <c r="AD3165" s="277"/>
      <c r="AE3165" s="277"/>
      <c r="AF3165" s="277"/>
      <c r="AG3165" s="277"/>
      <c r="AH3165" s="277"/>
    </row>
    <row r="3166" spans="1:34" s="185" customFormat="1">
      <c r="A3166" s="304"/>
      <c r="B3166" s="304"/>
      <c r="C3166" s="304"/>
      <c r="D3166" s="304"/>
      <c r="E3166" s="304"/>
      <c r="F3166" s="304"/>
      <c r="G3166" s="304"/>
      <c r="P3166" s="277"/>
      <c r="Q3166" s="277"/>
      <c r="R3166" s="277"/>
      <c r="S3166" s="277"/>
      <c r="T3166" s="279"/>
      <c r="U3166" s="277"/>
      <c r="V3166" s="277"/>
      <c r="W3166" s="277"/>
      <c r="X3166" s="277"/>
      <c r="Y3166" s="277"/>
      <c r="Z3166" s="277"/>
      <c r="AA3166" s="277"/>
      <c r="AB3166" s="277"/>
      <c r="AC3166" s="277"/>
      <c r="AD3166" s="277"/>
      <c r="AE3166" s="277"/>
      <c r="AF3166" s="277"/>
      <c r="AG3166" s="277"/>
      <c r="AH3166" s="277"/>
    </row>
    <row r="3167" spans="1:34" s="185" customFormat="1">
      <c r="A3167" s="304"/>
      <c r="B3167" s="304"/>
      <c r="C3167" s="304"/>
      <c r="D3167" s="304"/>
      <c r="E3167" s="304"/>
      <c r="F3167" s="304"/>
      <c r="G3167" s="304"/>
      <c r="P3167" s="277"/>
      <c r="Q3167" s="277"/>
      <c r="R3167" s="277"/>
      <c r="S3167" s="277"/>
      <c r="T3167" s="279"/>
      <c r="U3167" s="277"/>
      <c r="V3167" s="277"/>
      <c r="W3167" s="277"/>
      <c r="X3167" s="277"/>
      <c r="Y3167" s="277"/>
      <c r="Z3167" s="277"/>
      <c r="AA3167" s="277"/>
      <c r="AB3167" s="277"/>
      <c r="AC3167" s="277"/>
      <c r="AD3167" s="277"/>
      <c r="AE3167" s="277"/>
      <c r="AF3167" s="277"/>
      <c r="AG3167" s="277"/>
      <c r="AH3167" s="277"/>
    </row>
    <row r="3168" spans="1:34" s="185" customFormat="1">
      <c r="A3168" s="304"/>
      <c r="B3168" s="304"/>
      <c r="C3168" s="304"/>
      <c r="D3168" s="304"/>
      <c r="E3168" s="304"/>
      <c r="F3168" s="304"/>
      <c r="G3168" s="304"/>
      <c r="P3168" s="277"/>
      <c r="Q3168" s="277"/>
      <c r="R3168" s="277"/>
      <c r="S3168" s="277"/>
      <c r="T3168" s="279"/>
      <c r="U3168" s="277"/>
      <c r="V3168" s="277"/>
      <c r="W3168" s="277"/>
      <c r="X3168" s="277"/>
      <c r="Y3168" s="277"/>
      <c r="Z3168" s="277"/>
      <c r="AA3168" s="277"/>
      <c r="AB3168" s="277"/>
      <c r="AC3168" s="277"/>
      <c r="AD3168" s="277"/>
      <c r="AE3168" s="277"/>
      <c r="AF3168" s="277"/>
      <c r="AG3168" s="277"/>
      <c r="AH3168" s="277"/>
    </row>
    <row r="3169" spans="1:34" s="185" customFormat="1">
      <c r="A3169" s="304"/>
      <c r="B3169" s="304"/>
      <c r="C3169" s="304"/>
      <c r="D3169" s="304"/>
      <c r="E3169" s="304"/>
      <c r="F3169" s="304"/>
      <c r="G3169" s="304"/>
      <c r="P3169" s="277"/>
      <c r="Q3169" s="277"/>
      <c r="R3169" s="277"/>
      <c r="S3169" s="277"/>
      <c r="T3169" s="279"/>
      <c r="U3169" s="277"/>
      <c r="V3169" s="277"/>
      <c r="W3169" s="277"/>
      <c r="X3169" s="277"/>
      <c r="Y3169" s="277"/>
      <c r="Z3169" s="277"/>
      <c r="AA3169" s="277"/>
      <c r="AB3169" s="277"/>
      <c r="AC3169" s="277"/>
      <c r="AD3169" s="277"/>
      <c r="AE3169" s="277"/>
      <c r="AF3169" s="277"/>
      <c r="AG3169" s="277"/>
      <c r="AH3169" s="277"/>
    </row>
    <row r="3170" spans="1:34" s="185" customFormat="1">
      <c r="A3170" s="304"/>
      <c r="B3170" s="304"/>
      <c r="C3170" s="304"/>
      <c r="D3170" s="304"/>
      <c r="E3170" s="304"/>
      <c r="F3170" s="304"/>
      <c r="G3170" s="304"/>
      <c r="P3170" s="277"/>
      <c r="Q3170" s="277"/>
      <c r="R3170" s="277"/>
      <c r="S3170" s="277"/>
      <c r="T3170" s="279"/>
      <c r="U3170" s="277"/>
      <c r="V3170" s="277"/>
      <c r="W3170" s="277"/>
      <c r="X3170" s="277"/>
      <c r="Y3170" s="277"/>
      <c r="Z3170" s="277"/>
      <c r="AA3170" s="277"/>
      <c r="AB3170" s="277"/>
      <c r="AC3170" s="277"/>
      <c r="AD3170" s="277"/>
      <c r="AE3170" s="277"/>
      <c r="AF3170" s="277"/>
      <c r="AG3170" s="277"/>
      <c r="AH3170" s="277"/>
    </row>
    <row r="3171" spans="1:34" s="185" customFormat="1">
      <c r="A3171" s="304"/>
      <c r="B3171" s="304"/>
      <c r="C3171" s="304"/>
      <c r="D3171" s="304"/>
      <c r="E3171" s="304"/>
      <c r="F3171" s="304"/>
      <c r="G3171" s="304"/>
      <c r="P3171" s="277"/>
      <c r="Q3171" s="277"/>
      <c r="R3171" s="277"/>
      <c r="S3171" s="277"/>
      <c r="T3171" s="279"/>
      <c r="U3171" s="277"/>
      <c r="V3171" s="277"/>
      <c r="W3171" s="277"/>
      <c r="X3171" s="277"/>
      <c r="Y3171" s="277"/>
      <c r="Z3171" s="277"/>
      <c r="AA3171" s="277"/>
      <c r="AB3171" s="277"/>
      <c r="AC3171" s="277"/>
      <c r="AD3171" s="277"/>
      <c r="AE3171" s="277"/>
      <c r="AF3171" s="277"/>
      <c r="AG3171" s="277"/>
      <c r="AH3171" s="277"/>
    </row>
  </sheetData>
  <sheetProtection algorithmName="SHA-512" hashValue="uinqTYkSVzCSN5RI+d6SRanvS2tyXDi4tJhcEQG5thHEDj3sVjrnjc2cuvO2g0fI9jwQztZ3EDnKAe3U/ye3gA==" saltValue="gt0fzUYPE3TjoZSpST5Euw==" spinCount="100000" sheet="1" objects="1" scenarios="1" selectLockedCells="1"/>
  <mergeCells count="21">
    <mergeCell ref="B7:D7"/>
    <mergeCell ref="F7:G7"/>
    <mergeCell ref="B2:F3"/>
    <mergeCell ref="B4:F4"/>
    <mergeCell ref="B5:D5"/>
    <mergeCell ref="F5:G5"/>
    <mergeCell ref="B6:D6"/>
    <mergeCell ref="I9:M30"/>
    <mergeCell ref="B10:F11"/>
    <mergeCell ref="B18:F18"/>
    <mergeCell ref="D20:F20"/>
    <mergeCell ref="B24:C24"/>
    <mergeCell ref="E24:F29"/>
    <mergeCell ref="B25:C25"/>
    <mergeCell ref="AH116:AH119"/>
    <mergeCell ref="B32:F41"/>
    <mergeCell ref="S57:AA57"/>
    <mergeCell ref="AH86:AH91"/>
    <mergeCell ref="AH104:AH107"/>
    <mergeCell ref="AH108:AH111"/>
    <mergeCell ref="AH112:AH115"/>
  </mergeCells>
  <conditionalFormatting sqref="C29">
    <cfRule type="containsText" dxfId="578" priority="1" operator="containsText" text="Pay Freq">
      <formula>NOT(ISERROR(SEARCH("Pay Freq",C29)))</formula>
    </cfRule>
    <cfRule type="containsText" dxfId="577" priority="3" operator="containsText" text="Enter Dates">
      <formula>NOT(ISERROR(SEARCH("Enter Dates",C29)))</formula>
    </cfRule>
  </conditionalFormatting>
  <conditionalFormatting sqref="B25:C25">
    <cfRule type="containsText" dxfId="576" priority="2" operator="containsText" text="Select Pay Frequency">
      <formula>NOT(ISERROR(SEARCH("Select Pay Frequency",B25)))</formula>
    </cfRule>
  </conditionalFormatting>
  <dataValidations count="3">
    <dataValidation type="list" allowBlank="1" showInputMessage="1" showErrorMessage="1" sqref="B25:C25" xr:uid="{EAF3A1EB-8099-425B-A3D7-70F348585773}">
      <formula1>$T$66:$T$70</formula1>
    </dataValidation>
    <dataValidation type="list" allowBlank="1" showInputMessage="1" showErrorMessage="1" sqref="B6:D6" xr:uid="{0002924A-AD34-43DB-9CBD-2BB0133D2885}">
      <formula1>$P$85:$P$88</formula1>
    </dataValidation>
    <dataValidation type="list" allowBlank="1" showInputMessage="1" showErrorMessage="1" sqref="C21" xr:uid="{87CEE49A-DCA5-4003-874C-C280CD332F33}">
      <formula1>$Q$84:$Q$133</formula1>
    </dataValidation>
  </dataValidations>
  <pageMargins left="0.25" right="0.25" top="0.75" bottom="0.75" header="0.3" footer="0.3"/>
  <pageSetup scale="6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ABE96-F8E9-4305-A5F5-D7E3423A4EFE}">
  <sheetPr codeName="Sheet3">
    <tabColor rgb="FF7030A0"/>
    <pageSetUpPr fitToPage="1"/>
  </sheetPr>
  <dimension ref="A1:AU436"/>
  <sheetViews>
    <sheetView zoomScale="85" zoomScaleNormal="85" workbookViewId="0">
      <selection activeCell="B7" sqref="B7:J8"/>
    </sheetView>
  </sheetViews>
  <sheetFormatPr defaultColWidth="9.140625" defaultRowHeight="15"/>
  <cols>
    <col min="1" max="1" width="3.7109375" style="78" customWidth="1"/>
    <col min="2" max="6" width="9.140625" style="78"/>
    <col min="7" max="7" width="12.7109375" style="78" customWidth="1"/>
    <col min="8" max="8" width="18.7109375" style="330" customWidth="1"/>
    <col min="9" max="9" width="12.7109375" style="330" customWidth="1"/>
    <col min="10" max="10" width="18.7109375" style="78" customWidth="1"/>
    <col min="11" max="11" width="3.7109375" style="78" customWidth="1"/>
    <col min="12" max="12" width="9.140625" style="78"/>
    <col min="13" max="13" width="21.5703125" style="78" customWidth="1"/>
    <col min="14" max="14" width="9" style="78" customWidth="1"/>
    <col min="15" max="17" width="9.140625" style="78"/>
    <col min="18" max="18" width="2.42578125" style="78" customWidth="1"/>
    <col min="19" max="19" width="5.5703125" style="78" customWidth="1"/>
    <col min="20" max="20" width="3" style="78" hidden="1" customWidth="1"/>
    <col min="21" max="21" width="9.140625" style="78" hidden="1" customWidth="1"/>
    <col min="22" max="22" width="5.42578125" style="78" customWidth="1"/>
    <col min="23" max="23" width="9.140625" style="78"/>
    <col min="24" max="24" width="22.28515625" style="280" bestFit="1" customWidth="1"/>
    <col min="25" max="25" width="5.7109375" style="280" bestFit="1" customWidth="1"/>
    <col min="26" max="27" width="9.140625" style="280"/>
    <col min="28" max="28" width="34.42578125" style="280" bestFit="1" customWidth="1"/>
    <col min="29" max="30" width="9.140625" style="304"/>
    <col min="31" max="16384" width="9.140625" style="78"/>
  </cols>
  <sheetData>
    <row r="1" spans="2:47" ht="13.5" customHeight="1" thickBot="1">
      <c r="M1" s="304"/>
      <c r="N1" s="304"/>
      <c r="O1" s="304"/>
      <c r="P1" s="304"/>
      <c r="Q1" s="304"/>
      <c r="R1" s="304"/>
      <c r="S1" s="304"/>
      <c r="T1" s="304"/>
      <c r="U1" s="304"/>
      <c r="V1" s="304"/>
      <c r="W1" s="304"/>
      <c r="AE1" s="304"/>
      <c r="AF1" s="304"/>
      <c r="AG1" s="304"/>
      <c r="AH1" s="304"/>
      <c r="AI1" s="304"/>
      <c r="AJ1" s="304"/>
      <c r="AK1" s="304"/>
      <c r="AL1" s="304"/>
      <c r="AM1" s="304"/>
      <c r="AN1" s="304"/>
      <c r="AO1" s="304"/>
      <c r="AP1" s="304"/>
      <c r="AQ1" s="304"/>
      <c r="AR1" s="304"/>
      <c r="AS1" s="304"/>
      <c r="AT1" s="304"/>
      <c r="AU1" s="304"/>
    </row>
    <row r="2" spans="2:47" ht="54.75" customHeight="1">
      <c r="B2" s="1187" t="s">
        <v>669</v>
      </c>
      <c r="C2" s="1188"/>
      <c r="D2" s="1188"/>
      <c r="E2" s="1188"/>
      <c r="F2" s="1188"/>
      <c r="G2" s="1188"/>
      <c r="H2" s="1188"/>
      <c r="I2" s="1188"/>
      <c r="J2" s="331" t="str">
        <f>'[3]Reference Sheet'!$B$2</f>
        <v>Rev. 4.12.2016</v>
      </c>
      <c r="L2" s="1198" t="s">
        <v>670</v>
      </c>
      <c r="M2" s="1199"/>
      <c r="N2" s="1199"/>
      <c r="O2" s="1199"/>
      <c r="P2" s="1199"/>
      <c r="Q2" s="1199"/>
      <c r="R2" s="1199"/>
      <c r="S2" s="1199"/>
      <c r="T2" s="1199"/>
      <c r="U2" s="1199"/>
      <c r="V2" s="1200"/>
      <c r="W2" s="304"/>
      <c r="AE2" s="304"/>
      <c r="AF2" s="304"/>
      <c r="AG2" s="304"/>
      <c r="AH2" s="304"/>
      <c r="AI2" s="304"/>
      <c r="AJ2" s="304"/>
      <c r="AK2" s="304"/>
      <c r="AL2" s="304"/>
      <c r="AM2" s="304"/>
      <c r="AN2" s="304"/>
      <c r="AO2" s="304"/>
      <c r="AP2" s="304"/>
      <c r="AQ2" s="304"/>
      <c r="AR2" s="304"/>
      <c r="AS2" s="304"/>
      <c r="AT2" s="304"/>
      <c r="AU2" s="304"/>
    </row>
    <row r="3" spans="2:47" ht="3.75" customHeight="1">
      <c r="B3" s="332"/>
      <c r="C3" s="333"/>
      <c r="D3" s="333"/>
      <c r="E3" s="333"/>
      <c r="F3" s="333"/>
      <c r="G3" s="333"/>
      <c r="H3" s="333"/>
      <c r="I3" s="333"/>
      <c r="J3" s="334"/>
      <c r="L3" s="1201"/>
      <c r="M3" s="1202"/>
      <c r="N3" s="1202"/>
      <c r="O3" s="1202"/>
      <c r="P3" s="1202"/>
      <c r="Q3" s="1202"/>
      <c r="R3" s="1202"/>
      <c r="S3" s="1202"/>
      <c r="T3" s="1202"/>
      <c r="U3" s="1202"/>
      <c r="V3" s="1203"/>
      <c r="W3" s="304"/>
      <c r="AE3" s="304"/>
      <c r="AF3" s="304"/>
      <c r="AG3" s="304"/>
      <c r="AH3" s="304"/>
      <c r="AI3" s="304"/>
      <c r="AJ3" s="304"/>
      <c r="AK3" s="304"/>
      <c r="AL3" s="304"/>
      <c r="AM3" s="304"/>
      <c r="AN3" s="304"/>
      <c r="AO3" s="304"/>
      <c r="AP3" s="304"/>
      <c r="AQ3" s="304"/>
      <c r="AR3" s="304"/>
      <c r="AS3" s="304"/>
      <c r="AT3" s="304"/>
      <c r="AU3" s="304"/>
    </row>
    <row r="4" spans="2:47" ht="18" customHeight="1" thickBot="1">
      <c r="B4" s="332"/>
      <c r="C4" s="336" t="s">
        <v>533</v>
      </c>
      <c r="D4" s="1189"/>
      <c r="E4" s="1190"/>
      <c r="F4" s="1190"/>
      <c r="G4" s="1190"/>
      <c r="H4" s="336" t="s">
        <v>67</v>
      </c>
      <c r="I4" s="1207"/>
      <c r="J4" s="1192"/>
      <c r="L4" s="1201"/>
      <c r="M4" s="1202"/>
      <c r="N4" s="1202"/>
      <c r="O4" s="1202"/>
      <c r="P4" s="1202"/>
      <c r="Q4" s="1202"/>
      <c r="R4" s="1202"/>
      <c r="S4" s="1202"/>
      <c r="T4" s="1202"/>
      <c r="U4" s="1202"/>
      <c r="V4" s="1203"/>
      <c r="W4" s="304"/>
      <c r="AE4" s="304"/>
      <c r="AF4" s="304"/>
      <c r="AG4" s="304"/>
      <c r="AH4" s="304"/>
      <c r="AI4" s="304"/>
      <c r="AJ4" s="304"/>
      <c r="AK4" s="304"/>
      <c r="AL4" s="304"/>
      <c r="AM4" s="304"/>
      <c r="AN4" s="304"/>
      <c r="AO4" s="304"/>
      <c r="AP4" s="304"/>
      <c r="AQ4" s="304"/>
      <c r="AR4" s="304"/>
      <c r="AS4" s="304"/>
      <c r="AT4" s="304"/>
      <c r="AU4" s="304"/>
    </row>
    <row r="5" spans="2:47" ht="18" customHeight="1" thickBot="1">
      <c r="B5" s="337"/>
      <c r="C5" s="338" t="s">
        <v>535</v>
      </c>
      <c r="D5" s="1193"/>
      <c r="E5" s="1194"/>
      <c r="F5" s="1194"/>
      <c r="G5" s="1194"/>
      <c r="H5" s="339"/>
      <c r="I5" s="339"/>
      <c r="J5" s="340"/>
      <c r="L5" s="1201"/>
      <c r="M5" s="1202"/>
      <c r="N5" s="1202"/>
      <c r="O5" s="1202"/>
      <c r="P5" s="1202"/>
      <c r="Q5" s="1202"/>
      <c r="R5" s="1202"/>
      <c r="S5" s="1202"/>
      <c r="T5" s="1202"/>
      <c r="U5" s="1202"/>
      <c r="V5" s="1203"/>
      <c r="W5" s="304"/>
      <c r="AE5" s="304"/>
      <c r="AF5" s="304"/>
      <c r="AG5" s="304"/>
      <c r="AH5" s="304"/>
      <c r="AI5" s="304"/>
      <c r="AJ5" s="304"/>
      <c r="AK5" s="304"/>
      <c r="AL5" s="304"/>
      <c r="AM5" s="304"/>
      <c r="AN5" s="304"/>
      <c r="AO5" s="304"/>
      <c r="AP5" s="304"/>
      <c r="AQ5" s="304"/>
      <c r="AR5" s="304"/>
      <c r="AS5" s="304"/>
      <c r="AT5" s="304"/>
      <c r="AU5" s="304"/>
    </row>
    <row r="6" spans="2:47" ht="18" customHeight="1" thickBot="1">
      <c r="B6" s="1176" t="s">
        <v>671</v>
      </c>
      <c r="C6" s="1177"/>
      <c r="D6" s="1195" t="s">
        <v>672</v>
      </c>
      <c r="E6" s="1196"/>
      <c r="F6" s="1196"/>
      <c r="G6" s="1196"/>
      <c r="H6" s="341" t="s">
        <v>673</v>
      </c>
      <c r="I6" s="1195"/>
      <c r="J6" s="1197"/>
      <c r="L6" s="1201"/>
      <c r="M6" s="1202"/>
      <c r="N6" s="1202"/>
      <c r="O6" s="1202"/>
      <c r="P6" s="1202"/>
      <c r="Q6" s="1202"/>
      <c r="R6" s="1202"/>
      <c r="S6" s="1202"/>
      <c r="T6" s="1202"/>
      <c r="U6" s="1202"/>
      <c r="V6" s="1203"/>
      <c r="W6" s="304"/>
      <c r="AE6" s="304"/>
      <c r="AF6" s="304"/>
      <c r="AG6" s="304"/>
      <c r="AH6" s="304"/>
      <c r="AI6" s="304"/>
      <c r="AJ6" s="304"/>
      <c r="AK6" s="304"/>
      <c r="AL6" s="304"/>
      <c r="AM6" s="304"/>
      <c r="AN6" s="304"/>
      <c r="AO6" s="304"/>
      <c r="AP6" s="304"/>
      <c r="AQ6" s="304"/>
      <c r="AR6" s="304"/>
      <c r="AS6" s="304"/>
      <c r="AT6" s="304"/>
      <c r="AU6" s="304"/>
    </row>
    <row r="7" spans="2:47" ht="18" customHeight="1" thickBot="1">
      <c r="B7" s="1176" t="s">
        <v>674</v>
      </c>
      <c r="C7" s="1177"/>
      <c r="D7" s="1178"/>
      <c r="E7" s="1179"/>
      <c r="F7" s="1179"/>
      <c r="G7" s="1179"/>
      <c r="H7" s="1179"/>
      <c r="I7" s="1179"/>
      <c r="J7" s="1180"/>
      <c r="L7" s="1201"/>
      <c r="M7" s="1202"/>
      <c r="N7" s="1202"/>
      <c r="O7" s="1202"/>
      <c r="P7" s="1202"/>
      <c r="Q7" s="1202"/>
      <c r="R7" s="1202"/>
      <c r="S7" s="1202"/>
      <c r="T7" s="1202"/>
      <c r="U7" s="1202"/>
      <c r="V7" s="1203"/>
      <c r="W7" s="304"/>
      <c r="AE7" s="304"/>
      <c r="AF7" s="304"/>
      <c r="AG7" s="304"/>
      <c r="AH7" s="304"/>
      <c r="AI7" s="304"/>
      <c r="AJ7" s="304"/>
      <c r="AK7" s="304"/>
      <c r="AL7" s="304"/>
      <c r="AM7" s="304"/>
      <c r="AN7" s="304"/>
      <c r="AO7" s="304"/>
      <c r="AP7" s="304"/>
      <c r="AQ7" s="304"/>
      <c r="AR7" s="304"/>
      <c r="AS7" s="304"/>
      <c r="AT7" s="304"/>
      <c r="AU7" s="304"/>
    </row>
    <row r="8" spans="2:47">
      <c r="B8" s="1181" t="s">
        <v>675</v>
      </c>
      <c r="C8" s="1182"/>
      <c r="D8" s="1182"/>
      <c r="E8" s="1182"/>
      <c r="F8" s="1182"/>
      <c r="G8" s="342"/>
      <c r="H8" s="343" t="s">
        <v>676</v>
      </c>
      <c r="I8" s="342"/>
      <c r="J8" s="344" t="s">
        <v>677</v>
      </c>
      <c r="L8" s="1201"/>
      <c r="M8" s="1202"/>
      <c r="N8" s="1202"/>
      <c r="O8" s="1202"/>
      <c r="P8" s="1202"/>
      <c r="Q8" s="1202"/>
      <c r="R8" s="1202"/>
      <c r="S8" s="1202"/>
      <c r="T8" s="1202"/>
      <c r="U8" s="1202"/>
      <c r="V8" s="1203"/>
      <c r="W8" s="304"/>
      <c r="X8" s="1183" t="s">
        <v>678</v>
      </c>
      <c r="Y8" s="1183"/>
      <c r="Z8" s="1183"/>
      <c r="AA8" s="1183"/>
      <c r="AB8" s="1183"/>
      <c r="AE8" s="304"/>
      <c r="AF8" s="304"/>
      <c r="AG8" s="304"/>
      <c r="AH8" s="304"/>
      <c r="AI8" s="304"/>
      <c r="AJ8" s="304"/>
      <c r="AK8" s="304"/>
      <c r="AL8" s="304"/>
      <c r="AM8" s="304"/>
      <c r="AN8" s="304"/>
      <c r="AO8" s="304"/>
      <c r="AP8" s="304"/>
      <c r="AQ8" s="304"/>
      <c r="AR8" s="304"/>
      <c r="AS8" s="304"/>
      <c r="AT8" s="304"/>
      <c r="AU8" s="304"/>
    </row>
    <row r="9" spans="2:47">
      <c r="B9" s="1184" t="s">
        <v>679</v>
      </c>
      <c r="C9" s="1185"/>
      <c r="D9" s="1185"/>
      <c r="E9" s="1185"/>
      <c r="F9" s="1185"/>
      <c r="G9" s="345"/>
      <c r="H9" s="346">
        <v>66082</v>
      </c>
      <c r="I9" s="347"/>
      <c r="J9" s="348">
        <v>81751</v>
      </c>
      <c r="L9" s="1201"/>
      <c r="M9" s="1202"/>
      <c r="N9" s="1202"/>
      <c r="O9" s="1202"/>
      <c r="P9" s="1202"/>
      <c r="Q9" s="1202"/>
      <c r="R9" s="1202"/>
      <c r="S9" s="1202"/>
      <c r="T9" s="1202"/>
      <c r="U9" s="1202"/>
      <c r="V9" s="1203"/>
      <c r="W9" s="304"/>
      <c r="X9" s="280" t="s">
        <v>680</v>
      </c>
      <c r="Y9" s="280">
        <f>IF(AND(J9=0, J11=0, J12=0, J13=0, J14=0, J15=0, J16=0, J17=0, J18=0), 0, 1)</f>
        <v>1</v>
      </c>
      <c r="AA9" s="349"/>
      <c r="AB9" s="349" t="s">
        <v>596</v>
      </c>
      <c r="AE9" s="304"/>
      <c r="AF9" s="304"/>
      <c r="AG9" s="304"/>
      <c r="AH9" s="304"/>
      <c r="AI9" s="304"/>
      <c r="AJ9" s="304"/>
      <c r="AK9" s="304"/>
      <c r="AL9" s="304"/>
      <c r="AM9" s="304"/>
      <c r="AN9" s="304"/>
      <c r="AO9" s="304"/>
      <c r="AP9" s="304"/>
      <c r="AQ9" s="304"/>
      <c r="AR9" s="304"/>
      <c r="AS9" s="304"/>
      <c r="AT9" s="304"/>
      <c r="AU9" s="304"/>
    </row>
    <row r="10" spans="2:47">
      <c r="B10" s="1172" t="s">
        <v>681</v>
      </c>
      <c r="C10" s="1186"/>
      <c r="D10" s="1186"/>
      <c r="E10" s="1186"/>
      <c r="F10" s="1186"/>
      <c r="G10" s="350"/>
      <c r="H10" s="351"/>
      <c r="I10" s="350"/>
      <c r="J10" s="352"/>
      <c r="L10" s="1201"/>
      <c r="M10" s="1202"/>
      <c r="N10" s="1202"/>
      <c r="O10" s="1202"/>
      <c r="P10" s="1202"/>
      <c r="Q10" s="1202"/>
      <c r="R10" s="1202"/>
      <c r="S10" s="1202"/>
      <c r="T10" s="1202"/>
      <c r="U10" s="1202"/>
      <c r="V10" s="1203"/>
      <c r="W10" s="304"/>
      <c r="X10" s="280" t="s">
        <v>682</v>
      </c>
      <c r="Y10" s="280">
        <f>IF(AND(G18&lt;=I18, I18&lt;&gt;0), 0, 1)</f>
        <v>0</v>
      </c>
      <c r="AA10" s="349"/>
      <c r="AB10" s="349" t="s">
        <v>683</v>
      </c>
      <c r="AE10" s="304"/>
      <c r="AF10" s="304"/>
      <c r="AG10" s="304"/>
      <c r="AH10" s="304"/>
      <c r="AI10" s="304"/>
      <c r="AJ10" s="304"/>
      <c r="AK10" s="304"/>
      <c r="AL10" s="304"/>
      <c r="AM10" s="304"/>
      <c r="AN10" s="304"/>
      <c r="AO10" s="304"/>
      <c r="AP10" s="304"/>
      <c r="AQ10" s="304"/>
      <c r="AR10" s="304"/>
      <c r="AS10" s="304"/>
      <c r="AT10" s="304"/>
      <c r="AU10" s="304"/>
    </row>
    <row r="11" spans="2:47">
      <c r="B11" s="1170" t="s">
        <v>684</v>
      </c>
      <c r="C11" s="1171"/>
      <c r="D11" s="1171"/>
      <c r="E11" s="1171"/>
      <c r="F11" s="1171"/>
      <c r="G11" s="345"/>
      <c r="H11" s="346">
        <v>0</v>
      </c>
      <c r="I11" s="347"/>
      <c r="J11" s="348">
        <v>0</v>
      </c>
      <c r="L11" s="1201"/>
      <c r="M11" s="1202"/>
      <c r="N11" s="1202"/>
      <c r="O11" s="1202"/>
      <c r="P11" s="1202"/>
      <c r="Q11" s="1202"/>
      <c r="R11" s="1202"/>
      <c r="S11" s="1202"/>
      <c r="T11" s="1202"/>
      <c r="U11" s="1202"/>
      <c r="V11" s="1203"/>
      <c r="W11" s="304"/>
      <c r="X11" s="280" t="s">
        <v>685</v>
      </c>
      <c r="Y11" s="280">
        <f>IF(AND(Y10=0, Y9=1), 0, 1)</f>
        <v>0</v>
      </c>
      <c r="AA11" s="349"/>
      <c r="AB11" s="349" t="s">
        <v>599</v>
      </c>
      <c r="AE11" s="304"/>
      <c r="AF11" s="304"/>
      <c r="AG11" s="304"/>
      <c r="AH11" s="304"/>
      <c r="AI11" s="304"/>
      <c r="AJ11" s="304"/>
      <c r="AK11" s="304"/>
      <c r="AL11" s="304"/>
      <c r="AM11" s="304"/>
      <c r="AN11" s="304"/>
      <c r="AO11" s="304"/>
      <c r="AP11" s="304"/>
      <c r="AQ11" s="304"/>
      <c r="AR11" s="304"/>
      <c r="AS11" s="304"/>
      <c r="AT11" s="304"/>
      <c r="AU11" s="304"/>
    </row>
    <row r="12" spans="2:47">
      <c r="B12" s="1170" t="s">
        <v>686</v>
      </c>
      <c r="C12" s="1171"/>
      <c r="D12" s="1171"/>
      <c r="E12" s="1171"/>
      <c r="F12" s="1171"/>
      <c r="G12" s="345"/>
      <c r="H12" s="346">
        <v>0</v>
      </c>
      <c r="I12" s="347"/>
      <c r="J12" s="355"/>
      <c r="L12" s="1201"/>
      <c r="M12" s="1202"/>
      <c r="N12" s="1202"/>
      <c r="O12" s="1202"/>
      <c r="P12" s="1202"/>
      <c r="Q12" s="1202"/>
      <c r="R12" s="1202"/>
      <c r="S12" s="1202"/>
      <c r="T12" s="1202"/>
      <c r="U12" s="1202"/>
      <c r="V12" s="1203"/>
      <c r="W12" s="304"/>
      <c r="AA12" s="349"/>
      <c r="AB12" s="349" t="s">
        <v>603</v>
      </c>
      <c r="AE12" s="304"/>
      <c r="AF12" s="304"/>
      <c r="AG12" s="304"/>
      <c r="AH12" s="304"/>
      <c r="AI12" s="304"/>
      <c r="AJ12" s="304"/>
      <c r="AK12" s="304"/>
      <c r="AL12" s="304"/>
      <c r="AM12" s="304"/>
      <c r="AN12" s="304"/>
      <c r="AO12" s="304"/>
      <c r="AP12" s="304"/>
      <c r="AQ12" s="304"/>
      <c r="AR12" s="304"/>
      <c r="AS12" s="304"/>
      <c r="AT12" s="304"/>
      <c r="AU12" s="304"/>
    </row>
    <row r="13" spans="2:47">
      <c r="B13" s="353" t="s">
        <v>687</v>
      </c>
      <c r="C13" s="354"/>
      <c r="D13" s="354"/>
      <c r="E13" s="356"/>
      <c r="F13" s="357" t="s">
        <v>688</v>
      </c>
      <c r="G13" s="358">
        <v>63020</v>
      </c>
      <c r="H13" s="359">
        <f xml:space="preserve"> G13*0.24</f>
        <v>15124.8</v>
      </c>
      <c r="I13" s="360">
        <v>52000</v>
      </c>
      <c r="J13" s="361">
        <f>(I13*0.22)</f>
        <v>11440</v>
      </c>
      <c r="L13" s="1201"/>
      <c r="M13" s="1202"/>
      <c r="N13" s="1202"/>
      <c r="O13" s="1202"/>
      <c r="P13" s="1202"/>
      <c r="Q13" s="1202"/>
      <c r="R13" s="1202"/>
      <c r="S13" s="1202"/>
      <c r="T13" s="1202"/>
      <c r="U13" s="1202"/>
      <c r="V13" s="1203"/>
      <c r="W13" s="304"/>
      <c r="X13" s="280" t="s">
        <v>689</v>
      </c>
      <c r="Y13" s="362">
        <f>G18/12</f>
        <v>7695.2333333333336</v>
      </c>
      <c r="AA13" s="349"/>
      <c r="AB13" s="349" t="s">
        <v>605</v>
      </c>
      <c r="AE13" s="304"/>
      <c r="AF13" s="304"/>
      <c r="AG13" s="304"/>
      <c r="AH13" s="304"/>
      <c r="AI13" s="304"/>
      <c r="AJ13" s="304"/>
      <c r="AK13" s="304"/>
      <c r="AL13" s="304"/>
      <c r="AM13" s="304"/>
      <c r="AN13" s="304"/>
      <c r="AO13" s="304"/>
      <c r="AP13" s="304"/>
      <c r="AQ13" s="304"/>
      <c r="AR13" s="304"/>
      <c r="AS13" s="304"/>
      <c r="AT13" s="304"/>
      <c r="AU13" s="304"/>
    </row>
    <row r="14" spans="2:47">
      <c r="B14" s="1170" t="s">
        <v>690</v>
      </c>
      <c r="C14" s="1171"/>
      <c r="D14" s="1171"/>
      <c r="E14" s="1171"/>
      <c r="F14" s="1171"/>
      <c r="G14" s="363"/>
      <c r="H14" s="364">
        <v>11890</v>
      </c>
      <c r="I14" s="347"/>
      <c r="J14" s="355">
        <v>21490</v>
      </c>
      <c r="L14" s="1201"/>
      <c r="M14" s="1202"/>
      <c r="N14" s="1202"/>
      <c r="O14" s="1202"/>
      <c r="P14" s="1202"/>
      <c r="Q14" s="1202"/>
      <c r="R14" s="1202"/>
      <c r="S14" s="1202"/>
      <c r="T14" s="1202"/>
      <c r="U14" s="1202"/>
      <c r="V14" s="1203"/>
      <c r="W14" s="304"/>
      <c r="X14" s="280" t="s">
        <v>691</v>
      </c>
      <c r="Y14" s="362">
        <f>(G18+I18)/24</f>
        <v>8563.1583333333328</v>
      </c>
      <c r="AA14" s="349"/>
      <c r="AB14" s="349"/>
      <c r="AE14" s="304"/>
      <c r="AF14" s="304"/>
      <c r="AG14" s="304"/>
      <c r="AH14" s="304"/>
      <c r="AI14" s="304"/>
      <c r="AJ14" s="304"/>
      <c r="AK14" s="304"/>
      <c r="AL14" s="304"/>
      <c r="AM14" s="304"/>
      <c r="AN14" s="304"/>
      <c r="AO14" s="304"/>
      <c r="AP14" s="304"/>
      <c r="AQ14" s="304"/>
      <c r="AR14" s="304"/>
      <c r="AS14" s="304"/>
      <c r="AT14" s="304"/>
      <c r="AU14" s="304"/>
    </row>
    <row r="15" spans="2:47">
      <c r="B15" s="1170" t="s">
        <v>692</v>
      </c>
      <c r="C15" s="1171"/>
      <c r="D15" s="1171"/>
      <c r="E15" s="1171"/>
      <c r="F15" s="1171"/>
      <c r="G15" s="345"/>
      <c r="H15" s="364">
        <v>0</v>
      </c>
      <c r="I15" s="350"/>
      <c r="J15" s="348"/>
      <c r="L15" s="1201"/>
      <c r="M15" s="1202"/>
      <c r="N15" s="1202"/>
      <c r="O15" s="1202"/>
      <c r="P15" s="1202"/>
      <c r="Q15" s="1202"/>
      <c r="R15" s="1202"/>
      <c r="S15" s="1202"/>
      <c r="T15" s="1202"/>
      <c r="U15" s="1202"/>
      <c r="V15" s="1203"/>
      <c r="W15" s="304"/>
      <c r="AE15" s="304"/>
      <c r="AF15" s="304"/>
      <c r="AG15" s="304"/>
      <c r="AH15" s="304"/>
      <c r="AI15" s="304"/>
      <c r="AJ15" s="304"/>
      <c r="AK15" s="304"/>
      <c r="AL15" s="304"/>
      <c r="AM15" s="304"/>
      <c r="AN15" s="304"/>
      <c r="AO15" s="304"/>
      <c r="AP15" s="304"/>
      <c r="AQ15" s="304"/>
      <c r="AR15" s="304"/>
      <c r="AS15" s="304"/>
      <c r="AT15" s="304"/>
      <c r="AU15" s="304"/>
    </row>
    <row r="16" spans="2:47">
      <c r="B16" s="1172" t="s">
        <v>693</v>
      </c>
      <c r="C16" s="1173"/>
      <c r="D16" s="1173"/>
      <c r="E16" s="1173"/>
      <c r="F16" s="1173"/>
      <c r="G16" s="350"/>
      <c r="H16" s="346"/>
      <c r="I16" s="350"/>
      <c r="J16" s="348"/>
      <c r="L16" s="1201"/>
      <c r="M16" s="1202"/>
      <c r="N16" s="1202"/>
      <c r="O16" s="1202"/>
      <c r="P16" s="1202"/>
      <c r="Q16" s="1202"/>
      <c r="R16" s="1202"/>
      <c r="S16" s="1202"/>
      <c r="T16" s="1202"/>
      <c r="U16" s="1202"/>
      <c r="V16" s="1203"/>
      <c r="W16" s="304"/>
      <c r="AE16" s="304"/>
      <c r="AF16" s="304"/>
      <c r="AG16" s="304"/>
      <c r="AH16" s="304"/>
      <c r="AI16" s="304"/>
      <c r="AJ16" s="304"/>
      <c r="AK16" s="304"/>
      <c r="AL16" s="304"/>
      <c r="AM16" s="304"/>
      <c r="AN16" s="304"/>
      <c r="AO16" s="304"/>
      <c r="AP16" s="304"/>
      <c r="AQ16" s="304"/>
      <c r="AR16" s="304"/>
      <c r="AS16" s="304"/>
      <c r="AT16" s="304"/>
      <c r="AU16" s="304"/>
    </row>
    <row r="17" spans="1:47">
      <c r="B17" s="1174" t="s">
        <v>694</v>
      </c>
      <c r="C17" s="1175"/>
      <c r="D17" s="1175"/>
      <c r="E17" s="1175"/>
      <c r="F17" s="1175"/>
      <c r="G17" s="365"/>
      <c r="H17" s="364">
        <v>754</v>
      </c>
      <c r="I17" s="350"/>
      <c r="J17" s="348">
        <v>1508</v>
      </c>
      <c r="L17" s="1201"/>
      <c r="M17" s="1202"/>
      <c r="N17" s="1202"/>
      <c r="O17" s="1202"/>
      <c r="P17" s="1202"/>
      <c r="Q17" s="1202"/>
      <c r="R17" s="1202"/>
      <c r="S17" s="1202"/>
      <c r="T17" s="1202"/>
      <c r="U17" s="1202"/>
      <c r="V17" s="1203"/>
      <c r="W17" s="304"/>
      <c r="AE17" s="304"/>
      <c r="AF17" s="304"/>
      <c r="AG17" s="304"/>
      <c r="AH17" s="304"/>
      <c r="AI17" s="304"/>
      <c r="AJ17" s="304"/>
      <c r="AK17" s="304"/>
      <c r="AL17" s="304"/>
      <c r="AM17" s="304"/>
      <c r="AN17" s="304"/>
      <c r="AO17" s="304"/>
      <c r="AP17" s="304"/>
      <c r="AQ17" s="304"/>
      <c r="AR17" s="304"/>
      <c r="AS17" s="304"/>
      <c r="AT17" s="304"/>
      <c r="AU17" s="304"/>
    </row>
    <row r="18" spans="1:47">
      <c r="B18" s="1151" t="s">
        <v>695</v>
      </c>
      <c r="C18" s="1152"/>
      <c r="D18" s="1152"/>
      <c r="E18" s="1152"/>
      <c r="F18" s="1153"/>
      <c r="G18" s="1154">
        <f>SUM(H9:H15)-H17</f>
        <v>92342.8</v>
      </c>
      <c r="H18" s="1155"/>
      <c r="I18" s="1156">
        <f>SUM(J9:J15)-J17</f>
        <v>113173</v>
      </c>
      <c r="J18" s="1157"/>
      <c r="L18" s="1201"/>
      <c r="M18" s="1202"/>
      <c r="N18" s="1202"/>
      <c r="O18" s="1202"/>
      <c r="P18" s="1202"/>
      <c r="Q18" s="1202"/>
      <c r="R18" s="1202"/>
      <c r="S18" s="1202"/>
      <c r="T18" s="1202"/>
      <c r="U18" s="1202"/>
      <c r="V18" s="1203"/>
      <c r="W18" s="304"/>
      <c r="AE18" s="304"/>
      <c r="AF18" s="304"/>
      <c r="AG18" s="304"/>
      <c r="AH18" s="304"/>
      <c r="AI18" s="304"/>
      <c r="AJ18" s="304"/>
      <c r="AK18" s="304"/>
      <c r="AL18" s="304"/>
      <c r="AM18" s="304"/>
      <c r="AN18" s="304"/>
      <c r="AO18" s="304"/>
      <c r="AP18" s="304"/>
      <c r="AQ18" s="304"/>
      <c r="AR18" s="304"/>
      <c r="AS18" s="304"/>
      <c r="AT18" s="304"/>
      <c r="AU18" s="304"/>
    </row>
    <row r="19" spans="1:47" ht="18.75" customHeight="1">
      <c r="B19" s="1158" t="s">
        <v>696</v>
      </c>
      <c r="C19" s="1159"/>
      <c r="D19" s="1159"/>
      <c r="E19" s="1159"/>
      <c r="F19" s="1160"/>
      <c r="G19" s="1161" t="str">
        <f>IF(OR(Y11=0, I18=0), "12 Month Average", "24 Month Average")</f>
        <v>12 Month Average</v>
      </c>
      <c r="H19" s="1162"/>
      <c r="I19" s="1162"/>
      <c r="J19" s="1163"/>
      <c r="L19" s="1201"/>
      <c r="M19" s="1202"/>
      <c r="N19" s="1202"/>
      <c r="O19" s="1202"/>
      <c r="P19" s="1202"/>
      <c r="Q19" s="1202"/>
      <c r="R19" s="1202"/>
      <c r="S19" s="1202"/>
      <c r="T19" s="1202"/>
      <c r="U19" s="1202"/>
      <c r="V19" s="1203"/>
      <c r="W19" s="304"/>
      <c r="AE19" s="304"/>
      <c r="AF19" s="304"/>
      <c r="AG19" s="304"/>
      <c r="AH19" s="304"/>
      <c r="AI19" s="304"/>
      <c r="AJ19" s="304"/>
      <c r="AK19" s="304"/>
      <c r="AL19" s="304"/>
      <c r="AM19" s="304"/>
      <c r="AN19" s="304"/>
      <c r="AO19" s="304"/>
      <c r="AP19" s="304"/>
      <c r="AQ19" s="304"/>
      <c r="AR19" s="304"/>
      <c r="AS19" s="304"/>
      <c r="AT19" s="304"/>
      <c r="AU19" s="304"/>
    </row>
    <row r="20" spans="1:47" ht="34.5" thickBot="1">
      <c r="B20" s="1164" t="s">
        <v>697</v>
      </c>
      <c r="C20" s="1165"/>
      <c r="D20" s="1165"/>
      <c r="E20" s="1165"/>
      <c r="F20" s="1166"/>
      <c r="G20" s="1167">
        <f>IF(OR(Y11=0, I18=0), Y13, Y14)</f>
        <v>7695.2333333333336</v>
      </c>
      <c r="H20" s="1168"/>
      <c r="I20" s="1168"/>
      <c r="J20" s="1169"/>
      <c r="L20" s="1204"/>
      <c r="M20" s="1205"/>
      <c r="N20" s="1205"/>
      <c r="O20" s="1205"/>
      <c r="P20" s="1205"/>
      <c r="Q20" s="1205"/>
      <c r="R20" s="1205"/>
      <c r="S20" s="1205"/>
      <c r="T20" s="1205"/>
      <c r="U20" s="1205"/>
      <c r="V20" s="1206"/>
      <c r="W20" s="304"/>
      <c r="AE20" s="304"/>
      <c r="AF20" s="304"/>
      <c r="AG20" s="304"/>
      <c r="AH20" s="304"/>
      <c r="AI20" s="304"/>
      <c r="AJ20" s="304"/>
      <c r="AK20" s="304"/>
      <c r="AL20" s="304"/>
      <c r="AM20" s="304"/>
      <c r="AN20" s="304"/>
      <c r="AO20" s="304"/>
      <c r="AP20" s="304"/>
      <c r="AQ20" s="304"/>
      <c r="AR20" s="304"/>
      <c r="AS20" s="304"/>
      <c r="AT20" s="304"/>
      <c r="AU20" s="304"/>
    </row>
    <row r="21" spans="1:47" ht="9" customHeight="1" thickBot="1">
      <c r="W21" s="304"/>
      <c r="AE21" s="304"/>
      <c r="AF21" s="304"/>
      <c r="AG21" s="304"/>
      <c r="AH21" s="304"/>
      <c r="AI21" s="304"/>
      <c r="AJ21" s="304"/>
      <c r="AK21" s="304"/>
      <c r="AL21" s="304"/>
      <c r="AM21" s="304"/>
      <c r="AN21" s="304"/>
      <c r="AO21" s="304"/>
      <c r="AP21" s="304"/>
      <c r="AQ21" s="304"/>
      <c r="AR21" s="304"/>
      <c r="AS21" s="304"/>
      <c r="AT21" s="304"/>
      <c r="AU21" s="304"/>
    </row>
    <row r="22" spans="1:47" ht="105.75" customHeight="1" thickBot="1">
      <c r="B22" s="1148"/>
      <c r="C22" s="1149"/>
      <c r="D22" s="1149"/>
      <c r="E22" s="1149"/>
      <c r="F22" s="1149"/>
      <c r="G22" s="1149"/>
      <c r="H22" s="1149"/>
      <c r="I22" s="1149"/>
      <c r="J22" s="1150"/>
      <c r="W22" s="304"/>
      <c r="AE22" s="304"/>
      <c r="AF22" s="304"/>
      <c r="AG22" s="304"/>
      <c r="AH22" s="304"/>
      <c r="AI22" s="304"/>
      <c r="AJ22" s="304"/>
      <c r="AK22" s="304"/>
      <c r="AL22" s="304"/>
      <c r="AM22" s="304"/>
      <c r="AN22" s="304"/>
      <c r="AO22" s="304"/>
      <c r="AP22" s="304"/>
      <c r="AQ22" s="304"/>
      <c r="AR22" s="304"/>
      <c r="AS22" s="304"/>
      <c r="AT22" s="304"/>
      <c r="AU22" s="304"/>
    </row>
    <row r="23" spans="1:47" s="304" customFormat="1" ht="14.25" customHeight="1">
      <c r="B23" s="335"/>
      <c r="C23" s="335"/>
      <c r="D23" s="335"/>
      <c r="E23" s="335"/>
      <c r="F23" s="335"/>
      <c r="G23" s="335"/>
      <c r="H23" s="335"/>
      <c r="I23" s="335"/>
      <c r="J23" s="335"/>
      <c r="X23" s="280"/>
      <c r="Y23" s="280"/>
      <c r="Z23" s="280"/>
      <c r="AA23" s="280"/>
      <c r="AB23" s="280"/>
    </row>
    <row r="24" spans="1:47" s="304" customFormat="1" ht="14.25" customHeight="1" thickBot="1">
      <c r="A24" s="78"/>
      <c r="B24" s="78"/>
      <c r="C24" s="78"/>
      <c r="D24" s="78"/>
      <c r="E24" s="78"/>
      <c r="F24" s="78"/>
      <c r="G24" s="78"/>
      <c r="H24" s="330"/>
      <c r="I24" s="330"/>
      <c r="J24" s="78"/>
      <c r="K24" s="78"/>
      <c r="X24" s="280"/>
      <c r="Y24" s="280"/>
      <c r="Z24" s="280"/>
      <c r="AA24" s="280"/>
      <c r="AB24" s="280"/>
    </row>
    <row r="25" spans="1:47" s="304" customFormat="1" ht="54.75" customHeight="1">
      <c r="A25" s="78"/>
      <c r="B25" s="1187" t="s">
        <v>669</v>
      </c>
      <c r="C25" s="1188"/>
      <c r="D25" s="1188"/>
      <c r="E25" s="1188"/>
      <c r="F25" s="1188"/>
      <c r="G25" s="1188"/>
      <c r="H25" s="1188"/>
      <c r="I25" s="1188"/>
      <c r="J25" s="331" t="str">
        <f>'[3]Reference Sheet'!$B$2</f>
        <v>Rev. 4.12.2016</v>
      </c>
      <c r="K25" s="78"/>
      <c r="X25" s="280"/>
      <c r="Y25" s="280"/>
      <c r="Z25" s="280"/>
      <c r="AA25" s="280"/>
      <c r="AB25" s="280"/>
    </row>
    <row r="26" spans="1:47" s="304" customFormat="1" ht="3.75" customHeight="1">
      <c r="A26" s="78"/>
      <c r="B26" s="332"/>
      <c r="C26" s="333"/>
      <c r="D26" s="333"/>
      <c r="E26" s="333"/>
      <c r="F26" s="333"/>
      <c r="G26" s="333"/>
      <c r="H26" s="333"/>
      <c r="I26" s="333"/>
      <c r="J26" s="334"/>
      <c r="K26" s="78"/>
      <c r="X26" s="280"/>
      <c r="Y26" s="280"/>
      <c r="Z26" s="280"/>
      <c r="AA26" s="280"/>
      <c r="AB26" s="280"/>
    </row>
    <row r="27" spans="1:47" s="304" customFormat="1" ht="18" customHeight="1" thickBot="1">
      <c r="A27" s="78"/>
      <c r="B27" s="332"/>
      <c r="C27" s="336" t="s">
        <v>533</v>
      </c>
      <c r="D27" s="1189"/>
      <c r="E27" s="1190"/>
      <c r="F27" s="1190"/>
      <c r="G27" s="1190"/>
      <c r="H27" s="336" t="s">
        <v>67</v>
      </c>
      <c r="I27" s="1191"/>
      <c r="J27" s="1192"/>
      <c r="K27" s="78"/>
      <c r="X27" s="280"/>
      <c r="Y27" s="280"/>
      <c r="Z27" s="280"/>
      <c r="AA27" s="280"/>
      <c r="AB27" s="280"/>
    </row>
    <row r="28" spans="1:47" s="304" customFormat="1" ht="18" customHeight="1" thickBot="1">
      <c r="A28" s="78"/>
      <c r="B28" s="337"/>
      <c r="C28" s="338" t="s">
        <v>535</v>
      </c>
      <c r="D28" s="1193"/>
      <c r="E28" s="1194"/>
      <c r="F28" s="1194"/>
      <c r="G28" s="1194"/>
      <c r="H28" s="339"/>
      <c r="I28" s="339"/>
      <c r="J28" s="340"/>
      <c r="K28" s="78"/>
      <c r="M28" s="280"/>
      <c r="N28" s="280"/>
      <c r="O28" s="280"/>
      <c r="P28" s="280"/>
      <c r="Q28" s="280"/>
      <c r="X28" s="280"/>
      <c r="Y28" s="280"/>
      <c r="Z28" s="280"/>
      <c r="AA28" s="280"/>
      <c r="AB28" s="280"/>
    </row>
    <row r="29" spans="1:47" s="304" customFormat="1" ht="18" customHeight="1" thickBot="1">
      <c r="A29" s="78"/>
      <c r="B29" s="1176" t="s">
        <v>671</v>
      </c>
      <c r="C29" s="1177"/>
      <c r="D29" s="1195"/>
      <c r="E29" s="1196"/>
      <c r="F29" s="1196"/>
      <c r="G29" s="1196"/>
      <c r="H29" s="341" t="s">
        <v>673</v>
      </c>
      <c r="I29" s="1195"/>
      <c r="J29" s="1197"/>
      <c r="K29" s="78"/>
      <c r="M29" s="280"/>
      <c r="N29" s="280"/>
      <c r="O29" s="280"/>
      <c r="P29" s="280"/>
      <c r="Q29" s="280"/>
      <c r="X29" s="280"/>
      <c r="Y29" s="280"/>
      <c r="Z29" s="280"/>
      <c r="AA29" s="280"/>
      <c r="AB29" s="280"/>
    </row>
    <row r="30" spans="1:47" s="304" customFormat="1" ht="18" customHeight="1" thickBot="1">
      <c r="A30" s="78"/>
      <c r="B30" s="1176" t="s">
        <v>674</v>
      </c>
      <c r="C30" s="1177"/>
      <c r="D30" s="1178"/>
      <c r="E30" s="1179"/>
      <c r="F30" s="1179"/>
      <c r="G30" s="1179"/>
      <c r="H30" s="1179"/>
      <c r="I30" s="1179"/>
      <c r="J30" s="1180"/>
      <c r="K30" s="78"/>
      <c r="M30" s="280"/>
      <c r="N30" s="280"/>
      <c r="O30" s="280"/>
      <c r="P30" s="280"/>
      <c r="Q30" s="280"/>
      <c r="X30" s="280"/>
      <c r="Y30" s="280"/>
      <c r="Z30" s="280"/>
      <c r="AA30" s="280"/>
      <c r="AB30" s="280"/>
    </row>
    <row r="31" spans="1:47" s="304" customFormat="1" ht="15" customHeight="1">
      <c r="A31" s="78"/>
      <c r="B31" s="1181" t="s">
        <v>675</v>
      </c>
      <c r="C31" s="1182"/>
      <c r="D31" s="1182"/>
      <c r="E31" s="1182"/>
      <c r="F31" s="1182"/>
      <c r="G31" s="342"/>
      <c r="H31" s="343" t="s">
        <v>676</v>
      </c>
      <c r="I31" s="342"/>
      <c r="J31" s="344" t="s">
        <v>677</v>
      </c>
      <c r="K31" s="78"/>
      <c r="M31" s="1183" t="s">
        <v>698</v>
      </c>
      <c r="N31" s="1183"/>
      <c r="O31" s="1183"/>
      <c r="P31" s="1183"/>
      <c r="Q31" s="1183"/>
      <c r="X31" s="280"/>
      <c r="Y31" s="280"/>
      <c r="Z31" s="280"/>
      <c r="AA31" s="280"/>
      <c r="AB31" s="280"/>
    </row>
    <row r="32" spans="1:47" s="304" customFormat="1" ht="15" customHeight="1">
      <c r="A32" s="78"/>
      <c r="B32" s="1184" t="s">
        <v>679</v>
      </c>
      <c r="C32" s="1185"/>
      <c r="D32" s="1185"/>
      <c r="E32" s="1185"/>
      <c r="F32" s="1185"/>
      <c r="G32" s="345"/>
      <c r="H32" s="346"/>
      <c r="I32" s="347"/>
      <c r="J32" s="348"/>
      <c r="K32" s="78"/>
      <c r="M32" s="280" t="s">
        <v>680</v>
      </c>
      <c r="N32" s="280">
        <f>IF(AND(J32=0, J34=0, J35=0, J36=0, J37=0, J38=0, J39=0, J40=0, J41=0), 0, 1)</f>
        <v>0</v>
      </c>
      <c r="O32" s="280"/>
      <c r="P32" s="349"/>
      <c r="Q32" s="349" t="s">
        <v>596</v>
      </c>
      <c r="X32" s="280"/>
      <c r="Y32" s="280"/>
      <c r="Z32" s="280"/>
      <c r="AA32" s="280"/>
      <c r="AB32" s="280"/>
    </row>
    <row r="33" spans="1:28" s="304" customFormat="1" ht="15" customHeight="1">
      <c r="A33" s="78"/>
      <c r="B33" s="1172" t="s">
        <v>681</v>
      </c>
      <c r="C33" s="1186"/>
      <c r="D33" s="1186"/>
      <c r="E33" s="1186"/>
      <c r="F33" s="1186"/>
      <c r="G33" s="350"/>
      <c r="H33" s="351"/>
      <c r="I33" s="350"/>
      <c r="J33" s="352"/>
      <c r="K33" s="78"/>
      <c r="M33" s="280" t="s">
        <v>682</v>
      </c>
      <c r="N33" s="280">
        <f>IF(AND(G41&lt;=I41, I41&lt;&gt;0), 0, 1)</f>
        <v>1</v>
      </c>
      <c r="O33" s="280"/>
      <c r="P33" s="349"/>
      <c r="Q33" s="349" t="s">
        <v>683</v>
      </c>
      <c r="X33" s="280"/>
      <c r="Y33" s="280"/>
      <c r="Z33" s="280"/>
      <c r="AA33" s="280"/>
      <c r="AB33" s="280"/>
    </row>
    <row r="34" spans="1:28" s="304" customFormat="1" ht="15" customHeight="1">
      <c r="A34" s="78"/>
      <c r="B34" s="1170" t="s">
        <v>684</v>
      </c>
      <c r="C34" s="1171"/>
      <c r="D34" s="1171"/>
      <c r="E34" s="1171"/>
      <c r="F34" s="1171"/>
      <c r="G34" s="345"/>
      <c r="H34" s="346"/>
      <c r="I34" s="347"/>
      <c r="J34" s="348"/>
      <c r="K34" s="78"/>
      <c r="M34" s="280" t="s">
        <v>685</v>
      </c>
      <c r="N34" s="280">
        <f>IF(AND(N33=0, N32=1), 0, 1)</f>
        <v>1</v>
      </c>
      <c r="O34" s="280"/>
      <c r="P34" s="349"/>
      <c r="Q34" s="349" t="s">
        <v>599</v>
      </c>
      <c r="X34" s="280"/>
      <c r="Y34" s="280"/>
      <c r="Z34" s="280"/>
      <c r="AA34" s="280"/>
      <c r="AB34" s="280"/>
    </row>
    <row r="35" spans="1:28" s="304" customFormat="1" ht="15" customHeight="1">
      <c r="A35" s="78"/>
      <c r="B35" s="1170" t="s">
        <v>686</v>
      </c>
      <c r="C35" s="1171"/>
      <c r="D35" s="1171"/>
      <c r="E35" s="1171"/>
      <c r="F35" s="1171"/>
      <c r="G35" s="345"/>
      <c r="H35" s="346"/>
      <c r="I35" s="347"/>
      <c r="J35" s="355"/>
      <c r="K35" s="78"/>
      <c r="M35" s="280"/>
      <c r="N35" s="280"/>
      <c r="O35" s="280"/>
      <c r="P35" s="349"/>
      <c r="Q35" s="349" t="s">
        <v>603</v>
      </c>
      <c r="X35" s="280"/>
      <c r="Y35" s="280"/>
      <c r="Z35" s="280"/>
      <c r="AA35" s="280"/>
      <c r="AB35" s="280"/>
    </row>
    <row r="36" spans="1:28" s="304" customFormat="1" ht="15" customHeight="1">
      <c r="A36" s="78"/>
      <c r="B36" s="353" t="s">
        <v>687</v>
      </c>
      <c r="C36" s="354"/>
      <c r="D36" s="354"/>
      <c r="E36" s="356"/>
      <c r="F36" s="357" t="s">
        <v>688</v>
      </c>
      <c r="G36" s="358"/>
      <c r="H36" s="359">
        <f>(G36*0.24)</f>
        <v>0</v>
      </c>
      <c r="I36" s="360"/>
      <c r="J36" s="361">
        <f>(I36*0.22)</f>
        <v>0</v>
      </c>
      <c r="K36" s="78"/>
      <c r="M36" s="280" t="s">
        <v>689</v>
      </c>
      <c r="N36" s="362">
        <f>G41/12</f>
        <v>0</v>
      </c>
      <c r="O36" s="280"/>
      <c r="P36" s="349"/>
      <c r="Q36" s="349" t="s">
        <v>605</v>
      </c>
      <c r="X36" s="280"/>
      <c r="Y36" s="280"/>
      <c r="Z36" s="280"/>
      <c r="AA36" s="280"/>
      <c r="AB36" s="280"/>
    </row>
    <row r="37" spans="1:28" s="304" customFormat="1" ht="15" customHeight="1">
      <c r="A37" s="78"/>
      <c r="B37" s="1170" t="s">
        <v>690</v>
      </c>
      <c r="C37" s="1171"/>
      <c r="D37" s="1171"/>
      <c r="E37" s="1171"/>
      <c r="F37" s="1171"/>
      <c r="G37" s="363"/>
      <c r="H37" s="364"/>
      <c r="I37" s="347"/>
      <c r="J37" s="355"/>
      <c r="K37" s="78"/>
      <c r="M37" s="280" t="s">
        <v>691</v>
      </c>
      <c r="N37" s="362">
        <f>(G41+I41)/24</f>
        <v>0</v>
      </c>
      <c r="O37" s="280"/>
      <c r="P37" s="349"/>
      <c r="Q37" s="349"/>
      <c r="X37" s="280"/>
      <c r="Y37" s="280"/>
      <c r="Z37" s="280"/>
      <c r="AA37" s="280"/>
      <c r="AB37" s="280"/>
    </row>
    <row r="38" spans="1:28" s="304" customFormat="1" ht="15" customHeight="1">
      <c r="A38" s="78"/>
      <c r="B38" s="1170" t="s">
        <v>692</v>
      </c>
      <c r="C38" s="1171"/>
      <c r="D38" s="1171"/>
      <c r="E38" s="1171"/>
      <c r="F38" s="1171"/>
      <c r="G38" s="345"/>
      <c r="H38" s="364"/>
      <c r="I38" s="350"/>
      <c r="J38" s="348"/>
      <c r="K38" s="78"/>
      <c r="M38" s="280"/>
      <c r="N38" s="280"/>
      <c r="O38" s="280"/>
      <c r="P38" s="280"/>
      <c r="Q38" s="280"/>
      <c r="X38" s="280"/>
      <c r="Y38" s="280"/>
      <c r="Z38" s="280"/>
      <c r="AA38" s="280"/>
      <c r="AB38" s="280"/>
    </row>
    <row r="39" spans="1:28" s="304" customFormat="1" ht="15" customHeight="1">
      <c r="A39" s="78"/>
      <c r="B39" s="1172" t="s">
        <v>693</v>
      </c>
      <c r="C39" s="1173"/>
      <c r="D39" s="1173"/>
      <c r="E39" s="1173"/>
      <c r="F39" s="1173"/>
      <c r="G39" s="350"/>
      <c r="H39" s="346"/>
      <c r="I39" s="350"/>
      <c r="J39" s="348"/>
      <c r="K39" s="78"/>
      <c r="M39" s="280"/>
      <c r="N39" s="280"/>
      <c r="O39" s="280"/>
      <c r="P39" s="280"/>
      <c r="Q39" s="280"/>
      <c r="X39" s="280"/>
      <c r="Y39" s="280"/>
      <c r="Z39" s="280"/>
      <c r="AA39" s="280"/>
      <c r="AB39" s="280"/>
    </row>
    <row r="40" spans="1:28" s="304" customFormat="1" ht="15" customHeight="1">
      <c r="A40" s="78"/>
      <c r="B40" s="1174" t="s">
        <v>694</v>
      </c>
      <c r="C40" s="1175"/>
      <c r="D40" s="1175"/>
      <c r="E40" s="1175"/>
      <c r="F40" s="1175"/>
      <c r="G40" s="365"/>
      <c r="H40" s="364"/>
      <c r="I40" s="350"/>
      <c r="J40" s="348"/>
      <c r="K40" s="78"/>
      <c r="M40" s="280"/>
      <c r="N40" s="280"/>
      <c r="O40" s="280"/>
      <c r="P40" s="280"/>
      <c r="Q40" s="280"/>
      <c r="X40" s="280"/>
      <c r="Y40" s="280"/>
      <c r="Z40" s="280"/>
      <c r="AA40" s="280"/>
      <c r="AB40" s="280"/>
    </row>
    <row r="41" spans="1:28" s="304" customFormat="1" ht="15" customHeight="1">
      <c r="A41" s="78"/>
      <c r="B41" s="1151" t="s">
        <v>695</v>
      </c>
      <c r="C41" s="1152"/>
      <c r="D41" s="1152"/>
      <c r="E41" s="1152"/>
      <c r="F41" s="1153"/>
      <c r="G41" s="1154">
        <f>SUM(H32:H38)-H40</f>
        <v>0</v>
      </c>
      <c r="H41" s="1155"/>
      <c r="I41" s="1156">
        <f>SUM(J32:J38)-J40</f>
        <v>0</v>
      </c>
      <c r="J41" s="1157"/>
      <c r="K41" s="78"/>
      <c r="M41" s="280"/>
      <c r="N41" s="280"/>
      <c r="O41" s="280"/>
      <c r="P41" s="280"/>
      <c r="Q41" s="280"/>
      <c r="X41" s="280"/>
      <c r="Y41" s="280"/>
      <c r="Z41" s="280"/>
      <c r="AA41" s="280"/>
      <c r="AB41" s="280"/>
    </row>
    <row r="42" spans="1:28" s="304" customFormat="1" ht="18.75" customHeight="1">
      <c r="A42" s="78"/>
      <c r="B42" s="1158" t="s">
        <v>696</v>
      </c>
      <c r="C42" s="1159"/>
      <c r="D42" s="1159"/>
      <c r="E42" s="1159"/>
      <c r="F42" s="1160"/>
      <c r="G42" s="1161" t="str">
        <f>IF(OR(N34=0, I41=0), "12 Month Average", "24 Month Average")</f>
        <v>12 Month Average</v>
      </c>
      <c r="H42" s="1162"/>
      <c r="I42" s="1162"/>
      <c r="J42" s="1163"/>
      <c r="K42" s="78"/>
      <c r="M42" s="280"/>
      <c r="N42" s="280"/>
      <c r="O42" s="280"/>
      <c r="P42" s="280"/>
      <c r="Q42" s="280"/>
      <c r="X42" s="280"/>
      <c r="Y42" s="280"/>
      <c r="Z42" s="280"/>
      <c r="AA42" s="280"/>
      <c r="AB42" s="280"/>
    </row>
    <row r="43" spans="1:28" s="304" customFormat="1" ht="34.5" thickBot="1">
      <c r="A43" s="78"/>
      <c r="B43" s="1164" t="s">
        <v>697</v>
      </c>
      <c r="C43" s="1165"/>
      <c r="D43" s="1165"/>
      <c r="E43" s="1165"/>
      <c r="F43" s="1166"/>
      <c r="G43" s="1167">
        <f>IF(OR(N34=0, I41=0), N36, N37)</f>
        <v>0</v>
      </c>
      <c r="H43" s="1168"/>
      <c r="I43" s="1168"/>
      <c r="J43" s="1169"/>
      <c r="K43" s="78"/>
      <c r="M43" s="280"/>
      <c r="N43" s="280"/>
      <c r="O43" s="280"/>
      <c r="P43" s="280"/>
      <c r="Q43" s="280"/>
      <c r="X43" s="280"/>
      <c r="Y43" s="280"/>
      <c r="Z43" s="280"/>
      <c r="AA43" s="280"/>
      <c r="AB43" s="280"/>
    </row>
    <row r="44" spans="1:28" s="304" customFormat="1" ht="9" customHeight="1" thickBot="1">
      <c r="A44" s="78"/>
      <c r="B44" s="78"/>
      <c r="C44" s="78"/>
      <c r="D44" s="78"/>
      <c r="E44" s="78"/>
      <c r="F44" s="78"/>
      <c r="G44" s="78"/>
      <c r="H44" s="330"/>
      <c r="I44" s="330"/>
      <c r="J44" s="78"/>
      <c r="K44" s="78"/>
      <c r="M44" s="280"/>
      <c r="N44" s="280"/>
      <c r="O44" s="280"/>
      <c r="P44" s="280"/>
      <c r="Q44" s="280"/>
      <c r="X44" s="280"/>
      <c r="Y44" s="280"/>
      <c r="Z44" s="280"/>
      <c r="AA44" s="280"/>
      <c r="AB44" s="280"/>
    </row>
    <row r="45" spans="1:28" s="304" customFormat="1" ht="105.75" customHeight="1" thickBot="1">
      <c r="A45" s="78"/>
      <c r="B45" s="1148" t="s">
        <v>699</v>
      </c>
      <c r="C45" s="1149"/>
      <c r="D45" s="1149"/>
      <c r="E45" s="1149"/>
      <c r="F45" s="1149"/>
      <c r="G45" s="1149"/>
      <c r="H45" s="1149"/>
      <c r="I45" s="1149"/>
      <c r="J45" s="1150"/>
      <c r="K45" s="78"/>
      <c r="M45" s="280"/>
      <c r="N45" s="280"/>
      <c r="O45" s="280"/>
      <c r="P45" s="280"/>
      <c r="Q45" s="280"/>
      <c r="X45" s="280"/>
      <c r="Y45" s="280"/>
      <c r="Z45" s="280"/>
      <c r="AA45" s="280"/>
      <c r="AB45" s="280"/>
    </row>
    <row r="46" spans="1:28" s="304" customFormat="1">
      <c r="A46" s="78"/>
      <c r="B46" s="78"/>
      <c r="C46" s="78"/>
      <c r="D46" s="78"/>
      <c r="E46" s="78"/>
      <c r="F46" s="78"/>
      <c r="G46" s="78"/>
      <c r="H46" s="330"/>
      <c r="I46" s="330"/>
      <c r="J46" s="78"/>
      <c r="K46" s="78"/>
      <c r="M46" s="280"/>
      <c r="N46" s="280"/>
      <c r="O46" s="280"/>
      <c r="P46" s="280"/>
      <c r="Q46" s="280"/>
      <c r="X46" s="280"/>
      <c r="Y46" s="280"/>
      <c r="Z46" s="280"/>
      <c r="AA46" s="280"/>
      <c r="AB46" s="280"/>
    </row>
    <row r="47" spans="1:28" s="304" customFormat="1" ht="15.75" thickBot="1">
      <c r="A47" s="78"/>
      <c r="B47" s="78"/>
      <c r="C47" s="78"/>
      <c r="D47" s="78"/>
      <c r="E47" s="78"/>
      <c r="F47" s="78"/>
      <c r="G47" s="78"/>
      <c r="H47" s="330"/>
      <c r="I47" s="330"/>
      <c r="J47" s="78"/>
      <c r="K47" s="78"/>
      <c r="M47" s="280"/>
      <c r="N47" s="280"/>
      <c r="O47" s="280"/>
      <c r="P47" s="280"/>
      <c r="Q47" s="280"/>
      <c r="X47" s="280"/>
      <c r="Y47" s="280"/>
      <c r="Z47" s="280"/>
      <c r="AA47" s="280"/>
      <c r="AB47" s="280"/>
    </row>
    <row r="48" spans="1:28" s="304" customFormat="1" ht="54.75" customHeight="1">
      <c r="A48" s="78"/>
      <c r="B48" s="1187" t="s">
        <v>669</v>
      </c>
      <c r="C48" s="1188"/>
      <c r="D48" s="1188"/>
      <c r="E48" s="1188"/>
      <c r="F48" s="1188"/>
      <c r="G48" s="1188"/>
      <c r="H48" s="1188"/>
      <c r="I48" s="1188"/>
      <c r="J48" s="331" t="str">
        <f>'[3]Reference Sheet'!$B$2</f>
        <v>Rev. 4.12.2016</v>
      </c>
      <c r="K48" s="78"/>
      <c r="M48" s="280"/>
      <c r="N48" s="280"/>
      <c r="O48" s="280"/>
      <c r="P48" s="280"/>
      <c r="Q48" s="280"/>
      <c r="X48" s="280"/>
      <c r="Y48" s="280"/>
      <c r="Z48" s="280"/>
      <c r="AA48" s="280"/>
      <c r="AB48" s="280"/>
    </row>
    <row r="49" spans="1:28" s="304" customFormat="1" ht="3.75" customHeight="1">
      <c r="A49" s="78"/>
      <c r="B49" s="332"/>
      <c r="C49" s="333"/>
      <c r="D49" s="333"/>
      <c r="E49" s="333"/>
      <c r="F49" s="333"/>
      <c r="G49" s="333"/>
      <c r="H49" s="333"/>
      <c r="I49" s="333"/>
      <c r="J49" s="334"/>
      <c r="K49" s="78"/>
      <c r="M49" s="280"/>
      <c r="N49" s="280"/>
      <c r="O49" s="280"/>
      <c r="P49" s="280"/>
      <c r="Q49" s="280"/>
      <c r="X49" s="280"/>
      <c r="Y49" s="280"/>
      <c r="Z49" s="280"/>
      <c r="AA49" s="280"/>
      <c r="AB49" s="280"/>
    </row>
    <row r="50" spans="1:28" s="304" customFormat="1" ht="18" customHeight="1" thickBot="1">
      <c r="A50" s="78"/>
      <c r="B50" s="332"/>
      <c r="C50" s="336" t="s">
        <v>533</v>
      </c>
      <c r="D50" s="1189"/>
      <c r="E50" s="1190"/>
      <c r="F50" s="1190"/>
      <c r="G50" s="1190"/>
      <c r="H50" s="336" t="s">
        <v>67</v>
      </c>
      <c r="I50" s="1191"/>
      <c r="J50" s="1192"/>
      <c r="K50" s="78"/>
      <c r="M50" s="280"/>
      <c r="N50" s="280"/>
      <c r="O50" s="280"/>
      <c r="P50" s="280"/>
      <c r="Q50" s="280"/>
      <c r="X50" s="280"/>
      <c r="Y50" s="280"/>
      <c r="Z50" s="280"/>
      <c r="AA50" s="280"/>
      <c r="AB50" s="280"/>
    </row>
    <row r="51" spans="1:28" s="304" customFormat="1" ht="18" customHeight="1" thickBot="1">
      <c r="A51" s="78"/>
      <c r="B51" s="337"/>
      <c r="C51" s="338" t="s">
        <v>535</v>
      </c>
      <c r="D51" s="1193"/>
      <c r="E51" s="1194"/>
      <c r="F51" s="1194"/>
      <c r="G51" s="1194"/>
      <c r="H51" s="339"/>
      <c r="I51" s="339"/>
      <c r="J51" s="340"/>
      <c r="K51" s="78"/>
      <c r="M51" s="280"/>
      <c r="N51" s="280"/>
      <c r="O51" s="280"/>
      <c r="P51" s="280"/>
      <c r="Q51" s="280"/>
      <c r="X51" s="280"/>
      <c r="Y51" s="280"/>
      <c r="Z51" s="280"/>
      <c r="AA51" s="280"/>
      <c r="AB51" s="280"/>
    </row>
    <row r="52" spans="1:28" s="304" customFormat="1" ht="18" customHeight="1" thickBot="1">
      <c r="A52" s="78"/>
      <c r="B52" s="1176" t="s">
        <v>671</v>
      </c>
      <c r="C52" s="1177"/>
      <c r="D52" s="1195"/>
      <c r="E52" s="1196"/>
      <c r="F52" s="1196"/>
      <c r="G52" s="1196"/>
      <c r="H52" s="341" t="s">
        <v>673</v>
      </c>
      <c r="I52" s="1195"/>
      <c r="J52" s="1197"/>
      <c r="K52" s="78"/>
      <c r="M52" s="280"/>
      <c r="N52" s="280"/>
      <c r="O52" s="280"/>
      <c r="P52" s="280"/>
      <c r="Q52" s="280"/>
      <c r="X52" s="280"/>
      <c r="Y52" s="280"/>
      <c r="Z52" s="280"/>
      <c r="AA52" s="280"/>
      <c r="AB52" s="280"/>
    </row>
    <row r="53" spans="1:28" ht="18" customHeight="1" thickBot="1">
      <c r="B53" s="1176" t="s">
        <v>674</v>
      </c>
      <c r="C53" s="1177"/>
      <c r="D53" s="1178"/>
      <c r="E53" s="1179"/>
      <c r="F53" s="1179"/>
      <c r="G53" s="1179"/>
      <c r="H53" s="1179"/>
      <c r="I53" s="1179"/>
      <c r="J53" s="1180"/>
      <c r="L53" s="304"/>
      <c r="M53" s="280"/>
      <c r="N53" s="280"/>
      <c r="O53" s="280"/>
      <c r="P53" s="280"/>
      <c r="Q53" s="280"/>
      <c r="R53" s="304"/>
      <c r="S53" s="304"/>
    </row>
    <row r="54" spans="1:28" ht="15" customHeight="1">
      <c r="B54" s="1181" t="s">
        <v>675</v>
      </c>
      <c r="C54" s="1182"/>
      <c r="D54" s="1182"/>
      <c r="E54" s="1182"/>
      <c r="F54" s="1182"/>
      <c r="G54" s="342"/>
      <c r="H54" s="343" t="s">
        <v>676</v>
      </c>
      <c r="I54" s="342"/>
      <c r="J54" s="344" t="s">
        <v>677</v>
      </c>
      <c r="L54" s="304"/>
      <c r="M54" s="1183" t="s">
        <v>700</v>
      </c>
      <c r="N54" s="1183"/>
      <c r="O54" s="1183"/>
      <c r="P54" s="1183"/>
      <c r="Q54" s="1183"/>
      <c r="R54" s="304"/>
      <c r="S54" s="304"/>
    </row>
    <row r="55" spans="1:28" ht="15" customHeight="1">
      <c r="B55" s="1184" t="s">
        <v>679</v>
      </c>
      <c r="C55" s="1185"/>
      <c r="D55" s="1185"/>
      <c r="E55" s="1185"/>
      <c r="F55" s="1185"/>
      <c r="G55" s="345"/>
      <c r="H55" s="346"/>
      <c r="I55" s="347"/>
      <c r="J55" s="348"/>
      <c r="L55" s="304"/>
      <c r="M55" s="280" t="s">
        <v>680</v>
      </c>
      <c r="N55" s="280">
        <f>IF(AND(J55=0, J57=0, J58=0, J59=0, J60=0, J61=0, J62=0, J63=0, J64=0), 0, 1)</f>
        <v>0</v>
      </c>
      <c r="O55" s="280"/>
      <c r="P55" s="349"/>
      <c r="Q55" s="349" t="s">
        <v>596</v>
      </c>
      <c r="R55" s="304"/>
      <c r="S55" s="304"/>
    </row>
    <row r="56" spans="1:28" ht="15" customHeight="1">
      <c r="B56" s="1172" t="s">
        <v>681</v>
      </c>
      <c r="C56" s="1186"/>
      <c r="D56" s="1186"/>
      <c r="E56" s="1186"/>
      <c r="F56" s="1186"/>
      <c r="G56" s="350"/>
      <c r="H56" s="351"/>
      <c r="I56" s="350"/>
      <c r="J56" s="352"/>
      <c r="L56" s="304"/>
      <c r="M56" s="280" t="s">
        <v>682</v>
      </c>
      <c r="N56" s="280">
        <f>IF(AND(G64&lt;=I64, I64&lt;&gt;0), 0, 1)</f>
        <v>1</v>
      </c>
      <c r="O56" s="280"/>
      <c r="P56" s="349"/>
      <c r="Q56" s="349" t="s">
        <v>683</v>
      </c>
      <c r="R56" s="304"/>
      <c r="S56" s="304"/>
    </row>
    <row r="57" spans="1:28" ht="15" customHeight="1">
      <c r="B57" s="1170" t="s">
        <v>684</v>
      </c>
      <c r="C57" s="1171"/>
      <c r="D57" s="1171"/>
      <c r="E57" s="1171"/>
      <c r="F57" s="1171"/>
      <c r="G57" s="345"/>
      <c r="H57" s="346"/>
      <c r="I57" s="347"/>
      <c r="J57" s="348"/>
      <c r="L57" s="304"/>
      <c r="M57" s="280" t="s">
        <v>685</v>
      </c>
      <c r="N57" s="280">
        <f>IF(AND(N56=0, N55=1), 0, 1)</f>
        <v>1</v>
      </c>
      <c r="O57" s="280"/>
      <c r="P57" s="349"/>
      <c r="Q57" s="349" t="s">
        <v>599</v>
      </c>
    </row>
    <row r="58" spans="1:28" ht="15" customHeight="1">
      <c r="B58" s="1170" t="s">
        <v>686</v>
      </c>
      <c r="C58" s="1171"/>
      <c r="D58" s="1171"/>
      <c r="E58" s="1171"/>
      <c r="F58" s="1171"/>
      <c r="G58" s="345"/>
      <c r="H58" s="346"/>
      <c r="I58" s="347"/>
      <c r="J58" s="355"/>
      <c r="L58" s="304"/>
      <c r="M58" s="280"/>
      <c r="N58" s="280"/>
      <c r="O58" s="280"/>
      <c r="P58" s="349"/>
      <c r="Q58" s="349" t="s">
        <v>603</v>
      </c>
    </row>
    <row r="59" spans="1:28" ht="15" customHeight="1">
      <c r="B59" s="353" t="s">
        <v>687</v>
      </c>
      <c r="C59" s="354"/>
      <c r="D59" s="354"/>
      <c r="E59" s="356"/>
      <c r="F59" s="357" t="s">
        <v>688</v>
      </c>
      <c r="G59" s="358"/>
      <c r="H59" s="359">
        <f>(G59*0.24)</f>
        <v>0</v>
      </c>
      <c r="I59" s="360"/>
      <c r="J59" s="361">
        <f>(I59*0.22)</f>
        <v>0</v>
      </c>
      <c r="L59" s="304"/>
      <c r="M59" s="280" t="s">
        <v>689</v>
      </c>
      <c r="N59" s="362">
        <f>G64/12</f>
        <v>0</v>
      </c>
      <c r="O59" s="280"/>
      <c r="P59" s="349"/>
      <c r="Q59" s="349" t="s">
        <v>605</v>
      </c>
    </row>
    <row r="60" spans="1:28" ht="15" customHeight="1">
      <c r="B60" s="1170" t="s">
        <v>690</v>
      </c>
      <c r="C60" s="1171"/>
      <c r="D60" s="1171"/>
      <c r="E60" s="1171"/>
      <c r="F60" s="1171"/>
      <c r="G60" s="363"/>
      <c r="H60" s="364"/>
      <c r="I60" s="347"/>
      <c r="J60" s="355"/>
      <c r="L60" s="304"/>
      <c r="M60" s="280" t="s">
        <v>691</v>
      </c>
      <c r="N60" s="362">
        <f>(G64+I64)/24</f>
        <v>0</v>
      </c>
      <c r="O60" s="280"/>
      <c r="P60" s="349"/>
      <c r="Q60" s="349"/>
    </row>
    <row r="61" spans="1:28" ht="15" customHeight="1">
      <c r="B61" s="1170" t="s">
        <v>692</v>
      </c>
      <c r="C61" s="1171"/>
      <c r="D61" s="1171"/>
      <c r="E61" s="1171"/>
      <c r="F61" s="1171"/>
      <c r="G61" s="345"/>
      <c r="H61" s="364"/>
      <c r="I61" s="350"/>
      <c r="J61" s="348"/>
      <c r="L61" s="304"/>
      <c r="M61" s="280"/>
      <c r="N61" s="280"/>
      <c r="O61" s="280"/>
      <c r="P61" s="280"/>
      <c r="Q61" s="280"/>
    </row>
    <row r="62" spans="1:28" ht="15" customHeight="1">
      <c r="B62" s="1172" t="s">
        <v>693</v>
      </c>
      <c r="C62" s="1173"/>
      <c r="D62" s="1173"/>
      <c r="E62" s="1173"/>
      <c r="F62" s="1173"/>
      <c r="G62" s="350"/>
      <c r="H62" s="346"/>
      <c r="I62" s="350"/>
      <c r="J62" s="348"/>
      <c r="L62" s="304"/>
      <c r="M62" s="280"/>
      <c r="N62" s="280"/>
      <c r="O62" s="280"/>
      <c r="P62" s="280"/>
      <c r="Q62" s="280"/>
    </row>
    <row r="63" spans="1:28" ht="15" customHeight="1">
      <c r="B63" s="1174" t="s">
        <v>694</v>
      </c>
      <c r="C63" s="1175"/>
      <c r="D63" s="1175"/>
      <c r="E63" s="1175"/>
      <c r="F63" s="1175"/>
      <c r="G63" s="365"/>
      <c r="H63" s="364"/>
      <c r="I63" s="350"/>
      <c r="J63" s="348"/>
      <c r="L63" s="304"/>
      <c r="M63" s="280"/>
      <c r="N63" s="280"/>
      <c r="O63" s="280"/>
      <c r="P63" s="280"/>
      <c r="Q63" s="280"/>
    </row>
    <row r="64" spans="1:28" ht="15" customHeight="1">
      <c r="B64" s="1151" t="s">
        <v>695</v>
      </c>
      <c r="C64" s="1152"/>
      <c r="D64" s="1152"/>
      <c r="E64" s="1152"/>
      <c r="F64" s="1153"/>
      <c r="G64" s="1154">
        <f>SUM(H55:H61)-H63</f>
        <v>0</v>
      </c>
      <c r="H64" s="1155"/>
      <c r="I64" s="1156">
        <f>SUM(J55:J61)-J63</f>
        <v>0</v>
      </c>
      <c r="J64" s="1157"/>
      <c r="L64" s="304"/>
      <c r="M64" s="280"/>
      <c r="N64" s="280"/>
      <c r="O64" s="280"/>
      <c r="P64" s="280"/>
      <c r="Q64" s="280"/>
    </row>
    <row r="65" spans="2:17" ht="18.75">
      <c r="B65" s="1158" t="s">
        <v>696</v>
      </c>
      <c r="C65" s="1159"/>
      <c r="D65" s="1159"/>
      <c r="E65" s="1159"/>
      <c r="F65" s="1160"/>
      <c r="G65" s="1161" t="str">
        <f>IF(OR(N57=0, I64=0), "12 Month Average", "24 Month Average")</f>
        <v>12 Month Average</v>
      </c>
      <c r="H65" s="1162"/>
      <c r="I65" s="1162"/>
      <c r="J65" s="1163"/>
      <c r="L65" s="304"/>
      <c r="M65" s="280"/>
      <c r="N65" s="280"/>
      <c r="O65" s="280"/>
      <c r="P65" s="280"/>
      <c r="Q65" s="280"/>
    </row>
    <row r="66" spans="2:17" ht="34.5" thickBot="1">
      <c r="B66" s="1164" t="s">
        <v>697</v>
      </c>
      <c r="C66" s="1165"/>
      <c r="D66" s="1165"/>
      <c r="E66" s="1165"/>
      <c r="F66" s="1166"/>
      <c r="G66" s="1167">
        <f>IF(OR(N57=0, I64=0), N59, N60)</f>
        <v>0</v>
      </c>
      <c r="H66" s="1168"/>
      <c r="I66" s="1168"/>
      <c r="J66" s="1169"/>
      <c r="L66" s="304"/>
      <c r="M66" s="280"/>
      <c r="N66" s="280"/>
      <c r="O66" s="280"/>
      <c r="P66" s="280"/>
      <c r="Q66" s="280"/>
    </row>
    <row r="67" spans="2:17" ht="9" customHeight="1" thickBot="1">
      <c r="L67" s="304"/>
      <c r="M67" s="280"/>
      <c r="N67" s="280"/>
      <c r="O67" s="280"/>
      <c r="P67" s="280"/>
      <c r="Q67" s="280"/>
    </row>
    <row r="68" spans="2:17" ht="105.75" customHeight="1" thickBot="1">
      <c r="B68" s="1148" t="s">
        <v>699</v>
      </c>
      <c r="C68" s="1149"/>
      <c r="D68" s="1149"/>
      <c r="E68" s="1149"/>
      <c r="F68" s="1149"/>
      <c r="G68" s="1149"/>
      <c r="H68" s="1149"/>
      <c r="I68" s="1149"/>
      <c r="J68" s="1150"/>
      <c r="L68" s="304"/>
      <c r="M68" s="280"/>
      <c r="N68" s="280"/>
      <c r="O68" s="280"/>
      <c r="P68" s="280"/>
      <c r="Q68" s="280"/>
    </row>
    <row r="69" spans="2:17">
      <c r="M69" s="280"/>
      <c r="N69" s="280"/>
      <c r="O69" s="280"/>
      <c r="P69" s="280"/>
      <c r="Q69" s="280"/>
    </row>
    <row r="70" spans="2:17" ht="15.75" thickBot="1">
      <c r="L70" s="304"/>
      <c r="M70" s="280"/>
      <c r="N70" s="280"/>
      <c r="O70" s="280"/>
      <c r="P70" s="280"/>
      <c r="Q70" s="280"/>
    </row>
    <row r="71" spans="2:17" ht="54.75" customHeight="1">
      <c r="B71" s="1187" t="s">
        <v>669</v>
      </c>
      <c r="C71" s="1188"/>
      <c r="D71" s="1188"/>
      <c r="E71" s="1188"/>
      <c r="F71" s="1188"/>
      <c r="G71" s="1188"/>
      <c r="H71" s="1188"/>
      <c r="I71" s="1188"/>
      <c r="J71" s="331" t="str">
        <f>'[3]Reference Sheet'!$B$2</f>
        <v>Rev. 4.12.2016</v>
      </c>
      <c r="L71" s="304"/>
      <c r="M71" s="280"/>
      <c r="N71" s="280"/>
      <c r="O71" s="280"/>
      <c r="P71" s="280"/>
      <c r="Q71" s="280"/>
    </row>
    <row r="72" spans="2:17" ht="3.75" customHeight="1">
      <c r="B72" s="332"/>
      <c r="C72" s="333"/>
      <c r="D72" s="333"/>
      <c r="E72" s="333"/>
      <c r="F72" s="333"/>
      <c r="G72" s="333"/>
      <c r="H72" s="333"/>
      <c r="I72" s="333"/>
      <c r="J72" s="334"/>
      <c r="L72" s="304"/>
      <c r="M72" s="280"/>
      <c r="N72" s="280"/>
      <c r="O72" s="280"/>
      <c r="P72" s="280"/>
      <c r="Q72" s="280"/>
    </row>
    <row r="73" spans="2:17" ht="18" customHeight="1" thickBot="1">
      <c r="B73" s="332"/>
      <c r="C73" s="336" t="s">
        <v>533</v>
      </c>
      <c r="D73" s="1189"/>
      <c r="E73" s="1190"/>
      <c r="F73" s="1190"/>
      <c r="G73" s="1190"/>
      <c r="H73" s="336" t="s">
        <v>67</v>
      </c>
      <c r="I73" s="1191"/>
      <c r="J73" s="1192"/>
      <c r="L73" s="304"/>
      <c r="M73" s="280"/>
      <c r="N73" s="280"/>
      <c r="O73" s="280"/>
      <c r="P73" s="280"/>
      <c r="Q73" s="280"/>
    </row>
    <row r="74" spans="2:17" ht="18" customHeight="1" thickBot="1">
      <c r="B74" s="337"/>
      <c r="C74" s="338" t="s">
        <v>535</v>
      </c>
      <c r="D74" s="1193"/>
      <c r="E74" s="1194"/>
      <c r="F74" s="1194"/>
      <c r="G74" s="1194"/>
      <c r="H74" s="339"/>
      <c r="I74" s="339"/>
      <c r="J74" s="340"/>
      <c r="L74" s="304"/>
      <c r="M74" s="280"/>
      <c r="N74" s="280"/>
      <c r="O74" s="280"/>
      <c r="P74" s="280"/>
      <c r="Q74" s="280"/>
    </row>
    <row r="75" spans="2:17" ht="18" customHeight="1" thickBot="1">
      <c r="B75" s="1176" t="s">
        <v>671</v>
      </c>
      <c r="C75" s="1177"/>
      <c r="D75" s="1195"/>
      <c r="E75" s="1196"/>
      <c r="F75" s="1196"/>
      <c r="G75" s="1196"/>
      <c r="H75" s="341" t="s">
        <v>673</v>
      </c>
      <c r="I75" s="1195"/>
      <c r="J75" s="1197"/>
      <c r="L75" s="304"/>
      <c r="M75" s="280"/>
      <c r="N75" s="280"/>
      <c r="O75" s="280"/>
      <c r="P75" s="280"/>
      <c r="Q75" s="280"/>
    </row>
    <row r="76" spans="2:17" ht="18" customHeight="1" thickBot="1">
      <c r="B76" s="1176" t="s">
        <v>674</v>
      </c>
      <c r="C76" s="1177"/>
      <c r="D76" s="1178"/>
      <c r="E76" s="1179"/>
      <c r="F76" s="1179"/>
      <c r="G76" s="1179"/>
      <c r="H76" s="1179"/>
      <c r="I76" s="1179"/>
      <c r="J76" s="1180"/>
      <c r="L76" s="304"/>
      <c r="M76" s="280"/>
      <c r="N76" s="280"/>
      <c r="O76" s="280"/>
      <c r="P76" s="280"/>
      <c r="Q76" s="280"/>
    </row>
    <row r="77" spans="2:17" ht="15" customHeight="1">
      <c r="B77" s="1181" t="s">
        <v>675</v>
      </c>
      <c r="C77" s="1182"/>
      <c r="D77" s="1182"/>
      <c r="E77" s="1182"/>
      <c r="F77" s="1182"/>
      <c r="G77" s="342"/>
      <c r="H77" s="343" t="s">
        <v>676</v>
      </c>
      <c r="I77" s="342"/>
      <c r="J77" s="344" t="s">
        <v>677</v>
      </c>
      <c r="L77" s="304"/>
      <c r="M77" s="1183" t="s">
        <v>701</v>
      </c>
      <c r="N77" s="1183"/>
      <c r="O77" s="1183"/>
      <c r="P77" s="1183"/>
      <c r="Q77" s="1183"/>
    </row>
    <row r="78" spans="2:17" ht="15" customHeight="1">
      <c r="B78" s="1184" t="s">
        <v>679</v>
      </c>
      <c r="C78" s="1185"/>
      <c r="D78" s="1185"/>
      <c r="E78" s="1185"/>
      <c r="F78" s="1185"/>
      <c r="G78" s="345"/>
      <c r="H78" s="346"/>
      <c r="I78" s="347"/>
      <c r="J78" s="348"/>
      <c r="L78" s="304"/>
      <c r="M78" s="280" t="s">
        <v>680</v>
      </c>
      <c r="N78" s="280">
        <f>IF(AND(J78=0, J80=0, J81=0, J82=0, J83=0, J84=0, J85=0, J86=0, J87=0), 0, 1)</f>
        <v>0</v>
      </c>
      <c r="O78" s="280"/>
      <c r="P78" s="349"/>
      <c r="Q78" s="349" t="s">
        <v>596</v>
      </c>
    </row>
    <row r="79" spans="2:17" ht="15" customHeight="1">
      <c r="B79" s="1172" t="s">
        <v>681</v>
      </c>
      <c r="C79" s="1186"/>
      <c r="D79" s="1186"/>
      <c r="E79" s="1186"/>
      <c r="F79" s="1186"/>
      <c r="G79" s="350"/>
      <c r="H79" s="351"/>
      <c r="I79" s="350"/>
      <c r="J79" s="352"/>
      <c r="L79" s="304"/>
      <c r="M79" s="280" t="s">
        <v>682</v>
      </c>
      <c r="N79" s="280">
        <f>IF(AND(G87&lt;=I87, I87&lt;&gt;0), 0, 1)</f>
        <v>1</v>
      </c>
      <c r="O79" s="280"/>
      <c r="P79" s="349"/>
      <c r="Q79" s="349" t="s">
        <v>683</v>
      </c>
    </row>
    <row r="80" spans="2:17" ht="15" customHeight="1">
      <c r="B80" s="1170" t="s">
        <v>684</v>
      </c>
      <c r="C80" s="1171"/>
      <c r="D80" s="1171"/>
      <c r="E80" s="1171"/>
      <c r="F80" s="1171"/>
      <c r="G80" s="345"/>
      <c r="H80" s="346"/>
      <c r="I80" s="347"/>
      <c r="J80" s="348"/>
      <c r="L80" s="304"/>
      <c r="M80" s="280" t="s">
        <v>685</v>
      </c>
      <c r="N80" s="280">
        <f>IF(AND(N79=0, N78=1), 0, 1)</f>
        <v>1</v>
      </c>
      <c r="O80" s="280"/>
      <c r="P80" s="349"/>
      <c r="Q80" s="349" t="s">
        <v>599</v>
      </c>
    </row>
    <row r="81" spans="2:17" ht="15" customHeight="1">
      <c r="B81" s="1170" t="s">
        <v>686</v>
      </c>
      <c r="C81" s="1171"/>
      <c r="D81" s="1171"/>
      <c r="E81" s="1171"/>
      <c r="F81" s="1171"/>
      <c r="G81" s="345"/>
      <c r="H81" s="346"/>
      <c r="I81" s="347"/>
      <c r="J81" s="355"/>
      <c r="L81" s="304"/>
      <c r="M81" s="280"/>
      <c r="N81" s="280"/>
      <c r="O81" s="280"/>
      <c r="P81" s="349"/>
      <c r="Q81" s="349" t="s">
        <v>603</v>
      </c>
    </row>
    <row r="82" spans="2:17" ht="15" customHeight="1">
      <c r="B82" s="353" t="s">
        <v>687</v>
      </c>
      <c r="C82" s="354"/>
      <c r="D82" s="354"/>
      <c r="E82" s="356"/>
      <c r="F82" s="357" t="s">
        <v>688</v>
      </c>
      <c r="G82" s="358"/>
      <c r="H82" s="359">
        <f>(G82*0.24)</f>
        <v>0</v>
      </c>
      <c r="I82" s="360"/>
      <c r="J82" s="361">
        <f>(I82*0.22)</f>
        <v>0</v>
      </c>
      <c r="L82" s="304"/>
      <c r="M82" s="280" t="s">
        <v>689</v>
      </c>
      <c r="N82" s="362">
        <f>G87/12</f>
        <v>0</v>
      </c>
      <c r="O82" s="280"/>
      <c r="P82" s="349"/>
      <c r="Q82" s="349" t="s">
        <v>605</v>
      </c>
    </row>
    <row r="83" spans="2:17" ht="15" customHeight="1">
      <c r="B83" s="1170" t="s">
        <v>690</v>
      </c>
      <c r="C83" s="1171"/>
      <c r="D83" s="1171"/>
      <c r="E83" s="1171"/>
      <c r="F83" s="1171"/>
      <c r="G83" s="363"/>
      <c r="H83" s="364"/>
      <c r="I83" s="347"/>
      <c r="J83" s="355"/>
      <c r="L83" s="304"/>
      <c r="M83" s="280" t="s">
        <v>691</v>
      </c>
      <c r="N83" s="362">
        <f>(G87+I87)/24</f>
        <v>0</v>
      </c>
      <c r="O83" s="280"/>
      <c r="P83" s="349"/>
      <c r="Q83" s="349"/>
    </row>
    <row r="84" spans="2:17" ht="15" customHeight="1">
      <c r="B84" s="1170" t="s">
        <v>692</v>
      </c>
      <c r="C84" s="1171"/>
      <c r="D84" s="1171"/>
      <c r="E84" s="1171"/>
      <c r="F84" s="1171"/>
      <c r="G84" s="345"/>
      <c r="H84" s="364"/>
      <c r="I84" s="350"/>
      <c r="J84" s="348"/>
      <c r="L84" s="304"/>
      <c r="M84" s="280"/>
      <c r="N84" s="280"/>
      <c r="O84" s="280"/>
      <c r="P84" s="280"/>
      <c r="Q84" s="280"/>
    </row>
    <row r="85" spans="2:17" ht="15" customHeight="1">
      <c r="B85" s="1172" t="s">
        <v>693</v>
      </c>
      <c r="C85" s="1173"/>
      <c r="D85" s="1173"/>
      <c r="E85" s="1173"/>
      <c r="F85" s="1173"/>
      <c r="G85" s="350"/>
      <c r="H85" s="346"/>
      <c r="I85" s="350"/>
      <c r="J85" s="348"/>
      <c r="L85" s="304"/>
      <c r="M85" s="280"/>
      <c r="N85" s="280"/>
      <c r="O85" s="280"/>
      <c r="P85" s="280"/>
      <c r="Q85" s="280"/>
    </row>
    <row r="86" spans="2:17" ht="15" customHeight="1">
      <c r="B86" s="1174" t="s">
        <v>694</v>
      </c>
      <c r="C86" s="1175"/>
      <c r="D86" s="1175"/>
      <c r="E86" s="1175"/>
      <c r="F86" s="1175"/>
      <c r="G86" s="365"/>
      <c r="H86" s="364"/>
      <c r="I86" s="350"/>
      <c r="J86" s="348"/>
      <c r="L86" s="304"/>
      <c r="M86" s="280"/>
      <c r="N86" s="280"/>
      <c r="O86" s="280"/>
      <c r="P86" s="280"/>
      <c r="Q86" s="280"/>
    </row>
    <row r="87" spans="2:17" ht="15" customHeight="1">
      <c r="B87" s="1151" t="s">
        <v>695</v>
      </c>
      <c r="C87" s="1152"/>
      <c r="D87" s="1152"/>
      <c r="E87" s="1152"/>
      <c r="F87" s="1153"/>
      <c r="G87" s="1154">
        <f>SUM(H78:H84)-H86</f>
        <v>0</v>
      </c>
      <c r="H87" s="1155"/>
      <c r="I87" s="1156">
        <f>SUM(J78:J84)-J86</f>
        <v>0</v>
      </c>
      <c r="J87" s="1157"/>
      <c r="L87" s="304"/>
      <c r="M87" s="280"/>
      <c r="N87" s="280"/>
      <c r="O87" s="280"/>
      <c r="P87" s="280"/>
      <c r="Q87" s="280"/>
    </row>
    <row r="88" spans="2:17" ht="18.75">
      <c r="B88" s="1158" t="s">
        <v>696</v>
      </c>
      <c r="C88" s="1159"/>
      <c r="D88" s="1159"/>
      <c r="E88" s="1159"/>
      <c r="F88" s="1160"/>
      <c r="G88" s="1161" t="str">
        <f>IF(OR(N80=0, I87=0), "12 Month Average", "24 Month Average")</f>
        <v>12 Month Average</v>
      </c>
      <c r="H88" s="1162"/>
      <c r="I88" s="1162"/>
      <c r="J88" s="1163"/>
      <c r="L88" s="304"/>
      <c r="M88" s="280"/>
      <c r="N88" s="280"/>
      <c r="O88" s="280"/>
      <c r="P88" s="280"/>
      <c r="Q88" s="280"/>
    </row>
    <row r="89" spans="2:17" ht="34.5" thickBot="1">
      <c r="B89" s="1164" t="s">
        <v>697</v>
      </c>
      <c r="C89" s="1165"/>
      <c r="D89" s="1165"/>
      <c r="E89" s="1165"/>
      <c r="F89" s="1166"/>
      <c r="G89" s="1167">
        <f>IF(OR(N80=0, I87=0), N82, N83)</f>
        <v>0</v>
      </c>
      <c r="H89" s="1168"/>
      <c r="I89" s="1168"/>
      <c r="J89" s="1169"/>
      <c r="L89" s="304"/>
      <c r="M89" s="280"/>
      <c r="N89" s="280"/>
      <c r="O89" s="280"/>
      <c r="P89" s="280"/>
      <c r="Q89" s="280"/>
    </row>
    <row r="90" spans="2:17" ht="9" customHeight="1" thickBot="1">
      <c r="L90" s="304"/>
      <c r="M90" s="280"/>
      <c r="N90" s="280"/>
      <c r="O90" s="280"/>
      <c r="P90" s="280"/>
      <c r="Q90" s="280"/>
    </row>
    <row r="91" spans="2:17" ht="105.75" customHeight="1" thickBot="1">
      <c r="B91" s="1148" t="s">
        <v>699</v>
      </c>
      <c r="C91" s="1149"/>
      <c r="D91" s="1149"/>
      <c r="E91" s="1149"/>
      <c r="F91" s="1149"/>
      <c r="G91" s="1149"/>
      <c r="H91" s="1149"/>
      <c r="I91" s="1149"/>
      <c r="J91" s="1150"/>
      <c r="L91" s="304"/>
      <c r="M91" s="280"/>
      <c r="N91" s="280"/>
      <c r="O91" s="280"/>
      <c r="P91" s="280"/>
      <c r="Q91" s="280"/>
    </row>
    <row r="92" spans="2:17">
      <c r="M92" s="280"/>
      <c r="N92" s="280"/>
      <c r="O92" s="280"/>
      <c r="P92" s="280"/>
      <c r="Q92" s="280"/>
    </row>
    <row r="93" spans="2:17" ht="15.75" thickBot="1">
      <c r="L93" s="304"/>
      <c r="M93" s="280"/>
      <c r="N93" s="280"/>
      <c r="O93" s="280"/>
      <c r="P93" s="280"/>
      <c r="Q93" s="280"/>
    </row>
    <row r="94" spans="2:17" ht="54.75" customHeight="1">
      <c r="B94" s="1187" t="s">
        <v>669</v>
      </c>
      <c r="C94" s="1188"/>
      <c r="D94" s="1188"/>
      <c r="E94" s="1188"/>
      <c r="F94" s="1188"/>
      <c r="G94" s="1188"/>
      <c r="H94" s="1188"/>
      <c r="I94" s="1188"/>
      <c r="J94" s="331" t="str">
        <f>'[3]Reference Sheet'!$B$2</f>
        <v>Rev. 4.12.2016</v>
      </c>
      <c r="L94" s="304"/>
      <c r="M94" s="280"/>
      <c r="N94" s="280"/>
      <c r="O94" s="280"/>
      <c r="P94" s="280"/>
      <c r="Q94" s="280"/>
    </row>
    <row r="95" spans="2:17" ht="3.75" customHeight="1">
      <c r="B95" s="332"/>
      <c r="C95" s="333"/>
      <c r="D95" s="333"/>
      <c r="E95" s="333"/>
      <c r="F95" s="333"/>
      <c r="G95" s="333"/>
      <c r="H95" s="333"/>
      <c r="I95" s="333"/>
      <c r="J95" s="334"/>
      <c r="L95" s="304"/>
      <c r="M95" s="280"/>
      <c r="N95" s="280"/>
      <c r="O95" s="280"/>
      <c r="P95" s="280"/>
      <c r="Q95" s="280"/>
    </row>
    <row r="96" spans="2:17" ht="18" customHeight="1" thickBot="1">
      <c r="B96" s="332"/>
      <c r="C96" s="336" t="s">
        <v>533</v>
      </c>
      <c r="D96" s="1189"/>
      <c r="E96" s="1190"/>
      <c r="F96" s="1190"/>
      <c r="G96" s="1190"/>
      <c r="H96" s="336" t="s">
        <v>67</v>
      </c>
      <c r="I96" s="1191"/>
      <c r="J96" s="1192"/>
      <c r="L96" s="304"/>
      <c r="M96" s="280"/>
      <c r="N96" s="280"/>
      <c r="O96" s="280"/>
      <c r="P96" s="280"/>
      <c r="Q96" s="280"/>
    </row>
    <row r="97" spans="2:45" ht="18" customHeight="1" thickBot="1">
      <c r="B97" s="337"/>
      <c r="C97" s="338" t="s">
        <v>535</v>
      </c>
      <c r="D97" s="1193"/>
      <c r="E97" s="1194"/>
      <c r="F97" s="1194"/>
      <c r="G97" s="1194"/>
      <c r="H97" s="339"/>
      <c r="I97" s="339"/>
      <c r="J97" s="340"/>
      <c r="L97" s="304"/>
      <c r="M97" s="280"/>
      <c r="N97" s="280"/>
      <c r="O97" s="280"/>
      <c r="P97" s="280"/>
      <c r="Q97" s="280"/>
    </row>
    <row r="98" spans="2:45" ht="18" customHeight="1" thickBot="1">
      <c r="B98" s="1176" t="s">
        <v>671</v>
      </c>
      <c r="C98" s="1177"/>
      <c r="D98" s="1195"/>
      <c r="E98" s="1196"/>
      <c r="F98" s="1196"/>
      <c r="G98" s="1196"/>
      <c r="H98" s="341" t="s">
        <v>673</v>
      </c>
      <c r="I98" s="1195"/>
      <c r="J98" s="1197"/>
      <c r="L98" s="304"/>
      <c r="M98" s="280"/>
      <c r="N98" s="280"/>
      <c r="O98" s="280"/>
      <c r="P98" s="280"/>
      <c r="Q98" s="280"/>
    </row>
    <row r="99" spans="2:45" ht="18" customHeight="1" thickBot="1">
      <c r="B99" s="1176" t="s">
        <v>674</v>
      </c>
      <c r="C99" s="1177"/>
      <c r="D99" s="1178"/>
      <c r="E99" s="1179"/>
      <c r="F99" s="1179"/>
      <c r="G99" s="1179"/>
      <c r="H99" s="1179"/>
      <c r="I99" s="1179"/>
      <c r="J99" s="1180"/>
      <c r="L99" s="304"/>
      <c r="M99" s="280"/>
      <c r="N99" s="280"/>
      <c r="O99" s="280"/>
      <c r="P99" s="280"/>
      <c r="Q99" s="280"/>
    </row>
    <row r="100" spans="2:45">
      <c r="B100" s="1181" t="s">
        <v>675</v>
      </c>
      <c r="C100" s="1182"/>
      <c r="D100" s="1182"/>
      <c r="E100" s="1182"/>
      <c r="F100" s="1182"/>
      <c r="G100" s="342"/>
      <c r="H100" s="343" t="s">
        <v>676</v>
      </c>
      <c r="I100" s="342"/>
      <c r="J100" s="344" t="s">
        <v>677</v>
      </c>
      <c r="L100" s="304"/>
      <c r="M100" s="1183" t="s">
        <v>702</v>
      </c>
      <c r="N100" s="1183"/>
      <c r="O100" s="1183"/>
      <c r="P100" s="1183"/>
      <c r="Q100" s="1183"/>
    </row>
    <row r="101" spans="2:45">
      <c r="B101" s="1184" t="s">
        <v>679</v>
      </c>
      <c r="C101" s="1185"/>
      <c r="D101" s="1185"/>
      <c r="E101" s="1185"/>
      <c r="F101" s="1185"/>
      <c r="G101" s="345"/>
      <c r="H101" s="346"/>
      <c r="I101" s="347"/>
      <c r="J101" s="348"/>
      <c r="L101" s="304"/>
      <c r="M101" s="280" t="s">
        <v>680</v>
      </c>
      <c r="N101" s="280">
        <f>IF(AND(J101=0, J103=0, J104=0, J105=0, J106=0, J107=0, J108=0, J109=0, J110=0), 0, 1)</f>
        <v>0</v>
      </c>
      <c r="O101" s="280"/>
      <c r="P101" s="349"/>
      <c r="Q101" s="349" t="s">
        <v>596</v>
      </c>
      <c r="AS101" s="366"/>
    </row>
    <row r="102" spans="2:45">
      <c r="B102" s="1172" t="s">
        <v>681</v>
      </c>
      <c r="C102" s="1186"/>
      <c r="D102" s="1186"/>
      <c r="E102" s="1186"/>
      <c r="F102" s="1186"/>
      <c r="G102" s="350"/>
      <c r="H102" s="351"/>
      <c r="I102" s="350"/>
      <c r="J102" s="352"/>
      <c r="L102" s="304"/>
      <c r="M102" s="280" t="s">
        <v>682</v>
      </c>
      <c r="N102" s="280">
        <f>IF(AND(G110&lt;=I110, I110&lt;&gt;0), 0, 1)</f>
        <v>1</v>
      </c>
      <c r="O102" s="280"/>
      <c r="P102" s="349"/>
      <c r="Q102" s="349" t="s">
        <v>683</v>
      </c>
      <c r="AM102" s="304"/>
      <c r="AS102" s="366"/>
    </row>
    <row r="103" spans="2:45">
      <c r="B103" s="1170" t="s">
        <v>684</v>
      </c>
      <c r="C103" s="1171"/>
      <c r="D103" s="1171"/>
      <c r="E103" s="1171"/>
      <c r="F103" s="1171"/>
      <c r="G103" s="345"/>
      <c r="H103" s="346"/>
      <c r="I103" s="347"/>
      <c r="J103" s="348"/>
      <c r="L103" s="304"/>
      <c r="M103" s="280" t="s">
        <v>685</v>
      </c>
      <c r="N103" s="280">
        <f>IF(AND(N102=0, N101=1), 0, 1)</f>
        <v>1</v>
      </c>
      <c r="O103" s="280"/>
      <c r="P103" s="349"/>
      <c r="Q103" s="349" t="s">
        <v>599</v>
      </c>
      <c r="AM103" s="304"/>
      <c r="AS103" s="366"/>
    </row>
    <row r="104" spans="2:45">
      <c r="B104" s="1170" t="s">
        <v>686</v>
      </c>
      <c r="C104" s="1171"/>
      <c r="D104" s="1171"/>
      <c r="E104" s="1171"/>
      <c r="F104" s="1171"/>
      <c r="G104" s="345"/>
      <c r="H104" s="346"/>
      <c r="I104" s="347"/>
      <c r="J104" s="355"/>
      <c r="L104" s="304"/>
      <c r="M104" s="280"/>
      <c r="N104" s="280"/>
      <c r="O104" s="280"/>
      <c r="P104" s="349"/>
      <c r="Q104" s="349" t="s">
        <v>603</v>
      </c>
      <c r="AM104" s="304"/>
      <c r="AS104" s="366"/>
    </row>
    <row r="105" spans="2:45">
      <c r="B105" s="353" t="s">
        <v>687</v>
      </c>
      <c r="C105" s="354"/>
      <c r="D105" s="354"/>
      <c r="E105" s="356"/>
      <c r="F105" s="357" t="s">
        <v>688</v>
      </c>
      <c r="G105" s="358"/>
      <c r="H105" s="359">
        <f>(G105*0.24)</f>
        <v>0</v>
      </c>
      <c r="I105" s="360"/>
      <c r="J105" s="361">
        <f>(I105*0.22)</f>
        <v>0</v>
      </c>
      <c r="L105" s="304"/>
      <c r="M105" s="280" t="s">
        <v>689</v>
      </c>
      <c r="N105" s="362">
        <f>G110/12</f>
        <v>0</v>
      </c>
      <c r="O105" s="280"/>
      <c r="P105" s="349"/>
      <c r="Q105" s="349" t="s">
        <v>605</v>
      </c>
      <c r="AM105" s="304"/>
      <c r="AS105" s="366"/>
    </row>
    <row r="106" spans="2:45">
      <c r="B106" s="1170" t="s">
        <v>690</v>
      </c>
      <c r="C106" s="1171"/>
      <c r="D106" s="1171"/>
      <c r="E106" s="1171"/>
      <c r="F106" s="1171"/>
      <c r="G106" s="363"/>
      <c r="H106" s="364"/>
      <c r="I106" s="347"/>
      <c r="J106" s="355"/>
      <c r="L106" s="304"/>
      <c r="M106" s="280" t="s">
        <v>691</v>
      </c>
      <c r="N106" s="362">
        <f>(G110+I110)/24</f>
        <v>0</v>
      </c>
      <c r="O106" s="280"/>
      <c r="P106" s="349"/>
      <c r="Q106" s="349"/>
      <c r="AM106" s="304"/>
      <c r="AS106" s="366"/>
    </row>
    <row r="107" spans="2:45">
      <c r="B107" s="1170" t="s">
        <v>692</v>
      </c>
      <c r="C107" s="1171"/>
      <c r="D107" s="1171"/>
      <c r="E107" s="1171"/>
      <c r="F107" s="1171"/>
      <c r="G107" s="345"/>
      <c r="H107" s="364"/>
      <c r="I107" s="350"/>
      <c r="J107" s="348"/>
      <c r="L107" s="304"/>
      <c r="M107" s="280"/>
      <c r="N107" s="280"/>
      <c r="O107" s="280"/>
      <c r="P107" s="280"/>
      <c r="Q107" s="280"/>
      <c r="AM107" s="304"/>
      <c r="AS107" s="366"/>
    </row>
    <row r="108" spans="2:45">
      <c r="B108" s="1172" t="s">
        <v>693</v>
      </c>
      <c r="C108" s="1173"/>
      <c r="D108" s="1173"/>
      <c r="E108" s="1173"/>
      <c r="F108" s="1173"/>
      <c r="G108" s="350"/>
      <c r="H108" s="346"/>
      <c r="I108" s="350"/>
      <c r="J108" s="348"/>
      <c r="L108" s="304"/>
      <c r="M108" s="280"/>
      <c r="N108" s="280"/>
      <c r="O108" s="280"/>
      <c r="P108" s="280"/>
      <c r="Q108" s="280"/>
      <c r="AM108" s="304"/>
      <c r="AN108" s="304"/>
      <c r="AO108" s="304"/>
      <c r="AP108" s="304"/>
      <c r="AQ108" s="366"/>
      <c r="AR108" s="366"/>
      <c r="AS108" s="366"/>
    </row>
    <row r="109" spans="2:45">
      <c r="B109" s="1174" t="s">
        <v>694</v>
      </c>
      <c r="C109" s="1175"/>
      <c r="D109" s="1175"/>
      <c r="E109" s="1175"/>
      <c r="F109" s="1175"/>
      <c r="G109" s="365"/>
      <c r="H109" s="364"/>
      <c r="I109" s="350"/>
      <c r="J109" s="348"/>
      <c r="L109" s="304"/>
      <c r="M109" s="280"/>
      <c r="N109" s="280"/>
      <c r="O109" s="280"/>
      <c r="P109" s="280"/>
      <c r="Q109" s="280"/>
    </row>
    <row r="110" spans="2:45">
      <c r="B110" s="1151" t="s">
        <v>695</v>
      </c>
      <c r="C110" s="1152"/>
      <c r="D110" s="1152"/>
      <c r="E110" s="1152"/>
      <c r="F110" s="1153"/>
      <c r="G110" s="1154">
        <f>SUM(H101:H107)-H109</f>
        <v>0</v>
      </c>
      <c r="H110" s="1155"/>
      <c r="I110" s="1156">
        <f>SUM(J101:J107)-J109</f>
        <v>0</v>
      </c>
      <c r="J110" s="1157"/>
      <c r="L110" s="304"/>
      <c r="M110" s="280"/>
      <c r="N110" s="280"/>
      <c r="O110" s="280"/>
      <c r="P110" s="280"/>
      <c r="Q110" s="280"/>
    </row>
    <row r="111" spans="2:45" ht="18.75">
      <c r="B111" s="1158" t="s">
        <v>696</v>
      </c>
      <c r="C111" s="1159"/>
      <c r="D111" s="1159"/>
      <c r="E111" s="1159"/>
      <c r="F111" s="1160"/>
      <c r="G111" s="1161" t="str">
        <f>IF(OR(N103=0, I110=0), "12 Month Average", "24 Month Average")</f>
        <v>12 Month Average</v>
      </c>
      <c r="H111" s="1162"/>
      <c r="I111" s="1162"/>
      <c r="J111" s="1163"/>
      <c r="L111" s="304"/>
      <c r="M111" s="280"/>
      <c r="N111" s="280"/>
      <c r="O111" s="280"/>
      <c r="P111" s="280"/>
      <c r="Q111" s="280"/>
    </row>
    <row r="112" spans="2:45" ht="34.5" thickBot="1">
      <c r="B112" s="1164" t="s">
        <v>697</v>
      </c>
      <c r="C112" s="1165"/>
      <c r="D112" s="1165"/>
      <c r="E112" s="1165"/>
      <c r="F112" s="1166"/>
      <c r="G112" s="1167">
        <f>IF(OR(N103=0, I110=0), N105, N106)</f>
        <v>0</v>
      </c>
      <c r="H112" s="1168"/>
      <c r="I112" s="1168"/>
      <c r="J112" s="1169"/>
      <c r="L112" s="304"/>
      <c r="M112" s="280"/>
      <c r="N112" s="280"/>
      <c r="O112" s="280"/>
      <c r="P112" s="280"/>
      <c r="Q112" s="280"/>
    </row>
    <row r="113" spans="2:19" ht="9" customHeight="1" thickBot="1">
      <c r="L113" s="304"/>
      <c r="M113" s="280"/>
      <c r="N113" s="280"/>
      <c r="O113" s="280"/>
      <c r="P113" s="280"/>
      <c r="Q113" s="280"/>
    </row>
    <row r="114" spans="2:19" ht="105.75" customHeight="1" thickBot="1">
      <c r="B114" s="1148" t="s">
        <v>699</v>
      </c>
      <c r="C114" s="1149"/>
      <c r="D114" s="1149"/>
      <c r="E114" s="1149"/>
      <c r="F114" s="1149"/>
      <c r="G114" s="1149"/>
      <c r="H114" s="1149"/>
      <c r="I114" s="1149"/>
      <c r="J114" s="1150"/>
      <c r="L114" s="304"/>
      <c r="M114" s="280"/>
      <c r="N114" s="280"/>
      <c r="O114" s="280"/>
      <c r="P114" s="280"/>
      <c r="Q114" s="280"/>
    </row>
    <row r="115" spans="2:19">
      <c r="M115" s="280"/>
      <c r="N115" s="280"/>
      <c r="O115" s="280"/>
      <c r="P115" s="280"/>
      <c r="Q115" s="280"/>
    </row>
    <row r="116" spans="2:19" ht="15.75" thickBot="1">
      <c r="L116" s="304"/>
      <c r="M116" s="280"/>
      <c r="N116" s="280"/>
      <c r="O116" s="280"/>
      <c r="P116" s="280"/>
      <c r="Q116" s="280"/>
      <c r="R116" s="304"/>
      <c r="S116" s="304"/>
    </row>
    <row r="117" spans="2:19" ht="54.75" customHeight="1">
      <c r="B117" s="1187" t="s">
        <v>669</v>
      </c>
      <c r="C117" s="1188"/>
      <c r="D117" s="1188"/>
      <c r="E117" s="1188"/>
      <c r="F117" s="1188"/>
      <c r="G117" s="1188"/>
      <c r="H117" s="1188"/>
      <c r="I117" s="1188"/>
      <c r="J117" s="331" t="str">
        <f>'[3]Reference Sheet'!$B$2</f>
        <v>Rev. 4.12.2016</v>
      </c>
      <c r="L117" s="304"/>
      <c r="M117" s="280"/>
      <c r="N117" s="280"/>
      <c r="O117" s="280"/>
      <c r="P117" s="280"/>
      <c r="Q117" s="280"/>
      <c r="R117" s="304"/>
      <c r="S117" s="304"/>
    </row>
    <row r="118" spans="2:19" ht="3.75" customHeight="1">
      <c r="B118" s="332"/>
      <c r="C118" s="333"/>
      <c r="D118" s="333"/>
      <c r="E118" s="333"/>
      <c r="F118" s="333"/>
      <c r="G118" s="333"/>
      <c r="H118" s="333"/>
      <c r="I118" s="333"/>
      <c r="J118" s="334"/>
      <c r="L118" s="304"/>
      <c r="M118" s="280"/>
      <c r="N118" s="280"/>
      <c r="O118" s="280"/>
      <c r="P118" s="280"/>
      <c r="Q118" s="280"/>
      <c r="R118" s="304"/>
      <c r="S118" s="304"/>
    </row>
    <row r="119" spans="2:19" ht="18" customHeight="1" thickBot="1">
      <c r="B119" s="332"/>
      <c r="C119" s="336" t="s">
        <v>533</v>
      </c>
      <c r="D119" s="1189"/>
      <c r="E119" s="1190"/>
      <c r="F119" s="1190"/>
      <c r="G119" s="1190"/>
      <c r="H119" s="336" t="s">
        <v>67</v>
      </c>
      <c r="I119" s="1191"/>
      <c r="J119" s="1192"/>
      <c r="L119" s="304"/>
      <c r="M119" s="280"/>
      <c r="N119" s="280"/>
      <c r="O119" s="280"/>
      <c r="P119" s="280"/>
      <c r="Q119" s="280"/>
      <c r="R119" s="304"/>
      <c r="S119" s="304"/>
    </row>
    <row r="120" spans="2:19" ht="18" customHeight="1" thickBot="1">
      <c r="B120" s="337"/>
      <c r="C120" s="338" t="s">
        <v>535</v>
      </c>
      <c r="D120" s="1193"/>
      <c r="E120" s="1194"/>
      <c r="F120" s="1194"/>
      <c r="G120" s="1194"/>
      <c r="H120" s="339"/>
      <c r="I120" s="339"/>
      <c r="J120" s="340"/>
      <c r="L120" s="304"/>
      <c r="M120" s="280"/>
      <c r="N120" s="280"/>
      <c r="O120" s="280"/>
      <c r="P120" s="280"/>
      <c r="Q120" s="280"/>
      <c r="R120" s="304"/>
      <c r="S120" s="304"/>
    </row>
    <row r="121" spans="2:19" ht="18" customHeight="1" thickBot="1">
      <c r="B121" s="1176" t="s">
        <v>671</v>
      </c>
      <c r="C121" s="1177"/>
      <c r="D121" s="1195"/>
      <c r="E121" s="1196"/>
      <c r="F121" s="1196"/>
      <c r="G121" s="1196"/>
      <c r="H121" s="341" t="s">
        <v>673</v>
      </c>
      <c r="I121" s="1195"/>
      <c r="J121" s="1197"/>
      <c r="L121" s="304"/>
      <c r="M121" s="280"/>
      <c r="N121" s="280"/>
      <c r="O121" s="280"/>
      <c r="P121" s="280"/>
      <c r="Q121" s="280"/>
      <c r="R121" s="304"/>
      <c r="S121" s="304"/>
    </row>
    <row r="122" spans="2:19" ht="18" customHeight="1" thickBot="1">
      <c r="B122" s="1176" t="s">
        <v>674</v>
      </c>
      <c r="C122" s="1177"/>
      <c r="D122" s="1178"/>
      <c r="E122" s="1179"/>
      <c r="F122" s="1179"/>
      <c r="G122" s="1179"/>
      <c r="H122" s="1179"/>
      <c r="I122" s="1179"/>
      <c r="J122" s="1180"/>
      <c r="L122" s="304"/>
      <c r="M122" s="280"/>
      <c r="N122" s="280"/>
      <c r="O122" s="280"/>
      <c r="P122" s="280"/>
      <c r="Q122" s="280"/>
      <c r="R122" s="304"/>
      <c r="S122" s="304"/>
    </row>
    <row r="123" spans="2:19">
      <c r="B123" s="1181" t="s">
        <v>675</v>
      </c>
      <c r="C123" s="1182"/>
      <c r="D123" s="1182"/>
      <c r="E123" s="1182"/>
      <c r="F123" s="1182"/>
      <c r="G123" s="342"/>
      <c r="H123" s="343" t="s">
        <v>676</v>
      </c>
      <c r="I123" s="342"/>
      <c r="J123" s="344" t="s">
        <v>677</v>
      </c>
      <c r="L123" s="304"/>
      <c r="M123" s="1183" t="s">
        <v>703</v>
      </c>
      <c r="N123" s="1183"/>
      <c r="O123" s="1183"/>
      <c r="P123" s="1183"/>
      <c r="Q123" s="1183"/>
      <c r="R123" s="304"/>
      <c r="S123" s="304"/>
    </row>
    <row r="124" spans="2:19">
      <c r="B124" s="1184" t="s">
        <v>679</v>
      </c>
      <c r="C124" s="1185"/>
      <c r="D124" s="1185"/>
      <c r="E124" s="1185"/>
      <c r="F124" s="1185"/>
      <c r="G124" s="345"/>
      <c r="H124" s="346"/>
      <c r="I124" s="347"/>
      <c r="J124" s="348"/>
      <c r="L124" s="304"/>
      <c r="M124" s="280" t="s">
        <v>680</v>
      </c>
      <c r="N124" s="280">
        <f>IF(AND(J124=0, J126=0, J127=0, J128=0, J129=0, J130=0, J131=0, J132=0, J133=0), 0, 1)</f>
        <v>0</v>
      </c>
      <c r="O124" s="280"/>
      <c r="P124" s="349"/>
      <c r="Q124" s="349" t="s">
        <v>596</v>
      </c>
      <c r="R124" s="304"/>
      <c r="S124" s="304"/>
    </row>
    <row r="125" spans="2:19">
      <c r="B125" s="1172" t="s">
        <v>681</v>
      </c>
      <c r="C125" s="1186"/>
      <c r="D125" s="1186"/>
      <c r="E125" s="1186"/>
      <c r="F125" s="1186"/>
      <c r="G125" s="350"/>
      <c r="H125" s="351"/>
      <c r="I125" s="350"/>
      <c r="J125" s="352"/>
      <c r="L125" s="304"/>
      <c r="M125" s="280" t="s">
        <v>682</v>
      </c>
      <c r="N125" s="280">
        <f>IF(AND(G133&lt;=I133, I133&lt;&gt;0), 0, 1)</f>
        <v>1</v>
      </c>
      <c r="O125" s="280"/>
      <c r="P125" s="349"/>
      <c r="Q125" s="349" t="s">
        <v>683</v>
      </c>
      <c r="R125" s="304"/>
      <c r="S125" s="304"/>
    </row>
    <row r="126" spans="2:19">
      <c r="B126" s="1170" t="s">
        <v>684</v>
      </c>
      <c r="C126" s="1171"/>
      <c r="D126" s="1171"/>
      <c r="E126" s="1171"/>
      <c r="F126" s="1171"/>
      <c r="G126" s="345"/>
      <c r="H126" s="346"/>
      <c r="I126" s="347"/>
      <c r="J126" s="348"/>
      <c r="L126" s="304"/>
      <c r="M126" s="280" t="s">
        <v>685</v>
      </c>
      <c r="N126" s="280">
        <f>IF(AND(N125=0, N124=1), 0, 1)</f>
        <v>1</v>
      </c>
      <c r="O126" s="280"/>
      <c r="P126" s="349"/>
      <c r="Q126" s="349" t="s">
        <v>599</v>
      </c>
      <c r="R126" s="304"/>
      <c r="S126" s="304"/>
    </row>
    <row r="127" spans="2:19">
      <c r="B127" s="1170" t="s">
        <v>686</v>
      </c>
      <c r="C127" s="1171"/>
      <c r="D127" s="1171"/>
      <c r="E127" s="1171"/>
      <c r="F127" s="1171"/>
      <c r="G127" s="345"/>
      <c r="H127" s="346"/>
      <c r="I127" s="347"/>
      <c r="J127" s="355"/>
      <c r="L127" s="304"/>
      <c r="M127" s="280"/>
      <c r="N127" s="280"/>
      <c r="O127" s="280"/>
      <c r="P127" s="349"/>
      <c r="Q127" s="349" t="s">
        <v>603</v>
      </c>
      <c r="R127" s="304"/>
      <c r="S127" s="304"/>
    </row>
    <row r="128" spans="2:19">
      <c r="B128" s="353" t="s">
        <v>687</v>
      </c>
      <c r="C128" s="354"/>
      <c r="D128" s="354"/>
      <c r="E128" s="356"/>
      <c r="F128" s="357" t="s">
        <v>688</v>
      </c>
      <c r="G128" s="358"/>
      <c r="H128" s="359">
        <f>(G128*0.24)</f>
        <v>0</v>
      </c>
      <c r="I128" s="360"/>
      <c r="J128" s="361">
        <f>(I128*0.22)</f>
        <v>0</v>
      </c>
      <c r="L128" s="304"/>
      <c r="M128" s="280" t="s">
        <v>689</v>
      </c>
      <c r="N128" s="362">
        <f>G133/12</f>
        <v>0</v>
      </c>
      <c r="O128" s="280"/>
      <c r="P128" s="349"/>
      <c r="Q128" s="349" t="s">
        <v>605</v>
      </c>
      <c r="R128" s="304"/>
      <c r="S128" s="304"/>
    </row>
    <row r="129" spans="2:19">
      <c r="B129" s="1170" t="s">
        <v>690</v>
      </c>
      <c r="C129" s="1171"/>
      <c r="D129" s="1171"/>
      <c r="E129" s="1171"/>
      <c r="F129" s="1171"/>
      <c r="G129" s="363"/>
      <c r="H129" s="364"/>
      <c r="I129" s="347"/>
      <c r="J129" s="355"/>
      <c r="L129" s="304"/>
      <c r="M129" s="280" t="s">
        <v>691</v>
      </c>
      <c r="N129" s="362">
        <f>(G133+I133)/24</f>
        <v>0</v>
      </c>
      <c r="O129" s="280"/>
      <c r="P129" s="349"/>
      <c r="Q129" s="349"/>
      <c r="R129" s="304"/>
      <c r="S129" s="304"/>
    </row>
    <row r="130" spans="2:19">
      <c r="B130" s="1170" t="s">
        <v>692</v>
      </c>
      <c r="C130" s="1171"/>
      <c r="D130" s="1171"/>
      <c r="E130" s="1171"/>
      <c r="F130" s="1171"/>
      <c r="G130" s="345"/>
      <c r="H130" s="364"/>
      <c r="I130" s="350"/>
      <c r="J130" s="348"/>
      <c r="L130" s="304"/>
      <c r="M130" s="280"/>
      <c r="N130" s="280"/>
      <c r="O130" s="280"/>
      <c r="P130" s="280"/>
      <c r="Q130" s="280"/>
      <c r="R130" s="304"/>
      <c r="S130" s="304"/>
    </row>
    <row r="131" spans="2:19">
      <c r="B131" s="1172" t="s">
        <v>693</v>
      </c>
      <c r="C131" s="1173"/>
      <c r="D131" s="1173"/>
      <c r="E131" s="1173"/>
      <c r="F131" s="1173"/>
      <c r="G131" s="350"/>
      <c r="H131" s="346"/>
      <c r="I131" s="350"/>
      <c r="J131" s="348"/>
      <c r="L131" s="304"/>
      <c r="M131" s="280"/>
      <c r="N131" s="280"/>
      <c r="O131" s="280"/>
      <c r="P131" s="280"/>
      <c r="Q131" s="280"/>
      <c r="R131" s="304"/>
      <c r="S131" s="304"/>
    </row>
    <row r="132" spans="2:19">
      <c r="B132" s="1174" t="s">
        <v>694</v>
      </c>
      <c r="C132" s="1175"/>
      <c r="D132" s="1175"/>
      <c r="E132" s="1175"/>
      <c r="F132" s="1175"/>
      <c r="G132" s="365"/>
      <c r="H132" s="364"/>
      <c r="I132" s="350"/>
      <c r="J132" s="348"/>
      <c r="L132" s="304"/>
      <c r="M132" s="280"/>
      <c r="N132" s="280"/>
      <c r="O132" s="280"/>
      <c r="P132" s="280"/>
      <c r="Q132" s="280"/>
      <c r="R132" s="304"/>
      <c r="S132" s="304"/>
    </row>
    <row r="133" spans="2:19">
      <c r="B133" s="1151" t="s">
        <v>695</v>
      </c>
      <c r="C133" s="1152"/>
      <c r="D133" s="1152"/>
      <c r="E133" s="1152"/>
      <c r="F133" s="1153"/>
      <c r="G133" s="1154">
        <f>SUM(H124:H130)-H132</f>
        <v>0</v>
      </c>
      <c r="H133" s="1155"/>
      <c r="I133" s="1156">
        <f>SUM(J124:J130)-J132</f>
        <v>0</v>
      </c>
      <c r="J133" s="1157"/>
      <c r="L133" s="304"/>
      <c r="M133" s="280"/>
      <c r="N133" s="280"/>
      <c r="O133" s="280"/>
      <c r="P133" s="280"/>
      <c r="Q133" s="280"/>
      <c r="R133" s="304"/>
      <c r="S133" s="304"/>
    </row>
    <row r="134" spans="2:19" ht="18.75">
      <c r="B134" s="1158" t="s">
        <v>696</v>
      </c>
      <c r="C134" s="1159"/>
      <c r="D134" s="1159"/>
      <c r="E134" s="1159"/>
      <c r="F134" s="1160"/>
      <c r="G134" s="1161" t="str">
        <f>IF(OR(N126=0, I133=0), "12 Month Average", "24 Month Average")</f>
        <v>12 Month Average</v>
      </c>
      <c r="H134" s="1162"/>
      <c r="I134" s="1162"/>
      <c r="J134" s="1163"/>
      <c r="L134" s="304"/>
      <c r="M134" s="280"/>
      <c r="N134" s="280"/>
      <c r="O134" s="280"/>
      <c r="P134" s="280"/>
      <c r="Q134" s="280"/>
      <c r="R134" s="304"/>
      <c r="S134" s="304"/>
    </row>
    <row r="135" spans="2:19" ht="34.5" thickBot="1">
      <c r="B135" s="1164" t="s">
        <v>697</v>
      </c>
      <c r="C135" s="1165"/>
      <c r="D135" s="1165"/>
      <c r="E135" s="1165"/>
      <c r="F135" s="1166"/>
      <c r="G135" s="1167">
        <f>IF(OR(N126=0, I133=0), N128, N129)</f>
        <v>0</v>
      </c>
      <c r="H135" s="1168"/>
      <c r="I135" s="1168"/>
      <c r="J135" s="1169"/>
      <c r="L135" s="304"/>
      <c r="M135" s="280"/>
      <c r="N135" s="280"/>
      <c r="O135" s="280"/>
      <c r="P135" s="280"/>
      <c r="Q135" s="280"/>
      <c r="R135" s="304"/>
      <c r="S135" s="304"/>
    </row>
    <row r="136" spans="2:19" ht="9" customHeight="1" thickBot="1">
      <c r="L136" s="304"/>
      <c r="M136" s="280"/>
      <c r="N136" s="280"/>
      <c r="O136" s="280"/>
      <c r="P136" s="280"/>
      <c r="Q136" s="280"/>
      <c r="R136" s="304"/>
      <c r="S136" s="304"/>
    </row>
    <row r="137" spans="2:19" ht="105.75" customHeight="1" thickBot="1">
      <c r="B137" s="1148" t="s">
        <v>699</v>
      </c>
      <c r="C137" s="1149"/>
      <c r="D137" s="1149"/>
      <c r="E137" s="1149"/>
      <c r="F137" s="1149"/>
      <c r="G137" s="1149"/>
      <c r="H137" s="1149"/>
      <c r="I137" s="1149"/>
      <c r="J137" s="1150"/>
      <c r="L137" s="304"/>
      <c r="M137" s="280"/>
      <c r="N137" s="280"/>
      <c r="O137" s="280"/>
      <c r="P137" s="280"/>
      <c r="Q137" s="280"/>
      <c r="R137" s="304"/>
      <c r="S137" s="304"/>
    </row>
    <row r="138" spans="2:19">
      <c r="L138" s="304"/>
      <c r="M138" s="280"/>
      <c r="N138" s="280"/>
      <c r="O138" s="280"/>
      <c r="P138" s="280"/>
      <c r="Q138" s="280"/>
      <c r="R138" s="304"/>
      <c r="S138" s="304"/>
    </row>
    <row r="139" spans="2:19" ht="15.75" thickBot="1">
      <c r="L139" s="304"/>
      <c r="M139" s="280"/>
      <c r="N139" s="280"/>
      <c r="O139" s="280"/>
      <c r="P139" s="280"/>
      <c r="Q139" s="280"/>
      <c r="R139" s="304"/>
      <c r="S139" s="304"/>
    </row>
    <row r="140" spans="2:19" ht="54.75" customHeight="1">
      <c r="B140" s="1187" t="s">
        <v>669</v>
      </c>
      <c r="C140" s="1188"/>
      <c r="D140" s="1188"/>
      <c r="E140" s="1188"/>
      <c r="F140" s="1188"/>
      <c r="G140" s="1188"/>
      <c r="H140" s="1188"/>
      <c r="I140" s="1188"/>
      <c r="J140" s="331" t="str">
        <f>'[3]Reference Sheet'!$B$2</f>
        <v>Rev. 4.12.2016</v>
      </c>
      <c r="L140" s="304"/>
      <c r="M140" s="280"/>
      <c r="N140" s="280"/>
      <c r="O140" s="280"/>
      <c r="P140" s="280"/>
      <c r="Q140" s="280"/>
      <c r="R140" s="304"/>
      <c r="S140" s="304"/>
    </row>
    <row r="141" spans="2:19" ht="3.75" customHeight="1">
      <c r="B141" s="332"/>
      <c r="C141" s="333"/>
      <c r="D141" s="333"/>
      <c r="E141" s="333"/>
      <c r="F141" s="333"/>
      <c r="G141" s="333"/>
      <c r="H141" s="333"/>
      <c r="I141" s="333"/>
      <c r="J141" s="334"/>
      <c r="L141" s="304"/>
      <c r="M141" s="280"/>
      <c r="N141" s="280"/>
      <c r="O141" s="280"/>
      <c r="P141" s="280"/>
      <c r="Q141" s="280"/>
      <c r="R141" s="304"/>
      <c r="S141" s="304"/>
    </row>
    <row r="142" spans="2:19" ht="18" customHeight="1" thickBot="1">
      <c r="B142" s="332"/>
      <c r="C142" s="336" t="s">
        <v>533</v>
      </c>
      <c r="D142" s="1189"/>
      <c r="E142" s="1190"/>
      <c r="F142" s="1190"/>
      <c r="G142" s="1190"/>
      <c r="H142" s="336" t="s">
        <v>67</v>
      </c>
      <c r="I142" s="1191"/>
      <c r="J142" s="1192"/>
      <c r="L142" s="304"/>
      <c r="M142" s="280"/>
      <c r="N142" s="280"/>
      <c r="O142" s="280"/>
      <c r="P142" s="280"/>
      <c r="Q142" s="280"/>
      <c r="R142" s="304"/>
      <c r="S142" s="304"/>
    </row>
    <row r="143" spans="2:19" ht="18" customHeight="1" thickBot="1">
      <c r="B143" s="337"/>
      <c r="C143" s="338" t="s">
        <v>535</v>
      </c>
      <c r="D143" s="1193"/>
      <c r="E143" s="1194"/>
      <c r="F143" s="1194"/>
      <c r="G143" s="1194"/>
      <c r="H143" s="339"/>
      <c r="I143" s="339"/>
      <c r="J143" s="340"/>
      <c r="L143" s="304"/>
      <c r="M143" s="280"/>
      <c r="N143" s="280"/>
      <c r="O143" s="280"/>
      <c r="P143" s="280"/>
      <c r="Q143" s="280"/>
      <c r="R143" s="304"/>
      <c r="S143" s="304"/>
    </row>
    <row r="144" spans="2:19" ht="18" customHeight="1" thickBot="1">
      <c r="B144" s="1176" t="s">
        <v>671</v>
      </c>
      <c r="C144" s="1177"/>
      <c r="D144" s="1195"/>
      <c r="E144" s="1196"/>
      <c r="F144" s="1196"/>
      <c r="G144" s="1196"/>
      <c r="H144" s="341" t="s">
        <v>673</v>
      </c>
      <c r="I144" s="1195"/>
      <c r="J144" s="1197"/>
      <c r="L144" s="304"/>
      <c r="M144" s="280"/>
      <c r="N144" s="280"/>
      <c r="O144" s="280"/>
      <c r="P144" s="280"/>
      <c r="Q144" s="280"/>
      <c r="R144" s="304"/>
      <c r="S144" s="304"/>
    </row>
    <row r="145" spans="2:19" ht="18" customHeight="1" thickBot="1">
      <c r="B145" s="1176" t="s">
        <v>674</v>
      </c>
      <c r="C145" s="1177"/>
      <c r="D145" s="1178"/>
      <c r="E145" s="1179"/>
      <c r="F145" s="1179"/>
      <c r="G145" s="1179"/>
      <c r="H145" s="1179"/>
      <c r="I145" s="1179"/>
      <c r="J145" s="1180"/>
      <c r="L145" s="304"/>
      <c r="M145" s="280"/>
      <c r="N145" s="280"/>
      <c r="O145" s="280"/>
      <c r="P145" s="280"/>
      <c r="Q145" s="280"/>
      <c r="R145" s="304"/>
      <c r="S145" s="304"/>
    </row>
    <row r="146" spans="2:19">
      <c r="B146" s="1181" t="s">
        <v>675</v>
      </c>
      <c r="C146" s="1182"/>
      <c r="D146" s="1182"/>
      <c r="E146" s="1182"/>
      <c r="F146" s="1182"/>
      <c r="G146" s="342"/>
      <c r="H146" s="343" t="s">
        <v>676</v>
      </c>
      <c r="I146" s="342"/>
      <c r="J146" s="344" t="s">
        <v>677</v>
      </c>
      <c r="L146" s="304"/>
      <c r="M146" s="1183" t="s">
        <v>704</v>
      </c>
      <c r="N146" s="1183"/>
      <c r="O146" s="1183"/>
      <c r="P146" s="1183"/>
      <c r="Q146" s="1183"/>
      <c r="R146" s="304"/>
      <c r="S146" s="304"/>
    </row>
    <row r="147" spans="2:19">
      <c r="B147" s="1184" t="s">
        <v>679</v>
      </c>
      <c r="C147" s="1185"/>
      <c r="D147" s="1185"/>
      <c r="E147" s="1185"/>
      <c r="F147" s="1185"/>
      <c r="G147" s="345"/>
      <c r="H147" s="346"/>
      <c r="I147" s="347"/>
      <c r="J147" s="348"/>
      <c r="L147" s="304"/>
      <c r="M147" s="280" t="s">
        <v>680</v>
      </c>
      <c r="N147" s="280">
        <f>IF(AND(J147=0, J149=0, J150=0, J151=0, J152=0, J153=0, J154=0, J155=0, J156=0), 0, 1)</f>
        <v>0</v>
      </c>
      <c r="O147" s="280"/>
      <c r="P147" s="349"/>
      <c r="Q147" s="349" t="s">
        <v>596</v>
      </c>
      <c r="R147" s="304"/>
      <c r="S147" s="304"/>
    </row>
    <row r="148" spans="2:19">
      <c r="B148" s="1172" t="s">
        <v>681</v>
      </c>
      <c r="C148" s="1186"/>
      <c r="D148" s="1186"/>
      <c r="E148" s="1186"/>
      <c r="F148" s="1186"/>
      <c r="G148" s="350"/>
      <c r="H148" s="351"/>
      <c r="I148" s="350"/>
      <c r="J148" s="352"/>
      <c r="L148" s="304"/>
      <c r="M148" s="280" t="s">
        <v>682</v>
      </c>
      <c r="N148" s="280">
        <f>IF(AND(G156&lt;=I156, I156&lt;&gt;0), 0, 1)</f>
        <v>1</v>
      </c>
      <c r="O148" s="280"/>
      <c r="P148" s="349"/>
      <c r="Q148" s="349" t="s">
        <v>683</v>
      </c>
      <c r="R148" s="304"/>
      <c r="S148" s="304"/>
    </row>
    <row r="149" spans="2:19">
      <c r="B149" s="1170" t="s">
        <v>684</v>
      </c>
      <c r="C149" s="1171"/>
      <c r="D149" s="1171"/>
      <c r="E149" s="1171"/>
      <c r="F149" s="1171"/>
      <c r="G149" s="345"/>
      <c r="H149" s="346"/>
      <c r="I149" s="347"/>
      <c r="J149" s="348"/>
      <c r="L149" s="304"/>
      <c r="M149" s="280" t="s">
        <v>685</v>
      </c>
      <c r="N149" s="280">
        <f>IF(AND(N148=0, N147=1), 0, 1)</f>
        <v>1</v>
      </c>
      <c r="O149" s="280"/>
      <c r="P149" s="349"/>
      <c r="Q149" s="349" t="s">
        <v>599</v>
      </c>
    </row>
    <row r="150" spans="2:19">
      <c r="B150" s="1170" t="s">
        <v>686</v>
      </c>
      <c r="C150" s="1171"/>
      <c r="D150" s="1171"/>
      <c r="E150" s="1171"/>
      <c r="F150" s="1171"/>
      <c r="G150" s="345"/>
      <c r="H150" s="346"/>
      <c r="I150" s="347"/>
      <c r="J150" s="355"/>
      <c r="L150" s="304"/>
      <c r="M150" s="280"/>
      <c r="N150" s="280"/>
      <c r="O150" s="280"/>
      <c r="P150" s="349"/>
      <c r="Q150" s="349" t="s">
        <v>603</v>
      </c>
    </row>
    <row r="151" spans="2:19">
      <c r="B151" s="353" t="s">
        <v>687</v>
      </c>
      <c r="C151" s="354"/>
      <c r="D151" s="354"/>
      <c r="E151" s="356"/>
      <c r="F151" s="357" t="s">
        <v>688</v>
      </c>
      <c r="G151" s="358"/>
      <c r="H151" s="359">
        <f>(G151*0.24)</f>
        <v>0</v>
      </c>
      <c r="I151" s="360"/>
      <c r="J151" s="361">
        <f>(I151*0.22)</f>
        <v>0</v>
      </c>
      <c r="L151" s="304"/>
      <c r="M151" s="280" t="s">
        <v>689</v>
      </c>
      <c r="N151" s="362">
        <f>G156/12</f>
        <v>0</v>
      </c>
      <c r="O151" s="280"/>
      <c r="P151" s="349"/>
      <c r="Q151" s="349" t="s">
        <v>605</v>
      </c>
    </row>
    <row r="152" spans="2:19">
      <c r="B152" s="1170" t="s">
        <v>690</v>
      </c>
      <c r="C152" s="1171"/>
      <c r="D152" s="1171"/>
      <c r="E152" s="1171"/>
      <c r="F152" s="1171"/>
      <c r="G152" s="363"/>
      <c r="H152" s="364"/>
      <c r="I152" s="347"/>
      <c r="J152" s="355"/>
      <c r="L152" s="304"/>
      <c r="M152" s="280" t="s">
        <v>691</v>
      </c>
      <c r="N152" s="362">
        <f>(G156+I156)/24</f>
        <v>0</v>
      </c>
      <c r="O152" s="280"/>
      <c r="P152" s="349"/>
      <c r="Q152" s="349"/>
    </row>
    <row r="153" spans="2:19">
      <c r="B153" s="1170" t="s">
        <v>692</v>
      </c>
      <c r="C153" s="1171"/>
      <c r="D153" s="1171"/>
      <c r="E153" s="1171"/>
      <c r="F153" s="1171"/>
      <c r="G153" s="345"/>
      <c r="H153" s="364"/>
      <c r="I153" s="350"/>
      <c r="J153" s="348"/>
      <c r="L153" s="304"/>
      <c r="M153" s="280"/>
      <c r="N153" s="280"/>
      <c r="O153" s="280"/>
      <c r="P153" s="280"/>
      <c r="Q153" s="280"/>
    </row>
    <row r="154" spans="2:19">
      <c r="B154" s="1172" t="s">
        <v>693</v>
      </c>
      <c r="C154" s="1173"/>
      <c r="D154" s="1173"/>
      <c r="E154" s="1173"/>
      <c r="F154" s="1173"/>
      <c r="G154" s="350"/>
      <c r="H154" s="346"/>
      <c r="I154" s="350"/>
      <c r="J154" s="348"/>
      <c r="L154" s="304"/>
      <c r="M154" s="280"/>
      <c r="N154" s="280"/>
      <c r="O154" s="280"/>
      <c r="P154" s="280"/>
      <c r="Q154" s="280"/>
    </row>
    <row r="155" spans="2:19">
      <c r="B155" s="1174" t="s">
        <v>694</v>
      </c>
      <c r="C155" s="1175"/>
      <c r="D155" s="1175"/>
      <c r="E155" s="1175"/>
      <c r="F155" s="1175"/>
      <c r="G155" s="365"/>
      <c r="H155" s="364"/>
      <c r="I155" s="350"/>
      <c r="J155" s="348"/>
      <c r="L155" s="304"/>
      <c r="M155" s="280"/>
      <c r="N155" s="280"/>
      <c r="O155" s="280"/>
      <c r="P155" s="280"/>
      <c r="Q155" s="280"/>
    </row>
    <row r="156" spans="2:19">
      <c r="B156" s="1151" t="s">
        <v>695</v>
      </c>
      <c r="C156" s="1152"/>
      <c r="D156" s="1152"/>
      <c r="E156" s="1152"/>
      <c r="F156" s="1153"/>
      <c r="G156" s="1154">
        <f>SUM(H147:H153)-H155</f>
        <v>0</v>
      </c>
      <c r="H156" s="1155"/>
      <c r="I156" s="1156">
        <f>SUM(J147:J153)-J155</f>
        <v>0</v>
      </c>
      <c r="J156" s="1157"/>
      <c r="L156" s="304"/>
      <c r="M156" s="280"/>
      <c r="N156" s="280"/>
      <c r="O156" s="280"/>
      <c r="P156" s="280"/>
      <c r="Q156" s="280"/>
    </row>
    <row r="157" spans="2:19" ht="18.75">
      <c r="B157" s="1158" t="s">
        <v>696</v>
      </c>
      <c r="C157" s="1159"/>
      <c r="D157" s="1159"/>
      <c r="E157" s="1159"/>
      <c r="F157" s="1160"/>
      <c r="G157" s="1161" t="str">
        <f>IF(OR(N149=0, I156=0), "12 Month Average", "24 Month Average")</f>
        <v>12 Month Average</v>
      </c>
      <c r="H157" s="1162"/>
      <c r="I157" s="1162"/>
      <c r="J157" s="1163"/>
      <c r="L157" s="304"/>
      <c r="M157" s="280"/>
      <c r="N157" s="280"/>
      <c r="O157" s="280"/>
      <c r="P157" s="280"/>
      <c r="Q157" s="280"/>
    </row>
    <row r="158" spans="2:19" ht="34.5" thickBot="1">
      <c r="B158" s="1164" t="s">
        <v>697</v>
      </c>
      <c r="C158" s="1165"/>
      <c r="D158" s="1165"/>
      <c r="E158" s="1165"/>
      <c r="F158" s="1166"/>
      <c r="G158" s="1167">
        <f>IF(OR(N149=0, I156=0), N151, N152)</f>
        <v>0</v>
      </c>
      <c r="H158" s="1168"/>
      <c r="I158" s="1168"/>
      <c r="J158" s="1169"/>
      <c r="L158" s="304"/>
      <c r="M158" s="280"/>
      <c r="N158" s="280"/>
      <c r="O158" s="280"/>
      <c r="P158" s="280"/>
      <c r="Q158" s="280"/>
    </row>
    <row r="159" spans="2:19" ht="9" customHeight="1" thickBot="1">
      <c r="L159" s="304"/>
      <c r="M159" s="280"/>
      <c r="N159" s="280"/>
      <c r="O159" s="280"/>
      <c r="P159" s="280"/>
      <c r="Q159" s="280"/>
    </row>
    <row r="160" spans="2:19" ht="105.75" customHeight="1" thickBot="1">
      <c r="B160" s="1148" t="s">
        <v>699</v>
      </c>
      <c r="C160" s="1149"/>
      <c r="D160" s="1149"/>
      <c r="E160" s="1149"/>
      <c r="F160" s="1149"/>
      <c r="G160" s="1149"/>
      <c r="H160" s="1149"/>
      <c r="I160" s="1149"/>
      <c r="J160" s="1150"/>
      <c r="L160" s="304"/>
      <c r="M160" s="280"/>
      <c r="N160" s="280"/>
      <c r="O160" s="280"/>
      <c r="P160" s="280"/>
      <c r="Q160" s="280"/>
    </row>
    <row r="161" spans="2:17">
      <c r="M161" s="280"/>
      <c r="N161" s="280"/>
      <c r="O161" s="280"/>
      <c r="P161" s="280"/>
      <c r="Q161" s="280"/>
    </row>
    <row r="162" spans="2:17" ht="15.75" thickBot="1">
      <c r="L162" s="304"/>
      <c r="M162" s="280"/>
      <c r="N162" s="280"/>
      <c r="O162" s="280"/>
      <c r="P162" s="280"/>
      <c r="Q162" s="280"/>
    </row>
    <row r="163" spans="2:17" ht="54.75" customHeight="1">
      <c r="B163" s="1187" t="s">
        <v>669</v>
      </c>
      <c r="C163" s="1188"/>
      <c r="D163" s="1188"/>
      <c r="E163" s="1188"/>
      <c r="F163" s="1188"/>
      <c r="G163" s="1188"/>
      <c r="H163" s="1188"/>
      <c r="I163" s="1188"/>
      <c r="J163" s="331" t="str">
        <f>'[3]Reference Sheet'!$B$2</f>
        <v>Rev. 4.12.2016</v>
      </c>
      <c r="L163" s="304"/>
      <c r="M163" s="280"/>
      <c r="N163" s="280"/>
      <c r="O163" s="280"/>
      <c r="P163" s="280"/>
      <c r="Q163" s="280"/>
    </row>
    <row r="164" spans="2:17" ht="3.75" customHeight="1">
      <c r="B164" s="332"/>
      <c r="C164" s="333"/>
      <c r="D164" s="333"/>
      <c r="E164" s="333"/>
      <c r="F164" s="333"/>
      <c r="G164" s="333"/>
      <c r="H164" s="333"/>
      <c r="I164" s="333"/>
      <c r="J164" s="334"/>
      <c r="L164" s="304"/>
      <c r="M164" s="280"/>
      <c r="N164" s="280"/>
      <c r="O164" s="280"/>
      <c r="P164" s="280"/>
      <c r="Q164" s="280"/>
    </row>
    <row r="165" spans="2:17" ht="18" customHeight="1" thickBot="1">
      <c r="B165" s="332"/>
      <c r="C165" s="336" t="s">
        <v>533</v>
      </c>
      <c r="D165" s="1189"/>
      <c r="E165" s="1190"/>
      <c r="F165" s="1190"/>
      <c r="G165" s="1190"/>
      <c r="H165" s="336" t="s">
        <v>67</v>
      </c>
      <c r="I165" s="1191"/>
      <c r="J165" s="1192"/>
      <c r="L165" s="304"/>
      <c r="M165" s="280"/>
      <c r="N165" s="280"/>
      <c r="O165" s="280"/>
      <c r="P165" s="280"/>
      <c r="Q165" s="280"/>
    </row>
    <row r="166" spans="2:17" ht="18" customHeight="1" thickBot="1">
      <c r="B166" s="337"/>
      <c r="C166" s="338" t="s">
        <v>535</v>
      </c>
      <c r="D166" s="1193"/>
      <c r="E166" s="1194"/>
      <c r="F166" s="1194"/>
      <c r="G166" s="1194"/>
      <c r="H166" s="339"/>
      <c r="I166" s="339"/>
      <c r="J166" s="340"/>
      <c r="L166" s="304"/>
      <c r="M166" s="280"/>
      <c r="N166" s="280"/>
      <c r="O166" s="280"/>
      <c r="P166" s="280"/>
      <c r="Q166" s="280"/>
    </row>
    <row r="167" spans="2:17" ht="18" customHeight="1" thickBot="1">
      <c r="B167" s="1176" t="s">
        <v>671</v>
      </c>
      <c r="C167" s="1177"/>
      <c r="D167" s="1195"/>
      <c r="E167" s="1196"/>
      <c r="F167" s="1196"/>
      <c r="G167" s="1196"/>
      <c r="H167" s="341" t="s">
        <v>673</v>
      </c>
      <c r="I167" s="1195"/>
      <c r="J167" s="1197"/>
      <c r="L167" s="304"/>
      <c r="M167" s="280"/>
      <c r="N167" s="280"/>
      <c r="O167" s="280"/>
      <c r="P167" s="280"/>
      <c r="Q167" s="280"/>
    </row>
    <row r="168" spans="2:17" ht="18" customHeight="1" thickBot="1">
      <c r="B168" s="1176" t="s">
        <v>674</v>
      </c>
      <c r="C168" s="1177"/>
      <c r="D168" s="1178"/>
      <c r="E168" s="1179"/>
      <c r="F168" s="1179"/>
      <c r="G168" s="1179"/>
      <c r="H168" s="1179"/>
      <c r="I168" s="1179"/>
      <c r="J168" s="1180"/>
      <c r="L168" s="304"/>
      <c r="M168" s="280"/>
      <c r="N168" s="280"/>
      <c r="O168" s="280"/>
      <c r="P168" s="280"/>
      <c r="Q168" s="280"/>
    </row>
    <row r="169" spans="2:17">
      <c r="B169" s="1181" t="s">
        <v>675</v>
      </c>
      <c r="C169" s="1182"/>
      <c r="D169" s="1182"/>
      <c r="E169" s="1182"/>
      <c r="F169" s="1182"/>
      <c r="G169" s="342"/>
      <c r="H169" s="343" t="s">
        <v>676</v>
      </c>
      <c r="I169" s="342"/>
      <c r="J169" s="344" t="s">
        <v>677</v>
      </c>
      <c r="L169" s="304"/>
      <c r="M169" s="1183" t="s">
        <v>705</v>
      </c>
      <c r="N169" s="1183"/>
      <c r="O169" s="1183"/>
      <c r="P169" s="1183"/>
      <c r="Q169" s="1183"/>
    </row>
    <row r="170" spans="2:17">
      <c r="B170" s="1184" t="s">
        <v>679</v>
      </c>
      <c r="C170" s="1185"/>
      <c r="D170" s="1185"/>
      <c r="E170" s="1185"/>
      <c r="F170" s="1185"/>
      <c r="G170" s="345"/>
      <c r="H170" s="346"/>
      <c r="I170" s="347"/>
      <c r="J170" s="348"/>
      <c r="L170" s="304"/>
      <c r="M170" s="280" t="s">
        <v>680</v>
      </c>
      <c r="N170" s="280">
        <f>IF(AND(J170=0, J172=0, J173=0, J174=0, J175=0, J176=0, J177=0, J178=0, J179=0), 0, 1)</f>
        <v>0</v>
      </c>
      <c r="O170" s="280"/>
      <c r="P170" s="349"/>
      <c r="Q170" s="349" t="s">
        <v>596</v>
      </c>
    </row>
    <row r="171" spans="2:17">
      <c r="B171" s="1172" t="s">
        <v>681</v>
      </c>
      <c r="C171" s="1186"/>
      <c r="D171" s="1186"/>
      <c r="E171" s="1186"/>
      <c r="F171" s="1186"/>
      <c r="G171" s="350"/>
      <c r="H171" s="351"/>
      <c r="I171" s="350"/>
      <c r="J171" s="352"/>
      <c r="L171" s="304"/>
      <c r="M171" s="280" t="s">
        <v>682</v>
      </c>
      <c r="N171" s="280">
        <f>IF(AND(G179&lt;=I179, I179&lt;&gt;0), 0, 1)</f>
        <v>1</v>
      </c>
      <c r="O171" s="280"/>
      <c r="P171" s="349"/>
      <c r="Q171" s="349" t="s">
        <v>683</v>
      </c>
    </row>
    <row r="172" spans="2:17">
      <c r="B172" s="1170" t="s">
        <v>684</v>
      </c>
      <c r="C172" s="1171"/>
      <c r="D172" s="1171"/>
      <c r="E172" s="1171"/>
      <c r="F172" s="1171"/>
      <c r="G172" s="345"/>
      <c r="H172" s="346"/>
      <c r="I172" s="347"/>
      <c r="J172" s="348"/>
      <c r="L172" s="304"/>
      <c r="M172" s="280" t="s">
        <v>685</v>
      </c>
      <c r="N172" s="280">
        <f>IF(AND(N171=0, N170=1), 0, 1)</f>
        <v>1</v>
      </c>
      <c r="O172" s="280"/>
      <c r="P172" s="349"/>
      <c r="Q172" s="349" t="s">
        <v>599</v>
      </c>
    </row>
    <row r="173" spans="2:17">
      <c r="B173" s="1170" t="s">
        <v>686</v>
      </c>
      <c r="C173" s="1171"/>
      <c r="D173" s="1171"/>
      <c r="E173" s="1171"/>
      <c r="F173" s="1171"/>
      <c r="G173" s="345"/>
      <c r="H173" s="346"/>
      <c r="I173" s="347"/>
      <c r="J173" s="355"/>
      <c r="L173" s="304"/>
      <c r="M173" s="280"/>
      <c r="N173" s="280"/>
      <c r="O173" s="280"/>
      <c r="P173" s="349"/>
      <c r="Q173" s="349" t="s">
        <v>603</v>
      </c>
    </row>
    <row r="174" spans="2:17">
      <c r="B174" s="353" t="s">
        <v>687</v>
      </c>
      <c r="C174" s="354"/>
      <c r="D174" s="354"/>
      <c r="E174" s="356"/>
      <c r="F174" s="357" t="s">
        <v>688</v>
      </c>
      <c r="G174" s="358"/>
      <c r="H174" s="359">
        <f>(G174*0.24)</f>
        <v>0</v>
      </c>
      <c r="I174" s="360"/>
      <c r="J174" s="361">
        <f>(I174*0.22)</f>
        <v>0</v>
      </c>
      <c r="L174" s="304"/>
      <c r="M174" s="280" t="s">
        <v>689</v>
      </c>
      <c r="N174" s="362">
        <f>G179/12</f>
        <v>0</v>
      </c>
      <c r="O174" s="280"/>
      <c r="P174" s="349"/>
      <c r="Q174" s="349" t="s">
        <v>605</v>
      </c>
    </row>
    <row r="175" spans="2:17">
      <c r="B175" s="1170" t="s">
        <v>690</v>
      </c>
      <c r="C175" s="1171"/>
      <c r="D175" s="1171"/>
      <c r="E175" s="1171"/>
      <c r="F175" s="1171"/>
      <c r="G175" s="363"/>
      <c r="H175" s="364"/>
      <c r="I175" s="347"/>
      <c r="J175" s="355"/>
      <c r="L175" s="304"/>
      <c r="M175" s="280" t="s">
        <v>691</v>
      </c>
      <c r="N175" s="362">
        <f>(G179+I179)/24</f>
        <v>0</v>
      </c>
      <c r="O175" s="280"/>
      <c r="P175" s="349"/>
      <c r="Q175" s="349"/>
    </row>
    <row r="176" spans="2:17">
      <c r="B176" s="1170" t="s">
        <v>692</v>
      </c>
      <c r="C176" s="1171"/>
      <c r="D176" s="1171"/>
      <c r="E176" s="1171"/>
      <c r="F176" s="1171"/>
      <c r="G176" s="345"/>
      <c r="H176" s="364"/>
      <c r="I176" s="350"/>
      <c r="J176" s="348"/>
      <c r="L176" s="304"/>
      <c r="M176" s="280"/>
      <c r="N176" s="280"/>
      <c r="O176" s="280"/>
      <c r="P176" s="280"/>
      <c r="Q176" s="280"/>
    </row>
    <row r="177" spans="2:17">
      <c r="B177" s="1172" t="s">
        <v>693</v>
      </c>
      <c r="C177" s="1173"/>
      <c r="D177" s="1173"/>
      <c r="E177" s="1173"/>
      <c r="F177" s="1173"/>
      <c r="G177" s="350"/>
      <c r="H177" s="346"/>
      <c r="I177" s="350"/>
      <c r="J177" s="348"/>
      <c r="L177" s="304"/>
      <c r="M177" s="280"/>
      <c r="N177" s="280"/>
      <c r="O177" s="280"/>
      <c r="P177" s="280"/>
      <c r="Q177" s="280"/>
    </row>
    <row r="178" spans="2:17">
      <c r="B178" s="1174" t="s">
        <v>694</v>
      </c>
      <c r="C178" s="1175"/>
      <c r="D178" s="1175"/>
      <c r="E178" s="1175"/>
      <c r="F178" s="1175"/>
      <c r="G178" s="365"/>
      <c r="H178" s="364"/>
      <c r="I178" s="350"/>
      <c r="J178" s="348"/>
      <c r="L178" s="304"/>
      <c r="M178" s="280"/>
      <c r="N178" s="280"/>
      <c r="O178" s="280"/>
      <c r="P178" s="280"/>
      <c r="Q178" s="280"/>
    </row>
    <row r="179" spans="2:17">
      <c r="B179" s="1151" t="s">
        <v>695</v>
      </c>
      <c r="C179" s="1152"/>
      <c r="D179" s="1152"/>
      <c r="E179" s="1152"/>
      <c r="F179" s="1153"/>
      <c r="G179" s="1154">
        <f>SUM(H170:H176)-H178</f>
        <v>0</v>
      </c>
      <c r="H179" s="1155"/>
      <c r="I179" s="1156">
        <f>SUM(J170:J176)-J178</f>
        <v>0</v>
      </c>
      <c r="J179" s="1157"/>
      <c r="L179" s="304"/>
      <c r="M179" s="280"/>
      <c r="N179" s="280"/>
      <c r="O179" s="280"/>
      <c r="P179" s="280"/>
      <c r="Q179" s="280"/>
    </row>
    <row r="180" spans="2:17" ht="18.75">
      <c r="B180" s="1158" t="s">
        <v>696</v>
      </c>
      <c r="C180" s="1159"/>
      <c r="D180" s="1159"/>
      <c r="E180" s="1159"/>
      <c r="F180" s="1160"/>
      <c r="G180" s="1161" t="str">
        <f>IF(OR(N172=0, I179=0), "12 Month Average", "24 Month Average")</f>
        <v>12 Month Average</v>
      </c>
      <c r="H180" s="1162"/>
      <c r="I180" s="1162"/>
      <c r="J180" s="1163"/>
      <c r="L180" s="304"/>
      <c r="M180" s="280"/>
      <c r="N180" s="280"/>
      <c r="O180" s="280"/>
      <c r="P180" s="280"/>
      <c r="Q180" s="280"/>
    </row>
    <row r="181" spans="2:17" ht="34.5" thickBot="1">
      <c r="B181" s="1164" t="s">
        <v>697</v>
      </c>
      <c r="C181" s="1165"/>
      <c r="D181" s="1165"/>
      <c r="E181" s="1165"/>
      <c r="F181" s="1166"/>
      <c r="G181" s="1167">
        <f>IF(OR(N172=0, I179=0), N174, N175)</f>
        <v>0</v>
      </c>
      <c r="H181" s="1168"/>
      <c r="I181" s="1168"/>
      <c r="J181" s="1169"/>
      <c r="L181" s="304"/>
      <c r="M181" s="280"/>
      <c r="N181" s="280"/>
      <c r="O181" s="280"/>
      <c r="P181" s="280"/>
      <c r="Q181" s="280"/>
    </row>
    <row r="182" spans="2:17" ht="9" customHeight="1" thickBot="1">
      <c r="L182" s="304"/>
      <c r="M182" s="280"/>
      <c r="N182" s="280"/>
      <c r="O182" s="280"/>
      <c r="P182" s="280"/>
      <c r="Q182" s="280"/>
    </row>
    <row r="183" spans="2:17" ht="105.75" customHeight="1" thickBot="1">
      <c r="B183" s="1148" t="s">
        <v>699</v>
      </c>
      <c r="C183" s="1149"/>
      <c r="D183" s="1149"/>
      <c r="E183" s="1149"/>
      <c r="F183" s="1149"/>
      <c r="G183" s="1149"/>
      <c r="H183" s="1149"/>
      <c r="I183" s="1149"/>
      <c r="J183" s="1150"/>
      <c r="L183" s="304"/>
      <c r="M183" s="280"/>
      <c r="N183" s="280"/>
      <c r="O183" s="280"/>
      <c r="P183" s="280"/>
      <c r="Q183" s="280"/>
    </row>
    <row r="184" spans="2:17">
      <c r="M184" s="280"/>
      <c r="N184" s="280"/>
      <c r="O184" s="280"/>
      <c r="P184" s="280"/>
      <c r="Q184" s="280"/>
    </row>
    <row r="185" spans="2:17" ht="15.75" thickBot="1">
      <c r="L185" s="304"/>
      <c r="M185" s="280"/>
      <c r="N185" s="280"/>
      <c r="O185" s="280"/>
      <c r="P185" s="280"/>
      <c r="Q185" s="280"/>
    </row>
    <row r="186" spans="2:17" ht="54.75" customHeight="1">
      <c r="B186" s="1187" t="s">
        <v>669</v>
      </c>
      <c r="C186" s="1188"/>
      <c r="D186" s="1188"/>
      <c r="E186" s="1188"/>
      <c r="F186" s="1188"/>
      <c r="G186" s="1188"/>
      <c r="H186" s="1188"/>
      <c r="I186" s="1188"/>
      <c r="J186" s="331" t="str">
        <f>'[3]Reference Sheet'!$B$2</f>
        <v>Rev. 4.12.2016</v>
      </c>
      <c r="L186" s="304"/>
      <c r="M186" s="280"/>
      <c r="N186" s="280"/>
      <c r="O186" s="280"/>
      <c r="P186" s="280"/>
      <c r="Q186" s="280"/>
    </row>
    <row r="187" spans="2:17" ht="3.75" customHeight="1">
      <c r="B187" s="332"/>
      <c r="C187" s="333"/>
      <c r="D187" s="333"/>
      <c r="E187" s="333"/>
      <c r="F187" s="333"/>
      <c r="G187" s="333"/>
      <c r="H187" s="333"/>
      <c r="I187" s="333"/>
      <c r="J187" s="334"/>
      <c r="L187" s="304"/>
      <c r="M187" s="280"/>
      <c r="N187" s="280"/>
      <c r="O187" s="280"/>
      <c r="P187" s="280"/>
      <c r="Q187" s="280"/>
    </row>
    <row r="188" spans="2:17" ht="18" customHeight="1" thickBot="1">
      <c r="B188" s="332"/>
      <c r="C188" s="336" t="s">
        <v>533</v>
      </c>
      <c r="D188" s="1189"/>
      <c r="E188" s="1190"/>
      <c r="F188" s="1190"/>
      <c r="G188" s="1190"/>
      <c r="H188" s="336" t="s">
        <v>67</v>
      </c>
      <c r="I188" s="1191"/>
      <c r="J188" s="1192"/>
      <c r="L188" s="304"/>
      <c r="M188" s="280"/>
      <c r="N188" s="280"/>
      <c r="O188" s="280"/>
      <c r="P188" s="280"/>
      <c r="Q188" s="280"/>
    </row>
    <row r="189" spans="2:17" ht="18" customHeight="1" thickBot="1">
      <c r="B189" s="337"/>
      <c r="C189" s="338" t="s">
        <v>535</v>
      </c>
      <c r="D189" s="1193"/>
      <c r="E189" s="1194"/>
      <c r="F189" s="1194"/>
      <c r="G189" s="1194"/>
      <c r="H189" s="339"/>
      <c r="I189" s="339"/>
      <c r="J189" s="340"/>
      <c r="L189" s="304"/>
      <c r="M189" s="280"/>
      <c r="N189" s="280"/>
      <c r="O189" s="280"/>
      <c r="P189" s="280"/>
      <c r="Q189" s="280"/>
    </row>
    <row r="190" spans="2:17" ht="18" customHeight="1" thickBot="1">
      <c r="B190" s="1176" t="s">
        <v>671</v>
      </c>
      <c r="C190" s="1177"/>
      <c r="D190" s="1195"/>
      <c r="E190" s="1196"/>
      <c r="F190" s="1196"/>
      <c r="G190" s="1196"/>
      <c r="H190" s="341" t="s">
        <v>673</v>
      </c>
      <c r="I190" s="1195"/>
      <c r="J190" s="1197"/>
      <c r="L190" s="304"/>
      <c r="M190" s="280"/>
      <c r="N190" s="280"/>
      <c r="O190" s="280"/>
      <c r="P190" s="280"/>
      <c r="Q190" s="280"/>
    </row>
    <row r="191" spans="2:17" ht="18" customHeight="1" thickBot="1">
      <c r="B191" s="1176" t="s">
        <v>674</v>
      </c>
      <c r="C191" s="1177"/>
      <c r="D191" s="1178"/>
      <c r="E191" s="1179"/>
      <c r="F191" s="1179"/>
      <c r="G191" s="1179"/>
      <c r="H191" s="1179"/>
      <c r="I191" s="1179"/>
      <c r="J191" s="1180"/>
      <c r="L191" s="304"/>
      <c r="M191" s="280"/>
      <c r="N191" s="280"/>
      <c r="O191" s="280"/>
      <c r="P191" s="280"/>
      <c r="Q191" s="280"/>
    </row>
    <row r="192" spans="2:17">
      <c r="B192" s="1181" t="s">
        <v>675</v>
      </c>
      <c r="C192" s="1182"/>
      <c r="D192" s="1182"/>
      <c r="E192" s="1182"/>
      <c r="F192" s="1182"/>
      <c r="G192" s="342"/>
      <c r="H192" s="343" t="s">
        <v>676</v>
      </c>
      <c r="I192" s="342"/>
      <c r="J192" s="344" t="s">
        <v>677</v>
      </c>
      <c r="L192" s="304"/>
      <c r="M192" s="1183" t="s">
        <v>706</v>
      </c>
      <c r="N192" s="1183"/>
      <c r="O192" s="1183"/>
      <c r="P192" s="1183"/>
      <c r="Q192" s="1183"/>
    </row>
    <row r="193" spans="2:17">
      <c r="B193" s="1184" t="s">
        <v>679</v>
      </c>
      <c r="C193" s="1185"/>
      <c r="D193" s="1185"/>
      <c r="E193" s="1185"/>
      <c r="F193" s="1185"/>
      <c r="G193" s="345"/>
      <c r="H193" s="346"/>
      <c r="I193" s="347"/>
      <c r="J193" s="348"/>
      <c r="L193" s="304"/>
      <c r="M193" s="280" t="s">
        <v>680</v>
      </c>
      <c r="N193" s="280">
        <f>IF(AND(J193=0, J195=0, J196=0, J197=0, J198=0, J199=0, J200=0, J201=0, J202=0), 0, 1)</f>
        <v>0</v>
      </c>
      <c r="O193" s="280"/>
      <c r="P193" s="349"/>
      <c r="Q193" s="349" t="s">
        <v>596</v>
      </c>
    </row>
    <row r="194" spans="2:17">
      <c r="B194" s="1172" t="s">
        <v>681</v>
      </c>
      <c r="C194" s="1186"/>
      <c r="D194" s="1186"/>
      <c r="E194" s="1186"/>
      <c r="F194" s="1186"/>
      <c r="G194" s="350"/>
      <c r="H194" s="351"/>
      <c r="I194" s="350"/>
      <c r="J194" s="352"/>
      <c r="L194" s="304"/>
      <c r="M194" s="280" t="s">
        <v>682</v>
      </c>
      <c r="N194" s="280">
        <f>IF(AND(G202&lt;=I202, I202&lt;&gt;0), 0, 1)</f>
        <v>1</v>
      </c>
      <c r="O194" s="280"/>
      <c r="P194" s="349"/>
      <c r="Q194" s="349" t="s">
        <v>683</v>
      </c>
    </row>
    <row r="195" spans="2:17">
      <c r="B195" s="1170" t="s">
        <v>684</v>
      </c>
      <c r="C195" s="1171"/>
      <c r="D195" s="1171"/>
      <c r="E195" s="1171"/>
      <c r="F195" s="1171"/>
      <c r="G195" s="345"/>
      <c r="H195" s="346"/>
      <c r="I195" s="347"/>
      <c r="J195" s="348"/>
      <c r="L195" s="304"/>
      <c r="M195" s="280" t="s">
        <v>685</v>
      </c>
      <c r="N195" s="280">
        <f>IF(AND(N194=0, N193=1), 0, 1)</f>
        <v>1</v>
      </c>
      <c r="O195" s="280"/>
      <c r="P195" s="349"/>
      <c r="Q195" s="349" t="s">
        <v>599</v>
      </c>
    </row>
    <row r="196" spans="2:17">
      <c r="B196" s="1170" t="s">
        <v>686</v>
      </c>
      <c r="C196" s="1171"/>
      <c r="D196" s="1171"/>
      <c r="E196" s="1171"/>
      <c r="F196" s="1171"/>
      <c r="G196" s="345"/>
      <c r="H196" s="346"/>
      <c r="I196" s="347"/>
      <c r="J196" s="355"/>
      <c r="L196" s="304"/>
      <c r="M196" s="280"/>
      <c r="N196" s="280"/>
      <c r="O196" s="280"/>
      <c r="P196" s="349"/>
      <c r="Q196" s="349" t="s">
        <v>603</v>
      </c>
    </row>
    <row r="197" spans="2:17">
      <c r="B197" s="353" t="s">
        <v>687</v>
      </c>
      <c r="C197" s="354"/>
      <c r="D197" s="354"/>
      <c r="E197" s="356"/>
      <c r="F197" s="357" t="s">
        <v>688</v>
      </c>
      <c r="G197" s="358"/>
      <c r="H197" s="359">
        <f>(G197*0.24)</f>
        <v>0</v>
      </c>
      <c r="I197" s="360"/>
      <c r="J197" s="361">
        <f>(I197*0.22)</f>
        <v>0</v>
      </c>
      <c r="L197" s="304"/>
      <c r="M197" s="280" t="s">
        <v>689</v>
      </c>
      <c r="N197" s="362">
        <f>G202/12</f>
        <v>0</v>
      </c>
      <c r="O197" s="280"/>
      <c r="P197" s="349"/>
      <c r="Q197" s="349" t="s">
        <v>605</v>
      </c>
    </row>
    <row r="198" spans="2:17">
      <c r="B198" s="1170" t="s">
        <v>690</v>
      </c>
      <c r="C198" s="1171"/>
      <c r="D198" s="1171"/>
      <c r="E198" s="1171"/>
      <c r="F198" s="1171"/>
      <c r="G198" s="363"/>
      <c r="H198" s="364"/>
      <c r="I198" s="347"/>
      <c r="J198" s="355"/>
      <c r="L198" s="304"/>
      <c r="M198" s="280" t="s">
        <v>691</v>
      </c>
      <c r="N198" s="362">
        <f>(G202+I202)/24</f>
        <v>0</v>
      </c>
      <c r="O198" s="280"/>
      <c r="P198" s="349"/>
      <c r="Q198" s="349"/>
    </row>
    <row r="199" spans="2:17">
      <c r="B199" s="1170" t="s">
        <v>692</v>
      </c>
      <c r="C199" s="1171"/>
      <c r="D199" s="1171"/>
      <c r="E199" s="1171"/>
      <c r="F199" s="1171"/>
      <c r="G199" s="345"/>
      <c r="H199" s="364"/>
      <c r="I199" s="350"/>
      <c r="J199" s="348"/>
      <c r="L199" s="304"/>
      <c r="M199" s="280"/>
      <c r="N199" s="280"/>
      <c r="O199" s="280"/>
      <c r="P199" s="280"/>
      <c r="Q199" s="280"/>
    </row>
    <row r="200" spans="2:17">
      <c r="B200" s="1172" t="s">
        <v>693</v>
      </c>
      <c r="C200" s="1173"/>
      <c r="D200" s="1173"/>
      <c r="E200" s="1173"/>
      <c r="F200" s="1173"/>
      <c r="G200" s="350"/>
      <c r="H200" s="346"/>
      <c r="I200" s="350"/>
      <c r="J200" s="348"/>
      <c r="L200" s="304"/>
      <c r="M200" s="280"/>
      <c r="N200" s="280"/>
      <c r="O200" s="280"/>
      <c r="P200" s="280"/>
      <c r="Q200" s="280"/>
    </row>
    <row r="201" spans="2:17">
      <c r="B201" s="1174" t="s">
        <v>694</v>
      </c>
      <c r="C201" s="1175"/>
      <c r="D201" s="1175"/>
      <c r="E201" s="1175"/>
      <c r="F201" s="1175"/>
      <c r="G201" s="365"/>
      <c r="H201" s="364"/>
      <c r="I201" s="350"/>
      <c r="J201" s="348"/>
      <c r="L201" s="304"/>
      <c r="M201" s="280"/>
      <c r="N201" s="280"/>
      <c r="O201" s="280"/>
      <c r="P201" s="280"/>
      <c r="Q201" s="280"/>
    </row>
    <row r="202" spans="2:17">
      <c r="B202" s="1151" t="s">
        <v>695</v>
      </c>
      <c r="C202" s="1152"/>
      <c r="D202" s="1152"/>
      <c r="E202" s="1152"/>
      <c r="F202" s="1153"/>
      <c r="G202" s="1154">
        <f>SUM(H193:H199)-H201</f>
        <v>0</v>
      </c>
      <c r="H202" s="1155"/>
      <c r="I202" s="1156">
        <f>SUM(J193:J199)-J201</f>
        <v>0</v>
      </c>
      <c r="J202" s="1157"/>
      <c r="L202" s="304"/>
      <c r="M202" s="280"/>
      <c r="N202" s="280"/>
      <c r="O202" s="280"/>
      <c r="P202" s="280"/>
      <c r="Q202" s="280"/>
    </row>
    <row r="203" spans="2:17" ht="18.75">
      <c r="B203" s="1158" t="s">
        <v>696</v>
      </c>
      <c r="C203" s="1159"/>
      <c r="D203" s="1159"/>
      <c r="E203" s="1159"/>
      <c r="F203" s="1160"/>
      <c r="G203" s="1161" t="str">
        <f>IF(OR(N195=0, I202=0), "12 Month Average", "24 Month Average")</f>
        <v>12 Month Average</v>
      </c>
      <c r="H203" s="1162"/>
      <c r="I203" s="1162"/>
      <c r="J203" s="1163"/>
      <c r="L203" s="304"/>
      <c r="M203" s="280"/>
      <c r="N203" s="280"/>
      <c r="O203" s="280"/>
      <c r="P203" s="280"/>
      <c r="Q203" s="280"/>
    </row>
    <row r="204" spans="2:17" ht="34.5" thickBot="1">
      <c r="B204" s="1164" t="s">
        <v>697</v>
      </c>
      <c r="C204" s="1165"/>
      <c r="D204" s="1165"/>
      <c r="E204" s="1165"/>
      <c r="F204" s="1166"/>
      <c r="G204" s="1167">
        <f>IF(OR(N195=0, I202=0), N197, N198)</f>
        <v>0</v>
      </c>
      <c r="H204" s="1168"/>
      <c r="I204" s="1168"/>
      <c r="J204" s="1169"/>
      <c r="L204" s="304"/>
      <c r="M204" s="280"/>
      <c r="N204" s="280"/>
      <c r="O204" s="280"/>
      <c r="P204" s="280"/>
      <c r="Q204" s="280"/>
    </row>
    <row r="205" spans="2:17" ht="9" customHeight="1" thickBot="1">
      <c r="L205" s="304"/>
      <c r="M205" s="280"/>
      <c r="N205" s="280"/>
      <c r="O205" s="280"/>
      <c r="P205" s="280"/>
      <c r="Q205" s="280"/>
    </row>
    <row r="206" spans="2:17" ht="105.75" customHeight="1" thickBot="1">
      <c r="B206" s="1148" t="s">
        <v>699</v>
      </c>
      <c r="C206" s="1149"/>
      <c r="D206" s="1149"/>
      <c r="E206" s="1149"/>
      <c r="F206" s="1149"/>
      <c r="G206" s="1149"/>
      <c r="H206" s="1149"/>
      <c r="I206" s="1149"/>
      <c r="J206" s="1150"/>
      <c r="L206" s="304"/>
      <c r="M206" s="280"/>
      <c r="N206" s="280"/>
      <c r="O206" s="280"/>
      <c r="P206" s="280"/>
      <c r="Q206" s="280"/>
    </row>
    <row r="207" spans="2:17">
      <c r="M207" s="280"/>
      <c r="N207" s="280"/>
      <c r="O207" s="280"/>
      <c r="P207" s="280"/>
      <c r="Q207" s="280"/>
    </row>
    <row r="208" spans="2:17" ht="15.75" thickBot="1">
      <c r="L208" s="304"/>
      <c r="M208" s="280"/>
      <c r="N208" s="280"/>
      <c r="O208" s="280"/>
      <c r="P208" s="280"/>
      <c r="Q208" s="280"/>
    </row>
    <row r="209" spans="2:17" ht="54.75" customHeight="1">
      <c r="B209" s="1187" t="s">
        <v>669</v>
      </c>
      <c r="C209" s="1188"/>
      <c r="D209" s="1188"/>
      <c r="E209" s="1188"/>
      <c r="F209" s="1188"/>
      <c r="G209" s="1188"/>
      <c r="H209" s="1188"/>
      <c r="I209" s="1188"/>
      <c r="J209" s="331" t="str">
        <f>'[3]Reference Sheet'!$B$2</f>
        <v>Rev. 4.12.2016</v>
      </c>
      <c r="L209" s="304"/>
      <c r="M209" s="280"/>
      <c r="N209" s="280"/>
      <c r="O209" s="280"/>
      <c r="P209" s="280"/>
      <c r="Q209" s="280"/>
    </row>
    <row r="210" spans="2:17" ht="3.75" customHeight="1">
      <c r="B210" s="332"/>
      <c r="C210" s="333"/>
      <c r="D210" s="333"/>
      <c r="E210" s="333"/>
      <c r="F210" s="333"/>
      <c r="G210" s="333"/>
      <c r="H210" s="333"/>
      <c r="I210" s="333"/>
      <c r="J210" s="334"/>
      <c r="L210" s="304"/>
      <c r="M210" s="280"/>
      <c r="N210" s="280"/>
      <c r="O210" s="280"/>
      <c r="P210" s="280"/>
      <c r="Q210" s="280"/>
    </row>
    <row r="211" spans="2:17" ht="18" customHeight="1" thickBot="1">
      <c r="B211" s="332"/>
      <c r="C211" s="336" t="s">
        <v>533</v>
      </c>
      <c r="D211" s="1189"/>
      <c r="E211" s="1190"/>
      <c r="F211" s="1190"/>
      <c r="G211" s="1190"/>
      <c r="H211" s="336" t="s">
        <v>67</v>
      </c>
      <c r="I211" s="1191"/>
      <c r="J211" s="1192"/>
      <c r="L211" s="304"/>
      <c r="M211" s="280"/>
      <c r="N211" s="280"/>
      <c r="O211" s="280"/>
      <c r="P211" s="280"/>
      <c r="Q211" s="280"/>
    </row>
    <row r="212" spans="2:17" ht="18" customHeight="1" thickBot="1">
      <c r="B212" s="337"/>
      <c r="C212" s="338" t="s">
        <v>535</v>
      </c>
      <c r="D212" s="1193"/>
      <c r="E212" s="1194"/>
      <c r="F212" s="1194"/>
      <c r="G212" s="1194"/>
      <c r="H212" s="339"/>
      <c r="I212" s="339"/>
      <c r="J212" s="340"/>
      <c r="L212" s="304"/>
      <c r="M212" s="280"/>
      <c r="N212" s="280"/>
      <c r="O212" s="280"/>
      <c r="P212" s="280"/>
      <c r="Q212" s="280"/>
    </row>
    <row r="213" spans="2:17" ht="18" customHeight="1" thickBot="1">
      <c r="B213" s="1176" t="s">
        <v>671</v>
      </c>
      <c r="C213" s="1177"/>
      <c r="D213" s="1195"/>
      <c r="E213" s="1196"/>
      <c r="F213" s="1196"/>
      <c r="G213" s="1196"/>
      <c r="H213" s="341" t="s">
        <v>673</v>
      </c>
      <c r="I213" s="1195"/>
      <c r="J213" s="1197"/>
      <c r="L213" s="304"/>
      <c r="M213" s="280"/>
      <c r="N213" s="280"/>
      <c r="O213" s="280"/>
      <c r="P213" s="280"/>
      <c r="Q213" s="280"/>
    </row>
    <row r="214" spans="2:17" ht="18" customHeight="1" thickBot="1">
      <c r="B214" s="1176" t="s">
        <v>674</v>
      </c>
      <c r="C214" s="1177"/>
      <c r="D214" s="1178"/>
      <c r="E214" s="1179"/>
      <c r="F214" s="1179"/>
      <c r="G214" s="1179"/>
      <c r="H214" s="1179"/>
      <c r="I214" s="1179"/>
      <c r="J214" s="1180"/>
      <c r="L214" s="304"/>
      <c r="M214" s="280"/>
      <c r="N214" s="280"/>
      <c r="O214" s="280"/>
      <c r="P214" s="280"/>
      <c r="Q214" s="280"/>
    </row>
    <row r="215" spans="2:17">
      <c r="B215" s="1181" t="s">
        <v>675</v>
      </c>
      <c r="C215" s="1182"/>
      <c r="D215" s="1182"/>
      <c r="E215" s="1182"/>
      <c r="F215" s="1182"/>
      <c r="G215" s="342"/>
      <c r="H215" s="343" t="s">
        <v>676</v>
      </c>
      <c r="I215" s="342"/>
      <c r="J215" s="344" t="s">
        <v>677</v>
      </c>
      <c r="L215" s="304"/>
      <c r="M215" s="1183" t="s">
        <v>707</v>
      </c>
      <c r="N215" s="1183"/>
      <c r="O215" s="1183"/>
      <c r="P215" s="1183"/>
      <c r="Q215" s="1183"/>
    </row>
    <row r="216" spans="2:17">
      <c r="B216" s="1184" t="s">
        <v>679</v>
      </c>
      <c r="C216" s="1185"/>
      <c r="D216" s="1185"/>
      <c r="E216" s="1185"/>
      <c r="F216" s="1185"/>
      <c r="G216" s="345"/>
      <c r="H216" s="346"/>
      <c r="I216" s="347"/>
      <c r="J216" s="348"/>
      <c r="L216" s="304"/>
      <c r="M216" s="280" t="s">
        <v>680</v>
      </c>
      <c r="N216" s="280">
        <f>IF(AND(J216=0, J218=0, J219=0, J220=0, J221=0, J222=0, J223=0, J224=0, J225=0), 0, 1)</f>
        <v>0</v>
      </c>
      <c r="O216" s="280"/>
      <c r="P216" s="349"/>
      <c r="Q216" s="349" t="s">
        <v>596</v>
      </c>
    </row>
    <row r="217" spans="2:17">
      <c r="B217" s="1172" t="s">
        <v>681</v>
      </c>
      <c r="C217" s="1186"/>
      <c r="D217" s="1186"/>
      <c r="E217" s="1186"/>
      <c r="F217" s="1186"/>
      <c r="G217" s="350"/>
      <c r="H217" s="351"/>
      <c r="I217" s="350"/>
      <c r="J217" s="352"/>
      <c r="L217" s="304"/>
      <c r="M217" s="280" t="s">
        <v>682</v>
      </c>
      <c r="N217" s="280">
        <f>IF(AND(G225&lt;=I225, I225&lt;&gt;0), 0, 1)</f>
        <v>1</v>
      </c>
      <c r="O217" s="280"/>
      <c r="P217" s="349"/>
      <c r="Q217" s="349" t="s">
        <v>683</v>
      </c>
    </row>
    <row r="218" spans="2:17">
      <c r="B218" s="1170" t="s">
        <v>684</v>
      </c>
      <c r="C218" s="1171"/>
      <c r="D218" s="1171"/>
      <c r="E218" s="1171"/>
      <c r="F218" s="1171"/>
      <c r="G218" s="345"/>
      <c r="H218" s="346"/>
      <c r="I218" s="347"/>
      <c r="J218" s="348"/>
      <c r="L218" s="304"/>
      <c r="M218" s="280" t="s">
        <v>685</v>
      </c>
      <c r="N218" s="280">
        <f>IF(AND(N217=0, N216=1), 0, 1)</f>
        <v>1</v>
      </c>
      <c r="O218" s="280"/>
      <c r="P218" s="349"/>
      <c r="Q218" s="349" t="s">
        <v>599</v>
      </c>
    </row>
    <row r="219" spans="2:17">
      <c r="B219" s="1170" t="s">
        <v>686</v>
      </c>
      <c r="C219" s="1171"/>
      <c r="D219" s="1171"/>
      <c r="E219" s="1171"/>
      <c r="F219" s="1171"/>
      <c r="G219" s="345"/>
      <c r="H219" s="346"/>
      <c r="I219" s="347"/>
      <c r="J219" s="355"/>
      <c r="L219" s="304"/>
      <c r="M219" s="280"/>
      <c r="N219" s="280"/>
      <c r="O219" s="280"/>
      <c r="P219" s="349"/>
      <c r="Q219" s="349" t="s">
        <v>603</v>
      </c>
    </row>
    <row r="220" spans="2:17">
      <c r="B220" s="353" t="s">
        <v>687</v>
      </c>
      <c r="C220" s="354"/>
      <c r="D220" s="354"/>
      <c r="E220" s="356"/>
      <c r="F220" s="357" t="s">
        <v>688</v>
      </c>
      <c r="G220" s="358"/>
      <c r="H220" s="359">
        <f>(G220*0.24)</f>
        <v>0</v>
      </c>
      <c r="I220" s="360"/>
      <c r="J220" s="361">
        <f>(I220*0.22)</f>
        <v>0</v>
      </c>
      <c r="L220" s="304"/>
      <c r="M220" s="280" t="s">
        <v>689</v>
      </c>
      <c r="N220" s="362">
        <f>G225/12</f>
        <v>0</v>
      </c>
      <c r="O220" s="280"/>
      <c r="P220" s="349"/>
      <c r="Q220" s="349" t="s">
        <v>605</v>
      </c>
    </row>
    <row r="221" spans="2:17">
      <c r="B221" s="1170" t="s">
        <v>690</v>
      </c>
      <c r="C221" s="1171"/>
      <c r="D221" s="1171"/>
      <c r="E221" s="1171"/>
      <c r="F221" s="1171"/>
      <c r="G221" s="363"/>
      <c r="H221" s="364"/>
      <c r="I221" s="347"/>
      <c r="J221" s="355"/>
      <c r="L221" s="304"/>
      <c r="M221" s="280" t="s">
        <v>691</v>
      </c>
      <c r="N221" s="362">
        <f>(G225+I225)/24</f>
        <v>0</v>
      </c>
      <c r="O221" s="280"/>
      <c r="P221" s="349"/>
      <c r="Q221" s="349"/>
    </row>
    <row r="222" spans="2:17">
      <c r="B222" s="1170" t="s">
        <v>692</v>
      </c>
      <c r="C222" s="1171"/>
      <c r="D222" s="1171"/>
      <c r="E222" s="1171"/>
      <c r="F222" s="1171"/>
      <c r="G222" s="345"/>
      <c r="H222" s="364"/>
      <c r="I222" s="350"/>
      <c r="J222" s="348"/>
      <c r="L222" s="304"/>
      <c r="M222" s="280"/>
      <c r="N222" s="280"/>
      <c r="O222" s="280"/>
      <c r="P222" s="280"/>
      <c r="Q222" s="280"/>
    </row>
    <row r="223" spans="2:17">
      <c r="B223" s="1172" t="s">
        <v>693</v>
      </c>
      <c r="C223" s="1173"/>
      <c r="D223" s="1173"/>
      <c r="E223" s="1173"/>
      <c r="F223" s="1173"/>
      <c r="G223" s="350"/>
      <c r="H223" s="346"/>
      <c r="I223" s="350"/>
      <c r="J223" s="348"/>
      <c r="L223" s="304"/>
      <c r="M223" s="280"/>
      <c r="N223" s="280"/>
      <c r="O223" s="280"/>
      <c r="P223" s="280"/>
      <c r="Q223" s="280"/>
    </row>
    <row r="224" spans="2:17">
      <c r="B224" s="1174" t="s">
        <v>694</v>
      </c>
      <c r="C224" s="1175"/>
      <c r="D224" s="1175"/>
      <c r="E224" s="1175"/>
      <c r="F224" s="1175"/>
      <c r="G224" s="365"/>
      <c r="H224" s="364"/>
      <c r="I224" s="350"/>
      <c r="J224" s="348"/>
      <c r="L224" s="304"/>
      <c r="M224" s="280"/>
      <c r="N224" s="280"/>
      <c r="O224" s="280"/>
      <c r="P224" s="280"/>
      <c r="Q224" s="280"/>
    </row>
    <row r="225" spans="2:18">
      <c r="B225" s="1151" t="s">
        <v>695</v>
      </c>
      <c r="C225" s="1152"/>
      <c r="D225" s="1152"/>
      <c r="E225" s="1152"/>
      <c r="F225" s="1153"/>
      <c r="G225" s="1154">
        <f>SUM(H216:H222)-H224</f>
        <v>0</v>
      </c>
      <c r="H225" s="1155"/>
      <c r="I225" s="1156">
        <f>SUM(J216:J222)-J224</f>
        <v>0</v>
      </c>
      <c r="J225" s="1157"/>
      <c r="L225" s="304"/>
      <c r="M225" s="280"/>
      <c r="N225" s="280"/>
      <c r="O225" s="280"/>
      <c r="P225" s="280"/>
      <c r="Q225" s="280"/>
    </row>
    <row r="226" spans="2:18" ht="18.75">
      <c r="B226" s="1158" t="s">
        <v>696</v>
      </c>
      <c r="C226" s="1159"/>
      <c r="D226" s="1159"/>
      <c r="E226" s="1159"/>
      <c r="F226" s="1160"/>
      <c r="G226" s="1161" t="str">
        <f>IF(OR(N218=0, I225=0), "12 Month Average", "24 Month Average")</f>
        <v>12 Month Average</v>
      </c>
      <c r="H226" s="1162"/>
      <c r="I226" s="1162"/>
      <c r="J226" s="1163"/>
      <c r="L226" s="304"/>
      <c r="M226" s="280"/>
      <c r="N226" s="280"/>
      <c r="O226" s="280"/>
      <c r="P226" s="280"/>
      <c r="Q226" s="280"/>
    </row>
    <row r="227" spans="2:18" ht="34.5" thickBot="1">
      <c r="B227" s="1164" t="s">
        <v>697</v>
      </c>
      <c r="C227" s="1165"/>
      <c r="D227" s="1165"/>
      <c r="E227" s="1165"/>
      <c r="F227" s="1166"/>
      <c r="G227" s="1167">
        <f>IF(OR(N218=0, I225=0), N220, N221)</f>
        <v>0</v>
      </c>
      <c r="H227" s="1168"/>
      <c r="I227" s="1168"/>
      <c r="J227" s="1169"/>
      <c r="L227" s="304"/>
      <c r="M227" s="280"/>
      <c r="N227" s="280"/>
      <c r="O227" s="280"/>
      <c r="P227" s="280"/>
      <c r="Q227" s="280"/>
    </row>
    <row r="228" spans="2:18" ht="9" customHeight="1" thickBot="1">
      <c r="L228" s="304"/>
      <c r="M228" s="280"/>
      <c r="N228" s="280"/>
      <c r="O228" s="280"/>
      <c r="P228" s="280"/>
      <c r="Q228" s="280"/>
    </row>
    <row r="229" spans="2:18" ht="105.75" customHeight="1" thickBot="1">
      <c r="B229" s="1148" t="s">
        <v>699</v>
      </c>
      <c r="C229" s="1149"/>
      <c r="D229" s="1149"/>
      <c r="E229" s="1149"/>
      <c r="F229" s="1149"/>
      <c r="G229" s="1149"/>
      <c r="H229" s="1149"/>
      <c r="I229" s="1149"/>
      <c r="J229" s="1150"/>
      <c r="L229" s="304"/>
      <c r="M229" s="280"/>
      <c r="N229" s="280"/>
      <c r="O229" s="280"/>
      <c r="P229" s="280"/>
      <c r="Q229" s="280"/>
    </row>
    <row r="231" spans="2:18" ht="15.75" thickBot="1">
      <c r="L231" s="304"/>
      <c r="M231" s="304"/>
      <c r="N231" s="304"/>
      <c r="O231" s="304"/>
      <c r="P231" s="304"/>
      <c r="Q231" s="304"/>
      <c r="R231" s="304"/>
    </row>
    <row r="232" spans="2:18" ht="54.6" customHeight="1">
      <c r="B232" s="1187" t="s">
        <v>669</v>
      </c>
      <c r="C232" s="1188"/>
      <c r="D232" s="1188"/>
      <c r="E232" s="1188"/>
      <c r="F232" s="1188"/>
      <c r="G232" s="1188"/>
      <c r="H232" s="1188"/>
      <c r="I232" s="1188"/>
      <c r="J232" s="331" t="str">
        <f>'[3]Reference Sheet'!$B$2</f>
        <v>Rev. 4.12.2016</v>
      </c>
      <c r="L232" s="304"/>
      <c r="M232" s="304"/>
      <c r="N232" s="304"/>
      <c r="O232" s="304"/>
      <c r="P232" s="304"/>
      <c r="Q232" s="304"/>
      <c r="R232" s="304"/>
    </row>
    <row r="233" spans="2:18" ht="3.75" customHeight="1">
      <c r="B233" s="332"/>
      <c r="C233" s="333"/>
      <c r="D233" s="333"/>
      <c r="E233" s="333"/>
      <c r="F233" s="333"/>
      <c r="G233" s="333"/>
      <c r="H233" s="333"/>
      <c r="I233" s="333"/>
      <c r="J233" s="334"/>
      <c r="L233" s="304"/>
      <c r="M233" s="304"/>
      <c r="N233" s="304"/>
      <c r="O233" s="304"/>
      <c r="P233" s="304"/>
      <c r="Q233" s="304"/>
      <c r="R233" s="304"/>
    </row>
    <row r="234" spans="2:18" ht="18" customHeight="1" thickBot="1">
      <c r="B234" s="332"/>
      <c r="C234" s="336" t="s">
        <v>533</v>
      </c>
      <c r="D234" s="1189"/>
      <c r="E234" s="1190"/>
      <c r="F234" s="1190"/>
      <c r="G234" s="1190"/>
      <c r="H234" s="336" t="s">
        <v>67</v>
      </c>
      <c r="I234" s="1191"/>
      <c r="J234" s="1192"/>
      <c r="L234" s="304"/>
      <c r="M234" s="304"/>
      <c r="N234" s="304"/>
      <c r="O234" s="304"/>
      <c r="P234" s="304"/>
      <c r="Q234" s="304"/>
      <c r="R234" s="304"/>
    </row>
    <row r="235" spans="2:18" ht="18" customHeight="1" thickBot="1">
      <c r="B235" s="337"/>
      <c r="C235" s="338" t="s">
        <v>535</v>
      </c>
      <c r="D235" s="1193"/>
      <c r="E235" s="1194"/>
      <c r="F235" s="1194"/>
      <c r="G235" s="1194"/>
      <c r="H235" s="339"/>
      <c r="I235" s="339"/>
      <c r="J235" s="340"/>
      <c r="L235" s="304"/>
      <c r="M235" s="280"/>
      <c r="N235" s="280"/>
      <c r="O235" s="280"/>
      <c r="P235" s="280"/>
      <c r="Q235" s="280"/>
      <c r="R235" s="304"/>
    </row>
    <row r="236" spans="2:18" ht="18" customHeight="1" thickBot="1">
      <c r="B236" s="1176" t="s">
        <v>671</v>
      </c>
      <c r="C236" s="1177"/>
      <c r="D236" s="1195"/>
      <c r="E236" s="1196"/>
      <c r="F236" s="1196"/>
      <c r="G236" s="1196"/>
      <c r="H236" s="341" t="s">
        <v>673</v>
      </c>
      <c r="I236" s="1195"/>
      <c r="J236" s="1197"/>
      <c r="L236" s="304"/>
      <c r="M236" s="280"/>
      <c r="N236" s="280"/>
      <c r="O236" s="280"/>
      <c r="P236" s="280"/>
      <c r="Q236" s="280"/>
      <c r="R236" s="304"/>
    </row>
    <row r="237" spans="2:18" ht="18" customHeight="1" thickBot="1">
      <c r="B237" s="1176" t="s">
        <v>674</v>
      </c>
      <c r="C237" s="1177"/>
      <c r="D237" s="1178"/>
      <c r="E237" s="1179"/>
      <c r="F237" s="1179"/>
      <c r="G237" s="1179"/>
      <c r="H237" s="1179"/>
      <c r="I237" s="1179"/>
      <c r="J237" s="1180"/>
      <c r="L237" s="304"/>
      <c r="M237" s="280"/>
      <c r="N237" s="280"/>
      <c r="O237" s="280"/>
      <c r="P237" s="280"/>
      <c r="Q237" s="280"/>
      <c r="R237" s="304"/>
    </row>
    <row r="238" spans="2:18">
      <c r="B238" s="1181" t="s">
        <v>675</v>
      </c>
      <c r="C238" s="1182"/>
      <c r="D238" s="1182"/>
      <c r="E238" s="1182"/>
      <c r="F238" s="1182"/>
      <c r="G238" s="342"/>
      <c r="H238" s="343" t="s">
        <v>676</v>
      </c>
      <c r="I238" s="342"/>
      <c r="J238" s="344" t="s">
        <v>677</v>
      </c>
      <c r="L238" s="304"/>
      <c r="M238" s="1183" t="s">
        <v>698</v>
      </c>
      <c r="N238" s="1183"/>
      <c r="O238" s="1183"/>
      <c r="P238" s="1183"/>
      <c r="Q238" s="1183"/>
      <c r="R238" s="304"/>
    </row>
    <row r="239" spans="2:18">
      <c r="B239" s="1184" t="s">
        <v>679</v>
      </c>
      <c r="C239" s="1185"/>
      <c r="D239" s="1185"/>
      <c r="E239" s="1185"/>
      <c r="F239" s="1185"/>
      <c r="G239" s="345"/>
      <c r="H239" s="346"/>
      <c r="I239" s="347"/>
      <c r="J239" s="348"/>
      <c r="L239" s="304"/>
      <c r="M239" s="280" t="s">
        <v>680</v>
      </c>
      <c r="N239" s="280">
        <f>IF(AND(J239=0, J241=0, J242=0, J243=0, J244=0, J245=0, J246=0, J247=0, J248=0), 0, 1)</f>
        <v>0</v>
      </c>
      <c r="O239" s="280"/>
      <c r="P239" s="349"/>
      <c r="Q239" s="349" t="s">
        <v>596</v>
      </c>
      <c r="R239" s="304"/>
    </row>
    <row r="240" spans="2:18">
      <c r="B240" s="1172" t="s">
        <v>681</v>
      </c>
      <c r="C240" s="1186"/>
      <c r="D240" s="1186"/>
      <c r="E240" s="1186"/>
      <c r="F240" s="1186"/>
      <c r="G240" s="350"/>
      <c r="H240" s="351"/>
      <c r="I240" s="350"/>
      <c r="J240" s="352"/>
      <c r="L240" s="304"/>
      <c r="M240" s="280" t="s">
        <v>682</v>
      </c>
      <c r="N240" s="280">
        <f>IF(AND(G248&lt;=I248, I248&lt;&gt;0), 0, 1)</f>
        <v>1</v>
      </c>
      <c r="O240" s="280"/>
      <c r="P240" s="349"/>
      <c r="Q240" s="349" t="s">
        <v>683</v>
      </c>
      <c r="R240" s="304"/>
    </row>
    <row r="241" spans="2:18">
      <c r="B241" s="1170" t="s">
        <v>684</v>
      </c>
      <c r="C241" s="1171"/>
      <c r="D241" s="1171"/>
      <c r="E241" s="1171"/>
      <c r="F241" s="1171"/>
      <c r="G241" s="345"/>
      <c r="H241" s="346"/>
      <c r="I241" s="347"/>
      <c r="J241" s="348"/>
      <c r="L241" s="304"/>
      <c r="M241" s="280" t="s">
        <v>685</v>
      </c>
      <c r="N241" s="280">
        <f>IF(AND(N240=0, N239=1), 0, 1)</f>
        <v>1</v>
      </c>
      <c r="O241" s="280"/>
      <c r="P241" s="349"/>
      <c r="Q241" s="349" t="s">
        <v>599</v>
      </c>
      <c r="R241" s="304"/>
    </row>
    <row r="242" spans="2:18">
      <c r="B242" s="1170" t="s">
        <v>686</v>
      </c>
      <c r="C242" s="1171"/>
      <c r="D242" s="1171"/>
      <c r="E242" s="1171"/>
      <c r="F242" s="1171"/>
      <c r="G242" s="345"/>
      <c r="H242" s="346"/>
      <c r="I242" s="347"/>
      <c r="J242" s="355"/>
      <c r="L242" s="304"/>
      <c r="M242" s="280"/>
      <c r="N242" s="280"/>
      <c r="O242" s="280"/>
      <c r="P242" s="349"/>
      <c r="Q242" s="349" t="s">
        <v>603</v>
      </c>
      <c r="R242" s="304"/>
    </row>
    <row r="243" spans="2:18">
      <c r="B243" s="353" t="s">
        <v>687</v>
      </c>
      <c r="C243" s="354"/>
      <c r="D243" s="354"/>
      <c r="E243" s="356"/>
      <c r="F243" s="357" t="s">
        <v>688</v>
      </c>
      <c r="G243" s="358"/>
      <c r="H243" s="359">
        <f>(G243*0.24)</f>
        <v>0</v>
      </c>
      <c r="I243" s="360"/>
      <c r="J243" s="361">
        <f>(I243*0.22)</f>
        <v>0</v>
      </c>
      <c r="L243" s="304"/>
      <c r="M243" s="280" t="s">
        <v>689</v>
      </c>
      <c r="N243" s="362">
        <f>G248/12</f>
        <v>0</v>
      </c>
      <c r="O243" s="280"/>
      <c r="P243" s="349"/>
      <c r="Q243" s="349" t="s">
        <v>605</v>
      </c>
      <c r="R243" s="304"/>
    </row>
    <row r="244" spans="2:18">
      <c r="B244" s="1170" t="s">
        <v>690</v>
      </c>
      <c r="C244" s="1171"/>
      <c r="D244" s="1171"/>
      <c r="E244" s="1171"/>
      <c r="F244" s="1171"/>
      <c r="G244" s="363"/>
      <c r="H244" s="364"/>
      <c r="I244" s="347"/>
      <c r="J244" s="355"/>
      <c r="L244" s="304"/>
      <c r="M244" s="280" t="s">
        <v>691</v>
      </c>
      <c r="N244" s="362">
        <f>(G248+I248)/24</f>
        <v>0</v>
      </c>
      <c r="O244" s="280"/>
      <c r="P244" s="349"/>
      <c r="Q244" s="349"/>
      <c r="R244" s="304"/>
    </row>
    <row r="245" spans="2:18">
      <c r="B245" s="1170" t="s">
        <v>692</v>
      </c>
      <c r="C245" s="1171"/>
      <c r="D245" s="1171"/>
      <c r="E245" s="1171"/>
      <c r="F245" s="1171"/>
      <c r="G245" s="345"/>
      <c r="H245" s="364"/>
      <c r="I245" s="350"/>
      <c r="J245" s="348"/>
      <c r="L245" s="304"/>
      <c r="M245" s="280"/>
      <c r="N245" s="280"/>
      <c r="O245" s="280"/>
      <c r="P245" s="280"/>
      <c r="Q245" s="280"/>
      <c r="R245" s="304"/>
    </row>
    <row r="246" spans="2:18">
      <c r="B246" s="1172" t="s">
        <v>693</v>
      </c>
      <c r="C246" s="1173"/>
      <c r="D246" s="1173"/>
      <c r="E246" s="1173"/>
      <c r="F246" s="1173"/>
      <c r="G246" s="350"/>
      <c r="H246" s="346"/>
      <c r="I246" s="350"/>
      <c r="J246" s="348"/>
      <c r="L246" s="304"/>
      <c r="M246" s="280"/>
      <c r="N246" s="280"/>
      <c r="O246" s="280"/>
      <c r="P246" s="280"/>
      <c r="Q246" s="280"/>
      <c r="R246" s="304"/>
    </row>
    <row r="247" spans="2:18">
      <c r="B247" s="1174" t="s">
        <v>694</v>
      </c>
      <c r="C247" s="1175"/>
      <c r="D247" s="1175"/>
      <c r="E247" s="1175"/>
      <c r="F247" s="1175"/>
      <c r="G247" s="365"/>
      <c r="H247" s="364"/>
      <c r="I247" s="350"/>
      <c r="J247" s="348"/>
      <c r="L247" s="304"/>
      <c r="M247" s="280"/>
      <c r="N247" s="280"/>
      <c r="O247" s="280"/>
      <c r="P247" s="280"/>
      <c r="Q247" s="280"/>
      <c r="R247" s="304"/>
    </row>
    <row r="248" spans="2:18">
      <c r="B248" s="1151" t="s">
        <v>695</v>
      </c>
      <c r="C248" s="1152"/>
      <c r="D248" s="1152"/>
      <c r="E248" s="1152"/>
      <c r="F248" s="1153"/>
      <c r="G248" s="1154">
        <f>SUM(H239:H245)-H247</f>
        <v>0</v>
      </c>
      <c r="H248" s="1155"/>
      <c r="I248" s="1156">
        <f>SUM(J239:J245)-J247</f>
        <v>0</v>
      </c>
      <c r="J248" s="1157"/>
      <c r="L248" s="304"/>
      <c r="M248" s="280"/>
      <c r="N248" s="280"/>
      <c r="O248" s="280"/>
      <c r="P248" s="280"/>
      <c r="Q248" s="280"/>
      <c r="R248" s="304"/>
    </row>
    <row r="249" spans="2:18" ht="18.75">
      <c r="B249" s="1158" t="s">
        <v>696</v>
      </c>
      <c r="C249" s="1159"/>
      <c r="D249" s="1159"/>
      <c r="E249" s="1159"/>
      <c r="F249" s="1160"/>
      <c r="G249" s="1161" t="str">
        <f>IF(OR(N241=0, I248=0), "12 Month Average", "24 Month Average")</f>
        <v>12 Month Average</v>
      </c>
      <c r="H249" s="1162"/>
      <c r="I249" s="1162"/>
      <c r="J249" s="1163"/>
      <c r="L249" s="304"/>
      <c r="M249" s="280"/>
      <c r="N249" s="280"/>
      <c r="O249" s="280"/>
      <c r="P249" s="280"/>
      <c r="Q249" s="280"/>
      <c r="R249" s="304"/>
    </row>
    <row r="250" spans="2:18" ht="34.5" thickBot="1">
      <c r="B250" s="1164" t="s">
        <v>697</v>
      </c>
      <c r="C250" s="1165"/>
      <c r="D250" s="1165"/>
      <c r="E250" s="1165"/>
      <c r="F250" s="1166"/>
      <c r="G250" s="1167">
        <f>IF(OR(N241=0, I248=0), N243, N244)</f>
        <v>0</v>
      </c>
      <c r="H250" s="1168"/>
      <c r="I250" s="1168"/>
      <c r="J250" s="1169"/>
      <c r="L250" s="304"/>
      <c r="M250" s="280"/>
      <c r="N250" s="280"/>
      <c r="O250" s="280"/>
      <c r="P250" s="280"/>
      <c r="Q250" s="280"/>
      <c r="R250" s="304"/>
    </row>
    <row r="251" spans="2:18" ht="15.75" thickBot="1">
      <c r="L251" s="304"/>
      <c r="M251" s="280"/>
      <c r="N251" s="280"/>
      <c r="O251" s="280"/>
      <c r="P251" s="280"/>
      <c r="Q251" s="280"/>
      <c r="R251" s="304"/>
    </row>
    <row r="252" spans="2:18" ht="105.6" customHeight="1" thickBot="1">
      <c r="B252" s="1148" t="s">
        <v>699</v>
      </c>
      <c r="C252" s="1149"/>
      <c r="D252" s="1149"/>
      <c r="E252" s="1149"/>
      <c r="F252" s="1149"/>
      <c r="G252" s="1149"/>
      <c r="H252" s="1149"/>
      <c r="I252" s="1149"/>
      <c r="J252" s="1150"/>
      <c r="L252" s="304"/>
      <c r="M252" s="280"/>
      <c r="N252" s="280"/>
      <c r="O252" s="280"/>
      <c r="P252" s="280"/>
      <c r="Q252" s="280"/>
      <c r="R252" s="304"/>
    </row>
    <row r="253" spans="2:18">
      <c r="L253" s="304"/>
      <c r="M253" s="280"/>
      <c r="N253" s="280"/>
      <c r="O253" s="280"/>
      <c r="P253" s="280"/>
      <c r="Q253" s="280"/>
      <c r="R253" s="304"/>
    </row>
    <row r="254" spans="2:18" ht="15.75" thickBot="1">
      <c r="L254" s="304"/>
      <c r="M254" s="280"/>
      <c r="N254" s="280"/>
      <c r="O254" s="280"/>
      <c r="P254" s="280"/>
      <c r="Q254" s="280"/>
      <c r="R254" s="304"/>
    </row>
    <row r="255" spans="2:18" ht="54.6" customHeight="1">
      <c r="B255" s="1187" t="s">
        <v>669</v>
      </c>
      <c r="C255" s="1188"/>
      <c r="D255" s="1188"/>
      <c r="E255" s="1188"/>
      <c r="F255" s="1188"/>
      <c r="G255" s="1188"/>
      <c r="H255" s="1188"/>
      <c r="I255" s="1188"/>
      <c r="J255" s="331" t="str">
        <f>'[3]Reference Sheet'!$B$2</f>
        <v>Rev. 4.12.2016</v>
      </c>
      <c r="L255" s="304"/>
      <c r="M255" s="280"/>
      <c r="N255" s="280"/>
      <c r="O255" s="280"/>
      <c r="P255" s="280"/>
      <c r="Q255" s="280"/>
      <c r="R255" s="304"/>
    </row>
    <row r="256" spans="2:18" ht="3.75" customHeight="1">
      <c r="B256" s="332"/>
      <c r="C256" s="333"/>
      <c r="D256" s="333"/>
      <c r="E256" s="333"/>
      <c r="F256" s="333"/>
      <c r="G256" s="333"/>
      <c r="H256" s="333"/>
      <c r="I256" s="333"/>
      <c r="J256" s="334"/>
      <c r="L256" s="304"/>
      <c r="M256" s="280"/>
      <c r="N256" s="280"/>
      <c r="O256" s="280"/>
      <c r="P256" s="280"/>
      <c r="Q256" s="280"/>
      <c r="R256" s="304"/>
    </row>
    <row r="257" spans="2:18" ht="18" customHeight="1" thickBot="1">
      <c r="B257" s="332"/>
      <c r="C257" s="336" t="s">
        <v>533</v>
      </c>
      <c r="D257" s="1189"/>
      <c r="E257" s="1190"/>
      <c r="F257" s="1190"/>
      <c r="G257" s="1190"/>
      <c r="H257" s="336" t="s">
        <v>67</v>
      </c>
      <c r="I257" s="1191"/>
      <c r="J257" s="1192"/>
      <c r="L257" s="304"/>
      <c r="M257" s="280"/>
      <c r="N257" s="280"/>
      <c r="O257" s="280"/>
      <c r="P257" s="280"/>
      <c r="Q257" s="280"/>
      <c r="R257" s="304"/>
    </row>
    <row r="258" spans="2:18" ht="18" customHeight="1" thickBot="1">
      <c r="B258" s="337"/>
      <c r="C258" s="338" t="s">
        <v>535</v>
      </c>
      <c r="D258" s="1193"/>
      <c r="E258" s="1194"/>
      <c r="F258" s="1194"/>
      <c r="G258" s="1194"/>
      <c r="H258" s="339"/>
      <c r="I258" s="339"/>
      <c r="J258" s="340"/>
      <c r="L258" s="304"/>
      <c r="M258" s="280"/>
      <c r="N258" s="280"/>
      <c r="O258" s="280"/>
      <c r="P258" s="280"/>
      <c r="Q258" s="280"/>
      <c r="R258" s="304"/>
    </row>
    <row r="259" spans="2:18" ht="18" customHeight="1" thickBot="1">
      <c r="B259" s="1176" t="s">
        <v>671</v>
      </c>
      <c r="C259" s="1177"/>
      <c r="D259" s="1195"/>
      <c r="E259" s="1196"/>
      <c r="F259" s="1196"/>
      <c r="G259" s="1196"/>
      <c r="H259" s="341" t="s">
        <v>673</v>
      </c>
      <c r="I259" s="1195"/>
      <c r="J259" s="1197"/>
      <c r="L259" s="304"/>
      <c r="M259" s="280"/>
      <c r="N259" s="280"/>
      <c r="O259" s="280"/>
      <c r="P259" s="280"/>
      <c r="Q259" s="280"/>
      <c r="R259" s="304"/>
    </row>
    <row r="260" spans="2:18" ht="18" customHeight="1" thickBot="1">
      <c r="B260" s="1176" t="s">
        <v>674</v>
      </c>
      <c r="C260" s="1177"/>
      <c r="D260" s="1178"/>
      <c r="E260" s="1179"/>
      <c r="F260" s="1179"/>
      <c r="G260" s="1179"/>
      <c r="H260" s="1179"/>
      <c r="I260" s="1179"/>
      <c r="J260" s="1180"/>
      <c r="L260" s="304"/>
      <c r="M260" s="280"/>
      <c r="N260" s="280"/>
      <c r="O260" s="280"/>
      <c r="P260" s="280"/>
      <c r="Q260" s="280"/>
      <c r="R260" s="304"/>
    </row>
    <row r="261" spans="2:18">
      <c r="B261" s="1181" t="s">
        <v>675</v>
      </c>
      <c r="C261" s="1182"/>
      <c r="D261" s="1182"/>
      <c r="E261" s="1182"/>
      <c r="F261" s="1182"/>
      <c r="G261" s="342"/>
      <c r="H261" s="343" t="s">
        <v>676</v>
      </c>
      <c r="I261" s="342"/>
      <c r="J261" s="344" t="s">
        <v>677</v>
      </c>
      <c r="L261" s="304"/>
      <c r="M261" s="1183" t="s">
        <v>700</v>
      </c>
      <c r="N261" s="1183"/>
      <c r="O261" s="1183"/>
      <c r="P261" s="1183"/>
      <c r="Q261" s="1183"/>
      <c r="R261" s="304"/>
    </row>
    <row r="262" spans="2:18">
      <c r="B262" s="1184" t="s">
        <v>679</v>
      </c>
      <c r="C262" s="1185"/>
      <c r="D262" s="1185"/>
      <c r="E262" s="1185"/>
      <c r="F262" s="1185"/>
      <c r="G262" s="345"/>
      <c r="H262" s="346"/>
      <c r="I262" s="347"/>
      <c r="J262" s="348"/>
      <c r="L262" s="304"/>
      <c r="M262" s="280" t="s">
        <v>680</v>
      </c>
      <c r="N262" s="280">
        <f>IF(AND(J262=0, J264=0, J265=0, J266=0, J267=0, J268=0, J269=0, J270=0, J271=0), 0, 1)</f>
        <v>0</v>
      </c>
      <c r="O262" s="280"/>
      <c r="P262" s="349"/>
      <c r="Q262" s="349" t="s">
        <v>596</v>
      </c>
      <c r="R262" s="304"/>
    </row>
    <row r="263" spans="2:18">
      <c r="B263" s="1172" t="s">
        <v>681</v>
      </c>
      <c r="C263" s="1186"/>
      <c r="D263" s="1186"/>
      <c r="E263" s="1186"/>
      <c r="F263" s="1186"/>
      <c r="G263" s="350"/>
      <c r="H263" s="351"/>
      <c r="I263" s="350"/>
      <c r="J263" s="352"/>
      <c r="L263" s="304"/>
      <c r="M263" s="280" t="s">
        <v>682</v>
      </c>
      <c r="N263" s="280">
        <f>IF(AND(G271&lt;=I271, I271&lt;&gt;0), 0, 1)</f>
        <v>1</v>
      </c>
      <c r="O263" s="280"/>
      <c r="P263" s="349"/>
      <c r="Q263" s="349" t="s">
        <v>683</v>
      </c>
      <c r="R263" s="304"/>
    </row>
    <row r="264" spans="2:18">
      <c r="B264" s="1170" t="s">
        <v>684</v>
      </c>
      <c r="C264" s="1171"/>
      <c r="D264" s="1171"/>
      <c r="E264" s="1171"/>
      <c r="F264" s="1171"/>
      <c r="G264" s="345"/>
      <c r="H264" s="346"/>
      <c r="I264" s="347"/>
      <c r="J264" s="348"/>
      <c r="L264" s="304"/>
      <c r="M264" s="280" t="s">
        <v>685</v>
      </c>
      <c r="N264" s="280">
        <f>IF(AND(N263=0, N262=1), 0, 1)</f>
        <v>1</v>
      </c>
      <c r="O264" s="280"/>
      <c r="P264" s="349"/>
      <c r="Q264" s="349" t="s">
        <v>599</v>
      </c>
    </row>
    <row r="265" spans="2:18">
      <c r="B265" s="1170" t="s">
        <v>686</v>
      </c>
      <c r="C265" s="1171"/>
      <c r="D265" s="1171"/>
      <c r="E265" s="1171"/>
      <c r="F265" s="1171"/>
      <c r="G265" s="345"/>
      <c r="H265" s="346"/>
      <c r="I265" s="347"/>
      <c r="J265" s="355"/>
      <c r="L265" s="304"/>
      <c r="M265" s="280"/>
      <c r="N265" s="280"/>
      <c r="O265" s="280"/>
      <c r="P265" s="349"/>
      <c r="Q265" s="349" t="s">
        <v>603</v>
      </c>
    </row>
    <row r="266" spans="2:18">
      <c r="B266" s="353" t="s">
        <v>687</v>
      </c>
      <c r="C266" s="354"/>
      <c r="D266" s="354"/>
      <c r="E266" s="356"/>
      <c r="F266" s="357" t="s">
        <v>688</v>
      </c>
      <c r="G266" s="358"/>
      <c r="H266" s="359">
        <f>(G266*0.24)</f>
        <v>0</v>
      </c>
      <c r="I266" s="360"/>
      <c r="J266" s="361">
        <f>(I266*0.22)</f>
        <v>0</v>
      </c>
      <c r="L266" s="304"/>
      <c r="M266" s="280" t="s">
        <v>689</v>
      </c>
      <c r="N266" s="362">
        <f>G271/12</f>
        <v>0</v>
      </c>
      <c r="O266" s="280"/>
      <c r="P266" s="349"/>
      <c r="Q266" s="349" t="s">
        <v>605</v>
      </c>
    </row>
    <row r="267" spans="2:18">
      <c r="B267" s="1170" t="s">
        <v>690</v>
      </c>
      <c r="C267" s="1171"/>
      <c r="D267" s="1171"/>
      <c r="E267" s="1171"/>
      <c r="F267" s="1171"/>
      <c r="G267" s="363"/>
      <c r="H267" s="364"/>
      <c r="I267" s="347"/>
      <c r="J267" s="355"/>
      <c r="L267" s="304"/>
      <c r="M267" s="280" t="s">
        <v>691</v>
      </c>
      <c r="N267" s="362">
        <f>(G271+I271)/24</f>
        <v>0</v>
      </c>
      <c r="O267" s="280"/>
      <c r="P267" s="349"/>
      <c r="Q267" s="349"/>
    </row>
    <row r="268" spans="2:18">
      <c r="B268" s="1170" t="s">
        <v>692</v>
      </c>
      <c r="C268" s="1171"/>
      <c r="D268" s="1171"/>
      <c r="E268" s="1171"/>
      <c r="F268" s="1171"/>
      <c r="G268" s="345"/>
      <c r="H268" s="364"/>
      <c r="I268" s="350"/>
      <c r="J268" s="348"/>
      <c r="L268" s="304"/>
      <c r="M268" s="280"/>
      <c r="N268" s="280"/>
      <c r="O268" s="280"/>
      <c r="P268" s="280"/>
      <c r="Q268" s="280"/>
    </row>
    <row r="269" spans="2:18">
      <c r="B269" s="1172" t="s">
        <v>693</v>
      </c>
      <c r="C269" s="1173"/>
      <c r="D269" s="1173"/>
      <c r="E269" s="1173"/>
      <c r="F269" s="1173"/>
      <c r="G269" s="350"/>
      <c r="H269" s="346"/>
      <c r="I269" s="350"/>
      <c r="J269" s="348"/>
      <c r="L269" s="304"/>
      <c r="M269" s="280"/>
      <c r="N269" s="280"/>
      <c r="O269" s="280"/>
      <c r="P269" s="280"/>
      <c r="Q269" s="280"/>
    </row>
    <row r="270" spans="2:18">
      <c r="B270" s="1174" t="s">
        <v>694</v>
      </c>
      <c r="C270" s="1175"/>
      <c r="D270" s="1175"/>
      <c r="E270" s="1175"/>
      <c r="F270" s="1175"/>
      <c r="G270" s="365"/>
      <c r="H270" s="364"/>
      <c r="I270" s="350"/>
      <c r="J270" s="348"/>
      <c r="L270" s="304"/>
      <c r="M270" s="280"/>
      <c r="N270" s="280"/>
      <c r="O270" s="280"/>
      <c r="P270" s="280"/>
      <c r="Q270" s="280"/>
    </row>
    <row r="271" spans="2:18">
      <c r="B271" s="1151" t="s">
        <v>695</v>
      </c>
      <c r="C271" s="1152"/>
      <c r="D271" s="1152"/>
      <c r="E271" s="1152"/>
      <c r="F271" s="1153"/>
      <c r="G271" s="1154">
        <f>SUM(H262:H268)-H270</f>
        <v>0</v>
      </c>
      <c r="H271" s="1155"/>
      <c r="I271" s="1156">
        <f>SUM(J262:J268)-J270</f>
        <v>0</v>
      </c>
      <c r="J271" s="1157"/>
      <c r="L271" s="304"/>
      <c r="M271" s="280"/>
      <c r="N271" s="280"/>
      <c r="O271" s="280"/>
      <c r="P271" s="280"/>
      <c r="Q271" s="280"/>
    </row>
    <row r="272" spans="2:18" ht="18.75">
      <c r="B272" s="1158" t="s">
        <v>696</v>
      </c>
      <c r="C272" s="1159"/>
      <c r="D272" s="1159"/>
      <c r="E272" s="1159"/>
      <c r="F272" s="1160"/>
      <c r="G272" s="1161" t="str">
        <f>IF(OR(N264=0, I271=0), "12 Month Average", "24 Month Average")</f>
        <v>12 Month Average</v>
      </c>
      <c r="H272" s="1162"/>
      <c r="I272" s="1162"/>
      <c r="J272" s="1163"/>
      <c r="L272" s="304"/>
      <c r="M272" s="280"/>
      <c r="N272" s="280"/>
      <c r="O272" s="280"/>
      <c r="P272" s="280"/>
      <c r="Q272" s="280"/>
    </row>
    <row r="273" spans="2:17" ht="34.5" thickBot="1">
      <c r="B273" s="1164" t="s">
        <v>697</v>
      </c>
      <c r="C273" s="1165"/>
      <c r="D273" s="1165"/>
      <c r="E273" s="1165"/>
      <c r="F273" s="1166"/>
      <c r="G273" s="1167">
        <f>IF(OR(N264=0, I271=0), N266, N267)</f>
        <v>0</v>
      </c>
      <c r="H273" s="1168"/>
      <c r="I273" s="1168"/>
      <c r="J273" s="1169"/>
      <c r="L273" s="304"/>
      <c r="M273" s="280"/>
      <c r="N273" s="280"/>
      <c r="O273" s="280"/>
      <c r="P273" s="280"/>
      <c r="Q273" s="280"/>
    </row>
    <row r="274" spans="2:17" ht="15.75" thickBot="1">
      <c r="L274" s="304"/>
      <c r="M274" s="280"/>
      <c r="N274" s="280"/>
      <c r="O274" s="280"/>
      <c r="P274" s="280"/>
      <c r="Q274" s="280"/>
    </row>
    <row r="275" spans="2:17" ht="105.6" customHeight="1" thickBot="1">
      <c r="B275" s="1148" t="s">
        <v>699</v>
      </c>
      <c r="C275" s="1149"/>
      <c r="D275" s="1149"/>
      <c r="E275" s="1149"/>
      <c r="F275" s="1149"/>
      <c r="G275" s="1149"/>
      <c r="H275" s="1149"/>
      <c r="I275" s="1149"/>
      <c r="J275" s="1150"/>
      <c r="L275" s="304"/>
      <c r="M275" s="280"/>
      <c r="N275" s="280"/>
      <c r="O275" s="280"/>
      <c r="P275" s="280"/>
      <c r="Q275" s="280"/>
    </row>
    <row r="276" spans="2:17">
      <c r="M276" s="280"/>
      <c r="N276" s="280"/>
      <c r="O276" s="280"/>
      <c r="P276" s="280"/>
      <c r="Q276" s="280"/>
    </row>
    <row r="277" spans="2:17" ht="15.75" thickBot="1">
      <c r="L277" s="304"/>
      <c r="M277" s="280"/>
      <c r="N277" s="280"/>
      <c r="O277" s="280"/>
      <c r="P277" s="280"/>
      <c r="Q277" s="280"/>
    </row>
    <row r="278" spans="2:17" ht="54.6" customHeight="1">
      <c r="B278" s="1187" t="s">
        <v>669</v>
      </c>
      <c r="C278" s="1188"/>
      <c r="D278" s="1188"/>
      <c r="E278" s="1188"/>
      <c r="F278" s="1188"/>
      <c r="G278" s="1188"/>
      <c r="H278" s="1188"/>
      <c r="I278" s="1188"/>
      <c r="J278" s="331" t="str">
        <f>'[3]Reference Sheet'!$B$2</f>
        <v>Rev. 4.12.2016</v>
      </c>
      <c r="L278" s="304"/>
      <c r="M278" s="280"/>
      <c r="N278" s="280"/>
      <c r="O278" s="280"/>
      <c r="P278" s="280"/>
      <c r="Q278" s="280"/>
    </row>
    <row r="279" spans="2:17" ht="3.75" customHeight="1">
      <c r="B279" s="332"/>
      <c r="C279" s="333"/>
      <c r="D279" s="333"/>
      <c r="E279" s="333"/>
      <c r="F279" s="333"/>
      <c r="G279" s="333"/>
      <c r="H279" s="333"/>
      <c r="I279" s="333"/>
      <c r="J279" s="334"/>
      <c r="L279" s="304"/>
      <c r="M279" s="280"/>
      <c r="N279" s="280"/>
      <c r="O279" s="280"/>
      <c r="P279" s="280"/>
      <c r="Q279" s="280"/>
    </row>
    <row r="280" spans="2:17" ht="18" customHeight="1" thickBot="1">
      <c r="B280" s="332"/>
      <c r="C280" s="336" t="s">
        <v>533</v>
      </c>
      <c r="D280" s="1189"/>
      <c r="E280" s="1190"/>
      <c r="F280" s="1190"/>
      <c r="G280" s="1190"/>
      <c r="H280" s="336" t="s">
        <v>67</v>
      </c>
      <c r="I280" s="1191"/>
      <c r="J280" s="1192"/>
      <c r="L280" s="304"/>
      <c r="M280" s="280"/>
      <c r="N280" s="280"/>
      <c r="O280" s="280"/>
      <c r="P280" s="280"/>
      <c r="Q280" s="280"/>
    </row>
    <row r="281" spans="2:17" ht="18" customHeight="1" thickBot="1">
      <c r="B281" s="337"/>
      <c r="C281" s="338" t="s">
        <v>535</v>
      </c>
      <c r="D281" s="1193"/>
      <c r="E281" s="1194"/>
      <c r="F281" s="1194"/>
      <c r="G281" s="1194"/>
      <c r="H281" s="339"/>
      <c r="I281" s="339"/>
      <c r="J281" s="340"/>
      <c r="L281" s="304"/>
      <c r="M281" s="280"/>
      <c r="N281" s="280"/>
      <c r="O281" s="280"/>
      <c r="P281" s="280"/>
      <c r="Q281" s="280"/>
    </row>
    <row r="282" spans="2:17" ht="18" customHeight="1" thickBot="1">
      <c r="B282" s="1176" t="s">
        <v>671</v>
      </c>
      <c r="C282" s="1177"/>
      <c r="D282" s="1195"/>
      <c r="E282" s="1196"/>
      <c r="F282" s="1196"/>
      <c r="G282" s="1196"/>
      <c r="H282" s="341" t="s">
        <v>673</v>
      </c>
      <c r="I282" s="1195"/>
      <c r="J282" s="1197"/>
      <c r="L282" s="304"/>
      <c r="M282" s="280"/>
      <c r="N282" s="280"/>
      <c r="O282" s="280"/>
      <c r="P282" s="280"/>
      <c r="Q282" s="280"/>
    </row>
    <row r="283" spans="2:17" ht="18" customHeight="1" thickBot="1">
      <c r="B283" s="1176" t="s">
        <v>674</v>
      </c>
      <c r="C283" s="1177"/>
      <c r="D283" s="1178"/>
      <c r="E283" s="1179"/>
      <c r="F283" s="1179"/>
      <c r="G283" s="1179"/>
      <c r="H283" s="1179"/>
      <c r="I283" s="1179"/>
      <c r="J283" s="1180"/>
      <c r="L283" s="304"/>
      <c r="M283" s="280"/>
      <c r="N283" s="280"/>
      <c r="O283" s="280"/>
      <c r="P283" s="280"/>
      <c r="Q283" s="280"/>
    </row>
    <row r="284" spans="2:17">
      <c r="B284" s="1181" t="s">
        <v>675</v>
      </c>
      <c r="C284" s="1182"/>
      <c r="D284" s="1182"/>
      <c r="E284" s="1182"/>
      <c r="F284" s="1182"/>
      <c r="G284" s="342"/>
      <c r="H284" s="343" t="s">
        <v>676</v>
      </c>
      <c r="I284" s="342"/>
      <c r="J284" s="344" t="s">
        <v>677</v>
      </c>
      <c r="L284" s="304"/>
      <c r="M284" s="1183" t="s">
        <v>701</v>
      </c>
      <c r="N284" s="1183"/>
      <c r="O284" s="1183"/>
      <c r="P284" s="1183"/>
      <c r="Q284" s="1183"/>
    </row>
    <row r="285" spans="2:17">
      <c r="B285" s="1184" t="s">
        <v>679</v>
      </c>
      <c r="C285" s="1185"/>
      <c r="D285" s="1185"/>
      <c r="E285" s="1185"/>
      <c r="F285" s="1185"/>
      <c r="G285" s="345"/>
      <c r="H285" s="346"/>
      <c r="I285" s="347"/>
      <c r="J285" s="348"/>
      <c r="L285" s="304"/>
      <c r="M285" s="280" t="s">
        <v>680</v>
      </c>
      <c r="N285" s="280">
        <f>IF(AND(J285=0, J287=0, J288=0, J289=0, J290=0, J291=0, J292=0, J293=0, J294=0), 0, 1)</f>
        <v>0</v>
      </c>
      <c r="O285" s="280"/>
      <c r="P285" s="349"/>
      <c r="Q285" s="349" t="s">
        <v>596</v>
      </c>
    </row>
    <row r="286" spans="2:17">
      <c r="B286" s="1172" t="s">
        <v>681</v>
      </c>
      <c r="C286" s="1186"/>
      <c r="D286" s="1186"/>
      <c r="E286" s="1186"/>
      <c r="F286" s="1186"/>
      <c r="G286" s="350"/>
      <c r="H286" s="351"/>
      <c r="I286" s="350"/>
      <c r="J286" s="352"/>
      <c r="L286" s="304"/>
      <c r="M286" s="280" t="s">
        <v>682</v>
      </c>
      <c r="N286" s="280">
        <f>IF(AND(G294&lt;=I294, I294&lt;&gt;0), 0, 1)</f>
        <v>1</v>
      </c>
      <c r="O286" s="280"/>
      <c r="P286" s="349"/>
      <c r="Q286" s="349" t="s">
        <v>683</v>
      </c>
    </row>
    <row r="287" spans="2:17">
      <c r="B287" s="1170" t="s">
        <v>684</v>
      </c>
      <c r="C287" s="1171"/>
      <c r="D287" s="1171"/>
      <c r="E287" s="1171"/>
      <c r="F287" s="1171"/>
      <c r="G287" s="345"/>
      <c r="H287" s="346"/>
      <c r="I287" s="347"/>
      <c r="J287" s="348"/>
      <c r="L287" s="304"/>
      <c r="M287" s="280" t="s">
        <v>685</v>
      </c>
      <c r="N287" s="280">
        <f>IF(AND(N286=0, N285=1), 0, 1)</f>
        <v>1</v>
      </c>
      <c r="O287" s="280"/>
      <c r="P287" s="349"/>
      <c r="Q287" s="349" t="s">
        <v>599</v>
      </c>
    </row>
    <row r="288" spans="2:17">
      <c r="B288" s="1170" t="s">
        <v>686</v>
      </c>
      <c r="C288" s="1171"/>
      <c r="D288" s="1171"/>
      <c r="E288" s="1171"/>
      <c r="F288" s="1171"/>
      <c r="G288" s="345"/>
      <c r="H288" s="346"/>
      <c r="I288" s="347"/>
      <c r="J288" s="355"/>
      <c r="L288" s="304"/>
      <c r="M288" s="280"/>
      <c r="N288" s="280"/>
      <c r="O288" s="280"/>
      <c r="P288" s="349"/>
      <c r="Q288" s="349" t="s">
        <v>603</v>
      </c>
    </row>
    <row r="289" spans="2:17">
      <c r="B289" s="353" t="s">
        <v>687</v>
      </c>
      <c r="C289" s="354"/>
      <c r="D289" s="354"/>
      <c r="E289" s="356"/>
      <c r="F289" s="357" t="s">
        <v>688</v>
      </c>
      <c r="G289" s="358"/>
      <c r="H289" s="359">
        <f>(G289*0.24)</f>
        <v>0</v>
      </c>
      <c r="I289" s="360"/>
      <c r="J289" s="361">
        <f>(I289*0.22)</f>
        <v>0</v>
      </c>
      <c r="L289" s="304"/>
      <c r="M289" s="280" t="s">
        <v>689</v>
      </c>
      <c r="N289" s="362">
        <f>G294/12</f>
        <v>0</v>
      </c>
      <c r="O289" s="280"/>
      <c r="P289" s="349"/>
      <c r="Q289" s="349" t="s">
        <v>605</v>
      </c>
    </row>
    <row r="290" spans="2:17">
      <c r="B290" s="1170" t="s">
        <v>690</v>
      </c>
      <c r="C290" s="1171"/>
      <c r="D290" s="1171"/>
      <c r="E290" s="1171"/>
      <c r="F290" s="1171"/>
      <c r="G290" s="363"/>
      <c r="H290" s="364"/>
      <c r="I290" s="347"/>
      <c r="J290" s="355"/>
      <c r="L290" s="304"/>
      <c r="M290" s="280" t="s">
        <v>691</v>
      </c>
      <c r="N290" s="362">
        <f>(G294+I294)/24</f>
        <v>0</v>
      </c>
      <c r="O290" s="280"/>
      <c r="P290" s="349"/>
      <c r="Q290" s="349"/>
    </row>
    <row r="291" spans="2:17">
      <c r="B291" s="1170" t="s">
        <v>692</v>
      </c>
      <c r="C291" s="1171"/>
      <c r="D291" s="1171"/>
      <c r="E291" s="1171"/>
      <c r="F291" s="1171"/>
      <c r="G291" s="345"/>
      <c r="H291" s="364"/>
      <c r="I291" s="350"/>
      <c r="J291" s="348"/>
      <c r="L291" s="304"/>
      <c r="M291" s="280"/>
      <c r="N291" s="280"/>
      <c r="O291" s="280"/>
      <c r="P291" s="280"/>
      <c r="Q291" s="280"/>
    </row>
    <row r="292" spans="2:17">
      <c r="B292" s="1172" t="s">
        <v>693</v>
      </c>
      <c r="C292" s="1173"/>
      <c r="D292" s="1173"/>
      <c r="E292" s="1173"/>
      <c r="F292" s="1173"/>
      <c r="G292" s="350"/>
      <c r="H292" s="346"/>
      <c r="I292" s="350"/>
      <c r="J292" s="348"/>
      <c r="L292" s="304"/>
      <c r="M292" s="280"/>
      <c r="N292" s="280"/>
      <c r="O292" s="280"/>
      <c r="P292" s="280"/>
      <c r="Q292" s="280"/>
    </row>
    <row r="293" spans="2:17">
      <c r="B293" s="1174" t="s">
        <v>694</v>
      </c>
      <c r="C293" s="1175"/>
      <c r="D293" s="1175"/>
      <c r="E293" s="1175"/>
      <c r="F293" s="1175"/>
      <c r="G293" s="365"/>
      <c r="H293" s="364"/>
      <c r="I293" s="350"/>
      <c r="J293" s="348"/>
      <c r="L293" s="304"/>
      <c r="M293" s="280"/>
      <c r="N293" s="280"/>
      <c r="O293" s="280"/>
      <c r="P293" s="280"/>
      <c r="Q293" s="280"/>
    </row>
    <row r="294" spans="2:17">
      <c r="B294" s="1151" t="s">
        <v>695</v>
      </c>
      <c r="C294" s="1152"/>
      <c r="D294" s="1152"/>
      <c r="E294" s="1152"/>
      <c r="F294" s="1153"/>
      <c r="G294" s="1154">
        <f>SUM(H285:H291)-H293</f>
        <v>0</v>
      </c>
      <c r="H294" s="1155"/>
      <c r="I294" s="1156">
        <f>SUM(J285:J291)-J293</f>
        <v>0</v>
      </c>
      <c r="J294" s="1157"/>
      <c r="L294" s="304"/>
      <c r="M294" s="280"/>
      <c r="N294" s="280"/>
      <c r="O294" s="280"/>
      <c r="P294" s="280"/>
      <c r="Q294" s="280"/>
    </row>
    <row r="295" spans="2:17" ht="18.75">
      <c r="B295" s="1158" t="s">
        <v>696</v>
      </c>
      <c r="C295" s="1159"/>
      <c r="D295" s="1159"/>
      <c r="E295" s="1159"/>
      <c r="F295" s="1160"/>
      <c r="G295" s="1161" t="str">
        <f>IF(OR(N287=0, I294=0), "12 Month Average", "24 Month Average")</f>
        <v>12 Month Average</v>
      </c>
      <c r="H295" s="1162"/>
      <c r="I295" s="1162"/>
      <c r="J295" s="1163"/>
      <c r="L295" s="304"/>
      <c r="M295" s="280"/>
      <c r="N295" s="280"/>
      <c r="O295" s="280"/>
      <c r="P295" s="280"/>
      <c r="Q295" s="280"/>
    </row>
    <row r="296" spans="2:17" ht="34.5" thickBot="1">
      <c r="B296" s="1164" t="s">
        <v>697</v>
      </c>
      <c r="C296" s="1165"/>
      <c r="D296" s="1165"/>
      <c r="E296" s="1165"/>
      <c r="F296" s="1166"/>
      <c r="G296" s="1167">
        <f>IF(OR(N287=0, I294=0), N289, N290)</f>
        <v>0</v>
      </c>
      <c r="H296" s="1168"/>
      <c r="I296" s="1168"/>
      <c r="J296" s="1169"/>
      <c r="L296" s="304"/>
      <c r="M296" s="280"/>
      <c r="N296" s="280"/>
      <c r="O296" s="280"/>
      <c r="P296" s="280"/>
      <c r="Q296" s="280"/>
    </row>
    <row r="297" spans="2:17" ht="15.75" thickBot="1">
      <c r="L297" s="304"/>
      <c r="M297" s="280"/>
      <c r="N297" s="280"/>
      <c r="O297" s="280"/>
      <c r="P297" s="280"/>
      <c r="Q297" s="280"/>
    </row>
    <row r="298" spans="2:17" ht="105.6" customHeight="1" thickBot="1">
      <c r="B298" s="1148" t="s">
        <v>699</v>
      </c>
      <c r="C298" s="1149"/>
      <c r="D298" s="1149"/>
      <c r="E298" s="1149"/>
      <c r="F298" s="1149"/>
      <c r="G298" s="1149"/>
      <c r="H298" s="1149"/>
      <c r="I298" s="1149"/>
      <c r="J298" s="1150"/>
      <c r="L298" s="304"/>
      <c r="M298" s="280"/>
      <c r="N298" s="280"/>
      <c r="O298" s="280"/>
      <c r="P298" s="280"/>
      <c r="Q298" s="280"/>
    </row>
    <row r="299" spans="2:17">
      <c r="M299" s="280"/>
      <c r="N299" s="280"/>
      <c r="O299" s="280"/>
      <c r="P299" s="280"/>
      <c r="Q299" s="280"/>
    </row>
    <row r="300" spans="2:17" ht="15.75" thickBot="1">
      <c r="L300" s="304"/>
      <c r="M300" s="280"/>
      <c r="N300" s="280"/>
      <c r="O300" s="280"/>
      <c r="P300" s="280"/>
      <c r="Q300" s="280"/>
    </row>
    <row r="301" spans="2:17" ht="54.6" customHeight="1">
      <c r="B301" s="1187" t="s">
        <v>669</v>
      </c>
      <c r="C301" s="1188"/>
      <c r="D301" s="1188"/>
      <c r="E301" s="1188"/>
      <c r="F301" s="1188"/>
      <c r="G301" s="1188"/>
      <c r="H301" s="1188"/>
      <c r="I301" s="1188"/>
      <c r="J301" s="331" t="str">
        <f>'[3]Reference Sheet'!$B$2</f>
        <v>Rev. 4.12.2016</v>
      </c>
      <c r="L301" s="304"/>
      <c r="M301" s="280"/>
      <c r="N301" s="280"/>
      <c r="O301" s="280"/>
      <c r="P301" s="280"/>
      <c r="Q301" s="280"/>
    </row>
    <row r="302" spans="2:17" ht="3.75" customHeight="1">
      <c r="B302" s="332"/>
      <c r="C302" s="333"/>
      <c r="D302" s="333"/>
      <c r="E302" s="333"/>
      <c r="F302" s="333"/>
      <c r="G302" s="333"/>
      <c r="H302" s="333"/>
      <c r="I302" s="333"/>
      <c r="J302" s="334"/>
      <c r="L302" s="304"/>
      <c r="M302" s="280"/>
      <c r="N302" s="280"/>
      <c r="O302" s="280"/>
      <c r="P302" s="280"/>
      <c r="Q302" s="280"/>
    </row>
    <row r="303" spans="2:17" ht="18" customHeight="1" thickBot="1">
      <c r="B303" s="332"/>
      <c r="C303" s="336" t="s">
        <v>533</v>
      </c>
      <c r="D303" s="1189"/>
      <c r="E303" s="1190"/>
      <c r="F303" s="1190"/>
      <c r="G303" s="1190"/>
      <c r="H303" s="336" t="s">
        <v>67</v>
      </c>
      <c r="I303" s="1191"/>
      <c r="J303" s="1192"/>
      <c r="L303" s="304"/>
      <c r="M303" s="280"/>
      <c r="N303" s="280"/>
      <c r="O303" s="280"/>
      <c r="P303" s="280"/>
      <c r="Q303" s="280"/>
    </row>
    <row r="304" spans="2:17" ht="18" customHeight="1" thickBot="1">
      <c r="B304" s="337"/>
      <c r="C304" s="338" t="s">
        <v>535</v>
      </c>
      <c r="D304" s="1193"/>
      <c r="E304" s="1194"/>
      <c r="F304" s="1194"/>
      <c r="G304" s="1194"/>
      <c r="H304" s="339"/>
      <c r="I304" s="339"/>
      <c r="J304" s="340"/>
      <c r="L304" s="304"/>
      <c r="M304" s="280"/>
      <c r="N304" s="280"/>
      <c r="O304" s="280"/>
      <c r="P304" s="280"/>
      <c r="Q304" s="280"/>
    </row>
    <row r="305" spans="2:17" ht="18" customHeight="1" thickBot="1">
      <c r="B305" s="1176" t="s">
        <v>671</v>
      </c>
      <c r="C305" s="1177"/>
      <c r="D305" s="1195"/>
      <c r="E305" s="1196"/>
      <c r="F305" s="1196"/>
      <c r="G305" s="1196"/>
      <c r="H305" s="341" t="s">
        <v>673</v>
      </c>
      <c r="I305" s="1195"/>
      <c r="J305" s="1197"/>
      <c r="L305" s="304"/>
      <c r="M305" s="280"/>
      <c r="N305" s="280"/>
      <c r="O305" s="280"/>
      <c r="P305" s="280"/>
      <c r="Q305" s="280"/>
    </row>
    <row r="306" spans="2:17" ht="18" customHeight="1" thickBot="1">
      <c r="B306" s="1176" t="s">
        <v>674</v>
      </c>
      <c r="C306" s="1177"/>
      <c r="D306" s="1178"/>
      <c r="E306" s="1179"/>
      <c r="F306" s="1179"/>
      <c r="G306" s="1179"/>
      <c r="H306" s="1179"/>
      <c r="I306" s="1179"/>
      <c r="J306" s="1180"/>
      <c r="L306" s="304"/>
      <c r="M306" s="280"/>
      <c r="N306" s="280"/>
      <c r="O306" s="280"/>
      <c r="P306" s="280"/>
      <c r="Q306" s="280"/>
    </row>
    <row r="307" spans="2:17">
      <c r="B307" s="1181" t="s">
        <v>675</v>
      </c>
      <c r="C307" s="1182"/>
      <c r="D307" s="1182"/>
      <c r="E307" s="1182"/>
      <c r="F307" s="1182"/>
      <c r="G307" s="342"/>
      <c r="H307" s="343" t="s">
        <v>676</v>
      </c>
      <c r="I307" s="342"/>
      <c r="J307" s="344" t="s">
        <v>677</v>
      </c>
      <c r="L307" s="304"/>
      <c r="M307" s="1183" t="s">
        <v>702</v>
      </c>
      <c r="N307" s="1183"/>
      <c r="O307" s="1183"/>
      <c r="P307" s="1183"/>
      <c r="Q307" s="1183"/>
    </row>
    <row r="308" spans="2:17">
      <c r="B308" s="1184" t="s">
        <v>679</v>
      </c>
      <c r="C308" s="1185"/>
      <c r="D308" s="1185"/>
      <c r="E308" s="1185"/>
      <c r="F308" s="1185"/>
      <c r="G308" s="345"/>
      <c r="H308" s="346"/>
      <c r="I308" s="347"/>
      <c r="J308" s="348"/>
      <c r="L308" s="304"/>
      <c r="M308" s="280" t="s">
        <v>680</v>
      </c>
      <c r="N308" s="280">
        <f>IF(AND(J308=0, J310=0, J311=0, J312=0, J313=0, J314=0, J315=0, J316=0, J317=0), 0, 1)</f>
        <v>0</v>
      </c>
      <c r="O308" s="280"/>
      <c r="P308" s="349"/>
      <c r="Q308" s="349" t="s">
        <v>596</v>
      </c>
    </row>
    <row r="309" spans="2:17">
      <c r="B309" s="1172" t="s">
        <v>681</v>
      </c>
      <c r="C309" s="1186"/>
      <c r="D309" s="1186"/>
      <c r="E309" s="1186"/>
      <c r="F309" s="1186"/>
      <c r="G309" s="350"/>
      <c r="H309" s="351"/>
      <c r="I309" s="350"/>
      <c r="J309" s="352"/>
      <c r="L309" s="304"/>
      <c r="M309" s="280" t="s">
        <v>682</v>
      </c>
      <c r="N309" s="280">
        <f>IF(AND(G317&lt;=I317, I317&lt;&gt;0), 0, 1)</f>
        <v>1</v>
      </c>
      <c r="O309" s="280"/>
      <c r="P309" s="349"/>
      <c r="Q309" s="349" t="s">
        <v>683</v>
      </c>
    </row>
    <row r="310" spans="2:17">
      <c r="B310" s="1170" t="s">
        <v>684</v>
      </c>
      <c r="C310" s="1171"/>
      <c r="D310" s="1171"/>
      <c r="E310" s="1171"/>
      <c r="F310" s="1171"/>
      <c r="G310" s="345"/>
      <c r="H310" s="346"/>
      <c r="I310" s="347"/>
      <c r="J310" s="348"/>
      <c r="L310" s="304"/>
      <c r="M310" s="280" t="s">
        <v>685</v>
      </c>
      <c r="N310" s="280">
        <f>IF(AND(N309=0, N308=1), 0, 1)</f>
        <v>1</v>
      </c>
      <c r="O310" s="280"/>
      <c r="P310" s="349"/>
      <c r="Q310" s="349" t="s">
        <v>599</v>
      </c>
    </row>
    <row r="311" spans="2:17">
      <c r="B311" s="1170" t="s">
        <v>686</v>
      </c>
      <c r="C311" s="1171"/>
      <c r="D311" s="1171"/>
      <c r="E311" s="1171"/>
      <c r="F311" s="1171"/>
      <c r="G311" s="345"/>
      <c r="H311" s="346"/>
      <c r="I311" s="347"/>
      <c r="J311" s="355"/>
      <c r="L311" s="304"/>
      <c r="M311" s="280"/>
      <c r="N311" s="280"/>
      <c r="O311" s="280"/>
      <c r="P311" s="349"/>
      <c r="Q311" s="349" t="s">
        <v>603</v>
      </c>
    </row>
    <row r="312" spans="2:17">
      <c r="B312" s="353" t="s">
        <v>687</v>
      </c>
      <c r="C312" s="354"/>
      <c r="D312" s="354"/>
      <c r="E312" s="356"/>
      <c r="F312" s="357" t="s">
        <v>688</v>
      </c>
      <c r="G312" s="358"/>
      <c r="H312" s="359">
        <f>(G312*0.24)</f>
        <v>0</v>
      </c>
      <c r="I312" s="360"/>
      <c r="J312" s="361">
        <f>(I312*0.22)</f>
        <v>0</v>
      </c>
      <c r="L312" s="304"/>
      <c r="M312" s="280" t="s">
        <v>689</v>
      </c>
      <c r="N312" s="362">
        <f>G317/12</f>
        <v>0</v>
      </c>
      <c r="O312" s="280"/>
      <c r="P312" s="349"/>
      <c r="Q312" s="349" t="s">
        <v>605</v>
      </c>
    </row>
    <row r="313" spans="2:17">
      <c r="B313" s="1170" t="s">
        <v>690</v>
      </c>
      <c r="C313" s="1171"/>
      <c r="D313" s="1171"/>
      <c r="E313" s="1171"/>
      <c r="F313" s="1171"/>
      <c r="G313" s="363"/>
      <c r="H313" s="364"/>
      <c r="I313" s="347"/>
      <c r="J313" s="355"/>
      <c r="L313" s="304"/>
      <c r="M313" s="280" t="s">
        <v>691</v>
      </c>
      <c r="N313" s="362">
        <f>(G317+I317)/24</f>
        <v>0</v>
      </c>
      <c r="O313" s="280"/>
      <c r="P313" s="349"/>
      <c r="Q313" s="349"/>
    </row>
    <row r="314" spans="2:17">
      <c r="B314" s="1170" t="s">
        <v>692</v>
      </c>
      <c r="C314" s="1171"/>
      <c r="D314" s="1171"/>
      <c r="E314" s="1171"/>
      <c r="F314" s="1171"/>
      <c r="G314" s="345"/>
      <c r="H314" s="364"/>
      <c r="I314" s="350"/>
      <c r="J314" s="348"/>
      <c r="L314" s="304"/>
      <c r="M314" s="280"/>
      <c r="N314" s="280"/>
      <c r="O314" s="280"/>
      <c r="P314" s="280"/>
      <c r="Q314" s="280"/>
    </row>
    <row r="315" spans="2:17">
      <c r="B315" s="1172" t="s">
        <v>693</v>
      </c>
      <c r="C315" s="1173"/>
      <c r="D315" s="1173"/>
      <c r="E315" s="1173"/>
      <c r="F315" s="1173"/>
      <c r="G315" s="350"/>
      <c r="H315" s="346"/>
      <c r="I315" s="350"/>
      <c r="J315" s="348"/>
      <c r="L315" s="304"/>
      <c r="M315" s="280"/>
      <c r="N315" s="280"/>
      <c r="O315" s="280"/>
      <c r="P315" s="280"/>
      <c r="Q315" s="280"/>
    </row>
    <row r="316" spans="2:17">
      <c r="B316" s="1174" t="s">
        <v>694</v>
      </c>
      <c r="C316" s="1175"/>
      <c r="D316" s="1175"/>
      <c r="E316" s="1175"/>
      <c r="F316" s="1175"/>
      <c r="G316" s="365"/>
      <c r="H316" s="364"/>
      <c r="I316" s="350"/>
      <c r="J316" s="348"/>
      <c r="L316" s="304"/>
      <c r="M316" s="280"/>
      <c r="N316" s="280"/>
      <c r="O316" s="280"/>
      <c r="P316" s="280"/>
      <c r="Q316" s="280"/>
    </row>
    <row r="317" spans="2:17">
      <c r="B317" s="1151" t="s">
        <v>695</v>
      </c>
      <c r="C317" s="1152"/>
      <c r="D317" s="1152"/>
      <c r="E317" s="1152"/>
      <c r="F317" s="1153"/>
      <c r="G317" s="1154">
        <f>SUM(H308:H314)-H316</f>
        <v>0</v>
      </c>
      <c r="H317" s="1155"/>
      <c r="I317" s="1156">
        <f>SUM(J308:J314)-J316</f>
        <v>0</v>
      </c>
      <c r="J317" s="1157"/>
      <c r="L317" s="304"/>
      <c r="M317" s="280"/>
      <c r="N317" s="280"/>
      <c r="O317" s="280"/>
      <c r="P317" s="280"/>
      <c r="Q317" s="280"/>
    </row>
    <row r="318" spans="2:17" ht="18.75">
      <c r="B318" s="1158" t="s">
        <v>696</v>
      </c>
      <c r="C318" s="1159"/>
      <c r="D318" s="1159"/>
      <c r="E318" s="1159"/>
      <c r="F318" s="1160"/>
      <c r="G318" s="1161" t="str">
        <f>IF(OR(N310=0, I317=0), "12 Month Average", "24 Month Average")</f>
        <v>12 Month Average</v>
      </c>
      <c r="H318" s="1162"/>
      <c r="I318" s="1162"/>
      <c r="J318" s="1163"/>
      <c r="L318" s="304"/>
      <c r="M318" s="280"/>
      <c r="N318" s="280"/>
      <c r="O318" s="280"/>
      <c r="P318" s="280"/>
      <c r="Q318" s="280"/>
    </row>
    <row r="319" spans="2:17" ht="34.5" thickBot="1">
      <c r="B319" s="1164" t="s">
        <v>697</v>
      </c>
      <c r="C319" s="1165"/>
      <c r="D319" s="1165"/>
      <c r="E319" s="1165"/>
      <c r="F319" s="1166"/>
      <c r="G319" s="1167">
        <f>IF(OR(N310=0, I317=0), N312, N313)</f>
        <v>0</v>
      </c>
      <c r="H319" s="1168"/>
      <c r="I319" s="1168"/>
      <c r="J319" s="1169"/>
      <c r="L319" s="304"/>
      <c r="M319" s="280"/>
      <c r="N319" s="280"/>
      <c r="O319" s="280"/>
      <c r="P319" s="280"/>
      <c r="Q319" s="280"/>
    </row>
    <row r="320" spans="2:17" ht="15.75" thickBot="1">
      <c r="L320" s="304"/>
      <c r="M320" s="280"/>
      <c r="N320" s="280"/>
      <c r="O320" s="280"/>
      <c r="P320" s="280"/>
      <c r="Q320" s="280"/>
    </row>
    <row r="321" spans="2:18" ht="105.6" customHeight="1" thickBot="1">
      <c r="B321" s="1148" t="s">
        <v>699</v>
      </c>
      <c r="C321" s="1149"/>
      <c r="D321" s="1149"/>
      <c r="E321" s="1149"/>
      <c r="F321" s="1149"/>
      <c r="G321" s="1149"/>
      <c r="H321" s="1149"/>
      <c r="I321" s="1149"/>
      <c r="J321" s="1150"/>
      <c r="L321" s="304"/>
      <c r="M321" s="280"/>
      <c r="N321" s="280"/>
      <c r="O321" s="280"/>
      <c r="P321" s="280"/>
      <c r="Q321" s="280"/>
    </row>
    <row r="322" spans="2:18">
      <c r="M322" s="280"/>
      <c r="N322" s="280"/>
      <c r="O322" s="280"/>
      <c r="P322" s="280"/>
      <c r="Q322" s="280"/>
    </row>
    <row r="323" spans="2:18" ht="15.75" thickBot="1">
      <c r="L323" s="304"/>
      <c r="M323" s="280"/>
      <c r="N323" s="280"/>
      <c r="O323" s="280"/>
      <c r="P323" s="280"/>
      <c r="Q323" s="280"/>
      <c r="R323" s="304"/>
    </row>
    <row r="324" spans="2:18" ht="54.6" customHeight="1">
      <c r="B324" s="1187" t="s">
        <v>669</v>
      </c>
      <c r="C324" s="1188"/>
      <c r="D324" s="1188"/>
      <c r="E324" s="1188"/>
      <c r="F324" s="1188"/>
      <c r="G324" s="1188"/>
      <c r="H324" s="1188"/>
      <c r="I324" s="1188"/>
      <c r="J324" s="331" t="str">
        <f>'[3]Reference Sheet'!$B$2</f>
        <v>Rev. 4.12.2016</v>
      </c>
      <c r="L324" s="304"/>
      <c r="M324" s="280"/>
      <c r="N324" s="280"/>
      <c r="O324" s="280"/>
      <c r="P324" s="280"/>
      <c r="Q324" s="280"/>
      <c r="R324" s="304"/>
    </row>
    <row r="325" spans="2:18" ht="3.75" customHeight="1">
      <c r="B325" s="332"/>
      <c r="C325" s="333"/>
      <c r="D325" s="333"/>
      <c r="E325" s="333"/>
      <c r="F325" s="333"/>
      <c r="G325" s="333"/>
      <c r="H325" s="333"/>
      <c r="I325" s="333"/>
      <c r="J325" s="334"/>
      <c r="L325" s="304"/>
      <c r="M325" s="280"/>
      <c r="N325" s="280"/>
      <c r="O325" s="280"/>
      <c r="P325" s="280"/>
      <c r="Q325" s="280"/>
      <c r="R325" s="304"/>
    </row>
    <row r="326" spans="2:18" ht="18" customHeight="1" thickBot="1">
      <c r="B326" s="332"/>
      <c r="C326" s="336" t="s">
        <v>533</v>
      </c>
      <c r="D326" s="1189"/>
      <c r="E326" s="1190"/>
      <c r="F326" s="1190"/>
      <c r="G326" s="1190"/>
      <c r="H326" s="336" t="s">
        <v>67</v>
      </c>
      <c r="I326" s="1191"/>
      <c r="J326" s="1192"/>
      <c r="L326" s="304"/>
      <c r="M326" s="280"/>
      <c r="N326" s="280"/>
      <c r="O326" s="280"/>
      <c r="P326" s="280"/>
      <c r="Q326" s="280"/>
      <c r="R326" s="304"/>
    </row>
    <row r="327" spans="2:18" ht="18" customHeight="1" thickBot="1">
      <c r="B327" s="337"/>
      <c r="C327" s="338" t="s">
        <v>535</v>
      </c>
      <c r="D327" s="1193"/>
      <c r="E327" s="1194"/>
      <c r="F327" s="1194"/>
      <c r="G327" s="1194"/>
      <c r="H327" s="339"/>
      <c r="I327" s="339"/>
      <c r="J327" s="340"/>
      <c r="L327" s="304"/>
      <c r="M327" s="280"/>
      <c r="N327" s="280"/>
      <c r="O327" s="280"/>
      <c r="P327" s="280"/>
      <c r="Q327" s="280"/>
      <c r="R327" s="304"/>
    </row>
    <row r="328" spans="2:18" ht="18" customHeight="1" thickBot="1">
      <c r="B328" s="1176" t="s">
        <v>671</v>
      </c>
      <c r="C328" s="1177"/>
      <c r="D328" s="1195"/>
      <c r="E328" s="1196"/>
      <c r="F328" s="1196"/>
      <c r="G328" s="1196"/>
      <c r="H328" s="341" t="s">
        <v>673</v>
      </c>
      <c r="I328" s="1195"/>
      <c r="J328" s="1197"/>
      <c r="L328" s="304"/>
      <c r="M328" s="280"/>
      <c r="N328" s="280"/>
      <c r="O328" s="280"/>
      <c r="P328" s="280"/>
      <c r="Q328" s="280"/>
      <c r="R328" s="304"/>
    </row>
    <row r="329" spans="2:18" ht="18" customHeight="1" thickBot="1">
      <c r="B329" s="1176" t="s">
        <v>674</v>
      </c>
      <c r="C329" s="1177"/>
      <c r="D329" s="1178"/>
      <c r="E329" s="1179"/>
      <c r="F329" s="1179"/>
      <c r="G329" s="1179"/>
      <c r="H329" s="1179"/>
      <c r="I329" s="1179"/>
      <c r="J329" s="1180"/>
      <c r="L329" s="304"/>
      <c r="M329" s="280"/>
      <c r="N329" s="280"/>
      <c r="O329" s="280"/>
      <c r="P329" s="280"/>
      <c r="Q329" s="280"/>
      <c r="R329" s="304"/>
    </row>
    <row r="330" spans="2:18">
      <c r="B330" s="1181" t="s">
        <v>675</v>
      </c>
      <c r="C330" s="1182"/>
      <c r="D330" s="1182"/>
      <c r="E330" s="1182"/>
      <c r="F330" s="1182"/>
      <c r="G330" s="342"/>
      <c r="H330" s="343" t="s">
        <v>676</v>
      </c>
      <c r="I330" s="342"/>
      <c r="J330" s="344" t="s">
        <v>677</v>
      </c>
      <c r="L330" s="304"/>
      <c r="M330" s="1183" t="s">
        <v>703</v>
      </c>
      <c r="N330" s="1183"/>
      <c r="O330" s="1183"/>
      <c r="P330" s="1183"/>
      <c r="Q330" s="1183"/>
      <c r="R330" s="304"/>
    </row>
    <row r="331" spans="2:18">
      <c r="B331" s="1184" t="s">
        <v>679</v>
      </c>
      <c r="C331" s="1185"/>
      <c r="D331" s="1185"/>
      <c r="E331" s="1185"/>
      <c r="F331" s="1185"/>
      <c r="G331" s="345"/>
      <c r="H331" s="346"/>
      <c r="I331" s="347"/>
      <c r="J331" s="348"/>
      <c r="L331" s="304"/>
      <c r="M331" s="280" t="s">
        <v>680</v>
      </c>
      <c r="N331" s="280">
        <f>IF(AND(J331=0, J333=0, J334=0, J335=0, J336=0, J337=0, J338=0, J339=0, J340=0), 0, 1)</f>
        <v>0</v>
      </c>
      <c r="O331" s="280"/>
      <c r="P331" s="349"/>
      <c r="Q331" s="349" t="s">
        <v>596</v>
      </c>
      <c r="R331" s="304"/>
    </row>
    <row r="332" spans="2:18">
      <c r="B332" s="1172" t="s">
        <v>681</v>
      </c>
      <c r="C332" s="1186"/>
      <c r="D332" s="1186"/>
      <c r="E332" s="1186"/>
      <c r="F332" s="1186"/>
      <c r="G332" s="350"/>
      <c r="H332" s="351"/>
      <c r="I332" s="350"/>
      <c r="J332" s="352"/>
      <c r="L332" s="304"/>
      <c r="M332" s="280" t="s">
        <v>682</v>
      </c>
      <c r="N332" s="280">
        <f>IF(AND(G340&lt;=I340, I340&lt;&gt;0), 0, 1)</f>
        <v>1</v>
      </c>
      <c r="O332" s="280"/>
      <c r="P332" s="349"/>
      <c r="Q332" s="349" t="s">
        <v>683</v>
      </c>
      <c r="R332" s="304"/>
    </row>
    <row r="333" spans="2:18">
      <c r="B333" s="1170" t="s">
        <v>684</v>
      </c>
      <c r="C333" s="1171"/>
      <c r="D333" s="1171"/>
      <c r="E333" s="1171"/>
      <c r="F333" s="1171"/>
      <c r="G333" s="345"/>
      <c r="H333" s="346"/>
      <c r="I333" s="347"/>
      <c r="J333" s="348"/>
      <c r="L333" s="304"/>
      <c r="M333" s="280" t="s">
        <v>685</v>
      </c>
      <c r="N333" s="280">
        <f>IF(AND(N332=0, N331=1), 0, 1)</f>
        <v>1</v>
      </c>
      <c r="O333" s="280"/>
      <c r="P333" s="349"/>
      <c r="Q333" s="349" t="s">
        <v>599</v>
      </c>
      <c r="R333" s="304"/>
    </row>
    <row r="334" spans="2:18">
      <c r="B334" s="1170" t="s">
        <v>686</v>
      </c>
      <c r="C334" s="1171"/>
      <c r="D334" s="1171"/>
      <c r="E334" s="1171"/>
      <c r="F334" s="1171"/>
      <c r="G334" s="345"/>
      <c r="H334" s="346"/>
      <c r="I334" s="347"/>
      <c r="J334" s="355"/>
      <c r="L334" s="304"/>
      <c r="M334" s="280"/>
      <c r="N334" s="280"/>
      <c r="O334" s="280"/>
      <c r="P334" s="349"/>
      <c r="Q334" s="349" t="s">
        <v>603</v>
      </c>
      <c r="R334" s="304"/>
    </row>
    <row r="335" spans="2:18">
      <c r="B335" s="353" t="s">
        <v>687</v>
      </c>
      <c r="C335" s="354"/>
      <c r="D335" s="354"/>
      <c r="E335" s="356"/>
      <c r="F335" s="357" t="s">
        <v>688</v>
      </c>
      <c r="G335" s="358"/>
      <c r="H335" s="359">
        <f>(G335*0.24)</f>
        <v>0</v>
      </c>
      <c r="I335" s="360"/>
      <c r="J335" s="361">
        <f>(I335*0.22)</f>
        <v>0</v>
      </c>
      <c r="L335" s="304"/>
      <c r="M335" s="280" t="s">
        <v>689</v>
      </c>
      <c r="N335" s="362">
        <f>G340/12</f>
        <v>0</v>
      </c>
      <c r="O335" s="280"/>
      <c r="P335" s="349"/>
      <c r="Q335" s="349" t="s">
        <v>605</v>
      </c>
      <c r="R335" s="304"/>
    </row>
    <row r="336" spans="2:18">
      <c r="B336" s="1170" t="s">
        <v>690</v>
      </c>
      <c r="C336" s="1171"/>
      <c r="D336" s="1171"/>
      <c r="E336" s="1171"/>
      <c r="F336" s="1171"/>
      <c r="G336" s="363"/>
      <c r="H336" s="364"/>
      <c r="I336" s="347"/>
      <c r="J336" s="355"/>
      <c r="L336" s="304"/>
      <c r="M336" s="280" t="s">
        <v>691</v>
      </c>
      <c r="N336" s="362">
        <f>(G340+I340)/24</f>
        <v>0</v>
      </c>
      <c r="O336" s="280"/>
      <c r="P336" s="349"/>
      <c r="Q336" s="349"/>
      <c r="R336" s="304"/>
    </row>
    <row r="337" spans="2:18">
      <c r="B337" s="1170" t="s">
        <v>692</v>
      </c>
      <c r="C337" s="1171"/>
      <c r="D337" s="1171"/>
      <c r="E337" s="1171"/>
      <c r="F337" s="1171"/>
      <c r="G337" s="345"/>
      <c r="H337" s="364"/>
      <c r="I337" s="350"/>
      <c r="J337" s="348"/>
      <c r="L337" s="304"/>
      <c r="M337" s="280"/>
      <c r="N337" s="280"/>
      <c r="O337" s="280"/>
      <c r="P337" s="280"/>
      <c r="Q337" s="280"/>
      <c r="R337" s="304"/>
    </row>
    <row r="338" spans="2:18">
      <c r="B338" s="1172" t="s">
        <v>693</v>
      </c>
      <c r="C338" s="1173"/>
      <c r="D338" s="1173"/>
      <c r="E338" s="1173"/>
      <c r="F338" s="1173"/>
      <c r="G338" s="350"/>
      <c r="H338" s="346"/>
      <c r="I338" s="350"/>
      <c r="J338" s="348"/>
      <c r="L338" s="304"/>
      <c r="M338" s="280"/>
      <c r="N338" s="280"/>
      <c r="O338" s="280"/>
      <c r="P338" s="280"/>
      <c r="Q338" s="280"/>
      <c r="R338" s="304"/>
    </row>
    <row r="339" spans="2:18">
      <c r="B339" s="1174" t="s">
        <v>694</v>
      </c>
      <c r="C339" s="1175"/>
      <c r="D339" s="1175"/>
      <c r="E339" s="1175"/>
      <c r="F339" s="1175"/>
      <c r="G339" s="365"/>
      <c r="H339" s="364"/>
      <c r="I339" s="350"/>
      <c r="J339" s="348"/>
      <c r="L339" s="304"/>
      <c r="M339" s="280"/>
      <c r="N339" s="280"/>
      <c r="O339" s="280"/>
      <c r="P339" s="280"/>
      <c r="Q339" s="280"/>
      <c r="R339" s="304"/>
    </row>
    <row r="340" spans="2:18">
      <c r="B340" s="1151" t="s">
        <v>695</v>
      </c>
      <c r="C340" s="1152"/>
      <c r="D340" s="1152"/>
      <c r="E340" s="1152"/>
      <c r="F340" s="1153"/>
      <c r="G340" s="1154">
        <f>SUM(H331:H337)-H339</f>
        <v>0</v>
      </c>
      <c r="H340" s="1155"/>
      <c r="I340" s="1156">
        <f>SUM(J331:J337)-J339</f>
        <v>0</v>
      </c>
      <c r="J340" s="1157"/>
      <c r="L340" s="304"/>
      <c r="M340" s="280"/>
      <c r="N340" s="280"/>
      <c r="O340" s="280"/>
      <c r="P340" s="280"/>
      <c r="Q340" s="280"/>
      <c r="R340" s="304"/>
    </row>
    <row r="341" spans="2:18" ht="18.75">
      <c r="B341" s="1158" t="s">
        <v>696</v>
      </c>
      <c r="C341" s="1159"/>
      <c r="D341" s="1159"/>
      <c r="E341" s="1159"/>
      <c r="F341" s="1160"/>
      <c r="G341" s="1161" t="str">
        <f>IF(OR(N333=0, I340=0), "12 Month Average", "24 Month Average")</f>
        <v>12 Month Average</v>
      </c>
      <c r="H341" s="1162"/>
      <c r="I341" s="1162"/>
      <c r="J341" s="1163"/>
      <c r="L341" s="304"/>
      <c r="M341" s="280"/>
      <c r="N341" s="280"/>
      <c r="O341" s="280"/>
      <c r="P341" s="280"/>
      <c r="Q341" s="280"/>
      <c r="R341" s="304"/>
    </row>
    <row r="342" spans="2:18" ht="34.5" thickBot="1">
      <c r="B342" s="1164" t="s">
        <v>697</v>
      </c>
      <c r="C342" s="1165"/>
      <c r="D342" s="1165"/>
      <c r="E342" s="1165"/>
      <c r="F342" s="1166"/>
      <c r="G342" s="1167">
        <f>IF(OR(N333=0, I340=0), N335, N336)</f>
        <v>0</v>
      </c>
      <c r="H342" s="1168"/>
      <c r="I342" s="1168"/>
      <c r="J342" s="1169"/>
      <c r="L342" s="304"/>
      <c r="M342" s="280"/>
      <c r="N342" s="280"/>
      <c r="O342" s="280"/>
      <c r="P342" s="280"/>
      <c r="Q342" s="280"/>
      <c r="R342" s="304"/>
    </row>
    <row r="343" spans="2:18" ht="15.75" thickBot="1">
      <c r="L343" s="304"/>
      <c r="M343" s="280"/>
      <c r="N343" s="280"/>
      <c r="O343" s="280"/>
      <c r="P343" s="280"/>
      <c r="Q343" s="280"/>
      <c r="R343" s="304"/>
    </row>
    <row r="344" spans="2:18" ht="105.6" customHeight="1" thickBot="1">
      <c r="B344" s="1148" t="s">
        <v>699</v>
      </c>
      <c r="C344" s="1149"/>
      <c r="D344" s="1149"/>
      <c r="E344" s="1149"/>
      <c r="F344" s="1149"/>
      <c r="G344" s="1149"/>
      <c r="H344" s="1149"/>
      <c r="I344" s="1149"/>
      <c r="J344" s="1150"/>
      <c r="L344" s="304"/>
      <c r="M344" s="280"/>
      <c r="N344" s="280"/>
      <c r="O344" s="280"/>
      <c r="P344" s="280"/>
      <c r="Q344" s="280"/>
      <c r="R344" s="304"/>
    </row>
    <row r="345" spans="2:18">
      <c r="L345" s="304"/>
      <c r="M345" s="280"/>
      <c r="N345" s="280"/>
      <c r="O345" s="280"/>
      <c r="P345" s="280"/>
      <c r="Q345" s="280"/>
      <c r="R345" s="304"/>
    </row>
    <row r="346" spans="2:18" ht="15.75" thickBot="1">
      <c r="L346" s="304"/>
      <c r="M346" s="280"/>
      <c r="N346" s="280"/>
      <c r="O346" s="280"/>
      <c r="P346" s="280"/>
      <c r="Q346" s="280"/>
      <c r="R346" s="304"/>
    </row>
    <row r="347" spans="2:18" ht="54.6" customHeight="1">
      <c r="B347" s="1187" t="s">
        <v>669</v>
      </c>
      <c r="C347" s="1188"/>
      <c r="D347" s="1188"/>
      <c r="E347" s="1188"/>
      <c r="F347" s="1188"/>
      <c r="G347" s="1188"/>
      <c r="H347" s="1188"/>
      <c r="I347" s="1188"/>
      <c r="J347" s="331" t="str">
        <f>'[3]Reference Sheet'!$B$2</f>
        <v>Rev. 4.12.2016</v>
      </c>
      <c r="L347" s="304"/>
      <c r="M347" s="280"/>
      <c r="N347" s="280"/>
      <c r="O347" s="280"/>
      <c r="P347" s="280"/>
      <c r="Q347" s="280"/>
      <c r="R347" s="304"/>
    </row>
    <row r="348" spans="2:18" ht="3.75" customHeight="1">
      <c r="B348" s="332"/>
      <c r="C348" s="333"/>
      <c r="D348" s="333"/>
      <c r="E348" s="333"/>
      <c r="F348" s="333"/>
      <c r="G348" s="333"/>
      <c r="H348" s="333"/>
      <c r="I348" s="333"/>
      <c r="J348" s="334"/>
      <c r="L348" s="304"/>
      <c r="M348" s="280"/>
      <c r="N348" s="280"/>
      <c r="O348" s="280"/>
      <c r="P348" s="280"/>
      <c r="Q348" s="280"/>
      <c r="R348" s="304"/>
    </row>
    <row r="349" spans="2:18" ht="18" customHeight="1" thickBot="1">
      <c r="B349" s="332"/>
      <c r="C349" s="336" t="s">
        <v>533</v>
      </c>
      <c r="D349" s="1189"/>
      <c r="E349" s="1190"/>
      <c r="F349" s="1190"/>
      <c r="G349" s="1190"/>
      <c r="H349" s="336" t="s">
        <v>67</v>
      </c>
      <c r="I349" s="1191"/>
      <c r="J349" s="1192"/>
      <c r="L349" s="304"/>
      <c r="M349" s="280"/>
      <c r="N349" s="280"/>
      <c r="O349" s="280"/>
      <c r="P349" s="280"/>
      <c r="Q349" s="280"/>
      <c r="R349" s="304"/>
    </row>
    <row r="350" spans="2:18" ht="18" customHeight="1" thickBot="1">
      <c r="B350" s="337"/>
      <c r="C350" s="338" t="s">
        <v>535</v>
      </c>
      <c r="D350" s="1193"/>
      <c r="E350" s="1194"/>
      <c r="F350" s="1194"/>
      <c r="G350" s="1194"/>
      <c r="H350" s="339"/>
      <c r="I350" s="339"/>
      <c r="J350" s="340"/>
      <c r="L350" s="304"/>
      <c r="M350" s="280"/>
      <c r="N350" s="280"/>
      <c r="O350" s="280"/>
      <c r="P350" s="280"/>
      <c r="Q350" s="280"/>
      <c r="R350" s="304"/>
    </row>
    <row r="351" spans="2:18" ht="18" customHeight="1" thickBot="1">
      <c r="B351" s="1176" t="s">
        <v>671</v>
      </c>
      <c r="C351" s="1177"/>
      <c r="D351" s="1195"/>
      <c r="E351" s="1196"/>
      <c r="F351" s="1196"/>
      <c r="G351" s="1196"/>
      <c r="H351" s="341" t="s">
        <v>673</v>
      </c>
      <c r="I351" s="1195"/>
      <c r="J351" s="1197"/>
      <c r="L351" s="304"/>
      <c r="M351" s="280"/>
      <c r="N351" s="280"/>
      <c r="O351" s="280"/>
      <c r="P351" s="280"/>
      <c r="Q351" s="280"/>
      <c r="R351" s="304"/>
    </row>
    <row r="352" spans="2:18" ht="18" customHeight="1" thickBot="1">
      <c r="B352" s="1176" t="s">
        <v>674</v>
      </c>
      <c r="C352" s="1177"/>
      <c r="D352" s="1178"/>
      <c r="E352" s="1179"/>
      <c r="F352" s="1179"/>
      <c r="G352" s="1179"/>
      <c r="H352" s="1179"/>
      <c r="I352" s="1179"/>
      <c r="J352" s="1180"/>
      <c r="L352" s="304"/>
      <c r="M352" s="280"/>
      <c r="N352" s="280"/>
      <c r="O352" s="280"/>
      <c r="P352" s="280"/>
      <c r="Q352" s="280"/>
      <c r="R352" s="304"/>
    </row>
    <row r="353" spans="2:18">
      <c r="B353" s="1181" t="s">
        <v>675</v>
      </c>
      <c r="C353" s="1182"/>
      <c r="D353" s="1182"/>
      <c r="E353" s="1182"/>
      <c r="F353" s="1182"/>
      <c r="G353" s="342"/>
      <c r="H353" s="343" t="s">
        <v>676</v>
      </c>
      <c r="I353" s="342"/>
      <c r="J353" s="344" t="s">
        <v>677</v>
      </c>
      <c r="L353" s="304"/>
      <c r="M353" s="1183" t="s">
        <v>704</v>
      </c>
      <c r="N353" s="1183"/>
      <c r="O353" s="1183"/>
      <c r="P353" s="1183"/>
      <c r="Q353" s="1183"/>
      <c r="R353" s="304"/>
    </row>
    <row r="354" spans="2:18">
      <c r="B354" s="1184" t="s">
        <v>679</v>
      </c>
      <c r="C354" s="1185"/>
      <c r="D354" s="1185"/>
      <c r="E354" s="1185"/>
      <c r="F354" s="1185"/>
      <c r="G354" s="345"/>
      <c r="H354" s="346"/>
      <c r="I354" s="347"/>
      <c r="J354" s="348"/>
      <c r="L354" s="304"/>
      <c r="M354" s="280" t="s">
        <v>680</v>
      </c>
      <c r="N354" s="280">
        <f>IF(AND(J354=0, J356=0, J357=0, J358=0, J359=0, J360=0, J361=0, J362=0, J363=0), 0, 1)</f>
        <v>0</v>
      </c>
      <c r="O354" s="280"/>
      <c r="P354" s="349"/>
      <c r="Q354" s="349" t="s">
        <v>596</v>
      </c>
      <c r="R354" s="304"/>
    </row>
    <row r="355" spans="2:18">
      <c r="B355" s="1172" t="s">
        <v>681</v>
      </c>
      <c r="C355" s="1186"/>
      <c r="D355" s="1186"/>
      <c r="E355" s="1186"/>
      <c r="F355" s="1186"/>
      <c r="G355" s="350"/>
      <c r="H355" s="351"/>
      <c r="I355" s="350"/>
      <c r="J355" s="352"/>
      <c r="L355" s="304"/>
      <c r="M355" s="280" t="s">
        <v>682</v>
      </c>
      <c r="N355" s="280">
        <f>IF(AND(G363&lt;=I363, I363&lt;&gt;0), 0, 1)</f>
        <v>1</v>
      </c>
      <c r="O355" s="280"/>
      <c r="P355" s="349"/>
      <c r="Q355" s="349" t="s">
        <v>683</v>
      </c>
      <c r="R355" s="304"/>
    </row>
    <row r="356" spans="2:18">
      <c r="B356" s="1170" t="s">
        <v>684</v>
      </c>
      <c r="C356" s="1171"/>
      <c r="D356" s="1171"/>
      <c r="E356" s="1171"/>
      <c r="F356" s="1171"/>
      <c r="G356" s="345"/>
      <c r="H356" s="346"/>
      <c r="I356" s="347"/>
      <c r="J356" s="348"/>
      <c r="L356" s="304"/>
      <c r="M356" s="280" t="s">
        <v>685</v>
      </c>
      <c r="N356" s="280">
        <f>IF(AND(N355=0, N354=1), 0, 1)</f>
        <v>1</v>
      </c>
      <c r="O356" s="280"/>
      <c r="P356" s="349"/>
      <c r="Q356" s="349" t="s">
        <v>599</v>
      </c>
    </row>
    <row r="357" spans="2:18">
      <c r="B357" s="1170" t="s">
        <v>686</v>
      </c>
      <c r="C357" s="1171"/>
      <c r="D357" s="1171"/>
      <c r="E357" s="1171"/>
      <c r="F357" s="1171"/>
      <c r="G357" s="345"/>
      <c r="H357" s="346"/>
      <c r="I357" s="347"/>
      <c r="J357" s="355"/>
      <c r="L357" s="304"/>
      <c r="M357" s="280"/>
      <c r="N357" s="280"/>
      <c r="O357" s="280"/>
      <c r="P357" s="349"/>
      <c r="Q357" s="349" t="s">
        <v>603</v>
      </c>
    </row>
    <row r="358" spans="2:18">
      <c r="B358" s="353" t="s">
        <v>687</v>
      </c>
      <c r="C358" s="354"/>
      <c r="D358" s="354"/>
      <c r="E358" s="356"/>
      <c r="F358" s="357" t="s">
        <v>688</v>
      </c>
      <c r="G358" s="358"/>
      <c r="H358" s="359">
        <f>(G358*0.24)</f>
        <v>0</v>
      </c>
      <c r="I358" s="360"/>
      <c r="J358" s="361">
        <f>(I358*0.22)</f>
        <v>0</v>
      </c>
      <c r="L358" s="304"/>
      <c r="M358" s="280" t="s">
        <v>689</v>
      </c>
      <c r="N358" s="362">
        <f>G363/12</f>
        <v>0</v>
      </c>
      <c r="O358" s="280"/>
      <c r="P358" s="349"/>
      <c r="Q358" s="349" t="s">
        <v>605</v>
      </c>
    </row>
    <row r="359" spans="2:18">
      <c r="B359" s="1170" t="s">
        <v>690</v>
      </c>
      <c r="C359" s="1171"/>
      <c r="D359" s="1171"/>
      <c r="E359" s="1171"/>
      <c r="F359" s="1171"/>
      <c r="G359" s="363"/>
      <c r="H359" s="364"/>
      <c r="I359" s="347"/>
      <c r="J359" s="355"/>
      <c r="L359" s="304"/>
      <c r="M359" s="280" t="s">
        <v>691</v>
      </c>
      <c r="N359" s="362">
        <f>(G363+I363)/24</f>
        <v>0</v>
      </c>
      <c r="O359" s="280"/>
      <c r="P359" s="349"/>
      <c r="Q359" s="349"/>
    </row>
    <row r="360" spans="2:18">
      <c r="B360" s="1170" t="s">
        <v>692</v>
      </c>
      <c r="C360" s="1171"/>
      <c r="D360" s="1171"/>
      <c r="E360" s="1171"/>
      <c r="F360" s="1171"/>
      <c r="G360" s="345"/>
      <c r="H360" s="364"/>
      <c r="I360" s="350"/>
      <c r="J360" s="348"/>
      <c r="L360" s="304"/>
      <c r="M360" s="280"/>
      <c r="N360" s="280"/>
      <c r="O360" s="280"/>
      <c r="P360" s="280"/>
      <c r="Q360" s="280"/>
    </row>
    <row r="361" spans="2:18">
      <c r="B361" s="1172" t="s">
        <v>693</v>
      </c>
      <c r="C361" s="1173"/>
      <c r="D361" s="1173"/>
      <c r="E361" s="1173"/>
      <c r="F361" s="1173"/>
      <c r="G361" s="350"/>
      <c r="H361" s="346"/>
      <c r="I361" s="350"/>
      <c r="J361" s="348"/>
      <c r="L361" s="304"/>
      <c r="M361" s="280"/>
      <c r="N361" s="280"/>
      <c r="O361" s="280"/>
      <c r="P361" s="280"/>
      <c r="Q361" s="280"/>
    </row>
    <row r="362" spans="2:18">
      <c r="B362" s="1174" t="s">
        <v>694</v>
      </c>
      <c r="C362" s="1175"/>
      <c r="D362" s="1175"/>
      <c r="E362" s="1175"/>
      <c r="F362" s="1175"/>
      <c r="G362" s="365"/>
      <c r="H362" s="364"/>
      <c r="I362" s="350"/>
      <c r="J362" s="348"/>
      <c r="L362" s="304"/>
      <c r="M362" s="280"/>
      <c r="N362" s="280"/>
      <c r="O362" s="280"/>
      <c r="P362" s="280"/>
      <c r="Q362" s="280"/>
    </row>
    <row r="363" spans="2:18">
      <c r="B363" s="1151" t="s">
        <v>695</v>
      </c>
      <c r="C363" s="1152"/>
      <c r="D363" s="1152"/>
      <c r="E363" s="1152"/>
      <c r="F363" s="1153"/>
      <c r="G363" s="1154">
        <f>SUM(H354:H360)-H362</f>
        <v>0</v>
      </c>
      <c r="H363" s="1155"/>
      <c r="I363" s="1156">
        <f>SUM(J354:J360)-J362</f>
        <v>0</v>
      </c>
      <c r="J363" s="1157"/>
      <c r="L363" s="304"/>
      <c r="M363" s="280"/>
      <c r="N363" s="280"/>
      <c r="O363" s="280"/>
      <c r="P363" s="280"/>
      <c r="Q363" s="280"/>
    </row>
    <row r="364" spans="2:18" ht="18.75">
      <c r="B364" s="1158" t="s">
        <v>696</v>
      </c>
      <c r="C364" s="1159"/>
      <c r="D364" s="1159"/>
      <c r="E364" s="1159"/>
      <c r="F364" s="1160"/>
      <c r="G364" s="1161" t="str">
        <f>IF(OR(N356=0, I363=0), "12 Month Average", "24 Month Average")</f>
        <v>12 Month Average</v>
      </c>
      <c r="H364" s="1162"/>
      <c r="I364" s="1162"/>
      <c r="J364" s="1163"/>
      <c r="L364" s="304"/>
      <c r="M364" s="280"/>
      <c r="N364" s="280"/>
      <c r="O364" s="280"/>
      <c r="P364" s="280"/>
      <c r="Q364" s="280"/>
    </row>
    <row r="365" spans="2:18" ht="34.5" thickBot="1">
      <c r="B365" s="1164" t="s">
        <v>697</v>
      </c>
      <c r="C365" s="1165"/>
      <c r="D365" s="1165"/>
      <c r="E365" s="1165"/>
      <c r="F365" s="1166"/>
      <c r="G365" s="1167">
        <f>IF(OR(N356=0, I363=0), N358, N359)</f>
        <v>0</v>
      </c>
      <c r="H365" s="1168"/>
      <c r="I365" s="1168"/>
      <c r="J365" s="1169"/>
      <c r="L365" s="304"/>
      <c r="M365" s="280"/>
      <c r="N365" s="280"/>
      <c r="O365" s="280"/>
      <c r="P365" s="280"/>
      <c r="Q365" s="280"/>
    </row>
    <row r="366" spans="2:18" ht="15.75" thickBot="1">
      <c r="L366" s="304"/>
      <c r="M366" s="280"/>
      <c r="N366" s="280"/>
      <c r="O366" s="280"/>
      <c r="P366" s="280"/>
      <c r="Q366" s="280"/>
    </row>
    <row r="367" spans="2:18" ht="105.6" customHeight="1" thickBot="1">
      <c r="B367" s="1148" t="s">
        <v>699</v>
      </c>
      <c r="C367" s="1149"/>
      <c r="D367" s="1149"/>
      <c r="E367" s="1149"/>
      <c r="F367" s="1149"/>
      <c r="G367" s="1149"/>
      <c r="H367" s="1149"/>
      <c r="I367" s="1149"/>
      <c r="J367" s="1150"/>
      <c r="L367" s="304"/>
      <c r="M367" s="280"/>
      <c r="N367" s="280"/>
      <c r="O367" s="280"/>
      <c r="P367" s="280"/>
      <c r="Q367" s="280"/>
    </row>
    <row r="368" spans="2:18">
      <c r="M368" s="280"/>
      <c r="N368" s="280"/>
      <c r="O368" s="280"/>
      <c r="P368" s="280"/>
      <c r="Q368" s="280"/>
    </row>
    <row r="369" spans="2:17" ht="15.75" thickBot="1">
      <c r="L369" s="304"/>
      <c r="M369" s="280"/>
      <c r="N369" s="280"/>
      <c r="O369" s="280"/>
      <c r="P369" s="280"/>
      <c r="Q369" s="280"/>
    </row>
    <row r="370" spans="2:17" ht="54.6" customHeight="1">
      <c r="B370" s="1187" t="s">
        <v>669</v>
      </c>
      <c r="C370" s="1188"/>
      <c r="D370" s="1188"/>
      <c r="E370" s="1188"/>
      <c r="F370" s="1188"/>
      <c r="G370" s="1188"/>
      <c r="H370" s="1188"/>
      <c r="I370" s="1188"/>
      <c r="J370" s="331" t="str">
        <f>'[3]Reference Sheet'!$B$2</f>
        <v>Rev. 4.12.2016</v>
      </c>
      <c r="L370" s="304"/>
      <c r="M370" s="280"/>
      <c r="N370" s="280"/>
      <c r="O370" s="280"/>
      <c r="P370" s="280"/>
      <c r="Q370" s="280"/>
    </row>
    <row r="371" spans="2:17" ht="3.75" customHeight="1">
      <c r="B371" s="332"/>
      <c r="C371" s="333"/>
      <c r="D371" s="333"/>
      <c r="E371" s="333"/>
      <c r="F371" s="333"/>
      <c r="G371" s="333"/>
      <c r="H371" s="333"/>
      <c r="I371" s="333"/>
      <c r="J371" s="334"/>
      <c r="L371" s="304"/>
      <c r="M371" s="280"/>
      <c r="N371" s="280"/>
      <c r="O371" s="280"/>
      <c r="P371" s="280"/>
      <c r="Q371" s="280"/>
    </row>
    <row r="372" spans="2:17" ht="18" customHeight="1" thickBot="1">
      <c r="B372" s="332"/>
      <c r="C372" s="336" t="s">
        <v>533</v>
      </c>
      <c r="D372" s="1189"/>
      <c r="E372" s="1190"/>
      <c r="F372" s="1190"/>
      <c r="G372" s="1190"/>
      <c r="H372" s="336" t="s">
        <v>67</v>
      </c>
      <c r="I372" s="1191"/>
      <c r="J372" s="1192"/>
      <c r="L372" s="304"/>
      <c r="M372" s="280"/>
      <c r="N372" s="280"/>
      <c r="O372" s="280"/>
      <c r="P372" s="280"/>
      <c r="Q372" s="280"/>
    </row>
    <row r="373" spans="2:17" ht="18" customHeight="1" thickBot="1">
      <c r="B373" s="337"/>
      <c r="C373" s="338" t="s">
        <v>535</v>
      </c>
      <c r="D373" s="1193"/>
      <c r="E373" s="1194"/>
      <c r="F373" s="1194"/>
      <c r="G373" s="1194"/>
      <c r="H373" s="339"/>
      <c r="I373" s="339"/>
      <c r="J373" s="340"/>
      <c r="L373" s="304"/>
      <c r="M373" s="280"/>
      <c r="N373" s="280"/>
      <c r="O373" s="280"/>
      <c r="P373" s="280"/>
      <c r="Q373" s="280"/>
    </row>
    <row r="374" spans="2:17" ht="18" customHeight="1" thickBot="1">
      <c r="B374" s="1176" t="s">
        <v>671</v>
      </c>
      <c r="C374" s="1177"/>
      <c r="D374" s="1195"/>
      <c r="E374" s="1196"/>
      <c r="F374" s="1196"/>
      <c r="G374" s="1196"/>
      <c r="H374" s="341" t="s">
        <v>673</v>
      </c>
      <c r="I374" s="1195"/>
      <c r="J374" s="1197"/>
      <c r="L374" s="304"/>
      <c r="M374" s="280"/>
      <c r="N374" s="280"/>
      <c r="O374" s="280"/>
      <c r="P374" s="280"/>
      <c r="Q374" s="280"/>
    </row>
    <row r="375" spans="2:17" ht="18" customHeight="1" thickBot="1">
      <c r="B375" s="1176" t="s">
        <v>674</v>
      </c>
      <c r="C375" s="1177"/>
      <c r="D375" s="1178"/>
      <c r="E375" s="1179"/>
      <c r="F375" s="1179"/>
      <c r="G375" s="1179"/>
      <c r="H375" s="1179"/>
      <c r="I375" s="1179"/>
      <c r="J375" s="1180"/>
      <c r="L375" s="304"/>
      <c r="M375" s="280"/>
      <c r="N375" s="280"/>
      <c r="O375" s="280"/>
      <c r="P375" s="280"/>
      <c r="Q375" s="280"/>
    </row>
    <row r="376" spans="2:17">
      <c r="B376" s="1181" t="s">
        <v>675</v>
      </c>
      <c r="C376" s="1182"/>
      <c r="D376" s="1182"/>
      <c r="E376" s="1182"/>
      <c r="F376" s="1182"/>
      <c r="G376" s="342"/>
      <c r="H376" s="343" t="s">
        <v>676</v>
      </c>
      <c r="I376" s="342"/>
      <c r="J376" s="344" t="s">
        <v>677</v>
      </c>
      <c r="L376" s="304"/>
      <c r="M376" s="1183" t="s">
        <v>705</v>
      </c>
      <c r="N376" s="1183"/>
      <c r="O376" s="1183"/>
      <c r="P376" s="1183"/>
      <c r="Q376" s="1183"/>
    </row>
    <row r="377" spans="2:17">
      <c r="B377" s="1184" t="s">
        <v>679</v>
      </c>
      <c r="C377" s="1185"/>
      <c r="D377" s="1185"/>
      <c r="E377" s="1185"/>
      <c r="F377" s="1185"/>
      <c r="G377" s="345"/>
      <c r="H377" s="346"/>
      <c r="I377" s="347"/>
      <c r="J377" s="348"/>
      <c r="L377" s="304"/>
      <c r="M377" s="280" t="s">
        <v>680</v>
      </c>
      <c r="N377" s="280">
        <f>IF(AND(J377=0, J379=0, J380=0, J381=0, J382=0, J383=0, J384=0, J385=0, J386=0), 0, 1)</f>
        <v>0</v>
      </c>
      <c r="O377" s="280"/>
      <c r="P377" s="349"/>
      <c r="Q377" s="349" t="s">
        <v>596</v>
      </c>
    </row>
    <row r="378" spans="2:17">
      <c r="B378" s="1172" t="s">
        <v>681</v>
      </c>
      <c r="C378" s="1186"/>
      <c r="D378" s="1186"/>
      <c r="E378" s="1186"/>
      <c r="F378" s="1186"/>
      <c r="G378" s="350"/>
      <c r="H378" s="351"/>
      <c r="I378" s="350"/>
      <c r="J378" s="352"/>
      <c r="L378" s="304"/>
      <c r="M378" s="280" t="s">
        <v>682</v>
      </c>
      <c r="N378" s="280">
        <f>IF(AND(G386&lt;=I386, I386&lt;&gt;0), 0, 1)</f>
        <v>1</v>
      </c>
      <c r="O378" s="280"/>
      <c r="P378" s="349"/>
      <c r="Q378" s="349" t="s">
        <v>683</v>
      </c>
    </row>
    <row r="379" spans="2:17">
      <c r="B379" s="1170" t="s">
        <v>684</v>
      </c>
      <c r="C379" s="1171"/>
      <c r="D379" s="1171"/>
      <c r="E379" s="1171"/>
      <c r="F379" s="1171"/>
      <c r="G379" s="345"/>
      <c r="H379" s="346"/>
      <c r="I379" s="347"/>
      <c r="J379" s="348"/>
      <c r="L379" s="304"/>
      <c r="M379" s="280" t="s">
        <v>685</v>
      </c>
      <c r="N379" s="280">
        <f>IF(AND(N378=0, N377=1), 0, 1)</f>
        <v>1</v>
      </c>
      <c r="O379" s="280"/>
      <c r="P379" s="349"/>
      <c r="Q379" s="349" t="s">
        <v>599</v>
      </c>
    </row>
    <row r="380" spans="2:17">
      <c r="B380" s="1170" t="s">
        <v>686</v>
      </c>
      <c r="C380" s="1171"/>
      <c r="D380" s="1171"/>
      <c r="E380" s="1171"/>
      <c r="F380" s="1171"/>
      <c r="G380" s="345"/>
      <c r="H380" s="346"/>
      <c r="I380" s="347"/>
      <c r="J380" s="355"/>
      <c r="L380" s="304"/>
      <c r="M380" s="280"/>
      <c r="N380" s="280"/>
      <c r="O380" s="280"/>
      <c r="P380" s="349"/>
      <c r="Q380" s="349" t="s">
        <v>603</v>
      </c>
    </row>
    <row r="381" spans="2:17">
      <c r="B381" s="353" t="s">
        <v>687</v>
      </c>
      <c r="C381" s="354"/>
      <c r="D381" s="354"/>
      <c r="E381" s="356"/>
      <c r="F381" s="357" t="s">
        <v>688</v>
      </c>
      <c r="G381" s="358"/>
      <c r="H381" s="359">
        <f>(G381*0.24)</f>
        <v>0</v>
      </c>
      <c r="I381" s="360"/>
      <c r="J381" s="361">
        <f>(I381*0.22)</f>
        <v>0</v>
      </c>
      <c r="L381" s="304"/>
      <c r="M381" s="280" t="s">
        <v>689</v>
      </c>
      <c r="N381" s="362">
        <f>G386/12</f>
        <v>0</v>
      </c>
      <c r="O381" s="280"/>
      <c r="P381" s="349"/>
      <c r="Q381" s="349" t="s">
        <v>605</v>
      </c>
    </row>
    <row r="382" spans="2:17">
      <c r="B382" s="1170" t="s">
        <v>690</v>
      </c>
      <c r="C382" s="1171"/>
      <c r="D382" s="1171"/>
      <c r="E382" s="1171"/>
      <c r="F382" s="1171"/>
      <c r="G382" s="363"/>
      <c r="H382" s="364"/>
      <c r="I382" s="347"/>
      <c r="J382" s="355"/>
      <c r="L382" s="304"/>
      <c r="M382" s="280" t="s">
        <v>691</v>
      </c>
      <c r="N382" s="362">
        <f>(G386+I386)/24</f>
        <v>0</v>
      </c>
      <c r="O382" s="280"/>
      <c r="P382" s="349"/>
      <c r="Q382" s="349"/>
    </row>
    <row r="383" spans="2:17">
      <c r="B383" s="1170" t="s">
        <v>692</v>
      </c>
      <c r="C383" s="1171"/>
      <c r="D383" s="1171"/>
      <c r="E383" s="1171"/>
      <c r="F383" s="1171"/>
      <c r="G383" s="345"/>
      <c r="H383" s="364"/>
      <c r="I383" s="350"/>
      <c r="J383" s="348"/>
      <c r="L383" s="304"/>
      <c r="M383" s="280"/>
      <c r="N383" s="280"/>
      <c r="O383" s="280"/>
      <c r="P383" s="280"/>
      <c r="Q383" s="280"/>
    </row>
    <row r="384" spans="2:17">
      <c r="B384" s="1172" t="s">
        <v>693</v>
      </c>
      <c r="C384" s="1173"/>
      <c r="D384" s="1173"/>
      <c r="E384" s="1173"/>
      <c r="F384" s="1173"/>
      <c r="G384" s="350"/>
      <c r="H384" s="346"/>
      <c r="I384" s="350"/>
      <c r="J384" s="348"/>
      <c r="L384" s="304"/>
      <c r="M384" s="280"/>
      <c r="N384" s="280"/>
      <c r="O384" s="280"/>
      <c r="P384" s="280"/>
      <c r="Q384" s="280"/>
    </row>
    <row r="385" spans="2:17">
      <c r="B385" s="1174" t="s">
        <v>694</v>
      </c>
      <c r="C385" s="1175"/>
      <c r="D385" s="1175"/>
      <c r="E385" s="1175"/>
      <c r="F385" s="1175"/>
      <c r="G385" s="365"/>
      <c r="H385" s="364"/>
      <c r="I385" s="350"/>
      <c r="J385" s="348"/>
      <c r="L385" s="304"/>
      <c r="M385" s="280"/>
      <c r="N385" s="280"/>
      <c r="O385" s="280"/>
      <c r="P385" s="280"/>
      <c r="Q385" s="280"/>
    </row>
    <row r="386" spans="2:17">
      <c r="B386" s="1151" t="s">
        <v>695</v>
      </c>
      <c r="C386" s="1152"/>
      <c r="D386" s="1152"/>
      <c r="E386" s="1152"/>
      <c r="F386" s="1153"/>
      <c r="G386" s="1154">
        <f>SUM(H377:H383)-H385</f>
        <v>0</v>
      </c>
      <c r="H386" s="1155"/>
      <c r="I386" s="1156">
        <f>SUM(J377:J383)-J385</f>
        <v>0</v>
      </c>
      <c r="J386" s="1157"/>
      <c r="L386" s="304"/>
      <c r="M386" s="280"/>
      <c r="N386" s="280"/>
      <c r="O386" s="280"/>
      <c r="P386" s="280"/>
      <c r="Q386" s="280"/>
    </row>
    <row r="387" spans="2:17" ht="18.75">
      <c r="B387" s="1158" t="s">
        <v>696</v>
      </c>
      <c r="C387" s="1159"/>
      <c r="D387" s="1159"/>
      <c r="E387" s="1159"/>
      <c r="F387" s="1160"/>
      <c r="G387" s="1161" t="str">
        <f>IF(OR(N379=0, I386=0), "12 Month Average", "24 Month Average")</f>
        <v>12 Month Average</v>
      </c>
      <c r="H387" s="1162"/>
      <c r="I387" s="1162"/>
      <c r="J387" s="1163"/>
      <c r="L387" s="304"/>
      <c r="M387" s="280"/>
      <c r="N387" s="280"/>
      <c r="O387" s="280"/>
      <c r="P387" s="280"/>
      <c r="Q387" s="280"/>
    </row>
    <row r="388" spans="2:17" ht="34.5" thickBot="1">
      <c r="B388" s="1164" t="s">
        <v>697</v>
      </c>
      <c r="C388" s="1165"/>
      <c r="D388" s="1165"/>
      <c r="E388" s="1165"/>
      <c r="F388" s="1166"/>
      <c r="G388" s="1167">
        <f>IF(OR(N379=0, I386=0), N381, N382)</f>
        <v>0</v>
      </c>
      <c r="H388" s="1168"/>
      <c r="I388" s="1168"/>
      <c r="J388" s="1169"/>
      <c r="L388" s="304"/>
      <c r="M388" s="280"/>
      <c r="N388" s="280"/>
      <c r="O388" s="280"/>
      <c r="P388" s="280"/>
      <c r="Q388" s="280"/>
    </row>
    <row r="389" spans="2:17" ht="15.75" thickBot="1">
      <c r="L389" s="304"/>
      <c r="M389" s="280"/>
      <c r="N389" s="280"/>
      <c r="O389" s="280"/>
      <c r="P389" s="280"/>
      <c r="Q389" s="280"/>
    </row>
    <row r="390" spans="2:17" ht="105.6" customHeight="1" thickBot="1">
      <c r="B390" s="1148" t="s">
        <v>699</v>
      </c>
      <c r="C390" s="1149"/>
      <c r="D390" s="1149"/>
      <c r="E390" s="1149"/>
      <c r="F390" s="1149"/>
      <c r="G390" s="1149"/>
      <c r="H390" s="1149"/>
      <c r="I390" s="1149"/>
      <c r="J390" s="1150"/>
      <c r="L390" s="304"/>
      <c r="M390" s="280"/>
      <c r="N390" s="280"/>
      <c r="O390" s="280"/>
      <c r="P390" s="280"/>
      <c r="Q390" s="280"/>
    </row>
    <row r="391" spans="2:17">
      <c r="M391" s="280"/>
      <c r="N391" s="280"/>
      <c r="O391" s="280"/>
      <c r="P391" s="280"/>
      <c r="Q391" s="280"/>
    </row>
    <row r="392" spans="2:17" ht="15.75" thickBot="1">
      <c r="L392" s="304"/>
      <c r="M392" s="280"/>
      <c r="N392" s="280"/>
      <c r="O392" s="280"/>
      <c r="P392" s="280"/>
      <c r="Q392" s="280"/>
    </row>
    <row r="393" spans="2:17" ht="54.6" customHeight="1">
      <c r="B393" s="1187" t="s">
        <v>669</v>
      </c>
      <c r="C393" s="1188"/>
      <c r="D393" s="1188"/>
      <c r="E393" s="1188"/>
      <c r="F393" s="1188"/>
      <c r="G393" s="1188"/>
      <c r="H393" s="1188"/>
      <c r="I393" s="1188"/>
      <c r="J393" s="331" t="str">
        <f>'[3]Reference Sheet'!$B$2</f>
        <v>Rev. 4.12.2016</v>
      </c>
      <c r="L393" s="304"/>
      <c r="M393" s="280"/>
      <c r="N393" s="280"/>
      <c r="O393" s="280"/>
      <c r="P393" s="280"/>
      <c r="Q393" s="280"/>
    </row>
    <row r="394" spans="2:17" ht="3.75" customHeight="1">
      <c r="B394" s="332"/>
      <c r="C394" s="333"/>
      <c r="D394" s="333"/>
      <c r="E394" s="333"/>
      <c r="F394" s="333"/>
      <c r="G394" s="333"/>
      <c r="H394" s="333"/>
      <c r="I394" s="333"/>
      <c r="J394" s="334"/>
      <c r="L394" s="304"/>
      <c r="M394" s="280"/>
      <c r="N394" s="280"/>
      <c r="O394" s="280"/>
      <c r="P394" s="280"/>
      <c r="Q394" s="280"/>
    </row>
    <row r="395" spans="2:17" ht="18" customHeight="1" thickBot="1">
      <c r="B395" s="332"/>
      <c r="C395" s="336" t="s">
        <v>533</v>
      </c>
      <c r="D395" s="1189"/>
      <c r="E395" s="1190"/>
      <c r="F395" s="1190"/>
      <c r="G395" s="1190"/>
      <c r="H395" s="336" t="s">
        <v>67</v>
      </c>
      <c r="I395" s="1191"/>
      <c r="J395" s="1192"/>
      <c r="L395" s="304"/>
      <c r="M395" s="280"/>
      <c r="N395" s="280"/>
      <c r="O395" s="280"/>
      <c r="P395" s="280"/>
      <c r="Q395" s="280"/>
    </row>
    <row r="396" spans="2:17" ht="18" customHeight="1" thickBot="1">
      <c r="B396" s="337"/>
      <c r="C396" s="338" t="s">
        <v>535</v>
      </c>
      <c r="D396" s="1193"/>
      <c r="E396" s="1194"/>
      <c r="F396" s="1194"/>
      <c r="G396" s="1194"/>
      <c r="H396" s="339"/>
      <c r="I396" s="339"/>
      <c r="J396" s="340"/>
      <c r="L396" s="304"/>
      <c r="M396" s="280"/>
      <c r="N396" s="280"/>
      <c r="O396" s="280"/>
      <c r="P396" s="280"/>
      <c r="Q396" s="280"/>
    </row>
    <row r="397" spans="2:17" ht="18" customHeight="1" thickBot="1">
      <c r="B397" s="1176" t="s">
        <v>671</v>
      </c>
      <c r="C397" s="1177"/>
      <c r="D397" s="1195"/>
      <c r="E397" s="1196"/>
      <c r="F397" s="1196"/>
      <c r="G397" s="1196"/>
      <c r="H397" s="341" t="s">
        <v>673</v>
      </c>
      <c r="I397" s="1195"/>
      <c r="J397" s="1197"/>
      <c r="L397" s="304"/>
      <c r="M397" s="280"/>
      <c r="N397" s="280"/>
      <c r="O397" s="280"/>
      <c r="P397" s="280"/>
      <c r="Q397" s="280"/>
    </row>
    <row r="398" spans="2:17" ht="18" customHeight="1" thickBot="1">
      <c r="B398" s="1176" t="s">
        <v>674</v>
      </c>
      <c r="C398" s="1177"/>
      <c r="D398" s="1178"/>
      <c r="E398" s="1179"/>
      <c r="F398" s="1179"/>
      <c r="G398" s="1179"/>
      <c r="H398" s="1179"/>
      <c r="I398" s="1179"/>
      <c r="J398" s="1180"/>
      <c r="L398" s="304"/>
      <c r="M398" s="280"/>
      <c r="N398" s="280"/>
      <c r="O398" s="280"/>
      <c r="P398" s="280"/>
      <c r="Q398" s="280"/>
    </row>
    <row r="399" spans="2:17">
      <c r="B399" s="1181" t="s">
        <v>675</v>
      </c>
      <c r="C399" s="1182"/>
      <c r="D399" s="1182"/>
      <c r="E399" s="1182"/>
      <c r="F399" s="1182"/>
      <c r="G399" s="342"/>
      <c r="H399" s="343" t="s">
        <v>676</v>
      </c>
      <c r="I399" s="342"/>
      <c r="J399" s="344" t="s">
        <v>677</v>
      </c>
      <c r="L399" s="304"/>
      <c r="M399" s="1183" t="s">
        <v>706</v>
      </c>
      <c r="N399" s="1183"/>
      <c r="O399" s="1183"/>
      <c r="P399" s="1183"/>
      <c r="Q399" s="1183"/>
    </row>
    <row r="400" spans="2:17">
      <c r="B400" s="1184" t="s">
        <v>679</v>
      </c>
      <c r="C400" s="1185"/>
      <c r="D400" s="1185"/>
      <c r="E400" s="1185"/>
      <c r="F400" s="1185"/>
      <c r="G400" s="345"/>
      <c r="H400" s="346"/>
      <c r="I400" s="347"/>
      <c r="J400" s="348"/>
      <c r="L400" s="304"/>
      <c r="M400" s="280" t="s">
        <v>680</v>
      </c>
      <c r="N400" s="280">
        <f>IF(AND(J400=0, J402=0, J403=0, J404=0, J405=0, J406=0, J407=0, J408=0, J409=0), 0, 1)</f>
        <v>0</v>
      </c>
      <c r="O400" s="280"/>
      <c r="P400" s="349"/>
      <c r="Q400" s="349" t="s">
        <v>596</v>
      </c>
    </row>
    <row r="401" spans="2:17">
      <c r="B401" s="1172" t="s">
        <v>681</v>
      </c>
      <c r="C401" s="1186"/>
      <c r="D401" s="1186"/>
      <c r="E401" s="1186"/>
      <c r="F401" s="1186"/>
      <c r="G401" s="350"/>
      <c r="H401" s="351"/>
      <c r="I401" s="350"/>
      <c r="J401" s="352"/>
      <c r="L401" s="304"/>
      <c r="M401" s="280" t="s">
        <v>682</v>
      </c>
      <c r="N401" s="280">
        <f>IF(AND(G409&lt;=I409, I409&lt;&gt;0), 0, 1)</f>
        <v>1</v>
      </c>
      <c r="O401" s="280"/>
      <c r="P401" s="349"/>
      <c r="Q401" s="349" t="s">
        <v>683</v>
      </c>
    </row>
    <row r="402" spans="2:17">
      <c r="B402" s="1170" t="s">
        <v>684</v>
      </c>
      <c r="C402" s="1171"/>
      <c r="D402" s="1171"/>
      <c r="E402" s="1171"/>
      <c r="F402" s="1171"/>
      <c r="G402" s="345"/>
      <c r="H402" s="346"/>
      <c r="I402" s="347"/>
      <c r="J402" s="348"/>
      <c r="L402" s="304"/>
      <c r="M402" s="280" t="s">
        <v>685</v>
      </c>
      <c r="N402" s="280">
        <f>IF(AND(N401=0, N400=1), 0, 1)</f>
        <v>1</v>
      </c>
      <c r="O402" s="280"/>
      <c r="P402" s="349"/>
      <c r="Q402" s="349" t="s">
        <v>599</v>
      </c>
    </row>
    <row r="403" spans="2:17">
      <c r="B403" s="1170" t="s">
        <v>686</v>
      </c>
      <c r="C403" s="1171"/>
      <c r="D403" s="1171"/>
      <c r="E403" s="1171"/>
      <c r="F403" s="1171"/>
      <c r="G403" s="345"/>
      <c r="H403" s="346"/>
      <c r="I403" s="347"/>
      <c r="J403" s="355"/>
      <c r="L403" s="304"/>
      <c r="M403" s="280"/>
      <c r="N403" s="280"/>
      <c r="O403" s="280"/>
      <c r="P403" s="349"/>
      <c r="Q403" s="349" t="s">
        <v>603</v>
      </c>
    </row>
    <row r="404" spans="2:17">
      <c r="B404" s="353" t="s">
        <v>687</v>
      </c>
      <c r="C404" s="354"/>
      <c r="D404" s="354"/>
      <c r="E404" s="356"/>
      <c r="F404" s="357" t="s">
        <v>688</v>
      </c>
      <c r="G404" s="358"/>
      <c r="H404" s="359">
        <f>(G404*0.24)</f>
        <v>0</v>
      </c>
      <c r="I404" s="360"/>
      <c r="J404" s="361">
        <f>(I404*0.22)</f>
        <v>0</v>
      </c>
      <c r="L404" s="304"/>
      <c r="M404" s="280" t="s">
        <v>689</v>
      </c>
      <c r="N404" s="362">
        <f>G409/12</f>
        <v>0</v>
      </c>
      <c r="O404" s="280"/>
      <c r="P404" s="349"/>
      <c r="Q404" s="349" t="s">
        <v>605</v>
      </c>
    </row>
    <row r="405" spans="2:17">
      <c r="B405" s="1170" t="s">
        <v>690</v>
      </c>
      <c r="C405" s="1171"/>
      <c r="D405" s="1171"/>
      <c r="E405" s="1171"/>
      <c r="F405" s="1171"/>
      <c r="G405" s="363"/>
      <c r="H405" s="364"/>
      <c r="I405" s="347"/>
      <c r="J405" s="355"/>
      <c r="L405" s="304"/>
      <c r="M405" s="280" t="s">
        <v>691</v>
      </c>
      <c r="N405" s="362">
        <f>(G409+I409)/24</f>
        <v>0</v>
      </c>
      <c r="O405" s="280"/>
      <c r="P405" s="349"/>
      <c r="Q405" s="349"/>
    </row>
    <row r="406" spans="2:17">
      <c r="B406" s="1170" t="s">
        <v>692</v>
      </c>
      <c r="C406" s="1171"/>
      <c r="D406" s="1171"/>
      <c r="E406" s="1171"/>
      <c r="F406" s="1171"/>
      <c r="G406" s="345"/>
      <c r="H406" s="364"/>
      <c r="I406" s="350"/>
      <c r="J406" s="348"/>
      <c r="L406" s="304"/>
      <c r="M406" s="280"/>
      <c r="N406" s="280"/>
      <c r="O406" s="280"/>
      <c r="P406" s="280"/>
      <c r="Q406" s="280"/>
    </row>
    <row r="407" spans="2:17">
      <c r="B407" s="1172" t="s">
        <v>693</v>
      </c>
      <c r="C407" s="1173"/>
      <c r="D407" s="1173"/>
      <c r="E407" s="1173"/>
      <c r="F407" s="1173"/>
      <c r="G407" s="350"/>
      <c r="H407" s="346"/>
      <c r="I407" s="350"/>
      <c r="J407" s="348"/>
      <c r="L407" s="304"/>
      <c r="M407" s="280"/>
      <c r="N407" s="280"/>
      <c r="O407" s="280"/>
      <c r="P407" s="280"/>
      <c r="Q407" s="280"/>
    </row>
    <row r="408" spans="2:17">
      <c r="B408" s="1174" t="s">
        <v>694</v>
      </c>
      <c r="C408" s="1175"/>
      <c r="D408" s="1175"/>
      <c r="E408" s="1175"/>
      <c r="F408" s="1175"/>
      <c r="G408" s="365"/>
      <c r="H408" s="364"/>
      <c r="I408" s="350"/>
      <c r="J408" s="348"/>
      <c r="L408" s="304"/>
      <c r="M408" s="280"/>
      <c r="N408" s="280"/>
      <c r="O408" s="280"/>
      <c r="P408" s="280"/>
      <c r="Q408" s="280"/>
    </row>
    <row r="409" spans="2:17">
      <c r="B409" s="1151" t="s">
        <v>695</v>
      </c>
      <c r="C409" s="1152"/>
      <c r="D409" s="1152"/>
      <c r="E409" s="1152"/>
      <c r="F409" s="1153"/>
      <c r="G409" s="1154">
        <f>SUM(H400:H406)-H408</f>
        <v>0</v>
      </c>
      <c r="H409" s="1155"/>
      <c r="I409" s="1156">
        <f>SUM(J400:J406)-J408</f>
        <v>0</v>
      </c>
      <c r="J409" s="1157"/>
      <c r="L409" s="304"/>
      <c r="M409" s="280"/>
      <c r="N409" s="280"/>
      <c r="O409" s="280"/>
      <c r="P409" s="280"/>
      <c r="Q409" s="280"/>
    </row>
    <row r="410" spans="2:17" ht="18.75">
      <c r="B410" s="1158" t="s">
        <v>696</v>
      </c>
      <c r="C410" s="1159"/>
      <c r="D410" s="1159"/>
      <c r="E410" s="1159"/>
      <c r="F410" s="1160"/>
      <c r="G410" s="1161" t="str">
        <f>IF(OR(N402=0, I409=0), "12 Month Average", "24 Month Average")</f>
        <v>12 Month Average</v>
      </c>
      <c r="H410" s="1162"/>
      <c r="I410" s="1162"/>
      <c r="J410" s="1163"/>
      <c r="L410" s="304"/>
      <c r="M410" s="280"/>
      <c r="N410" s="280"/>
      <c r="O410" s="280"/>
      <c r="P410" s="280"/>
      <c r="Q410" s="280"/>
    </row>
    <row r="411" spans="2:17" ht="34.5" thickBot="1">
      <c r="B411" s="1164" t="s">
        <v>697</v>
      </c>
      <c r="C411" s="1165"/>
      <c r="D411" s="1165"/>
      <c r="E411" s="1165"/>
      <c r="F411" s="1166"/>
      <c r="G411" s="1167">
        <f>IF(OR(N402=0, I409=0), N404, N405)</f>
        <v>0</v>
      </c>
      <c r="H411" s="1168"/>
      <c r="I411" s="1168"/>
      <c r="J411" s="1169"/>
      <c r="L411" s="304"/>
      <c r="M411" s="280"/>
      <c r="N411" s="280"/>
      <c r="O411" s="280"/>
      <c r="P411" s="280"/>
      <c r="Q411" s="280"/>
    </row>
    <row r="412" spans="2:17" ht="15.75" thickBot="1">
      <c r="L412" s="304"/>
      <c r="M412" s="280"/>
      <c r="N412" s="280"/>
      <c r="O412" s="280"/>
      <c r="P412" s="280"/>
      <c r="Q412" s="280"/>
    </row>
    <row r="413" spans="2:17" ht="105.6" customHeight="1" thickBot="1">
      <c r="B413" s="1148" t="s">
        <v>699</v>
      </c>
      <c r="C413" s="1149"/>
      <c r="D413" s="1149"/>
      <c r="E413" s="1149"/>
      <c r="F413" s="1149"/>
      <c r="G413" s="1149"/>
      <c r="H413" s="1149"/>
      <c r="I413" s="1149"/>
      <c r="J413" s="1150"/>
      <c r="L413" s="304"/>
      <c r="M413" s="280"/>
      <c r="N413" s="280"/>
      <c r="O413" s="280"/>
      <c r="P413" s="280"/>
      <c r="Q413" s="280"/>
    </row>
    <row r="414" spans="2:17">
      <c r="M414" s="280"/>
      <c r="N414" s="280"/>
      <c r="O414" s="280"/>
      <c r="P414" s="280"/>
      <c r="Q414" s="280"/>
    </row>
    <row r="415" spans="2:17" ht="15.75" thickBot="1">
      <c r="L415" s="304"/>
      <c r="M415" s="280"/>
      <c r="N415" s="280"/>
      <c r="O415" s="280"/>
      <c r="P415" s="280"/>
      <c r="Q415" s="280"/>
    </row>
    <row r="416" spans="2:17" ht="54.6" customHeight="1">
      <c r="B416" s="1187" t="s">
        <v>669</v>
      </c>
      <c r="C416" s="1188"/>
      <c r="D416" s="1188"/>
      <c r="E416" s="1188"/>
      <c r="F416" s="1188"/>
      <c r="G416" s="1188"/>
      <c r="H416" s="1188"/>
      <c r="I416" s="1188"/>
      <c r="J416" s="331" t="str">
        <f>'[3]Reference Sheet'!$B$2</f>
        <v>Rev. 4.12.2016</v>
      </c>
      <c r="L416" s="304"/>
      <c r="M416" s="280"/>
      <c r="N416" s="280"/>
      <c r="O416" s="280"/>
      <c r="P416" s="280"/>
      <c r="Q416" s="280"/>
    </row>
    <row r="417" spans="2:17" ht="3.75" customHeight="1">
      <c r="B417" s="332"/>
      <c r="C417" s="333"/>
      <c r="D417" s="333"/>
      <c r="E417" s="333"/>
      <c r="F417" s="333"/>
      <c r="G417" s="333"/>
      <c r="H417" s="333"/>
      <c r="I417" s="333"/>
      <c r="J417" s="334"/>
      <c r="L417" s="304"/>
      <c r="M417" s="280"/>
      <c r="N417" s="280"/>
      <c r="O417" s="280"/>
      <c r="P417" s="280"/>
      <c r="Q417" s="280"/>
    </row>
    <row r="418" spans="2:17" ht="18" customHeight="1" thickBot="1">
      <c r="B418" s="332"/>
      <c r="C418" s="336" t="s">
        <v>533</v>
      </c>
      <c r="D418" s="1189"/>
      <c r="E418" s="1190"/>
      <c r="F418" s="1190"/>
      <c r="G418" s="1190"/>
      <c r="H418" s="336" t="s">
        <v>67</v>
      </c>
      <c r="I418" s="1191"/>
      <c r="J418" s="1192"/>
      <c r="L418" s="304"/>
      <c r="M418" s="280"/>
      <c r="N418" s="280"/>
      <c r="O418" s="280"/>
      <c r="P418" s="280"/>
      <c r="Q418" s="280"/>
    </row>
    <row r="419" spans="2:17" ht="18" customHeight="1" thickBot="1">
      <c r="B419" s="337"/>
      <c r="C419" s="338" t="s">
        <v>535</v>
      </c>
      <c r="D419" s="1193"/>
      <c r="E419" s="1194"/>
      <c r="F419" s="1194"/>
      <c r="G419" s="1194"/>
      <c r="H419" s="339"/>
      <c r="I419" s="339"/>
      <c r="J419" s="340"/>
      <c r="L419" s="304"/>
      <c r="M419" s="280"/>
      <c r="N419" s="280"/>
      <c r="O419" s="280"/>
      <c r="P419" s="280"/>
      <c r="Q419" s="280"/>
    </row>
    <row r="420" spans="2:17" ht="18" customHeight="1" thickBot="1">
      <c r="B420" s="1176" t="s">
        <v>671</v>
      </c>
      <c r="C420" s="1177"/>
      <c r="D420" s="1195"/>
      <c r="E420" s="1196"/>
      <c r="F420" s="1196"/>
      <c r="G420" s="1196"/>
      <c r="H420" s="341" t="s">
        <v>673</v>
      </c>
      <c r="I420" s="1195"/>
      <c r="J420" s="1197"/>
      <c r="L420" s="304"/>
      <c r="M420" s="280"/>
      <c r="N420" s="280"/>
      <c r="O420" s="280"/>
      <c r="P420" s="280"/>
      <c r="Q420" s="280"/>
    </row>
    <row r="421" spans="2:17" ht="18" customHeight="1" thickBot="1">
      <c r="B421" s="1176" t="s">
        <v>674</v>
      </c>
      <c r="C421" s="1177"/>
      <c r="D421" s="1178"/>
      <c r="E421" s="1179"/>
      <c r="F421" s="1179"/>
      <c r="G421" s="1179"/>
      <c r="H421" s="1179"/>
      <c r="I421" s="1179"/>
      <c r="J421" s="1180"/>
      <c r="L421" s="304"/>
      <c r="M421" s="280"/>
      <c r="N421" s="280"/>
      <c r="O421" s="280"/>
      <c r="P421" s="280"/>
      <c r="Q421" s="280"/>
    </row>
    <row r="422" spans="2:17">
      <c r="B422" s="1181" t="s">
        <v>675</v>
      </c>
      <c r="C422" s="1182"/>
      <c r="D422" s="1182"/>
      <c r="E422" s="1182"/>
      <c r="F422" s="1182"/>
      <c r="G422" s="342"/>
      <c r="H422" s="343" t="s">
        <v>676</v>
      </c>
      <c r="I422" s="342"/>
      <c r="J422" s="344" t="s">
        <v>677</v>
      </c>
      <c r="L422" s="304"/>
      <c r="M422" s="1183" t="s">
        <v>707</v>
      </c>
      <c r="N422" s="1183"/>
      <c r="O422" s="1183"/>
      <c r="P422" s="1183"/>
      <c r="Q422" s="1183"/>
    </row>
    <row r="423" spans="2:17">
      <c r="B423" s="1184" t="s">
        <v>679</v>
      </c>
      <c r="C423" s="1185"/>
      <c r="D423" s="1185"/>
      <c r="E423" s="1185"/>
      <c r="F423" s="1185"/>
      <c r="G423" s="345"/>
      <c r="H423" s="346"/>
      <c r="I423" s="347"/>
      <c r="J423" s="348"/>
      <c r="L423" s="304"/>
      <c r="M423" s="280" t="s">
        <v>680</v>
      </c>
      <c r="N423" s="280">
        <f>IF(AND(J423=0, J425=0, J426=0, J427=0, J428=0, J429=0, J430=0, J431=0, J432=0), 0, 1)</f>
        <v>0</v>
      </c>
      <c r="O423" s="280"/>
      <c r="P423" s="349"/>
      <c r="Q423" s="349" t="s">
        <v>596</v>
      </c>
    </row>
    <row r="424" spans="2:17">
      <c r="B424" s="1172" t="s">
        <v>681</v>
      </c>
      <c r="C424" s="1186"/>
      <c r="D424" s="1186"/>
      <c r="E424" s="1186"/>
      <c r="F424" s="1186"/>
      <c r="G424" s="350"/>
      <c r="H424" s="351"/>
      <c r="I424" s="350"/>
      <c r="J424" s="352"/>
      <c r="L424" s="304"/>
      <c r="M424" s="280" t="s">
        <v>682</v>
      </c>
      <c r="N424" s="280">
        <f>IF(AND(G432&lt;=I432, I432&lt;&gt;0), 0, 1)</f>
        <v>1</v>
      </c>
      <c r="O424" s="280"/>
      <c r="P424" s="349"/>
      <c r="Q424" s="349" t="s">
        <v>683</v>
      </c>
    </row>
    <row r="425" spans="2:17">
      <c r="B425" s="1170" t="s">
        <v>684</v>
      </c>
      <c r="C425" s="1171"/>
      <c r="D425" s="1171"/>
      <c r="E425" s="1171"/>
      <c r="F425" s="1171"/>
      <c r="G425" s="345"/>
      <c r="H425" s="346"/>
      <c r="I425" s="347"/>
      <c r="J425" s="348"/>
      <c r="L425" s="304"/>
      <c r="M425" s="280" t="s">
        <v>685</v>
      </c>
      <c r="N425" s="280">
        <f>IF(AND(N424=0, N423=1), 0, 1)</f>
        <v>1</v>
      </c>
      <c r="O425" s="280"/>
      <c r="P425" s="349"/>
      <c r="Q425" s="349" t="s">
        <v>599</v>
      </c>
    </row>
    <row r="426" spans="2:17">
      <c r="B426" s="1170" t="s">
        <v>686</v>
      </c>
      <c r="C426" s="1171"/>
      <c r="D426" s="1171"/>
      <c r="E426" s="1171"/>
      <c r="F426" s="1171"/>
      <c r="G426" s="345"/>
      <c r="H426" s="346"/>
      <c r="I426" s="347"/>
      <c r="J426" s="355"/>
      <c r="L426" s="304"/>
      <c r="M426" s="280"/>
      <c r="N426" s="280"/>
      <c r="O426" s="280"/>
      <c r="P426" s="349"/>
      <c r="Q426" s="349" t="s">
        <v>603</v>
      </c>
    </row>
    <row r="427" spans="2:17">
      <c r="B427" s="353" t="s">
        <v>687</v>
      </c>
      <c r="C427" s="354"/>
      <c r="D427" s="354"/>
      <c r="E427" s="356"/>
      <c r="F427" s="357" t="s">
        <v>688</v>
      </c>
      <c r="G427" s="358"/>
      <c r="H427" s="359">
        <f>(G427*0.24)</f>
        <v>0</v>
      </c>
      <c r="I427" s="360"/>
      <c r="J427" s="361">
        <f>(I427*0.22)</f>
        <v>0</v>
      </c>
      <c r="L427" s="304"/>
      <c r="M427" s="280" t="s">
        <v>689</v>
      </c>
      <c r="N427" s="362">
        <f>G432/12</f>
        <v>0</v>
      </c>
      <c r="O427" s="280"/>
      <c r="P427" s="349"/>
      <c r="Q427" s="349" t="s">
        <v>605</v>
      </c>
    </row>
    <row r="428" spans="2:17">
      <c r="B428" s="1170" t="s">
        <v>690</v>
      </c>
      <c r="C428" s="1171"/>
      <c r="D428" s="1171"/>
      <c r="E428" s="1171"/>
      <c r="F428" s="1171"/>
      <c r="G428" s="363"/>
      <c r="H428" s="364"/>
      <c r="I428" s="347"/>
      <c r="J428" s="355"/>
      <c r="L428" s="304"/>
      <c r="M428" s="280" t="s">
        <v>691</v>
      </c>
      <c r="N428" s="362">
        <f>(G432+I432)/24</f>
        <v>0</v>
      </c>
      <c r="O428" s="280"/>
      <c r="P428" s="349"/>
      <c r="Q428" s="349"/>
    </row>
    <row r="429" spans="2:17">
      <c r="B429" s="1170" t="s">
        <v>692</v>
      </c>
      <c r="C429" s="1171"/>
      <c r="D429" s="1171"/>
      <c r="E429" s="1171"/>
      <c r="F429" s="1171"/>
      <c r="G429" s="345"/>
      <c r="H429" s="364"/>
      <c r="I429" s="350"/>
      <c r="J429" s="348"/>
      <c r="L429" s="304"/>
      <c r="M429" s="280"/>
      <c r="N429" s="280"/>
      <c r="O429" s="280"/>
      <c r="P429" s="280"/>
      <c r="Q429" s="280"/>
    </row>
    <row r="430" spans="2:17">
      <c r="B430" s="1172" t="s">
        <v>693</v>
      </c>
      <c r="C430" s="1173"/>
      <c r="D430" s="1173"/>
      <c r="E430" s="1173"/>
      <c r="F430" s="1173"/>
      <c r="G430" s="350"/>
      <c r="H430" s="346"/>
      <c r="I430" s="350"/>
      <c r="J430" s="348"/>
      <c r="L430" s="304"/>
      <c r="M430" s="280"/>
      <c r="N430" s="280"/>
      <c r="O430" s="280"/>
      <c r="P430" s="280"/>
      <c r="Q430" s="280"/>
    </row>
    <row r="431" spans="2:17">
      <c r="B431" s="1174" t="s">
        <v>694</v>
      </c>
      <c r="C431" s="1175"/>
      <c r="D431" s="1175"/>
      <c r="E431" s="1175"/>
      <c r="F431" s="1175"/>
      <c r="G431" s="365"/>
      <c r="H431" s="364"/>
      <c r="I431" s="350"/>
      <c r="J431" s="348"/>
      <c r="L431" s="304"/>
      <c r="M431" s="280"/>
      <c r="N431" s="280"/>
      <c r="O431" s="280"/>
      <c r="P431" s="280"/>
      <c r="Q431" s="280"/>
    </row>
    <row r="432" spans="2:17">
      <c r="B432" s="1151" t="s">
        <v>695</v>
      </c>
      <c r="C432" s="1152"/>
      <c r="D432" s="1152"/>
      <c r="E432" s="1152"/>
      <c r="F432" s="1153"/>
      <c r="G432" s="1154">
        <f>SUM(H423:H429)-H431</f>
        <v>0</v>
      </c>
      <c r="H432" s="1155"/>
      <c r="I432" s="1156">
        <f>SUM(J423:J429)-J431</f>
        <v>0</v>
      </c>
      <c r="J432" s="1157"/>
      <c r="L432" s="304"/>
      <c r="M432" s="280"/>
      <c r="N432" s="280"/>
      <c r="O432" s="280"/>
      <c r="P432" s="280"/>
      <c r="Q432" s="280"/>
    </row>
    <row r="433" spans="2:17" ht="18.75">
      <c r="B433" s="1158" t="s">
        <v>696</v>
      </c>
      <c r="C433" s="1159"/>
      <c r="D433" s="1159"/>
      <c r="E433" s="1159"/>
      <c r="F433" s="1160"/>
      <c r="G433" s="1161" t="str">
        <f>IF(OR(N425=0, I432=0), "12 Month Average", "24 Month Average")</f>
        <v>12 Month Average</v>
      </c>
      <c r="H433" s="1162"/>
      <c r="I433" s="1162"/>
      <c r="J433" s="1163"/>
      <c r="L433" s="304"/>
      <c r="M433" s="280"/>
      <c r="N433" s="280"/>
      <c r="O433" s="280"/>
      <c r="P433" s="280"/>
      <c r="Q433" s="280"/>
    </row>
    <row r="434" spans="2:17" ht="34.5" thickBot="1">
      <c r="B434" s="1164" t="s">
        <v>697</v>
      </c>
      <c r="C434" s="1165"/>
      <c r="D434" s="1165"/>
      <c r="E434" s="1165"/>
      <c r="F434" s="1166"/>
      <c r="G434" s="1167">
        <f>IF(OR(N425=0, I432=0), N427, N428)</f>
        <v>0</v>
      </c>
      <c r="H434" s="1168"/>
      <c r="I434" s="1168"/>
      <c r="J434" s="1169"/>
      <c r="L434" s="304"/>
      <c r="M434" s="280"/>
      <c r="N434" s="280"/>
      <c r="O434" s="280"/>
      <c r="P434" s="280"/>
      <c r="Q434" s="280"/>
    </row>
    <row r="435" spans="2:17" ht="15.75" thickBot="1">
      <c r="L435" s="304"/>
      <c r="M435" s="280"/>
      <c r="N435" s="280"/>
      <c r="O435" s="280"/>
      <c r="P435" s="280"/>
      <c r="Q435" s="280"/>
    </row>
    <row r="436" spans="2:17" ht="105.6" customHeight="1" thickBot="1">
      <c r="B436" s="1148" t="s">
        <v>699</v>
      </c>
      <c r="C436" s="1149"/>
      <c r="D436" s="1149"/>
      <c r="E436" s="1149"/>
      <c r="F436" s="1149"/>
      <c r="G436" s="1149"/>
      <c r="H436" s="1149"/>
      <c r="I436" s="1149"/>
      <c r="J436" s="1150"/>
      <c r="L436" s="304"/>
      <c r="M436" s="280"/>
      <c r="N436" s="280"/>
      <c r="O436" s="280"/>
      <c r="P436" s="280"/>
      <c r="Q436" s="280"/>
    </row>
  </sheetData>
  <sheetProtection selectLockedCells="1"/>
  <mergeCells count="514">
    <mergeCell ref="B8:F8"/>
    <mergeCell ref="X8:AB8"/>
    <mergeCell ref="B9:F9"/>
    <mergeCell ref="B10:F10"/>
    <mergeCell ref="B11:F11"/>
    <mergeCell ref="B12:F12"/>
    <mergeCell ref="B2:I2"/>
    <mergeCell ref="L2:V20"/>
    <mergeCell ref="D4:G4"/>
    <mergeCell ref="I4:J4"/>
    <mergeCell ref="D5:G5"/>
    <mergeCell ref="B6:C6"/>
    <mergeCell ref="D6:G6"/>
    <mergeCell ref="I6:J6"/>
    <mergeCell ref="B7:C7"/>
    <mergeCell ref="D7:J7"/>
    <mergeCell ref="I18:J18"/>
    <mergeCell ref="B19:F19"/>
    <mergeCell ref="G19:J19"/>
    <mergeCell ref="B20:F20"/>
    <mergeCell ref="G20:J20"/>
    <mergeCell ref="B22:J22"/>
    <mergeCell ref="B14:F14"/>
    <mergeCell ref="B15:F15"/>
    <mergeCell ref="B16:F16"/>
    <mergeCell ref="B17:F17"/>
    <mergeCell ref="B18:F18"/>
    <mergeCell ref="G18:H18"/>
    <mergeCell ref="B30:C30"/>
    <mergeCell ref="D30:J30"/>
    <mergeCell ref="B31:F31"/>
    <mergeCell ref="M31:Q31"/>
    <mergeCell ref="B32:F32"/>
    <mergeCell ref="B33:F33"/>
    <mergeCell ref="B25:I25"/>
    <mergeCell ref="D27:G27"/>
    <mergeCell ref="I27:J27"/>
    <mergeCell ref="D28:G28"/>
    <mergeCell ref="B29:C29"/>
    <mergeCell ref="D29:G29"/>
    <mergeCell ref="I29:J29"/>
    <mergeCell ref="B41:F41"/>
    <mergeCell ref="G41:H41"/>
    <mergeCell ref="I41:J41"/>
    <mergeCell ref="B42:F42"/>
    <mergeCell ref="G42:J42"/>
    <mergeCell ref="B43:F43"/>
    <mergeCell ref="G43:J43"/>
    <mergeCell ref="B34:F34"/>
    <mergeCell ref="B35:F35"/>
    <mergeCell ref="B37:F37"/>
    <mergeCell ref="B38:F38"/>
    <mergeCell ref="B39:F39"/>
    <mergeCell ref="B40:F40"/>
    <mergeCell ref="B53:C53"/>
    <mergeCell ref="D53:J53"/>
    <mergeCell ref="B54:F54"/>
    <mergeCell ref="M54:Q54"/>
    <mergeCell ref="B55:F55"/>
    <mergeCell ref="B56:F56"/>
    <mergeCell ref="B45:J45"/>
    <mergeCell ref="B48:I48"/>
    <mergeCell ref="D50:G50"/>
    <mergeCell ref="I50:J50"/>
    <mergeCell ref="D51:G51"/>
    <mergeCell ref="B52:C52"/>
    <mergeCell ref="D52:G52"/>
    <mergeCell ref="I52:J52"/>
    <mergeCell ref="B64:F64"/>
    <mergeCell ref="G64:H64"/>
    <mergeCell ref="I64:J64"/>
    <mergeCell ref="B65:F65"/>
    <mergeCell ref="G65:J65"/>
    <mergeCell ref="B66:F66"/>
    <mergeCell ref="G66:J66"/>
    <mergeCell ref="B57:F57"/>
    <mergeCell ref="B58:F58"/>
    <mergeCell ref="B60:F60"/>
    <mergeCell ref="B61:F61"/>
    <mergeCell ref="B62:F62"/>
    <mergeCell ref="B63:F63"/>
    <mergeCell ref="B76:C76"/>
    <mergeCell ref="D76:J76"/>
    <mergeCell ref="B77:F77"/>
    <mergeCell ref="M77:Q77"/>
    <mergeCell ref="B78:F78"/>
    <mergeCell ref="B79:F79"/>
    <mergeCell ref="B68:J68"/>
    <mergeCell ref="B71:I71"/>
    <mergeCell ref="D73:G73"/>
    <mergeCell ref="I73:J73"/>
    <mergeCell ref="D74:G74"/>
    <mergeCell ref="B75:C75"/>
    <mergeCell ref="D75:G75"/>
    <mergeCell ref="I75:J75"/>
    <mergeCell ref="B87:F87"/>
    <mergeCell ref="G87:H87"/>
    <mergeCell ref="I87:J87"/>
    <mergeCell ref="B88:F88"/>
    <mergeCell ref="G88:J88"/>
    <mergeCell ref="B89:F89"/>
    <mergeCell ref="G89:J89"/>
    <mergeCell ref="B80:F80"/>
    <mergeCell ref="B81:F81"/>
    <mergeCell ref="B83:F83"/>
    <mergeCell ref="B84:F84"/>
    <mergeCell ref="B85:F85"/>
    <mergeCell ref="B86:F86"/>
    <mergeCell ref="B99:C99"/>
    <mergeCell ref="D99:J99"/>
    <mergeCell ref="B100:F100"/>
    <mergeCell ref="M100:Q100"/>
    <mergeCell ref="B101:F101"/>
    <mergeCell ref="B102:F102"/>
    <mergeCell ref="B91:J91"/>
    <mergeCell ref="B94:I94"/>
    <mergeCell ref="D96:G96"/>
    <mergeCell ref="I96:J96"/>
    <mergeCell ref="D97:G97"/>
    <mergeCell ref="B98:C98"/>
    <mergeCell ref="D98:G98"/>
    <mergeCell ref="I98:J98"/>
    <mergeCell ref="B110:F110"/>
    <mergeCell ref="G110:H110"/>
    <mergeCell ref="I110:J110"/>
    <mergeCell ref="B111:F111"/>
    <mergeCell ref="G111:J111"/>
    <mergeCell ref="B112:F112"/>
    <mergeCell ref="G112:J112"/>
    <mergeCell ref="B103:F103"/>
    <mergeCell ref="B104:F104"/>
    <mergeCell ref="B106:F106"/>
    <mergeCell ref="B107:F107"/>
    <mergeCell ref="B108:F108"/>
    <mergeCell ref="B109:F109"/>
    <mergeCell ref="B122:C122"/>
    <mergeCell ref="D122:J122"/>
    <mergeCell ref="B123:F123"/>
    <mergeCell ref="M123:Q123"/>
    <mergeCell ref="B124:F124"/>
    <mergeCell ref="B125:F125"/>
    <mergeCell ref="B114:J114"/>
    <mergeCell ref="B117:I117"/>
    <mergeCell ref="D119:G119"/>
    <mergeCell ref="I119:J119"/>
    <mergeCell ref="D120:G120"/>
    <mergeCell ref="B121:C121"/>
    <mergeCell ref="D121:G121"/>
    <mergeCell ref="I121:J121"/>
    <mergeCell ref="B133:F133"/>
    <mergeCell ref="G133:H133"/>
    <mergeCell ref="I133:J133"/>
    <mergeCell ref="B134:F134"/>
    <mergeCell ref="G134:J134"/>
    <mergeCell ref="B135:F135"/>
    <mergeCell ref="G135:J135"/>
    <mergeCell ref="B126:F126"/>
    <mergeCell ref="B127:F127"/>
    <mergeCell ref="B129:F129"/>
    <mergeCell ref="B130:F130"/>
    <mergeCell ref="B131:F131"/>
    <mergeCell ref="B132:F132"/>
    <mergeCell ref="B145:C145"/>
    <mergeCell ref="D145:J145"/>
    <mergeCell ref="B146:F146"/>
    <mergeCell ref="M146:Q146"/>
    <mergeCell ref="B147:F147"/>
    <mergeCell ref="B148:F148"/>
    <mergeCell ref="B137:J137"/>
    <mergeCell ref="B140:I140"/>
    <mergeCell ref="D142:G142"/>
    <mergeCell ref="I142:J142"/>
    <mergeCell ref="D143:G143"/>
    <mergeCell ref="B144:C144"/>
    <mergeCell ref="D144:G144"/>
    <mergeCell ref="I144:J144"/>
    <mergeCell ref="B156:F156"/>
    <mergeCell ref="G156:H156"/>
    <mergeCell ref="I156:J156"/>
    <mergeCell ref="B157:F157"/>
    <mergeCell ref="G157:J157"/>
    <mergeCell ref="B158:F158"/>
    <mergeCell ref="G158:J158"/>
    <mergeCell ref="B149:F149"/>
    <mergeCell ref="B150:F150"/>
    <mergeCell ref="B152:F152"/>
    <mergeCell ref="B153:F153"/>
    <mergeCell ref="B154:F154"/>
    <mergeCell ref="B155:F155"/>
    <mergeCell ref="B168:C168"/>
    <mergeCell ref="D168:J168"/>
    <mergeCell ref="B169:F169"/>
    <mergeCell ref="M169:Q169"/>
    <mergeCell ref="B170:F170"/>
    <mergeCell ref="B171:F171"/>
    <mergeCell ref="B160:J160"/>
    <mergeCell ref="B163:I163"/>
    <mergeCell ref="D165:G165"/>
    <mergeCell ref="I165:J165"/>
    <mergeCell ref="D166:G166"/>
    <mergeCell ref="B167:C167"/>
    <mergeCell ref="D167:G167"/>
    <mergeCell ref="I167:J167"/>
    <mergeCell ref="B179:F179"/>
    <mergeCell ref="G179:H179"/>
    <mergeCell ref="I179:J179"/>
    <mergeCell ref="B180:F180"/>
    <mergeCell ref="G180:J180"/>
    <mergeCell ref="B181:F181"/>
    <mergeCell ref="G181:J181"/>
    <mergeCell ref="B172:F172"/>
    <mergeCell ref="B173:F173"/>
    <mergeCell ref="B175:F175"/>
    <mergeCell ref="B176:F176"/>
    <mergeCell ref="B177:F177"/>
    <mergeCell ref="B178:F178"/>
    <mergeCell ref="B191:C191"/>
    <mergeCell ref="D191:J191"/>
    <mergeCell ref="B192:F192"/>
    <mergeCell ref="M192:Q192"/>
    <mergeCell ref="B193:F193"/>
    <mergeCell ref="B194:F194"/>
    <mergeCell ref="B183:J183"/>
    <mergeCell ref="B186:I186"/>
    <mergeCell ref="D188:G188"/>
    <mergeCell ref="I188:J188"/>
    <mergeCell ref="D189:G189"/>
    <mergeCell ref="B190:C190"/>
    <mergeCell ref="D190:G190"/>
    <mergeCell ref="I190:J190"/>
    <mergeCell ref="B202:F202"/>
    <mergeCell ref="G202:H202"/>
    <mergeCell ref="I202:J202"/>
    <mergeCell ref="B203:F203"/>
    <mergeCell ref="G203:J203"/>
    <mergeCell ref="B204:F204"/>
    <mergeCell ref="G204:J204"/>
    <mergeCell ref="B195:F195"/>
    <mergeCell ref="B196:F196"/>
    <mergeCell ref="B198:F198"/>
    <mergeCell ref="B199:F199"/>
    <mergeCell ref="B200:F200"/>
    <mergeCell ref="B201:F201"/>
    <mergeCell ref="B214:C214"/>
    <mergeCell ref="D214:J214"/>
    <mergeCell ref="B215:F215"/>
    <mergeCell ref="M215:Q215"/>
    <mergeCell ref="B216:F216"/>
    <mergeCell ref="B217:F217"/>
    <mergeCell ref="B206:J206"/>
    <mergeCell ref="B209:I209"/>
    <mergeCell ref="D211:G211"/>
    <mergeCell ref="I211:J211"/>
    <mergeCell ref="D212:G212"/>
    <mergeCell ref="B213:C213"/>
    <mergeCell ref="D213:G213"/>
    <mergeCell ref="I213:J213"/>
    <mergeCell ref="B225:F225"/>
    <mergeCell ref="G225:H225"/>
    <mergeCell ref="I225:J225"/>
    <mergeCell ref="B226:F226"/>
    <mergeCell ref="G226:J226"/>
    <mergeCell ref="B227:F227"/>
    <mergeCell ref="G227:J227"/>
    <mergeCell ref="B218:F218"/>
    <mergeCell ref="B219:F219"/>
    <mergeCell ref="B221:F221"/>
    <mergeCell ref="B222:F222"/>
    <mergeCell ref="B223:F223"/>
    <mergeCell ref="B224:F224"/>
    <mergeCell ref="B237:C237"/>
    <mergeCell ref="D237:J237"/>
    <mergeCell ref="B238:F238"/>
    <mergeCell ref="M238:Q238"/>
    <mergeCell ref="B239:F239"/>
    <mergeCell ref="B240:F240"/>
    <mergeCell ref="B229:J229"/>
    <mergeCell ref="B232:I232"/>
    <mergeCell ref="D234:G234"/>
    <mergeCell ref="I234:J234"/>
    <mergeCell ref="D235:G235"/>
    <mergeCell ref="B236:C236"/>
    <mergeCell ref="D236:G236"/>
    <mergeCell ref="I236:J236"/>
    <mergeCell ref="B248:F248"/>
    <mergeCell ref="G248:H248"/>
    <mergeCell ref="I248:J248"/>
    <mergeCell ref="B249:F249"/>
    <mergeCell ref="G249:J249"/>
    <mergeCell ref="B250:F250"/>
    <mergeCell ref="G250:J250"/>
    <mergeCell ref="B241:F241"/>
    <mergeCell ref="B242:F242"/>
    <mergeCell ref="B244:F244"/>
    <mergeCell ref="B245:F245"/>
    <mergeCell ref="B246:F246"/>
    <mergeCell ref="B247:F247"/>
    <mergeCell ref="B260:C260"/>
    <mergeCell ref="D260:J260"/>
    <mergeCell ref="B261:F261"/>
    <mergeCell ref="M261:Q261"/>
    <mergeCell ref="B262:F262"/>
    <mergeCell ref="B263:F263"/>
    <mergeCell ref="B252:J252"/>
    <mergeCell ref="B255:I255"/>
    <mergeCell ref="D257:G257"/>
    <mergeCell ref="I257:J257"/>
    <mergeCell ref="D258:G258"/>
    <mergeCell ref="B259:C259"/>
    <mergeCell ref="D259:G259"/>
    <mergeCell ref="I259:J259"/>
    <mergeCell ref="B271:F271"/>
    <mergeCell ref="G271:H271"/>
    <mergeCell ref="I271:J271"/>
    <mergeCell ref="B272:F272"/>
    <mergeCell ref="G272:J272"/>
    <mergeCell ref="B273:F273"/>
    <mergeCell ref="G273:J273"/>
    <mergeCell ref="B264:F264"/>
    <mergeCell ref="B265:F265"/>
    <mergeCell ref="B267:F267"/>
    <mergeCell ref="B268:F268"/>
    <mergeCell ref="B269:F269"/>
    <mergeCell ref="B270:F270"/>
    <mergeCell ref="B283:C283"/>
    <mergeCell ref="D283:J283"/>
    <mergeCell ref="B284:F284"/>
    <mergeCell ref="M284:Q284"/>
    <mergeCell ref="B285:F285"/>
    <mergeCell ref="B286:F286"/>
    <mergeCell ref="B275:J275"/>
    <mergeCell ref="B278:I278"/>
    <mergeCell ref="D280:G280"/>
    <mergeCell ref="I280:J280"/>
    <mergeCell ref="D281:G281"/>
    <mergeCell ref="B282:C282"/>
    <mergeCell ref="D282:G282"/>
    <mergeCell ref="I282:J282"/>
    <mergeCell ref="B294:F294"/>
    <mergeCell ref="G294:H294"/>
    <mergeCell ref="I294:J294"/>
    <mergeCell ref="B295:F295"/>
    <mergeCell ref="G295:J295"/>
    <mergeCell ref="B296:F296"/>
    <mergeCell ref="G296:J296"/>
    <mergeCell ref="B287:F287"/>
    <mergeCell ref="B288:F288"/>
    <mergeCell ref="B290:F290"/>
    <mergeCell ref="B291:F291"/>
    <mergeCell ref="B292:F292"/>
    <mergeCell ref="B293:F293"/>
    <mergeCell ref="B306:C306"/>
    <mergeCell ref="D306:J306"/>
    <mergeCell ref="B307:F307"/>
    <mergeCell ref="M307:Q307"/>
    <mergeCell ref="B308:F308"/>
    <mergeCell ref="B309:F309"/>
    <mergeCell ref="B298:J298"/>
    <mergeCell ref="B301:I301"/>
    <mergeCell ref="D303:G303"/>
    <mergeCell ref="I303:J303"/>
    <mergeCell ref="D304:G304"/>
    <mergeCell ref="B305:C305"/>
    <mergeCell ref="D305:G305"/>
    <mergeCell ref="I305:J305"/>
    <mergeCell ref="B317:F317"/>
    <mergeCell ref="G317:H317"/>
    <mergeCell ref="I317:J317"/>
    <mergeCell ref="B318:F318"/>
    <mergeCell ref="G318:J318"/>
    <mergeCell ref="B319:F319"/>
    <mergeCell ref="G319:J319"/>
    <mergeCell ref="B310:F310"/>
    <mergeCell ref="B311:F311"/>
    <mergeCell ref="B313:F313"/>
    <mergeCell ref="B314:F314"/>
    <mergeCell ref="B315:F315"/>
    <mergeCell ref="B316:F316"/>
    <mergeCell ref="B329:C329"/>
    <mergeCell ref="D329:J329"/>
    <mergeCell ref="B330:F330"/>
    <mergeCell ref="M330:Q330"/>
    <mergeCell ref="B331:F331"/>
    <mergeCell ref="B332:F332"/>
    <mergeCell ref="B321:J321"/>
    <mergeCell ref="B324:I324"/>
    <mergeCell ref="D326:G326"/>
    <mergeCell ref="I326:J326"/>
    <mergeCell ref="D327:G327"/>
    <mergeCell ref="B328:C328"/>
    <mergeCell ref="D328:G328"/>
    <mergeCell ref="I328:J328"/>
    <mergeCell ref="B340:F340"/>
    <mergeCell ref="G340:H340"/>
    <mergeCell ref="I340:J340"/>
    <mergeCell ref="B341:F341"/>
    <mergeCell ref="G341:J341"/>
    <mergeCell ref="B342:F342"/>
    <mergeCell ref="G342:J342"/>
    <mergeCell ref="B333:F333"/>
    <mergeCell ref="B334:F334"/>
    <mergeCell ref="B336:F336"/>
    <mergeCell ref="B337:F337"/>
    <mergeCell ref="B338:F338"/>
    <mergeCell ref="B339:F339"/>
    <mergeCell ref="B352:C352"/>
    <mergeCell ref="D352:J352"/>
    <mergeCell ref="B353:F353"/>
    <mergeCell ref="M353:Q353"/>
    <mergeCell ref="B354:F354"/>
    <mergeCell ref="B355:F355"/>
    <mergeCell ref="B344:J344"/>
    <mergeCell ref="B347:I347"/>
    <mergeCell ref="D349:G349"/>
    <mergeCell ref="I349:J349"/>
    <mergeCell ref="D350:G350"/>
    <mergeCell ref="B351:C351"/>
    <mergeCell ref="D351:G351"/>
    <mergeCell ref="I351:J351"/>
    <mergeCell ref="B363:F363"/>
    <mergeCell ref="G363:H363"/>
    <mergeCell ref="I363:J363"/>
    <mergeCell ref="B364:F364"/>
    <mergeCell ref="G364:J364"/>
    <mergeCell ref="B365:F365"/>
    <mergeCell ref="G365:J365"/>
    <mergeCell ref="B356:F356"/>
    <mergeCell ref="B357:F357"/>
    <mergeCell ref="B359:F359"/>
    <mergeCell ref="B360:F360"/>
    <mergeCell ref="B361:F361"/>
    <mergeCell ref="B362:F362"/>
    <mergeCell ref="B375:C375"/>
    <mergeCell ref="D375:J375"/>
    <mergeCell ref="B376:F376"/>
    <mergeCell ref="M376:Q376"/>
    <mergeCell ref="B377:F377"/>
    <mergeCell ref="B378:F378"/>
    <mergeCell ref="B367:J367"/>
    <mergeCell ref="B370:I370"/>
    <mergeCell ref="D372:G372"/>
    <mergeCell ref="I372:J372"/>
    <mergeCell ref="D373:G373"/>
    <mergeCell ref="B374:C374"/>
    <mergeCell ref="D374:G374"/>
    <mergeCell ref="I374:J374"/>
    <mergeCell ref="B386:F386"/>
    <mergeCell ref="G386:H386"/>
    <mergeCell ref="I386:J386"/>
    <mergeCell ref="B387:F387"/>
    <mergeCell ref="G387:J387"/>
    <mergeCell ref="B388:F388"/>
    <mergeCell ref="G388:J388"/>
    <mergeCell ref="B379:F379"/>
    <mergeCell ref="B380:F380"/>
    <mergeCell ref="B382:F382"/>
    <mergeCell ref="B383:F383"/>
    <mergeCell ref="B384:F384"/>
    <mergeCell ref="B385:F385"/>
    <mergeCell ref="B398:C398"/>
    <mergeCell ref="D398:J398"/>
    <mergeCell ref="B399:F399"/>
    <mergeCell ref="M399:Q399"/>
    <mergeCell ref="B400:F400"/>
    <mergeCell ref="B401:F401"/>
    <mergeCell ref="B390:J390"/>
    <mergeCell ref="B393:I393"/>
    <mergeCell ref="D395:G395"/>
    <mergeCell ref="I395:J395"/>
    <mergeCell ref="D396:G396"/>
    <mergeCell ref="B397:C397"/>
    <mergeCell ref="D397:G397"/>
    <mergeCell ref="I397:J397"/>
    <mergeCell ref="B409:F409"/>
    <mergeCell ref="G409:H409"/>
    <mergeCell ref="I409:J409"/>
    <mergeCell ref="B410:F410"/>
    <mergeCell ref="G410:J410"/>
    <mergeCell ref="B411:F411"/>
    <mergeCell ref="G411:J411"/>
    <mergeCell ref="B402:F402"/>
    <mergeCell ref="B403:F403"/>
    <mergeCell ref="B405:F405"/>
    <mergeCell ref="B406:F406"/>
    <mergeCell ref="B407:F407"/>
    <mergeCell ref="B408:F408"/>
    <mergeCell ref="B421:C421"/>
    <mergeCell ref="D421:J421"/>
    <mergeCell ref="B422:F422"/>
    <mergeCell ref="M422:Q422"/>
    <mergeCell ref="B423:F423"/>
    <mergeCell ref="B424:F424"/>
    <mergeCell ref="B413:J413"/>
    <mergeCell ref="B416:I416"/>
    <mergeCell ref="D418:G418"/>
    <mergeCell ref="I418:J418"/>
    <mergeCell ref="D419:G419"/>
    <mergeCell ref="B420:C420"/>
    <mergeCell ref="D420:G420"/>
    <mergeCell ref="I420:J420"/>
    <mergeCell ref="B436:J436"/>
    <mergeCell ref="B432:F432"/>
    <mergeCell ref="G432:H432"/>
    <mergeCell ref="I432:J432"/>
    <mergeCell ref="B433:F433"/>
    <mergeCell ref="G433:J433"/>
    <mergeCell ref="B434:F434"/>
    <mergeCell ref="G434:J434"/>
    <mergeCell ref="B425:F425"/>
    <mergeCell ref="B426:F426"/>
    <mergeCell ref="B428:F428"/>
    <mergeCell ref="B429:F429"/>
    <mergeCell ref="B430:F430"/>
    <mergeCell ref="B431:F431"/>
  </mergeCells>
  <conditionalFormatting sqref="G19">
    <cfRule type="containsText" dxfId="575" priority="94" operator="containsText" text="Use This One">
      <formula>NOT(ISERROR(SEARCH("Use This One",G19)))</formula>
    </cfRule>
    <cfRule type="containsText" dxfId="574" priority="95" operator="containsText" text="Use This One">
      <formula>NOT(ISERROR(SEARCH("Use This One",G19)))</formula>
    </cfRule>
  </conditionalFormatting>
  <conditionalFormatting sqref="G19:J19">
    <cfRule type="containsText" dxfId="573" priority="91" operator="containsText" text="24 Month Average">
      <formula>NOT(ISERROR(SEARCH("24 Month Average",G19)))</formula>
    </cfRule>
    <cfRule type="containsText" dxfId="572" priority="92" operator="containsText" text="12 Month Average">
      <formula>NOT(ISERROR(SEARCH("12 Month Average",G19)))</formula>
    </cfRule>
    <cfRule type="containsText" dxfId="571" priority="93" operator="containsText" text="&quot;12 Month Average&quot; or &quot;24 Month Average&quot;">
      <formula>NOT(ISERROR(SEARCH("""12 Month Average"" or ""24 Month Average""",G19)))</formula>
    </cfRule>
  </conditionalFormatting>
  <conditionalFormatting sqref="G42">
    <cfRule type="containsText" dxfId="570" priority="89" operator="containsText" text="Use This One">
      <formula>NOT(ISERROR(SEARCH("Use This One",G42)))</formula>
    </cfRule>
    <cfRule type="containsText" dxfId="569" priority="90" operator="containsText" text="Use This One">
      <formula>NOT(ISERROR(SEARCH("Use This One",G42)))</formula>
    </cfRule>
  </conditionalFormatting>
  <conditionalFormatting sqref="G42:J42">
    <cfRule type="containsText" dxfId="568" priority="86" operator="containsText" text="24 Month Average">
      <formula>NOT(ISERROR(SEARCH("24 Month Average",G42)))</formula>
    </cfRule>
    <cfRule type="containsText" dxfId="567" priority="87" operator="containsText" text="12 Month Average">
      <formula>NOT(ISERROR(SEARCH("12 Month Average",G42)))</formula>
    </cfRule>
    <cfRule type="containsText" dxfId="566" priority="88" operator="containsText" text="&quot;12 Month Average&quot; or &quot;24 Month Average&quot;">
      <formula>NOT(ISERROR(SEARCH("""12 Month Average"" or ""24 Month Average""",G42)))</formula>
    </cfRule>
  </conditionalFormatting>
  <conditionalFormatting sqref="G65">
    <cfRule type="containsText" dxfId="565" priority="84" operator="containsText" text="Use This One">
      <formula>NOT(ISERROR(SEARCH("Use This One",G65)))</formula>
    </cfRule>
    <cfRule type="containsText" dxfId="564" priority="85" operator="containsText" text="Use This One">
      <formula>NOT(ISERROR(SEARCH("Use This One",G65)))</formula>
    </cfRule>
  </conditionalFormatting>
  <conditionalFormatting sqref="G65:J65">
    <cfRule type="containsText" dxfId="563" priority="81" operator="containsText" text="24 Month Average">
      <formula>NOT(ISERROR(SEARCH("24 Month Average",G65)))</formula>
    </cfRule>
    <cfRule type="containsText" dxfId="562" priority="82" operator="containsText" text="12 Month Average">
      <formula>NOT(ISERROR(SEARCH("12 Month Average",G65)))</formula>
    </cfRule>
    <cfRule type="containsText" dxfId="561" priority="83" operator="containsText" text="&quot;12 Month Average&quot; or &quot;24 Month Average&quot;">
      <formula>NOT(ISERROR(SEARCH("""12 Month Average"" or ""24 Month Average""",G65)))</formula>
    </cfRule>
  </conditionalFormatting>
  <conditionalFormatting sqref="G88">
    <cfRule type="containsText" dxfId="560" priority="79" operator="containsText" text="Use This One">
      <formula>NOT(ISERROR(SEARCH("Use This One",G88)))</formula>
    </cfRule>
    <cfRule type="containsText" dxfId="559" priority="80" operator="containsText" text="Use This One">
      <formula>NOT(ISERROR(SEARCH("Use This One",G88)))</formula>
    </cfRule>
  </conditionalFormatting>
  <conditionalFormatting sqref="G88:J88">
    <cfRule type="containsText" dxfId="558" priority="76" operator="containsText" text="24 Month Average">
      <formula>NOT(ISERROR(SEARCH("24 Month Average",G88)))</formula>
    </cfRule>
    <cfRule type="containsText" dxfId="557" priority="77" operator="containsText" text="12 Month Average">
      <formula>NOT(ISERROR(SEARCH("12 Month Average",G88)))</formula>
    </cfRule>
    <cfRule type="containsText" dxfId="556" priority="78" operator="containsText" text="&quot;12 Month Average&quot; or &quot;24 Month Average&quot;">
      <formula>NOT(ISERROR(SEARCH("""12 Month Average"" or ""24 Month Average""",G88)))</formula>
    </cfRule>
  </conditionalFormatting>
  <conditionalFormatting sqref="G111">
    <cfRule type="containsText" dxfId="555" priority="74" operator="containsText" text="Use This One">
      <formula>NOT(ISERROR(SEARCH("Use This One",G111)))</formula>
    </cfRule>
    <cfRule type="containsText" dxfId="554" priority="75" operator="containsText" text="Use This One">
      <formula>NOT(ISERROR(SEARCH("Use This One",G111)))</formula>
    </cfRule>
  </conditionalFormatting>
  <conditionalFormatting sqref="G111:J111">
    <cfRule type="containsText" dxfId="553" priority="71" operator="containsText" text="24 Month Average">
      <formula>NOT(ISERROR(SEARCH("24 Month Average",G111)))</formula>
    </cfRule>
    <cfRule type="containsText" dxfId="552" priority="72" operator="containsText" text="12 Month Average">
      <formula>NOT(ISERROR(SEARCH("12 Month Average",G111)))</formula>
    </cfRule>
    <cfRule type="containsText" dxfId="551" priority="73" operator="containsText" text="&quot;12 Month Average&quot; or &quot;24 Month Average&quot;">
      <formula>NOT(ISERROR(SEARCH("""12 Month Average"" or ""24 Month Average""",G111)))</formula>
    </cfRule>
  </conditionalFormatting>
  <conditionalFormatting sqref="G134">
    <cfRule type="containsText" dxfId="550" priority="69" operator="containsText" text="Use This One">
      <formula>NOT(ISERROR(SEARCH("Use This One",G134)))</formula>
    </cfRule>
    <cfRule type="containsText" dxfId="549" priority="70" operator="containsText" text="Use This One">
      <formula>NOT(ISERROR(SEARCH("Use This One",G134)))</formula>
    </cfRule>
  </conditionalFormatting>
  <conditionalFormatting sqref="G134:J134">
    <cfRule type="containsText" dxfId="548" priority="66" operator="containsText" text="24 Month Average">
      <formula>NOT(ISERROR(SEARCH("24 Month Average",G134)))</formula>
    </cfRule>
    <cfRule type="containsText" dxfId="547" priority="67" operator="containsText" text="12 Month Average">
      <formula>NOT(ISERROR(SEARCH("12 Month Average",G134)))</formula>
    </cfRule>
    <cfRule type="containsText" dxfId="546" priority="68" operator="containsText" text="&quot;12 Month Average&quot; or &quot;24 Month Average&quot;">
      <formula>NOT(ISERROR(SEARCH("""12 Month Average"" or ""24 Month Average""",G134)))</formula>
    </cfRule>
  </conditionalFormatting>
  <conditionalFormatting sqref="G157">
    <cfRule type="containsText" dxfId="545" priority="64" operator="containsText" text="Use This One">
      <formula>NOT(ISERROR(SEARCH("Use This One",G157)))</formula>
    </cfRule>
    <cfRule type="containsText" dxfId="544" priority="65" operator="containsText" text="Use This One">
      <formula>NOT(ISERROR(SEARCH("Use This One",G157)))</formula>
    </cfRule>
  </conditionalFormatting>
  <conditionalFormatting sqref="G157:J157">
    <cfRule type="containsText" dxfId="543" priority="61" operator="containsText" text="24 Month Average">
      <formula>NOT(ISERROR(SEARCH("24 Month Average",G157)))</formula>
    </cfRule>
    <cfRule type="containsText" dxfId="542" priority="62" operator="containsText" text="12 Month Average">
      <formula>NOT(ISERROR(SEARCH("12 Month Average",G157)))</formula>
    </cfRule>
    <cfRule type="containsText" dxfId="541" priority="63" operator="containsText" text="&quot;12 Month Average&quot; or &quot;24 Month Average&quot;">
      <formula>NOT(ISERROR(SEARCH("""12 Month Average"" or ""24 Month Average""",G157)))</formula>
    </cfRule>
  </conditionalFormatting>
  <conditionalFormatting sqref="G180">
    <cfRule type="containsText" dxfId="540" priority="59" operator="containsText" text="Use This One">
      <formula>NOT(ISERROR(SEARCH("Use This One",G180)))</formula>
    </cfRule>
    <cfRule type="containsText" dxfId="539" priority="60" operator="containsText" text="Use This One">
      <formula>NOT(ISERROR(SEARCH("Use This One",G180)))</formula>
    </cfRule>
  </conditionalFormatting>
  <conditionalFormatting sqref="G180:J180">
    <cfRule type="containsText" dxfId="538" priority="56" operator="containsText" text="24 Month Average">
      <formula>NOT(ISERROR(SEARCH("24 Month Average",G180)))</formula>
    </cfRule>
    <cfRule type="containsText" dxfId="537" priority="57" operator="containsText" text="12 Month Average">
      <formula>NOT(ISERROR(SEARCH("12 Month Average",G180)))</formula>
    </cfRule>
    <cfRule type="containsText" dxfId="536" priority="58" operator="containsText" text="&quot;12 Month Average&quot; or &quot;24 Month Average&quot;">
      <formula>NOT(ISERROR(SEARCH("""12 Month Average"" or ""24 Month Average""",G180)))</formula>
    </cfRule>
  </conditionalFormatting>
  <conditionalFormatting sqref="G203">
    <cfRule type="containsText" dxfId="535" priority="54" operator="containsText" text="Use This One">
      <formula>NOT(ISERROR(SEARCH("Use This One",G203)))</formula>
    </cfRule>
    <cfRule type="containsText" dxfId="534" priority="55" operator="containsText" text="Use This One">
      <formula>NOT(ISERROR(SEARCH("Use This One",G203)))</formula>
    </cfRule>
  </conditionalFormatting>
  <conditionalFormatting sqref="G203:J203">
    <cfRule type="containsText" dxfId="533" priority="51" operator="containsText" text="24 Month Average">
      <formula>NOT(ISERROR(SEARCH("24 Month Average",G203)))</formula>
    </cfRule>
    <cfRule type="containsText" dxfId="532" priority="52" operator="containsText" text="12 Month Average">
      <formula>NOT(ISERROR(SEARCH("12 Month Average",G203)))</formula>
    </cfRule>
    <cfRule type="containsText" dxfId="531" priority="53" operator="containsText" text="&quot;12 Month Average&quot; or &quot;24 Month Average&quot;">
      <formula>NOT(ISERROR(SEARCH("""12 Month Average"" or ""24 Month Average""",G203)))</formula>
    </cfRule>
  </conditionalFormatting>
  <conditionalFormatting sqref="G226">
    <cfRule type="containsText" dxfId="530" priority="49" operator="containsText" text="Use This One">
      <formula>NOT(ISERROR(SEARCH("Use This One",G226)))</formula>
    </cfRule>
    <cfRule type="containsText" dxfId="529" priority="50" operator="containsText" text="Use This One">
      <formula>NOT(ISERROR(SEARCH("Use This One",G226)))</formula>
    </cfRule>
  </conditionalFormatting>
  <conditionalFormatting sqref="G226:J226">
    <cfRule type="containsText" dxfId="528" priority="46" operator="containsText" text="24 Month Average">
      <formula>NOT(ISERROR(SEARCH("24 Month Average",G226)))</formula>
    </cfRule>
    <cfRule type="containsText" dxfId="527" priority="47" operator="containsText" text="12 Month Average">
      <formula>NOT(ISERROR(SEARCH("12 Month Average",G226)))</formula>
    </cfRule>
    <cfRule type="containsText" dxfId="526" priority="48" operator="containsText" text="&quot;12 Month Average&quot; or &quot;24 Month Average&quot;">
      <formula>NOT(ISERROR(SEARCH("""12 Month Average"" or ""24 Month Average""",G226)))</formula>
    </cfRule>
  </conditionalFormatting>
  <conditionalFormatting sqref="G249">
    <cfRule type="containsText" dxfId="525" priority="44" operator="containsText" text="Use This One">
      <formula>NOT(ISERROR(SEARCH("Use This One",G249)))</formula>
    </cfRule>
    <cfRule type="containsText" dxfId="524" priority="45" operator="containsText" text="Use This One">
      <formula>NOT(ISERROR(SEARCH("Use This One",G249)))</formula>
    </cfRule>
  </conditionalFormatting>
  <conditionalFormatting sqref="G249:J249">
    <cfRule type="containsText" dxfId="523" priority="41" operator="containsText" text="24 Month Average">
      <formula>NOT(ISERROR(SEARCH("24 Month Average",G249)))</formula>
    </cfRule>
    <cfRule type="containsText" dxfId="522" priority="42" operator="containsText" text="12 Month Average">
      <formula>NOT(ISERROR(SEARCH("12 Month Average",G249)))</formula>
    </cfRule>
    <cfRule type="containsText" dxfId="521" priority="43" operator="containsText" text="&quot;12 Month Average&quot; or &quot;24 Month Average&quot;">
      <formula>NOT(ISERROR(SEARCH("""12 Month Average"" or ""24 Month Average""",G249)))</formula>
    </cfRule>
  </conditionalFormatting>
  <conditionalFormatting sqref="G272">
    <cfRule type="containsText" dxfId="520" priority="39" operator="containsText" text="Use This One">
      <formula>NOT(ISERROR(SEARCH("Use This One",G272)))</formula>
    </cfRule>
    <cfRule type="containsText" dxfId="519" priority="40" operator="containsText" text="Use This One">
      <formula>NOT(ISERROR(SEARCH("Use This One",G272)))</formula>
    </cfRule>
  </conditionalFormatting>
  <conditionalFormatting sqref="G272:J272">
    <cfRule type="containsText" dxfId="518" priority="36" operator="containsText" text="24 Month Average">
      <formula>NOT(ISERROR(SEARCH("24 Month Average",G272)))</formula>
    </cfRule>
    <cfRule type="containsText" dxfId="517" priority="37" operator="containsText" text="12 Month Average">
      <formula>NOT(ISERROR(SEARCH("12 Month Average",G272)))</formula>
    </cfRule>
    <cfRule type="containsText" dxfId="516" priority="38" operator="containsText" text="&quot;12 Month Average&quot; or &quot;24 Month Average&quot;">
      <formula>NOT(ISERROR(SEARCH("""12 Month Average"" or ""24 Month Average""",G272)))</formula>
    </cfRule>
  </conditionalFormatting>
  <conditionalFormatting sqref="G295">
    <cfRule type="containsText" dxfId="515" priority="34" operator="containsText" text="Use This One">
      <formula>NOT(ISERROR(SEARCH("Use This One",G295)))</formula>
    </cfRule>
    <cfRule type="containsText" dxfId="514" priority="35" operator="containsText" text="Use This One">
      <formula>NOT(ISERROR(SEARCH("Use This One",G295)))</formula>
    </cfRule>
  </conditionalFormatting>
  <conditionalFormatting sqref="G295:J295">
    <cfRule type="containsText" dxfId="513" priority="31" operator="containsText" text="24 Month Average">
      <formula>NOT(ISERROR(SEARCH("24 Month Average",G295)))</formula>
    </cfRule>
    <cfRule type="containsText" dxfId="512" priority="32" operator="containsText" text="12 Month Average">
      <formula>NOT(ISERROR(SEARCH("12 Month Average",G295)))</formula>
    </cfRule>
    <cfRule type="containsText" dxfId="511" priority="33" operator="containsText" text="&quot;12 Month Average&quot; or &quot;24 Month Average&quot;">
      <formula>NOT(ISERROR(SEARCH("""12 Month Average"" or ""24 Month Average""",G295)))</formula>
    </cfRule>
  </conditionalFormatting>
  <conditionalFormatting sqref="G318">
    <cfRule type="containsText" dxfId="510" priority="29" operator="containsText" text="Use This One">
      <formula>NOT(ISERROR(SEARCH("Use This One",G318)))</formula>
    </cfRule>
    <cfRule type="containsText" dxfId="509" priority="30" operator="containsText" text="Use This One">
      <formula>NOT(ISERROR(SEARCH("Use This One",G318)))</formula>
    </cfRule>
  </conditionalFormatting>
  <conditionalFormatting sqref="G318:J318">
    <cfRule type="containsText" dxfId="508" priority="26" operator="containsText" text="24 Month Average">
      <formula>NOT(ISERROR(SEARCH("24 Month Average",G318)))</formula>
    </cfRule>
    <cfRule type="containsText" dxfId="507" priority="27" operator="containsText" text="12 Month Average">
      <formula>NOT(ISERROR(SEARCH("12 Month Average",G318)))</formula>
    </cfRule>
    <cfRule type="containsText" dxfId="506" priority="28" operator="containsText" text="&quot;12 Month Average&quot; or &quot;24 Month Average&quot;">
      <formula>NOT(ISERROR(SEARCH("""12 Month Average"" or ""24 Month Average""",G318)))</formula>
    </cfRule>
  </conditionalFormatting>
  <conditionalFormatting sqref="G341">
    <cfRule type="containsText" dxfId="505" priority="24" operator="containsText" text="Use This One">
      <formula>NOT(ISERROR(SEARCH("Use This One",G341)))</formula>
    </cfRule>
    <cfRule type="containsText" dxfId="504" priority="25" operator="containsText" text="Use This One">
      <formula>NOT(ISERROR(SEARCH("Use This One",G341)))</formula>
    </cfRule>
  </conditionalFormatting>
  <conditionalFormatting sqref="G341:J341">
    <cfRule type="containsText" dxfId="503" priority="21" operator="containsText" text="24 Month Average">
      <formula>NOT(ISERROR(SEARCH("24 Month Average",G341)))</formula>
    </cfRule>
    <cfRule type="containsText" dxfId="502" priority="22" operator="containsText" text="12 Month Average">
      <formula>NOT(ISERROR(SEARCH("12 Month Average",G341)))</formula>
    </cfRule>
    <cfRule type="containsText" dxfId="501" priority="23" operator="containsText" text="&quot;12 Month Average&quot; or &quot;24 Month Average&quot;">
      <formula>NOT(ISERROR(SEARCH("""12 Month Average"" or ""24 Month Average""",G341)))</formula>
    </cfRule>
  </conditionalFormatting>
  <conditionalFormatting sqref="G364">
    <cfRule type="containsText" dxfId="500" priority="19" operator="containsText" text="Use This One">
      <formula>NOT(ISERROR(SEARCH("Use This One",G364)))</formula>
    </cfRule>
    <cfRule type="containsText" dxfId="499" priority="20" operator="containsText" text="Use This One">
      <formula>NOT(ISERROR(SEARCH("Use This One",G364)))</formula>
    </cfRule>
  </conditionalFormatting>
  <conditionalFormatting sqref="G364:J364">
    <cfRule type="containsText" dxfId="498" priority="16" operator="containsText" text="24 Month Average">
      <formula>NOT(ISERROR(SEARCH("24 Month Average",G364)))</formula>
    </cfRule>
    <cfRule type="containsText" dxfId="497" priority="17" operator="containsText" text="12 Month Average">
      <formula>NOT(ISERROR(SEARCH("12 Month Average",G364)))</formula>
    </cfRule>
    <cfRule type="containsText" dxfId="496" priority="18" operator="containsText" text="&quot;12 Month Average&quot; or &quot;24 Month Average&quot;">
      <formula>NOT(ISERROR(SEARCH("""12 Month Average"" or ""24 Month Average""",G364)))</formula>
    </cfRule>
  </conditionalFormatting>
  <conditionalFormatting sqref="G387">
    <cfRule type="containsText" dxfId="495" priority="14" operator="containsText" text="Use This One">
      <formula>NOT(ISERROR(SEARCH("Use This One",G387)))</formula>
    </cfRule>
    <cfRule type="containsText" dxfId="494" priority="15" operator="containsText" text="Use This One">
      <formula>NOT(ISERROR(SEARCH("Use This One",G387)))</formula>
    </cfRule>
  </conditionalFormatting>
  <conditionalFormatting sqref="G387:J387">
    <cfRule type="containsText" dxfId="493" priority="11" operator="containsText" text="24 Month Average">
      <formula>NOT(ISERROR(SEARCH("24 Month Average",G387)))</formula>
    </cfRule>
    <cfRule type="containsText" dxfId="492" priority="12" operator="containsText" text="12 Month Average">
      <formula>NOT(ISERROR(SEARCH("12 Month Average",G387)))</formula>
    </cfRule>
    <cfRule type="containsText" dxfId="491" priority="13" operator="containsText" text="&quot;12 Month Average&quot; or &quot;24 Month Average&quot;">
      <formula>NOT(ISERROR(SEARCH("""12 Month Average"" or ""24 Month Average""",G387)))</formula>
    </cfRule>
  </conditionalFormatting>
  <conditionalFormatting sqref="G410">
    <cfRule type="containsText" dxfId="490" priority="9" operator="containsText" text="Use This One">
      <formula>NOT(ISERROR(SEARCH("Use This One",G410)))</formula>
    </cfRule>
    <cfRule type="containsText" dxfId="489" priority="10" operator="containsText" text="Use This One">
      <formula>NOT(ISERROR(SEARCH("Use This One",G410)))</formula>
    </cfRule>
  </conditionalFormatting>
  <conditionalFormatting sqref="G410:J410">
    <cfRule type="containsText" dxfId="488" priority="6" operator="containsText" text="24 Month Average">
      <formula>NOT(ISERROR(SEARCH("24 Month Average",G410)))</formula>
    </cfRule>
    <cfRule type="containsText" dxfId="487" priority="7" operator="containsText" text="12 Month Average">
      <formula>NOT(ISERROR(SEARCH("12 Month Average",G410)))</formula>
    </cfRule>
    <cfRule type="containsText" dxfId="486" priority="8" operator="containsText" text="&quot;12 Month Average&quot; or &quot;24 Month Average&quot;">
      <formula>NOT(ISERROR(SEARCH("""12 Month Average"" or ""24 Month Average""",G410)))</formula>
    </cfRule>
  </conditionalFormatting>
  <conditionalFormatting sqref="G433">
    <cfRule type="containsText" dxfId="485" priority="4" operator="containsText" text="Use This One">
      <formula>NOT(ISERROR(SEARCH("Use This One",G433)))</formula>
    </cfRule>
    <cfRule type="containsText" dxfId="484" priority="5" operator="containsText" text="Use This One">
      <formula>NOT(ISERROR(SEARCH("Use This One",G433)))</formula>
    </cfRule>
  </conditionalFormatting>
  <conditionalFormatting sqref="G433:J433">
    <cfRule type="containsText" dxfId="483" priority="1" operator="containsText" text="24 Month Average">
      <formula>NOT(ISERROR(SEARCH("24 Month Average",G433)))</formula>
    </cfRule>
    <cfRule type="containsText" dxfId="482" priority="2" operator="containsText" text="12 Month Average">
      <formula>NOT(ISERROR(SEARCH("12 Month Average",G433)))</formula>
    </cfRule>
    <cfRule type="containsText" dxfId="481" priority="3" operator="containsText" text="&quot;12 Month Average&quot; or &quot;24 Month Average&quot;">
      <formula>NOT(ISERROR(SEARCH("""12 Month Average"" or ""24 Month Average""",G433)))</formula>
    </cfRule>
  </conditionalFormatting>
  <dataValidations count="2">
    <dataValidation type="list" allowBlank="1" showInputMessage="1" showErrorMessage="1" sqref="D28:G28 D97:G97 D74:G74 D51:G51 D120:G120 D189:G189 D166:G166 D143:G143 D212:G212 D235:G235 D304:G304 D281:G281 D258:G258 D327:G327 D396:G396 D373:G373 D350:G350 D419:G419" xr:uid="{1F12E70B-3539-4843-9F72-E0887CCFB1FC}">
      <formula1>$Q$32:$Q$36</formula1>
    </dataValidation>
    <dataValidation type="list" allowBlank="1" showInputMessage="1" showErrorMessage="1" sqref="D5:G5" xr:uid="{0F4FDB9D-0265-456C-8D69-C8B786496B0B}">
      <formula1>$AB$9:$AB$13</formula1>
    </dataValidation>
  </dataValidations>
  <pageMargins left="0.25" right="0.25" top="0.75" bottom="0.75" header="0.3" footer="0.3"/>
  <pageSetup scale="88" fitToHeight="0" orientation="portrait" r:id="rId1"/>
  <rowBreaks count="18" manualBreakCount="18">
    <brk id="23" max="16383" man="1"/>
    <brk id="46" max="16383" man="1"/>
    <brk id="69" max="16383" man="1"/>
    <brk id="92" max="16383" man="1"/>
    <brk id="115" max="16383" man="1"/>
    <brk id="138" max="16383" man="1"/>
    <brk id="161" max="16383" man="1"/>
    <brk id="184" max="16383" man="1"/>
    <brk id="207" max="16383" man="1"/>
    <brk id="230" max="16383" man="1"/>
    <brk id="253" max="16383" man="1"/>
    <brk id="276" max="16383" man="1"/>
    <brk id="299" max="16383" man="1"/>
    <brk id="322" max="16383" man="1"/>
    <brk id="345" max="16383" man="1"/>
    <brk id="368" max="16383" man="1"/>
    <brk id="391" max="16383" man="1"/>
    <brk id="414" max="16383" man="1"/>
  </rowBreak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1FF3E-0041-4019-990D-E8CA2A6DE881}">
  <sheetPr codeName="Sheet4">
    <tabColor rgb="FF7030A0"/>
    <pageSetUpPr fitToPage="1"/>
  </sheetPr>
  <dimension ref="A1:AS740"/>
  <sheetViews>
    <sheetView zoomScale="85" zoomScaleNormal="85" workbookViewId="0">
      <selection activeCell="B7" sqref="B7:J11"/>
    </sheetView>
  </sheetViews>
  <sheetFormatPr defaultColWidth="9.140625" defaultRowHeight="15"/>
  <cols>
    <col min="1" max="1" width="3.7109375" style="78" customWidth="1"/>
    <col min="2" max="5" width="9.140625" style="78"/>
    <col min="6" max="6" width="9.140625" style="78" customWidth="1"/>
    <col min="7" max="10" width="16.7109375" style="78" customWidth="1"/>
    <col min="11" max="11" width="1.7109375" style="78" customWidth="1"/>
    <col min="12" max="13" width="9.140625" style="78"/>
    <col min="14" max="14" width="10.5703125" style="78" customWidth="1"/>
    <col min="15" max="15" width="9.140625" style="78" customWidth="1"/>
    <col min="16" max="19" width="9.140625" style="78"/>
    <col min="20" max="20" width="7.85546875" style="78" customWidth="1"/>
    <col min="21" max="22" width="3" style="78" customWidth="1"/>
    <col min="23" max="23" width="4.42578125" style="78" customWidth="1"/>
    <col min="24" max="24" width="4.7109375" style="78" customWidth="1"/>
    <col min="25" max="25" width="4.28515625" style="78" customWidth="1"/>
    <col min="26" max="16384" width="9.140625" style="78"/>
  </cols>
  <sheetData>
    <row r="1" spans="2:45" ht="13.5" customHeight="1" thickBot="1">
      <c r="L1" s="304"/>
      <c r="M1" s="304"/>
      <c r="N1" s="304"/>
      <c r="O1" s="304"/>
      <c r="P1" s="304"/>
      <c r="Q1" s="304"/>
      <c r="R1" s="304"/>
      <c r="S1" s="304"/>
      <c r="T1" s="304"/>
      <c r="U1" s="304"/>
    </row>
    <row r="2" spans="2:45" ht="69" customHeight="1">
      <c r="B2" s="1187" t="s">
        <v>708</v>
      </c>
      <c r="C2" s="1188"/>
      <c r="D2" s="1188"/>
      <c r="E2" s="1188"/>
      <c r="F2" s="1188"/>
      <c r="G2" s="1188"/>
      <c r="H2" s="1188"/>
      <c r="I2" s="1188"/>
      <c r="J2" s="331" t="str">
        <f>'[3]Reference Sheet'!$B$2</f>
        <v>Rev. 4.12.2016</v>
      </c>
      <c r="L2" s="1198" t="s">
        <v>709</v>
      </c>
      <c r="M2" s="1199"/>
      <c r="N2" s="1199"/>
      <c r="O2" s="1199"/>
      <c r="P2" s="1199"/>
      <c r="Q2" s="1199"/>
      <c r="R2" s="1199"/>
      <c r="S2" s="1199"/>
      <c r="T2" s="1199"/>
      <c r="U2" s="1199"/>
      <c r="V2" s="1199"/>
      <c r="W2" s="1199"/>
      <c r="X2" s="1199"/>
      <c r="Y2" s="1200"/>
      <c r="Z2" s="367"/>
      <c r="AA2" s="304"/>
      <c r="AB2" s="304"/>
      <c r="AC2" s="304"/>
      <c r="AD2" s="304"/>
      <c r="AE2" s="304"/>
      <c r="AF2" s="304"/>
      <c r="AG2" s="304"/>
      <c r="AH2" s="304"/>
      <c r="AI2" s="304"/>
      <c r="AJ2" s="304"/>
      <c r="AK2" s="304"/>
      <c r="AL2" s="304"/>
      <c r="AM2" s="304"/>
      <c r="AN2" s="304"/>
      <c r="AO2" s="304"/>
      <c r="AP2" s="304"/>
      <c r="AQ2" s="304"/>
      <c r="AR2" s="304"/>
      <c r="AS2" s="304"/>
    </row>
    <row r="3" spans="2:45" ht="3.75" customHeight="1">
      <c r="B3" s="332"/>
      <c r="C3" s="333"/>
      <c r="D3" s="333"/>
      <c r="E3" s="333"/>
      <c r="F3" s="333"/>
      <c r="G3" s="333"/>
      <c r="H3" s="333"/>
      <c r="I3" s="333"/>
      <c r="J3" s="334"/>
      <c r="L3" s="1201"/>
      <c r="M3" s="1202"/>
      <c r="N3" s="1202"/>
      <c r="O3" s="1202"/>
      <c r="P3" s="1202"/>
      <c r="Q3" s="1202"/>
      <c r="R3" s="1202"/>
      <c r="S3" s="1202"/>
      <c r="T3" s="1202"/>
      <c r="U3" s="1202"/>
      <c r="V3" s="1202"/>
      <c r="W3" s="1202"/>
      <c r="X3" s="1202"/>
      <c r="Y3" s="1203"/>
      <c r="Z3" s="367"/>
      <c r="AA3" s="304"/>
      <c r="AB3" s="304"/>
      <c r="AC3" s="304"/>
      <c r="AD3" s="304"/>
      <c r="AE3" s="304"/>
      <c r="AF3" s="304"/>
      <c r="AG3" s="304"/>
      <c r="AH3" s="304"/>
      <c r="AI3" s="304"/>
      <c r="AJ3" s="304"/>
      <c r="AK3" s="304"/>
      <c r="AL3" s="304"/>
      <c r="AM3" s="304"/>
      <c r="AN3" s="304"/>
      <c r="AO3" s="304"/>
      <c r="AP3" s="304"/>
      <c r="AQ3" s="304"/>
      <c r="AR3" s="304"/>
      <c r="AS3" s="304"/>
    </row>
    <row r="4" spans="2:45" ht="18" customHeight="1" thickBot="1">
      <c r="B4" s="332"/>
      <c r="C4" s="368" t="s">
        <v>710</v>
      </c>
      <c r="D4" s="1189"/>
      <c r="E4" s="1190"/>
      <c r="F4" s="1190"/>
      <c r="G4" s="1190"/>
      <c r="H4" s="333"/>
      <c r="I4" s="333"/>
      <c r="J4" s="334"/>
      <c r="L4" s="1201"/>
      <c r="M4" s="1202"/>
      <c r="N4" s="1202"/>
      <c r="O4" s="1202"/>
      <c r="P4" s="1202"/>
      <c r="Q4" s="1202"/>
      <c r="R4" s="1202"/>
      <c r="S4" s="1202"/>
      <c r="T4" s="1202"/>
      <c r="U4" s="1202"/>
      <c r="V4" s="1202"/>
      <c r="W4" s="1202"/>
      <c r="X4" s="1202"/>
      <c r="Y4" s="1203"/>
      <c r="Z4" s="367"/>
      <c r="AA4" s="304"/>
      <c r="AB4" s="304" t="s">
        <v>680</v>
      </c>
      <c r="AC4" s="304">
        <f>IF(AND(J9=0, J13=0, J15=0, J24=0, J25=0, J26=0, J28=0, J30=0, J31=0, I32=0), 0, 1)</f>
        <v>1</v>
      </c>
      <c r="AD4" s="304"/>
      <c r="AE4" s="304"/>
      <c r="AF4" s="366" t="s">
        <v>596</v>
      </c>
      <c r="AG4" s="304"/>
      <c r="AH4" s="304"/>
      <c r="AI4" s="304"/>
      <c r="AJ4" s="304"/>
      <c r="AK4" s="304"/>
      <c r="AL4" s="304"/>
      <c r="AM4" s="304"/>
      <c r="AN4" s="304"/>
      <c r="AO4" s="304"/>
      <c r="AP4" s="304"/>
      <c r="AQ4" s="304"/>
      <c r="AR4" s="304"/>
      <c r="AS4" s="304"/>
    </row>
    <row r="5" spans="2:45" ht="18" customHeight="1" thickBot="1">
      <c r="B5" s="332"/>
      <c r="C5" s="368" t="s">
        <v>711</v>
      </c>
      <c r="D5" s="1277"/>
      <c r="E5" s="1278"/>
      <c r="F5" s="1278"/>
      <c r="G5" s="1278"/>
      <c r="H5" s="368" t="s">
        <v>712</v>
      </c>
      <c r="I5" s="1189"/>
      <c r="J5" s="1279"/>
      <c r="L5" s="1201"/>
      <c r="M5" s="1202"/>
      <c r="N5" s="1202"/>
      <c r="O5" s="1202"/>
      <c r="P5" s="1202"/>
      <c r="Q5" s="1202"/>
      <c r="R5" s="1202"/>
      <c r="S5" s="1202"/>
      <c r="T5" s="1202"/>
      <c r="U5" s="1202"/>
      <c r="V5" s="1202"/>
      <c r="W5" s="1202"/>
      <c r="X5" s="1202"/>
      <c r="Y5" s="1203"/>
      <c r="Z5" s="367"/>
      <c r="AA5" s="304"/>
      <c r="AB5" s="304" t="s">
        <v>682</v>
      </c>
      <c r="AC5" s="304">
        <f>IF(AND(G32&lt;=I32, I32&lt;&gt;0), 0, 1)</f>
        <v>1</v>
      </c>
      <c r="AD5" s="304"/>
      <c r="AE5" s="304"/>
      <c r="AF5" s="366" t="s">
        <v>683</v>
      </c>
      <c r="AG5" s="304"/>
      <c r="AH5" s="304"/>
      <c r="AI5" s="304"/>
      <c r="AJ5" s="304"/>
      <c r="AK5" s="304"/>
      <c r="AL5" s="304"/>
      <c r="AM5" s="304"/>
      <c r="AN5" s="304"/>
      <c r="AO5" s="304"/>
      <c r="AP5" s="304"/>
      <c r="AQ5" s="304"/>
      <c r="AR5" s="304"/>
      <c r="AS5" s="304"/>
    </row>
    <row r="6" spans="2:45" ht="18" customHeight="1" thickBot="1">
      <c r="B6" s="1176" t="s">
        <v>671</v>
      </c>
      <c r="C6" s="1177"/>
      <c r="D6" s="1280"/>
      <c r="E6" s="1281"/>
      <c r="F6" s="1281"/>
      <c r="G6" s="1281"/>
      <c r="H6" s="336" t="s">
        <v>673</v>
      </c>
      <c r="I6" s="369"/>
      <c r="J6" s="370"/>
      <c r="L6" s="1201"/>
      <c r="M6" s="1202"/>
      <c r="N6" s="1202"/>
      <c r="O6" s="1202"/>
      <c r="P6" s="1202"/>
      <c r="Q6" s="1202"/>
      <c r="R6" s="1202"/>
      <c r="S6" s="1202"/>
      <c r="T6" s="1202"/>
      <c r="U6" s="1202"/>
      <c r="V6" s="1202"/>
      <c r="W6" s="1202"/>
      <c r="X6" s="1202"/>
      <c r="Y6" s="1203"/>
      <c r="Z6" s="367"/>
      <c r="AA6" s="304"/>
      <c r="AB6" s="304" t="s">
        <v>685</v>
      </c>
      <c r="AC6" s="304">
        <f>IF(AND(AC5=0, AC4=1), 0, 1)</f>
        <v>1</v>
      </c>
      <c r="AD6" s="304"/>
      <c r="AE6" s="304"/>
      <c r="AF6" s="366" t="s">
        <v>599</v>
      </c>
      <c r="AG6" s="304"/>
      <c r="AH6" s="304"/>
      <c r="AI6" s="304"/>
      <c r="AJ6" s="304"/>
      <c r="AK6" s="304"/>
      <c r="AL6" s="304"/>
      <c r="AM6" s="304"/>
      <c r="AN6" s="304"/>
      <c r="AO6" s="304"/>
      <c r="AP6" s="304"/>
      <c r="AQ6" s="304"/>
      <c r="AR6" s="304"/>
      <c r="AS6" s="304"/>
    </row>
    <row r="7" spans="2:45" ht="18" customHeight="1" thickBot="1">
      <c r="B7" s="1176" t="s">
        <v>674</v>
      </c>
      <c r="C7" s="1177"/>
      <c r="D7" s="1262"/>
      <c r="E7" s="1263"/>
      <c r="F7" s="1263"/>
      <c r="G7" s="1263"/>
      <c r="H7" s="1263"/>
      <c r="I7" s="1263"/>
      <c r="J7" s="1264"/>
      <c r="L7" s="1201"/>
      <c r="M7" s="1202"/>
      <c r="N7" s="1202"/>
      <c r="O7" s="1202"/>
      <c r="P7" s="1202"/>
      <c r="Q7" s="1202"/>
      <c r="R7" s="1202"/>
      <c r="S7" s="1202"/>
      <c r="T7" s="1202"/>
      <c r="U7" s="1202"/>
      <c r="V7" s="1202"/>
      <c r="W7" s="1202"/>
      <c r="X7" s="1202"/>
      <c r="Y7" s="1203"/>
      <c r="Z7" s="367"/>
      <c r="AA7" s="304"/>
      <c r="AB7" s="304"/>
      <c r="AC7" s="304"/>
      <c r="AD7" s="304"/>
      <c r="AE7" s="304"/>
      <c r="AF7" s="366" t="s">
        <v>603</v>
      </c>
      <c r="AG7" s="304"/>
      <c r="AH7" s="304"/>
      <c r="AI7" s="304"/>
      <c r="AJ7" s="304"/>
      <c r="AK7" s="304"/>
      <c r="AL7" s="304"/>
      <c r="AM7" s="304"/>
      <c r="AN7" s="304"/>
      <c r="AO7" s="304"/>
      <c r="AP7" s="304"/>
      <c r="AQ7" s="304"/>
      <c r="AR7" s="304"/>
      <c r="AS7" s="304"/>
    </row>
    <row r="8" spans="2:45">
      <c r="B8" s="1265"/>
      <c r="C8" s="1266"/>
      <c r="D8" s="1266"/>
      <c r="E8" s="1266"/>
      <c r="F8" s="1267"/>
      <c r="G8" s="371" t="s">
        <v>713</v>
      </c>
      <c r="H8" s="372" t="s">
        <v>676</v>
      </c>
      <c r="I8" s="342"/>
      <c r="J8" s="373" t="s">
        <v>677</v>
      </c>
      <c r="L8" s="1201"/>
      <c r="M8" s="1202"/>
      <c r="N8" s="1202"/>
      <c r="O8" s="1202"/>
      <c r="P8" s="1202"/>
      <c r="Q8" s="1202"/>
      <c r="R8" s="1202"/>
      <c r="S8" s="1202"/>
      <c r="T8" s="1202"/>
      <c r="U8" s="1202"/>
      <c r="V8" s="1202"/>
      <c r="W8" s="1202"/>
      <c r="X8" s="1202"/>
      <c r="Y8" s="1203"/>
      <c r="Z8" s="367"/>
      <c r="AA8" s="304"/>
      <c r="AB8" s="304" t="s">
        <v>689</v>
      </c>
      <c r="AC8" s="374">
        <f>G32/12</f>
        <v>0</v>
      </c>
      <c r="AD8" s="304"/>
      <c r="AE8" s="304"/>
      <c r="AF8" s="366" t="s">
        <v>605</v>
      </c>
      <c r="AG8" s="304"/>
      <c r="AH8" s="304"/>
      <c r="AI8" s="304"/>
      <c r="AJ8" s="304"/>
      <c r="AK8" s="304"/>
      <c r="AL8" s="304"/>
      <c r="AM8" s="304"/>
      <c r="AN8" s="304"/>
      <c r="AO8" s="304"/>
      <c r="AP8" s="304"/>
      <c r="AQ8" s="304"/>
      <c r="AR8" s="304"/>
      <c r="AS8" s="304"/>
    </row>
    <row r="9" spans="2:45">
      <c r="B9" s="1268"/>
      <c r="C9" s="1266"/>
      <c r="D9" s="1266"/>
      <c r="E9" s="1266"/>
      <c r="F9" s="1267"/>
      <c r="G9" s="375" t="s">
        <v>714</v>
      </c>
      <c r="H9" s="376"/>
      <c r="I9" s="1272"/>
      <c r="J9" s="378"/>
      <c r="L9" s="1201"/>
      <c r="M9" s="1202"/>
      <c r="N9" s="1202"/>
      <c r="O9" s="1202"/>
      <c r="P9" s="1202"/>
      <c r="Q9" s="1202"/>
      <c r="R9" s="1202"/>
      <c r="S9" s="1202"/>
      <c r="T9" s="1202"/>
      <c r="U9" s="1202"/>
      <c r="V9" s="1202"/>
      <c r="W9" s="1202"/>
      <c r="X9" s="1202"/>
      <c r="Y9" s="1203"/>
      <c r="Z9" s="367"/>
      <c r="AA9" s="304"/>
      <c r="AB9" s="304" t="s">
        <v>691</v>
      </c>
      <c r="AC9" s="374">
        <f>(G32+I32)/24</f>
        <v>0</v>
      </c>
      <c r="AD9" s="304"/>
      <c r="AE9" s="304"/>
      <c r="AF9" s="304"/>
      <c r="AG9" s="304"/>
      <c r="AH9" s="304"/>
      <c r="AI9" s="304"/>
      <c r="AJ9" s="304"/>
      <c r="AK9" s="304"/>
      <c r="AL9" s="304"/>
      <c r="AM9" s="304"/>
      <c r="AN9" s="304"/>
      <c r="AO9" s="304"/>
      <c r="AP9" s="304"/>
      <c r="AQ9" s="304"/>
      <c r="AR9" s="304"/>
      <c r="AS9" s="304"/>
    </row>
    <row r="10" spans="2:45">
      <c r="B10" s="1268"/>
      <c r="C10" s="1266"/>
      <c r="D10" s="1266"/>
      <c r="E10" s="1266"/>
      <c r="F10" s="1267"/>
      <c r="G10" s="379" t="s">
        <v>715</v>
      </c>
      <c r="H10" s="380"/>
      <c r="I10" s="1272"/>
      <c r="J10" s="378"/>
      <c r="L10" s="1201"/>
      <c r="M10" s="1202"/>
      <c r="N10" s="1202"/>
      <c r="O10" s="1202"/>
      <c r="P10" s="1202"/>
      <c r="Q10" s="1202"/>
      <c r="R10" s="1202"/>
      <c r="S10" s="1202"/>
      <c r="T10" s="1202"/>
      <c r="U10" s="1202"/>
      <c r="V10" s="1202"/>
      <c r="W10" s="1202"/>
      <c r="X10" s="1202"/>
      <c r="Y10" s="1203"/>
      <c r="Z10" s="367"/>
      <c r="AA10" s="304"/>
      <c r="AB10" s="304"/>
      <c r="AC10" s="304"/>
      <c r="AD10" s="304"/>
      <c r="AE10" s="304"/>
      <c r="AF10" s="304"/>
      <c r="AG10" s="304"/>
      <c r="AH10" s="304"/>
      <c r="AI10" s="304"/>
      <c r="AJ10" s="304"/>
      <c r="AK10" s="304"/>
      <c r="AL10" s="304"/>
      <c r="AM10" s="304"/>
      <c r="AN10" s="304"/>
      <c r="AO10" s="304"/>
      <c r="AP10" s="304"/>
      <c r="AQ10" s="304"/>
      <c r="AR10" s="304"/>
      <c r="AS10" s="304"/>
    </row>
    <row r="11" spans="2:45" ht="15.75" thickBot="1">
      <c r="B11" s="1269"/>
      <c r="C11" s="1270"/>
      <c r="D11" s="1270"/>
      <c r="E11" s="1270"/>
      <c r="F11" s="1271"/>
      <c r="G11" s="379" t="s">
        <v>716</v>
      </c>
      <c r="H11" s="376"/>
      <c r="I11" s="1272"/>
      <c r="J11" s="378"/>
      <c r="L11" s="1201"/>
      <c r="M11" s="1202"/>
      <c r="N11" s="1202"/>
      <c r="O11" s="1202"/>
      <c r="P11" s="1202"/>
      <c r="Q11" s="1202"/>
      <c r="R11" s="1202"/>
      <c r="S11" s="1202"/>
      <c r="T11" s="1202"/>
      <c r="U11" s="1202"/>
      <c r="V11" s="1202"/>
      <c r="W11" s="1202"/>
      <c r="X11" s="1202"/>
      <c r="Y11" s="1203"/>
      <c r="Z11" s="367"/>
      <c r="AA11" s="304"/>
      <c r="AB11" s="304" t="s">
        <v>717</v>
      </c>
      <c r="AC11" s="304" t="str">
        <f>IF(OR(H9=0, H9&gt;100%), "Year End Profit %", (G15+G16+G17))</f>
        <v>Year End Profit %</v>
      </c>
      <c r="AD11" s="304"/>
      <c r="AE11" s="304"/>
      <c r="AF11" s="304"/>
      <c r="AG11" s="304"/>
      <c r="AH11" s="304"/>
      <c r="AI11" s="304"/>
      <c r="AJ11" s="304"/>
      <c r="AK11" s="304"/>
      <c r="AL11" s="304"/>
      <c r="AM11" s="304"/>
      <c r="AN11" s="304"/>
      <c r="AO11" s="304"/>
      <c r="AP11" s="304"/>
      <c r="AQ11" s="304"/>
      <c r="AR11" s="304"/>
      <c r="AS11" s="304"/>
    </row>
    <row r="12" spans="2:45" ht="18.75">
      <c r="B12" s="1229" t="s">
        <v>718</v>
      </c>
      <c r="C12" s="1273"/>
      <c r="D12" s="1273"/>
      <c r="E12" s="1273"/>
      <c r="F12" s="1273"/>
      <c r="G12" s="377" t="s">
        <v>719</v>
      </c>
      <c r="H12" s="381"/>
      <c r="I12" s="377" t="s">
        <v>719</v>
      </c>
      <c r="J12" s="382"/>
      <c r="L12" s="1201"/>
      <c r="M12" s="1202"/>
      <c r="N12" s="1202"/>
      <c r="O12" s="1202"/>
      <c r="P12" s="1202"/>
      <c r="Q12" s="1202"/>
      <c r="R12" s="1202"/>
      <c r="S12" s="1202"/>
      <c r="T12" s="1202"/>
      <c r="U12" s="1202"/>
      <c r="V12" s="1202"/>
      <c r="W12" s="1202"/>
      <c r="X12" s="1202"/>
      <c r="Y12" s="1203"/>
      <c r="Z12" s="367"/>
      <c r="AA12" s="304"/>
      <c r="AB12" s="304" t="s">
        <v>720</v>
      </c>
      <c r="AC12" s="304" t="str">
        <f>IF(OR(J9&gt;100%, J9=0), "Year End Profit %", (I15+I16+I17))</f>
        <v>Year End Profit %</v>
      </c>
      <c r="AD12" s="383"/>
      <c r="AE12" s="304"/>
      <c r="AF12" s="304"/>
      <c r="AG12" s="304"/>
      <c r="AH12" s="304"/>
      <c r="AI12" s="304"/>
      <c r="AJ12" s="304"/>
      <c r="AK12" s="304"/>
      <c r="AL12" s="304"/>
      <c r="AM12" s="304"/>
      <c r="AN12" s="304"/>
      <c r="AO12" s="304"/>
      <c r="AP12" s="304"/>
      <c r="AQ12" s="304"/>
      <c r="AR12" s="304"/>
      <c r="AS12" s="304"/>
    </row>
    <row r="13" spans="2:45">
      <c r="B13" s="1274" t="s">
        <v>721</v>
      </c>
      <c r="C13" s="1275"/>
      <c r="D13" s="1275"/>
      <c r="E13" s="1275"/>
      <c r="F13" s="1276"/>
      <c r="G13" s="346"/>
      <c r="H13" s="384">
        <f>G13</f>
        <v>0</v>
      </c>
      <c r="I13" s="364"/>
      <c r="J13" s="385">
        <f>I13</f>
        <v>0</v>
      </c>
      <c r="L13" s="1201"/>
      <c r="M13" s="1202"/>
      <c r="N13" s="1202"/>
      <c r="O13" s="1202"/>
      <c r="P13" s="1202"/>
      <c r="Q13" s="1202"/>
      <c r="R13" s="1202"/>
      <c r="S13" s="1202"/>
      <c r="T13" s="1202"/>
      <c r="U13" s="1202"/>
      <c r="V13" s="1202"/>
      <c r="W13" s="1202"/>
      <c r="X13" s="1202"/>
      <c r="Y13" s="1203"/>
      <c r="Z13" s="367"/>
      <c r="AA13" s="304"/>
      <c r="AB13" s="304"/>
      <c r="AC13" s="304"/>
      <c r="AD13" s="304"/>
      <c r="AE13" s="304"/>
      <c r="AF13" s="304"/>
      <c r="AG13" s="304"/>
      <c r="AH13" s="304"/>
      <c r="AI13" s="304"/>
      <c r="AJ13" s="304"/>
      <c r="AK13" s="304"/>
      <c r="AL13" s="304"/>
      <c r="AM13" s="304"/>
      <c r="AN13" s="304"/>
      <c r="AO13" s="304"/>
      <c r="AP13" s="304"/>
      <c r="AQ13" s="304"/>
      <c r="AR13" s="304"/>
      <c r="AS13" s="304"/>
    </row>
    <row r="14" spans="2:45">
      <c r="B14" s="1246" t="s">
        <v>722</v>
      </c>
      <c r="C14" s="1247"/>
      <c r="D14" s="1247"/>
      <c r="E14" s="1247"/>
      <c r="F14" s="1247"/>
      <c r="G14" s="377"/>
      <c r="H14" s="381"/>
      <c r="I14" s="386"/>
      <c r="J14" s="382"/>
      <c r="L14" s="1201"/>
      <c r="M14" s="1202"/>
      <c r="N14" s="1202"/>
      <c r="O14" s="1202"/>
      <c r="P14" s="1202"/>
      <c r="Q14" s="1202"/>
      <c r="R14" s="1202"/>
      <c r="S14" s="1202"/>
      <c r="T14" s="1202"/>
      <c r="U14" s="1202"/>
      <c r="V14" s="1202"/>
      <c r="W14" s="1202"/>
      <c r="X14" s="1202"/>
      <c r="Y14" s="1203"/>
      <c r="Z14" s="367"/>
      <c r="AA14" s="304"/>
      <c r="AB14" s="304"/>
      <c r="AC14" s="304"/>
      <c r="AD14" s="304"/>
      <c r="AE14" s="304"/>
      <c r="AF14" s="304"/>
      <c r="AG14" s="304"/>
      <c r="AH14" s="304"/>
      <c r="AI14" s="304"/>
      <c r="AJ14" s="304"/>
      <c r="AK14" s="304"/>
      <c r="AL14" s="304"/>
      <c r="AM14" s="304"/>
      <c r="AN14" s="304"/>
      <c r="AO14" s="304"/>
      <c r="AP14" s="304"/>
      <c r="AQ14" s="304"/>
      <c r="AR14" s="304"/>
      <c r="AS14" s="304"/>
    </row>
    <row r="15" spans="2:45">
      <c r="B15" s="1248" t="s">
        <v>723</v>
      </c>
      <c r="C15" s="1249"/>
      <c r="D15" s="1249"/>
      <c r="E15" s="1249"/>
      <c r="F15" s="1250"/>
      <c r="G15" s="346"/>
      <c r="H15" s="387" t="str">
        <f>AC11</f>
        <v>Year End Profit %</v>
      </c>
      <c r="I15" s="346"/>
      <c r="J15" s="388" t="str">
        <f>AC12</f>
        <v>Year End Profit %</v>
      </c>
      <c r="L15" s="1201"/>
      <c r="M15" s="1202"/>
      <c r="N15" s="1202"/>
      <c r="O15" s="1202"/>
      <c r="P15" s="1202"/>
      <c r="Q15" s="1202"/>
      <c r="R15" s="1202"/>
      <c r="S15" s="1202"/>
      <c r="T15" s="1202"/>
      <c r="U15" s="1202"/>
      <c r="V15" s="1202"/>
      <c r="W15" s="1202"/>
      <c r="X15" s="1202"/>
      <c r="Y15" s="1203"/>
      <c r="Z15" s="367"/>
      <c r="AA15" s="304"/>
      <c r="AB15" s="304"/>
      <c r="AC15" s="304"/>
      <c r="AD15" s="304"/>
      <c r="AE15" s="304"/>
      <c r="AF15" s="304"/>
      <c r="AG15" s="304"/>
      <c r="AH15" s="304"/>
      <c r="AI15" s="304"/>
      <c r="AJ15" s="304"/>
      <c r="AK15" s="304"/>
      <c r="AL15" s="304"/>
      <c r="AM15" s="304"/>
      <c r="AN15" s="304"/>
      <c r="AO15" s="304"/>
      <c r="AP15" s="304"/>
      <c r="AQ15" s="304"/>
      <c r="AR15" s="304"/>
      <c r="AS15" s="304"/>
    </row>
    <row r="16" spans="2:45">
      <c r="B16" s="1251" t="s">
        <v>724</v>
      </c>
      <c r="C16" s="1252"/>
      <c r="D16" s="1252"/>
      <c r="E16" s="1252"/>
      <c r="F16" s="1253"/>
      <c r="G16" s="346"/>
      <c r="H16" s="389"/>
      <c r="I16" s="346"/>
      <c r="J16" s="390"/>
      <c r="L16" s="1201"/>
      <c r="M16" s="1202"/>
      <c r="N16" s="1202"/>
      <c r="O16" s="1202"/>
      <c r="P16" s="1202"/>
      <c r="Q16" s="1202"/>
      <c r="R16" s="1202"/>
      <c r="S16" s="1202"/>
      <c r="T16" s="1202"/>
      <c r="U16" s="1202"/>
      <c r="V16" s="1202"/>
      <c r="W16" s="1202"/>
      <c r="X16" s="1202"/>
      <c r="Y16" s="1203"/>
      <c r="Z16" s="367"/>
      <c r="AA16" s="304"/>
      <c r="AB16" s="304"/>
      <c r="AC16" s="304"/>
      <c r="AD16" s="304"/>
      <c r="AE16" s="304"/>
      <c r="AF16" s="304"/>
      <c r="AG16" s="304"/>
      <c r="AH16" s="304"/>
      <c r="AI16" s="304"/>
      <c r="AJ16" s="304"/>
      <c r="AK16" s="304"/>
      <c r="AL16" s="304"/>
      <c r="AM16" s="304"/>
      <c r="AN16" s="304"/>
      <c r="AO16" s="304"/>
      <c r="AP16" s="304"/>
      <c r="AQ16" s="304"/>
      <c r="AR16" s="304"/>
      <c r="AS16" s="304"/>
    </row>
    <row r="17" spans="2:45">
      <c r="B17" s="1254" t="s">
        <v>725</v>
      </c>
      <c r="C17" s="1255"/>
      <c r="D17" s="1255"/>
      <c r="E17" s="1255"/>
      <c r="F17" s="1256"/>
      <c r="G17" s="346"/>
      <c r="H17" s="389"/>
      <c r="I17" s="346"/>
      <c r="J17" s="390"/>
      <c r="L17" s="1201"/>
      <c r="M17" s="1202"/>
      <c r="N17" s="1202"/>
      <c r="O17" s="1202"/>
      <c r="P17" s="1202"/>
      <c r="Q17" s="1202"/>
      <c r="R17" s="1202"/>
      <c r="S17" s="1202"/>
      <c r="T17" s="1202"/>
      <c r="U17" s="1202"/>
      <c r="V17" s="1202"/>
      <c r="W17" s="1202"/>
      <c r="X17" s="1202"/>
      <c r="Y17" s="1203"/>
      <c r="Z17" s="367"/>
      <c r="AA17" s="304"/>
      <c r="AB17" s="304"/>
      <c r="AC17" s="304"/>
      <c r="AD17" s="304"/>
      <c r="AE17" s="304"/>
      <c r="AF17" s="304"/>
      <c r="AG17" s="304"/>
      <c r="AH17" s="304"/>
      <c r="AI17" s="304"/>
      <c r="AJ17" s="304"/>
      <c r="AK17" s="304"/>
      <c r="AL17" s="304"/>
      <c r="AM17" s="304"/>
      <c r="AN17" s="304"/>
      <c r="AO17" s="304"/>
      <c r="AP17" s="304"/>
      <c r="AQ17" s="304"/>
      <c r="AR17" s="304"/>
      <c r="AS17" s="304"/>
    </row>
    <row r="18" spans="2:45">
      <c r="B18" s="1257" t="s">
        <v>726</v>
      </c>
      <c r="C18" s="1258"/>
      <c r="D18" s="1258"/>
      <c r="E18" s="1258"/>
      <c r="F18" s="1258"/>
      <c r="G18" s="391"/>
      <c r="H18" s="392"/>
      <c r="I18" s="391"/>
      <c r="J18" s="393"/>
      <c r="L18" s="1201"/>
      <c r="M18" s="1202"/>
      <c r="N18" s="1202"/>
      <c r="O18" s="1202"/>
      <c r="P18" s="1202"/>
      <c r="Q18" s="1202"/>
      <c r="R18" s="1202"/>
      <c r="S18" s="1202"/>
      <c r="T18" s="1202"/>
      <c r="U18" s="1202"/>
      <c r="V18" s="1202"/>
      <c r="W18" s="1202"/>
      <c r="X18" s="1202"/>
      <c r="Y18" s="1203"/>
      <c r="Z18" s="367"/>
      <c r="AA18" s="304"/>
      <c r="AB18" s="304"/>
      <c r="AC18" s="304"/>
      <c r="AD18" s="304"/>
      <c r="AE18" s="304"/>
      <c r="AF18" s="304"/>
      <c r="AG18" s="304"/>
      <c r="AH18" s="304"/>
      <c r="AI18" s="304"/>
      <c r="AJ18" s="304"/>
      <c r="AK18" s="304"/>
      <c r="AL18" s="304"/>
      <c r="AM18" s="304"/>
      <c r="AN18" s="304"/>
      <c r="AO18" s="304"/>
      <c r="AP18" s="304"/>
      <c r="AQ18" s="304"/>
      <c r="AR18" s="304"/>
      <c r="AS18" s="304"/>
    </row>
    <row r="19" spans="2:45">
      <c r="B19" s="1259" t="s">
        <v>727</v>
      </c>
      <c r="C19" s="1260"/>
      <c r="D19" s="1260"/>
      <c r="E19" s="1260"/>
      <c r="F19" s="1261"/>
      <c r="G19" s="394"/>
      <c r="H19" s="395">
        <f>(G19*H9)*-1</f>
        <v>0</v>
      </c>
      <c r="I19" s="394"/>
      <c r="J19" s="396">
        <f>(I19*J9)*-1</f>
        <v>0</v>
      </c>
      <c r="L19" s="1201"/>
      <c r="M19" s="1202"/>
      <c r="N19" s="1202"/>
      <c r="O19" s="1202"/>
      <c r="P19" s="1202"/>
      <c r="Q19" s="1202"/>
      <c r="R19" s="1202"/>
      <c r="S19" s="1202"/>
      <c r="T19" s="1202"/>
      <c r="U19" s="1202"/>
      <c r="V19" s="1202"/>
      <c r="W19" s="1202"/>
      <c r="X19" s="1202"/>
      <c r="Y19" s="1203"/>
      <c r="Z19" s="367"/>
      <c r="AA19" s="304"/>
      <c r="AB19" s="304"/>
      <c r="AC19" s="304"/>
      <c r="AD19" s="304"/>
      <c r="AE19" s="304"/>
      <c r="AF19" s="304"/>
      <c r="AG19" s="304"/>
      <c r="AH19" s="304"/>
      <c r="AI19" s="304"/>
      <c r="AJ19" s="304"/>
      <c r="AK19" s="304"/>
      <c r="AL19" s="304"/>
      <c r="AM19" s="304"/>
      <c r="AN19" s="304"/>
      <c r="AO19" s="304"/>
      <c r="AP19" s="304"/>
      <c r="AQ19" s="304"/>
      <c r="AR19" s="304"/>
      <c r="AS19" s="304"/>
    </row>
    <row r="20" spans="2:45">
      <c r="B20" s="1237" t="s">
        <v>728</v>
      </c>
      <c r="C20" s="1238"/>
      <c r="D20" s="1238"/>
      <c r="E20" s="1238"/>
      <c r="F20" s="1239"/>
      <c r="G20" s="394"/>
      <c r="H20" s="395">
        <f>(G20*H9)*-1</f>
        <v>0</v>
      </c>
      <c r="I20" s="394"/>
      <c r="J20" s="396">
        <f>(I20*J9)*-1</f>
        <v>0</v>
      </c>
      <c r="L20" s="1201"/>
      <c r="M20" s="1202"/>
      <c r="N20" s="1202"/>
      <c r="O20" s="1202"/>
      <c r="P20" s="1202"/>
      <c r="Q20" s="1202"/>
      <c r="R20" s="1202"/>
      <c r="S20" s="1202"/>
      <c r="T20" s="1202"/>
      <c r="U20" s="1202"/>
      <c r="V20" s="1202"/>
      <c r="W20" s="1202"/>
      <c r="X20" s="1202"/>
      <c r="Y20" s="1203"/>
      <c r="Z20" s="367"/>
      <c r="AA20" s="304"/>
      <c r="AB20" s="304"/>
      <c r="AC20" s="304"/>
      <c r="AD20" s="304"/>
      <c r="AE20" s="304"/>
      <c r="AF20" s="304"/>
      <c r="AG20" s="304"/>
      <c r="AH20" s="304"/>
      <c r="AI20" s="304"/>
      <c r="AJ20" s="304"/>
      <c r="AK20" s="304"/>
      <c r="AL20" s="304"/>
      <c r="AM20" s="304"/>
      <c r="AN20" s="304"/>
      <c r="AO20" s="304"/>
      <c r="AP20" s="304"/>
      <c r="AQ20" s="304"/>
      <c r="AR20" s="304"/>
      <c r="AS20" s="304"/>
    </row>
    <row r="21" spans="2:45">
      <c r="B21" s="1237" t="s">
        <v>729</v>
      </c>
      <c r="C21" s="1238"/>
      <c r="D21" s="1238"/>
      <c r="E21" s="1238"/>
      <c r="F21" s="1239"/>
      <c r="G21" s="394"/>
      <c r="H21" s="395">
        <f>(G21*H9)*-1</f>
        <v>0</v>
      </c>
      <c r="I21" s="394"/>
      <c r="J21" s="396">
        <f>(I21*J9)*-1</f>
        <v>0</v>
      </c>
      <c r="L21" s="1201"/>
      <c r="M21" s="1202"/>
      <c r="N21" s="1202"/>
      <c r="O21" s="1202"/>
      <c r="P21" s="1202"/>
      <c r="Q21" s="1202"/>
      <c r="R21" s="1202"/>
      <c r="S21" s="1202"/>
      <c r="T21" s="1202"/>
      <c r="U21" s="1202"/>
      <c r="V21" s="1202"/>
      <c r="W21" s="1202"/>
      <c r="X21" s="1202"/>
      <c r="Y21" s="1203"/>
      <c r="Z21" s="367"/>
      <c r="AA21" s="304"/>
      <c r="AB21" s="304"/>
      <c r="AC21" s="304"/>
      <c r="AD21" s="304"/>
      <c r="AE21" s="304"/>
      <c r="AF21" s="304"/>
      <c r="AG21" s="304"/>
      <c r="AH21" s="304"/>
      <c r="AI21" s="304"/>
      <c r="AJ21" s="304"/>
      <c r="AK21" s="304"/>
      <c r="AL21" s="304"/>
      <c r="AM21" s="304"/>
      <c r="AN21" s="304"/>
      <c r="AO21" s="304"/>
      <c r="AP21" s="304"/>
      <c r="AQ21" s="304"/>
      <c r="AR21" s="304"/>
      <c r="AS21" s="304"/>
    </row>
    <row r="22" spans="2:45">
      <c r="B22" s="1240" t="s">
        <v>730</v>
      </c>
      <c r="C22" s="1241"/>
      <c r="D22" s="1241"/>
      <c r="E22" s="1241"/>
      <c r="F22" s="1242"/>
      <c r="G22" s="394"/>
      <c r="H22" s="395">
        <f>(G22*H9)*-1</f>
        <v>0</v>
      </c>
      <c r="I22" s="394"/>
      <c r="J22" s="396">
        <f>(I22*J9)*-1</f>
        <v>0</v>
      </c>
      <c r="L22" s="1201"/>
      <c r="M22" s="1202"/>
      <c r="N22" s="1202"/>
      <c r="O22" s="1202"/>
      <c r="P22" s="1202"/>
      <c r="Q22" s="1202"/>
      <c r="R22" s="1202"/>
      <c r="S22" s="1202"/>
      <c r="T22" s="1202"/>
      <c r="U22" s="1202"/>
      <c r="V22" s="1202"/>
      <c r="W22" s="1202"/>
      <c r="X22" s="1202"/>
      <c r="Y22" s="1203"/>
      <c r="Z22" s="367"/>
      <c r="AA22" s="304"/>
      <c r="AB22" s="304"/>
      <c r="AC22" s="304"/>
      <c r="AD22" s="304"/>
      <c r="AE22" s="304"/>
      <c r="AF22" s="304"/>
      <c r="AG22" s="304"/>
      <c r="AH22" s="304"/>
      <c r="AI22" s="304"/>
      <c r="AJ22" s="304"/>
      <c r="AK22" s="304"/>
      <c r="AL22" s="304"/>
      <c r="AM22" s="304"/>
      <c r="AN22" s="304"/>
      <c r="AO22" s="304"/>
      <c r="AP22" s="304"/>
      <c r="AQ22" s="304"/>
      <c r="AR22" s="304"/>
      <c r="AS22" s="304"/>
    </row>
    <row r="23" spans="2:45">
      <c r="B23" s="1229" t="s">
        <v>731</v>
      </c>
      <c r="C23" s="1230"/>
      <c r="D23" s="1230"/>
      <c r="E23" s="1230"/>
      <c r="F23" s="1230"/>
      <c r="G23" s="350"/>
      <c r="H23" s="351"/>
      <c r="I23" s="350"/>
      <c r="J23" s="352"/>
      <c r="L23" s="1201"/>
      <c r="M23" s="1202"/>
      <c r="N23" s="1202"/>
      <c r="O23" s="1202"/>
      <c r="P23" s="1202"/>
      <c r="Q23" s="1202"/>
      <c r="R23" s="1202"/>
      <c r="S23" s="1202"/>
      <c r="T23" s="1202"/>
      <c r="U23" s="1202"/>
      <c r="V23" s="1202"/>
      <c r="W23" s="1202"/>
      <c r="X23" s="1202"/>
      <c r="Y23" s="1203"/>
      <c r="Z23" s="367"/>
      <c r="AA23" s="304"/>
      <c r="AB23" s="304"/>
      <c r="AC23" s="304"/>
      <c r="AD23" s="304"/>
      <c r="AE23" s="304"/>
      <c r="AF23" s="304"/>
      <c r="AG23" s="304"/>
      <c r="AH23" s="304"/>
      <c r="AI23" s="304"/>
      <c r="AJ23" s="304"/>
      <c r="AK23" s="304"/>
      <c r="AL23" s="304"/>
      <c r="AM23" s="304"/>
      <c r="AN23" s="304"/>
      <c r="AO23" s="304"/>
      <c r="AP23" s="304"/>
      <c r="AQ23" s="304"/>
      <c r="AR23" s="304"/>
      <c r="AS23" s="304"/>
    </row>
    <row r="24" spans="2:45">
      <c r="B24" s="1243" t="s">
        <v>732</v>
      </c>
      <c r="C24" s="1244"/>
      <c r="D24" s="1244"/>
      <c r="E24" s="1244"/>
      <c r="F24" s="1245"/>
      <c r="G24" s="346"/>
      <c r="H24" s="384">
        <f>G24*H9</f>
        <v>0</v>
      </c>
      <c r="I24" s="346"/>
      <c r="J24" s="385">
        <f>I24*J9</f>
        <v>0</v>
      </c>
      <c r="L24" s="1201"/>
      <c r="M24" s="1202"/>
      <c r="N24" s="1202"/>
      <c r="O24" s="1202"/>
      <c r="P24" s="1202"/>
      <c r="Q24" s="1202"/>
      <c r="R24" s="1202"/>
      <c r="S24" s="1202"/>
      <c r="T24" s="1202"/>
      <c r="U24" s="1202"/>
      <c r="V24" s="1202"/>
      <c r="W24" s="1202"/>
      <c r="X24" s="1202"/>
      <c r="Y24" s="1203"/>
      <c r="Z24" s="367"/>
      <c r="AA24" s="304"/>
      <c r="AB24" s="304"/>
      <c r="AC24" s="304"/>
      <c r="AD24" s="304"/>
      <c r="AE24" s="304"/>
      <c r="AF24" s="304"/>
      <c r="AG24" s="304"/>
      <c r="AH24" s="304"/>
      <c r="AI24" s="304"/>
      <c r="AJ24" s="304"/>
      <c r="AK24" s="304"/>
      <c r="AL24" s="304"/>
      <c r="AM24" s="304"/>
      <c r="AN24" s="304"/>
      <c r="AO24" s="304"/>
      <c r="AP24" s="304"/>
      <c r="AQ24" s="304"/>
      <c r="AR24" s="304"/>
      <c r="AS24" s="304"/>
    </row>
    <row r="25" spans="2:45">
      <c r="B25" s="1223" t="s">
        <v>733</v>
      </c>
      <c r="C25" s="1224"/>
      <c r="D25" s="1224"/>
      <c r="E25" s="1224"/>
      <c r="F25" s="1225"/>
      <c r="G25" s="346"/>
      <c r="H25" s="384">
        <f>G25*H9</f>
        <v>0</v>
      </c>
      <c r="I25" s="346"/>
      <c r="J25" s="385">
        <f>I25*J9</f>
        <v>0</v>
      </c>
      <c r="L25" s="1201"/>
      <c r="M25" s="1202"/>
      <c r="N25" s="1202"/>
      <c r="O25" s="1202"/>
      <c r="P25" s="1202"/>
      <c r="Q25" s="1202"/>
      <c r="R25" s="1202"/>
      <c r="S25" s="1202"/>
      <c r="T25" s="1202"/>
      <c r="U25" s="1202"/>
      <c r="V25" s="1202"/>
      <c r="W25" s="1202"/>
      <c r="X25" s="1202"/>
      <c r="Y25" s="1203"/>
      <c r="Z25" s="367"/>
      <c r="AA25" s="304"/>
      <c r="AB25" s="304"/>
      <c r="AC25" s="304"/>
      <c r="AD25" s="304"/>
      <c r="AE25" s="304"/>
      <c r="AF25" s="304"/>
      <c r="AG25" s="304"/>
      <c r="AH25" s="304"/>
      <c r="AI25" s="304"/>
      <c r="AJ25" s="304"/>
      <c r="AK25" s="304"/>
      <c r="AL25" s="304"/>
      <c r="AM25" s="304"/>
      <c r="AN25" s="304"/>
      <c r="AO25" s="304"/>
      <c r="AP25" s="304"/>
      <c r="AQ25" s="304"/>
      <c r="AR25" s="304"/>
      <c r="AS25" s="304"/>
    </row>
    <row r="26" spans="2:45">
      <c r="B26" s="1223" t="s">
        <v>734</v>
      </c>
      <c r="C26" s="1224"/>
      <c r="D26" s="1224"/>
      <c r="E26" s="1224"/>
      <c r="F26" s="1225"/>
      <c r="G26" s="346"/>
      <c r="H26" s="384">
        <f>G26*H9</f>
        <v>0</v>
      </c>
      <c r="I26" s="346"/>
      <c r="J26" s="385">
        <f>I26*J9</f>
        <v>0</v>
      </c>
      <c r="L26" s="1201"/>
      <c r="M26" s="1202"/>
      <c r="N26" s="1202"/>
      <c r="O26" s="1202"/>
      <c r="P26" s="1202"/>
      <c r="Q26" s="1202"/>
      <c r="R26" s="1202"/>
      <c r="S26" s="1202"/>
      <c r="T26" s="1202"/>
      <c r="U26" s="1202"/>
      <c r="V26" s="1202"/>
      <c r="W26" s="1202"/>
      <c r="X26" s="1202"/>
      <c r="Y26" s="1203"/>
      <c r="Z26" s="367"/>
      <c r="AA26" s="304"/>
      <c r="AB26" s="304"/>
      <c r="AC26" s="304"/>
      <c r="AD26" s="304"/>
      <c r="AE26" s="304"/>
      <c r="AF26" s="304"/>
      <c r="AG26" s="304"/>
      <c r="AH26" s="304"/>
      <c r="AI26" s="304"/>
      <c r="AJ26" s="304"/>
      <c r="AK26" s="304"/>
      <c r="AL26" s="304"/>
      <c r="AM26" s="304"/>
      <c r="AN26" s="304"/>
      <c r="AO26" s="304"/>
      <c r="AP26" s="304"/>
      <c r="AQ26" s="304"/>
      <c r="AR26" s="304"/>
      <c r="AS26" s="304"/>
    </row>
    <row r="27" spans="2:45">
      <c r="B27" s="1172" t="s">
        <v>735</v>
      </c>
      <c r="C27" s="1173"/>
      <c r="D27" s="1173"/>
      <c r="E27" s="1173"/>
      <c r="F27" s="1173"/>
      <c r="G27" s="351"/>
      <c r="H27" s="397"/>
      <c r="I27" s="351"/>
      <c r="J27" s="398"/>
      <c r="L27" s="1201"/>
      <c r="M27" s="1202"/>
      <c r="N27" s="1202"/>
      <c r="O27" s="1202"/>
      <c r="P27" s="1202"/>
      <c r="Q27" s="1202"/>
      <c r="R27" s="1202"/>
      <c r="S27" s="1202"/>
      <c r="T27" s="1202"/>
      <c r="U27" s="1202"/>
      <c r="V27" s="1202"/>
      <c r="W27" s="1202"/>
      <c r="X27" s="1202"/>
      <c r="Y27" s="1203"/>
      <c r="Z27" s="367"/>
      <c r="AA27" s="304"/>
      <c r="AB27" s="304"/>
      <c r="AC27" s="304"/>
      <c r="AD27" s="304"/>
      <c r="AE27" s="304"/>
      <c r="AF27" s="304"/>
      <c r="AG27" s="304"/>
      <c r="AH27" s="304"/>
      <c r="AI27" s="304"/>
      <c r="AJ27" s="304"/>
      <c r="AK27" s="304"/>
      <c r="AL27" s="304"/>
      <c r="AM27" s="304"/>
      <c r="AN27" s="304"/>
      <c r="AO27" s="304"/>
      <c r="AP27" s="304"/>
      <c r="AQ27" s="304"/>
      <c r="AR27" s="304"/>
      <c r="AS27" s="304"/>
    </row>
    <row r="28" spans="2:45">
      <c r="B28" s="1226" t="s">
        <v>736</v>
      </c>
      <c r="C28" s="1227"/>
      <c r="D28" s="1227"/>
      <c r="E28" s="1227"/>
      <c r="F28" s="1228"/>
      <c r="G28" s="346"/>
      <c r="H28" s="384">
        <f>G28*H9</f>
        <v>0</v>
      </c>
      <c r="I28" s="346"/>
      <c r="J28" s="385">
        <f>I28*J9</f>
        <v>0</v>
      </c>
      <c r="L28" s="1201"/>
      <c r="M28" s="1202"/>
      <c r="N28" s="1202"/>
      <c r="O28" s="1202"/>
      <c r="P28" s="1202"/>
      <c r="Q28" s="1202"/>
      <c r="R28" s="1202"/>
      <c r="S28" s="1202"/>
      <c r="T28" s="1202"/>
      <c r="U28" s="1202"/>
      <c r="V28" s="1202"/>
      <c r="W28" s="1202"/>
      <c r="X28" s="1202"/>
      <c r="Y28" s="1203"/>
      <c r="Z28" s="367"/>
      <c r="AA28" s="304"/>
      <c r="AB28" s="304"/>
      <c r="AC28" s="304"/>
      <c r="AD28" s="304"/>
      <c r="AE28" s="304"/>
      <c r="AF28" s="304"/>
      <c r="AG28" s="304"/>
      <c r="AH28" s="304"/>
      <c r="AI28" s="304"/>
      <c r="AJ28" s="304"/>
      <c r="AK28" s="304"/>
      <c r="AL28" s="304"/>
      <c r="AM28" s="304"/>
      <c r="AN28" s="304"/>
      <c r="AO28" s="304"/>
      <c r="AP28" s="304"/>
      <c r="AQ28" s="304"/>
      <c r="AR28" s="304"/>
      <c r="AS28" s="304"/>
    </row>
    <row r="29" spans="2:45">
      <c r="B29" s="1229" t="s">
        <v>737</v>
      </c>
      <c r="C29" s="1230"/>
      <c r="D29" s="1230"/>
      <c r="E29" s="1230"/>
      <c r="F29" s="1230"/>
      <c r="G29" s="350"/>
      <c r="H29" s="351"/>
      <c r="I29" s="350"/>
      <c r="J29" s="352"/>
      <c r="L29" s="1201"/>
      <c r="M29" s="1202"/>
      <c r="N29" s="1202"/>
      <c r="O29" s="1202"/>
      <c r="P29" s="1202"/>
      <c r="Q29" s="1202"/>
      <c r="R29" s="1202"/>
      <c r="S29" s="1202"/>
      <c r="T29" s="1202"/>
      <c r="U29" s="1202"/>
      <c r="V29" s="1202"/>
      <c r="W29" s="1202"/>
      <c r="X29" s="1202"/>
      <c r="Y29" s="1203"/>
      <c r="Z29" s="367"/>
      <c r="AA29" s="304"/>
      <c r="AB29" s="304"/>
      <c r="AC29" s="304"/>
      <c r="AD29" s="304"/>
      <c r="AE29" s="304"/>
      <c r="AF29" s="304"/>
      <c r="AG29" s="304"/>
      <c r="AH29" s="304"/>
      <c r="AI29" s="304"/>
      <c r="AJ29" s="304"/>
      <c r="AK29" s="304"/>
      <c r="AL29" s="304"/>
      <c r="AM29" s="304"/>
      <c r="AN29" s="304"/>
      <c r="AO29" s="304"/>
      <c r="AP29" s="304"/>
      <c r="AQ29" s="304"/>
      <c r="AR29" s="304"/>
      <c r="AS29" s="304"/>
    </row>
    <row r="30" spans="2:45" ht="29.1" customHeight="1">
      <c r="B30" s="1231" t="s">
        <v>738</v>
      </c>
      <c r="C30" s="1232"/>
      <c r="D30" s="1232"/>
      <c r="E30" s="1232"/>
      <c r="F30" s="1233"/>
      <c r="G30" s="399"/>
      <c r="H30" s="359">
        <f>H9*G30*-1</f>
        <v>0</v>
      </c>
      <c r="I30" s="399"/>
      <c r="J30" s="400">
        <f>(J9*I30)*-1</f>
        <v>0</v>
      </c>
      <c r="L30" s="1201"/>
      <c r="M30" s="1202"/>
      <c r="N30" s="1202"/>
      <c r="O30" s="1202"/>
      <c r="P30" s="1202"/>
      <c r="Q30" s="1202"/>
      <c r="R30" s="1202"/>
      <c r="S30" s="1202"/>
      <c r="T30" s="1202"/>
      <c r="U30" s="1202"/>
      <c r="V30" s="1202"/>
      <c r="W30" s="1202"/>
      <c r="X30" s="1202"/>
      <c r="Y30" s="1203"/>
      <c r="Z30" s="367"/>
      <c r="AA30" s="304"/>
      <c r="AB30" s="304"/>
      <c r="AC30" s="304"/>
      <c r="AD30" s="304"/>
      <c r="AE30" s="304"/>
      <c r="AF30" s="304"/>
      <c r="AG30" s="304"/>
      <c r="AH30" s="304"/>
      <c r="AI30" s="304"/>
      <c r="AJ30" s="304"/>
      <c r="AK30" s="304"/>
      <c r="AL30" s="304"/>
      <c r="AM30" s="304"/>
      <c r="AN30" s="304"/>
      <c r="AO30" s="304"/>
      <c r="AP30" s="304"/>
      <c r="AQ30" s="304"/>
      <c r="AR30" s="304"/>
      <c r="AS30" s="304"/>
    </row>
    <row r="31" spans="2:45" ht="29.1" customHeight="1">
      <c r="B31" s="1234" t="s">
        <v>739</v>
      </c>
      <c r="C31" s="1235"/>
      <c r="D31" s="1235"/>
      <c r="E31" s="1235"/>
      <c r="F31" s="1236"/>
      <c r="G31" s="346"/>
      <c r="H31" s="401">
        <f>(H9*G31)*-1</f>
        <v>0</v>
      </c>
      <c r="I31" s="346"/>
      <c r="J31" s="402">
        <f>(J9*I31)*-1</f>
        <v>0</v>
      </c>
      <c r="L31" s="1201"/>
      <c r="M31" s="1202"/>
      <c r="N31" s="1202"/>
      <c r="O31" s="1202"/>
      <c r="P31" s="1202"/>
      <c r="Q31" s="1202"/>
      <c r="R31" s="1202"/>
      <c r="S31" s="1202"/>
      <c r="T31" s="1202"/>
      <c r="U31" s="1202"/>
      <c r="V31" s="1202"/>
      <c r="W31" s="1202"/>
      <c r="X31" s="1202"/>
      <c r="Y31" s="1203"/>
      <c r="Z31" s="367"/>
      <c r="AA31" s="304"/>
      <c r="AB31" s="304"/>
      <c r="AC31" s="304"/>
      <c r="AD31" s="304"/>
      <c r="AE31" s="304"/>
      <c r="AF31" s="304"/>
      <c r="AG31" s="304"/>
      <c r="AH31" s="304"/>
      <c r="AI31" s="304"/>
      <c r="AJ31" s="304"/>
      <c r="AK31" s="304"/>
      <c r="AL31" s="304"/>
      <c r="AM31" s="304"/>
      <c r="AN31" s="304"/>
      <c r="AO31" s="304"/>
      <c r="AP31" s="304"/>
      <c r="AQ31" s="304"/>
      <c r="AR31" s="304"/>
      <c r="AS31" s="304"/>
    </row>
    <row r="32" spans="2:45">
      <c r="B32" s="1211" t="s">
        <v>740</v>
      </c>
      <c r="C32" s="1212"/>
      <c r="D32" s="1212"/>
      <c r="E32" s="1212"/>
      <c r="F32" s="1213"/>
      <c r="G32" s="1214">
        <f>SUM(H13:H31)</f>
        <v>0</v>
      </c>
      <c r="H32" s="1215"/>
      <c r="I32" s="1214">
        <f>SUM(J15:J31)+J13</f>
        <v>0</v>
      </c>
      <c r="J32" s="1216"/>
      <c r="L32" s="1201"/>
      <c r="M32" s="1202"/>
      <c r="N32" s="1202"/>
      <c r="O32" s="1202"/>
      <c r="P32" s="1202"/>
      <c r="Q32" s="1202"/>
      <c r="R32" s="1202"/>
      <c r="S32" s="1202"/>
      <c r="T32" s="1202"/>
      <c r="U32" s="1202"/>
      <c r="V32" s="1202"/>
      <c r="W32" s="1202"/>
      <c r="X32" s="1202"/>
      <c r="Y32" s="1203"/>
      <c r="Z32" s="367"/>
      <c r="AA32" s="304"/>
      <c r="AB32" s="304"/>
      <c r="AC32" s="304"/>
      <c r="AD32" s="304"/>
      <c r="AE32" s="304"/>
      <c r="AF32" s="304"/>
      <c r="AG32" s="304"/>
      <c r="AH32" s="304"/>
      <c r="AI32" s="304"/>
      <c r="AJ32" s="304"/>
      <c r="AK32" s="304"/>
      <c r="AL32" s="304"/>
      <c r="AM32" s="304"/>
      <c r="AN32" s="304"/>
      <c r="AO32" s="304"/>
      <c r="AP32" s="304"/>
      <c r="AQ32" s="304"/>
      <c r="AR32" s="304"/>
      <c r="AS32" s="304"/>
    </row>
    <row r="33" spans="1:45" ht="18.75">
      <c r="B33" s="1217" t="s">
        <v>696</v>
      </c>
      <c r="C33" s="1218"/>
      <c r="D33" s="1218"/>
      <c r="E33" s="1218"/>
      <c r="F33" s="1219"/>
      <c r="G33" s="1161" t="str">
        <f>IF(OR(AC6=0, I32=0), "12 Month Average", "24 Month Average")</f>
        <v>12 Month Average</v>
      </c>
      <c r="H33" s="1162"/>
      <c r="I33" s="1162"/>
      <c r="J33" s="1163"/>
      <c r="L33" s="1201"/>
      <c r="M33" s="1202"/>
      <c r="N33" s="1202"/>
      <c r="O33" s="1202"/>
      <c r="P33" s="1202"/>
      <c r="Q33" s="1202"/>
      <c r="R33" s="1202"/>
      <c r="S33" s="1202"/>
      <c r="T33" s="1202"/>
      <c r="U33" s="1202"/>
      <c r="V33" s="1202"/>
      <c r="W33" s="1202"/>
      <c r="X33" s="1202"/>
      <c r="Y33" s="1203"/>
      <c r="Z33" s="367"/>
      <c r="AA33" s="304"/>
      <c r="AB33" s="304"/>
      <c r="AC33" s="304"/>
      <c r="AD33" s="304"/>
      <c r="AE33" s="304"/>
      <c r="AF33" s="304"/>
      <c r="AG33" s="304"/>
      <c r="AH33" s="304"/>
      <c r="AI33" s="304"/>
      <c r="AJ33" s="304"/>
      <c r="AK33" s="304"/>
      <c r="AL33" s="304"/>
      <c r="AM33" s="304"/>
      <c r="AN33" s="304"/>
      <c r="AO33" s="304"/>
      <c r="AP33" s="304"/>
      <c r="AQ33" s="304"/>
      <c r="AR33" s="304"/>
      <c r="AS33" s="304"/>
    </row>
    <row r="34" spans="1:45" ht="34.5" thickBot="1">
      <c r="B34" s="1220" t="s">
        <v>697</v>
      </c>
      <c r="C34" s="1221"/>
      <c r="D34" s="1221"/>
      <c r="E34" s="1221"/>
      <c r="F34" s="1222"/>
      <c r="G34" s="1167">
        <f>IF(OR(AC6=0, I32=0), AC8, AC9)</f>
        <v>0</v>
      </c>
      <c r="H34" s="1168"/>
      <c r="I34" s="1168"/>
      <c r="J34" s="1169"/>
      <c r="L34" s="1201"/>
      <c r="M34" s="1202"/>
      <c r="N34" s="1202"/>
      <c r="O34" s="1202"/>
      <c r="P34" s="1202"/>
      <c r="Q34" s="1202"/>
      <c r="R34" s="1202"/>
      <c r="S34" s="1202"/>
      <c r="T34" s="1202"/>
      <c r="U34" s="1202"/>
      <c r="V34" s="1202"/>
      <c r="W34" s="1202"/>
      <c r="X34" s="1202"/>
      <c r="Y34" s="1203"/>
      <c r="Z34" s="367"/>
      <c r="AA34" s="304"/>
      <c r="AB34" s="304"/>
      <c r="AC34" s="304"/>
      <c r="AD34" s="304"/>
    </row>
    <row r="35" spans="1:45" ht="9" customHeight="1" thickBot="1">
      <c r="H35" s="330"/>
      <c r="I35" s="330"/>
      <c r="L35" s="1204"/>
      <c r="M35" s="1205"/>
      <c r="N35" s="1205"/>
      <c r="O35" s="1205"/>
      <c r="P35" s="1205"/>
      <c r="Q35" s="1205"/>
      <c r="R35" s="1205"/>
      <c r="S35" s="1205"/>
      <c r="T35" s="1205"/>
      <c r="U35" s="1205"/>
      <c r="V35" s="1205"/>
      <c r="W35" s="1205"/>
      <c r="X35" s="1205"/>
      <c r="Y35" s="1206"/>
      <c r="Z35" s="367"/>
      <c r="AA35" s="304"/>
      <c r="AB35" s="304"/>
      <c r="AC35" s="304"/>
      <c r="AD35" s="304"/>
    </row>
    <row r="36" spans="1:45" ht="105" customHeight="1" thickBot="1">
      <c r="B36" s="1208" t="s">
        <v>645</v>
      </c>
      <c r="C36" s="1209"/>
      <c r="D36" s="1209"/>
      <c r="E36" s="1209"/>
      <c r="F36" s="1209"/>
      <c r="G36" s="1209"/>
      <c r="H36" s="1209"/>
      <c r="I36" s="1209"/>
      <c r="J36" s="1210"/>
      <c r="L36" s="367"/>
      <c r="M36" s="367"/>
      <c r="N36" s="367"/>
      <c r="O36" s="367"/>
      <c r="P36" s="367"/>
      <c r="Q36" s="367"/>
      <c r="R36" s="367"/>
      <c r="S36" s="367"/>
      <c r="T36" s="367"/>
      <c r="U36" s="367"/>
      <c r="V36" s="367"/>
      <c r="W36" s="367"/>
      <c r="X36" s="367"/>
      <c r="Y36" s="367"/>
      <c r="Z36" s="367"/>
      <c r="AA36" s="304"/>
      <c r="AB36" s="304"/>
      <c r="AC36" s="304"/>
      <c r="AD36" s="304"/>
    </row>
    <row r="37" spans="1:45">
      <c r="A37" s="304"/>
      <c r="B37" s="304"/>
      <c r="C37" s="304"/>
      <c r="D37" s="304"/>
      <c r="E37" s="304"/>
      <c r="F37" s="304"/>
      <c r="G37" s="304"/>
      <c r="H37" s="304"/>
      <c r="I37" s="304"/>
      <c r="J37" s="304"/>
      <c r="K37" s="304"/>
      <c r="L37" s="367"/>
      <c r="M37" s="367"/>
      <c r="N37" s="367"/>
      <c r="O37" s="367"/>
      <c r="P37" s="367"/>
      <c r="Q37" s="367"/>
      <c r="R37" s="367"/>
      <c r="S37" s="367"/>
      <c r="T37" s="367"/>
      <c r="U37" s="367"/>
      <c r="V37" s="367"/>
      <c r="W37" s="367"/>
      <c r="X37" s="367"/>
      <c r="Y37" s="367"/>
      <c r="Z37" s="367"/>
      <c r="AA37" s="304"/>
      <c r="AB37" s="304"/>
      <c r="AC37" s="304"/>
      <c r="AD37" s="304"/>
    </row>
    <row r="38" spans="1:45" ht="13.5" customHeight="1" thickBot="1">
      <c r="L38" s="304"/>
      <c r="M38" s="304"/>
      <c r="N38" s="304"/>
      <c r="O38" s="304"/>
      <c r="P38" s="304"/>
      <c r="Q38" s="304"/>
      <c r="R38" s="304"/>
      <c r="S38" s="304"/>
      <c r="T38" s="304"/>
      <c r="U38" s="304"/>
    </row>
    <row r="39" spans="1:45" ht="69" customHeight="1">
      <c r="B39" s="1187" t="s">
        <v>708</v>
      </c>
      <c r="C39" s="1188"/>
      <c r="D39" s="1188"/>
      <c r="E39" s="1188"/>
      <c r="F39" s="1188"/>
      <c r="G39" s="1188"/>
      <c r="H39" s="1188"/>
      <c r="I39" s="1188"/>
      <c r="J39" s="331" t="str">
        <f>'[3]Reference Sheet'!$B$2</f>
        <v>Rev. 4.12.2016</v>
      </c>
      <c r="L39" s="403"/>
      <c r="M39" s="403"/>
      <c r="N39" s="403"/>
      <c r="O39" s="403"/>
      <c r="P39" s="403"/>
      <c r="Q39" s="403"/>
      <c r="R39" s="403"/>
      <c r="S39" s="403"/>
      <c r="T39" s="403"/>
      <c r="U39" s="403"/>
      <c r="V39" s="403"/>
      <c r="W39" s="403"/>
      <c r="X39" s="403"/>
      <c r="Y39" s="403"/>
      <c r="Z39" s="367"/>
      <c r="AA39" s="304"/>
      <c r="AB39" s="304"/>
      <c r="AC39" s="304"/>
      <c r="AD39" s="304"/>
      <c r="AE39" s="304"/>
      <c r="AF39" s="304"/>
      <c r="AG39" s="304"/>
      <c r="AH39" s="304"/>
      <c r="AI39" s="304"/>
      <c r="AJ39" s="304"/>
      <c r="AK39" s="304"/>
      <c r="AL39" s="304"/>
      <c r="AM39" s="304"/>
      <c r="AN39" s="304"/>
      <c r="AO39" s="304"/>
      <c r="AP39" s="304"/>
      <c r="AQ39" s="304"/>
      <c r="AR39" s="304"/>
      <c r="AS39" s="304"/>
    </row>
    <row r="40" spans="1:45" ht="3.75" customHeight="1">
      <c r="B40" s="332"/>
      <c r="C40" s="333"/>
      <c r="D40" s="333"/>
      <c r="E40" s="333"/>
      <c r="F40" s="333"/>
      <c r="G40" s="333"/>
      <c r="H40" s="333"/>
      <c r="I40" s="333"/>
      <c r="J40" s="334"/>
      <c r="L40" s="403"/>
      <c r="M40" s="403"/>
      <c r="N40" s="403"/>
      <c r="O40" s="403"/>
      <c r="P40" s="403"/>
      <c r="Q40" s="403"/>
      <c r="R40" s="403"/>
      <c r="S40" s="403"/>
      <c r="T40" s="403"/>
      <c r="U40" s="403"/>
      <c r="V40" s="403"/>
      <c r="W40" s="403"/>
      <c r="X40" s="403"/>
      <c r="Y40" s="403"/>
      <c r="Z40" s="367"/>
      <c r="AA40" s="304"/>
      <c r="AB40" s="304"/>
      <c r="AC40" s="304"/>
      <c r="AD40" s="304"/>
      <c r="AE40" s="304"/>
      <c r="AF40" s="304"/>
      <c r="AG40" s="304"/>
      <c r="AH40" s="304"/>
      <c r="AI40" s="304"/>
      <c r="AJ40" s="304"/>
      <c r="AK40" s="304"/>
      <c r="AL40" s="304"/>
      <c r="AM40" s="304"/>
      <c r="AN40" s="304"/>
      <c r="AO40" s="304"/>
      <c r="AP40" s="304"/>
      <c r="AQ40" s="304"/>
      <c r="AR40" s="304"/>
      <c r="AS40" s="304"/>
    </row>
    <row r="41" spans="1:45" ht="18" customHeight="1" thickBot="1">
      <c r="B41" s="332"/>
      <c r="C41" s="368" t="s">
        <v>710</v>
      </c>
      <c r="D41" s="1189"/>
      <c r="E41" s="1190"/>
      <c r="F41" s="1190"/>
      <c r="G41" s="1190"/>
      <c r="H41" s="333"/>
      <c r="I41" s="333"/>
      <c r="J41" s="334"/>
      <c r="L41" s="403"/>
      <c r="M41" s="403"/>
      <c r="N41" s="403"/>
      <c r="O41" s="403"/>
      <c r="P41" s="403"/>
      <c r="Q41" s="403"/>
      <c r="R41" s="403"/>
      <c r="S41" s="403"/>
      <c r="T41" s="403"/>
      <c r="U41" s="403"/>
      <c r="V41" s="403"/>
      <c r="W41" s="403"/>
      <c r="X41" s="403"/>
      <c r="Y41" s="403"/>
      <c r="Z41" s="367"/>
      <c r="AA41" s="304"/>
      <c r="AB41" s="304" t="s">
        <v>680</v>
      </c>
      <c r="AC41" s="304">
        <f>IF(AND(J46=0, J50=0, J52=0, J61=0, J62=0, J63=0, J65=0, J67=0, J68=0, I69=0), 0, 1)</f>
        <v>1</v>
      </c>
      <c r="AD41" s="304"/>
      <c r="AE41" s="304"/>
      <c r="AF41" s="366" t="s">
        <v>596</v>
      </c>
      <c r="AG41" s="304"/>
      <c r="AH41" s="304"/>
      <c r="AI41" s="304"/>
      <c r="AJ41" s="304"/>
      <c r="AK41" s="304"/>
      <c r="AL41" s="304"/>
      <c r="AM41" s="304"/>
      <c r="AN41" s="304"/>
      <c r="AO41" s="304"/>
      <c r="AP41" s="304"/>
      <c r="AQ41" s="304"/>
      <c r="AR41" s="304"/>
      <c r="AS41" s="304"/>
    </row>
    <row r="42" spans="1:45" ht="18" customHeight="1" thickBot="1">
      <c r="B42" s="332"/>
      <c r="C42" s="368" t="s">
        <v>711</v>
      </c>
      <c r="D42" s="1277"/>
      <c r="E42" s="1278"/>
      <c r="F42" s="1278"/>
      <c r="G42" s="1278"/>
      <c r="H42" s="368" t="s">
        <v>712</v>
      </c>
      <c r="I42" s="1189"/>
      <c r="J42" s="1279"/>
      <c r="L42" s="403"/>
      <c r="M42" s="403"/>
      <c r="N42" s="403"/>
      <c r="O42" s="403"/>
      <c r="P42" s="403"/>
      <c r="Q42" s="403"/>
      <c r="R42" s="403"/>
      <c r="S42" s="403"/>
      <c r="T42" s="403"/>
      <c r="U42" s="403"/>
      <c r="V42" s="403"/>
      <c r="W42" s="403"/>
      <c r="X42" s="403"/>
      <c r="Y42" s="403"/>
      <c r="Z42" s="367"/>
      <c r="AA42" s="304"/>
      <c r="AB42" s="304" t="s">
        <v>682</v>
      </c>
      <c r="AC42" s="304">
        <f>IF(AND(G69&lt;=I69, I69&lt;&gt;0), 0, 1)</f>
        <v>1</v>
      </c>
      <c r="AD42" s="304"/>
      <c r="AE42" s="304"/>
      <c r="AF42" s="366" t="s">
        <v>683</v>
      </c>
      <c r="AG42" s="304"/>
      <c r="AH42" s="304"/>
      <c r="AI42" s="304"/>
      <c r="AJ42" s="304"/>
      <c r="AK42" s="304"/>
      <c r="AL42" s="304"/>
      <c r="AM42" s="304"/>
      <c r="AN42" s="304"/>
      <c r="AO42" s="304"/>
      <c r="AP42" s="304"/>
      <c r="AQ42" s="304"/>
      <c r="AR42" s="304"/>
      <c r="AS42" s="304"/>
    </row>
    <row r="43" spans="1:45" ht="18" customHeight="1" thickBot="1">
      <c r="B43" s="1176" t="s">
        <v>671</v>
      </c>
      <c r="C43" s="1177"/>
      <c r="D43" s="1280"/>
      <c r="E43" s="1281"/>
      <c r="F43" s="1281"/>
      <c r="G43" s="1281"/>
      <c r="H43" s="336" t="s">
        <v>673</v>
      </c>
      <c r="I43" s="369"/>
      <c r="J43" s="370"/>
      <c r="L43" s="403"/>
      <c r="M43" s="403"/>
      <c r="N43" s="403"/>
      <c r="O43" s="403"/>
      <c r="P43" s="403"/>
      <c r="Q43" s="403"/>
      <c r="R43" s="403"/>
      <c r="S43" s="403"/>
      <c r="T43" s="403"/>
      <c r="U43" s="403"/>
      <c r="V43" s="403"/>
      <c r="W43" s="403"/>
      <c r="X43" s="403"/>
      <c r="Y43" s="403"/>
      <c r="Z43" s="367"/>
      <c r="AA43" s="304"/>
      <c r="AB43" s="304" t="s">
        <v>685</v>
      </c>
      <c r="AC43" s="304">
        <f>IF(AND(AC42=0, AC41=1), 0, 1)</f>
        <v>1</v>
      </c>
      <c r="AD43" s="304"/>
      <c r="AE43" s="304"/>
      <c r="AF43" s="366" t="s">
        <v>599</v>
      </c>
      <c r="AG43" s="304"/>
      <c r="AH43" s="304"/>
      <c r="AI43" s="304"/>
      <c r="AJ43" s="304"/>
      <c r="AK43" s="304"/>
      <c r="AL43" s="304"/>
      <c r="AM43" s="304"/>
      <c r="AN43" s="304"/>
      <c r="AO43" s="304"/>
      <c r="AP43" s="304"/>
      <c r="AQ43" s="304"/>
      <c r="AR43" s="304"/>
      <c r="AS43" s="304"/>
    </row>
    <row r="44" spans="1:45" ht="18" customHeight="1" thickBot="1">
      <c r="B44" s="1176" t="s">
        <v>674</v>
      </c>
      <c r="C44" s="1177"/>
      <c r="D44" s="1262"/>
      <c r="E44" s="1263"/>
      <c r="F44" s="1263"/>
      <c r="G44" s="1263"/>
      <c r="H44" s="1263"/>
      <c r="I44" s="1263"/>
      <c r="J44" s="1264"/>
      <c r="L44" s="403"/>
      <c r="M44" s="403"/>
      <c r="N44" s="403"/>
      <c r="O44" s="403"/>
      <c r="P44" s="403"/>
      <c r="Q44" s="403"/>
      <c r="R44" s="403"/>
      <c r="S44" s="403"/>
      <c r="T44" s="403"/>
      <c r="U44" s="403"/>
      <c r="V44" s="403"/>
      <c r="W44" s="403"/>
      <c r="X44" s="403"/>
      <c r="Y44" s="403"/>
      <c r="Z44" s="367"/>
      <c r="AA44" s="304"/>
      <c r="AB44" s="304"/>
      <c r="AC44" s="304"/>
      <c r="AD44" s="304"/>
      <c r="AE44" s="304"/>
      <c r="AF44" s="366" t="s">
        <v>603</v>
      </c>
      <c r="AG44" s="304"/>
      <c r="AH44" s="304"/>
      <c r="AI44" s="304"/>
      <c r="AJ44" s="304"/>
      <c r="AK44" s="304"/>
      <c r="AL44" s="304"/>
      <c r="AM44" s="304"/>
      <c r="AN44" s="304"/>
      <c r="AO44" s="304"/>
      <c r="AP44" s="304"/>
      <c r="AQ44" s="304"/>
      <c r="AR44" s="304"/>
      <c r="AS44" s="304"/>
    </row>
    <row r="45" spans="1:45">
      <c r="B45" s="1265"/>
      <c r="C45" s="1266"/>
      <c r="D45" s="1266"/>
      <c r="E45" s="1266"/>
      <c r="F45" s="1267"/>
      <c r="G45" s="371" t="s">
        <v>713</v>
      </c>
      <c r="H45" s="372" t="s">
        <v>676</v>
      </c>
      <c r="I45" s="342"/>
      <c r="J45" s="373" t="s">
        <v>677</v>
      </c>
      <c r="L45" s="403"/>
      <c r="M45" s="403"/>
      <c r="N45" s="403"/>
      <c r="O45" s="403"/>
      <c r="P45" s="403"/>
      <c r="Q45" s="403"/>
      <c r="R45" s="403"/>
      <c r="S45" s="403"/>
      <c r="T45" s="403"/>
      <c r="U45" s="403"/>
      <c r="V45" s="403"/>
      <c r="W45" s="403"/>
      <c r="X45" s="403"/>
      <c r="Y45" s="403"/>
      <c r="Z45" s="367"/>
      <c r="AA45" s="304"/>
      <c r="AB45" s="304" t="s">
        <v>689</v>
      </c>
      <c r="AC45" s="374">
        <f>G69/12</f>
        <v>0</v>
      </c>
      <c r="AD45" s="304"/>
      <c r="AE45" s="304"/>
      <c r="AF45" s="366" t="s">
        <v>605</v>
      </c>
      <c r="AG45" s="304"/>
      <c r="AH45" s="304"/>
      <c r="AI45" s="304"/>
      <c r="AJ45" s="304"/>
      <c r="AK45" s="304"/>
      <c r="AL45" s="304"/>
      <c r="AM45" s="304"/>
      <c r="AN45" s="304"/>
      <c r="AO45" s="304"/>
      <c r="AP45" s="304"/>
      <c r="AQ45" s="304"/>
      <c r="AR45" s="304"/>
      <c r="AS45" s="304"/>
    </row>
    <row r="46" spans="1:45">
      <c r="B46" s="1268"/>
      <c r="C46" s="1266"/>
      <c r="D46" s="1266"/>
      <c r="E46" s="1266"/>
      <c r="F46" s="1267"/>
      <c r="G46" s="375" t="s">
        <v>714</v>
      </c>
      <c r="H46" s="376"/>
      <c r="I46" s="1272"/>
      <c r="J46" s="378"/>
      <c r="L46" s="403"/>
      <c r="M46" s="403"/>
      <c r="N46" s="403"/>
      <c r="O46" s="403"/>
      <c r="P46" s="403"/>
      <c r="Q46" s="403"/>
      <c r="R46" s="403"/>
      <c r="S46" s="403"/>
      <c r="T46" s="403"/>
      <c r="U46" s="403"/>
      <c r="V46" s="403"/>
      <c r="W46" s="403"/>
      <c r="X46" s="403"/>
      <c r="Y46" s="403"/>
      <c r="Z46" s="367"/>
      <c r="AA46" s="304"/>
      <c r="AB46" s="304" t="s">
        <v>691</v>
      </c>
      <c r="AC46" s="374">
        <f>(G69+I69)/24</f>
        <v>0</v>
      </c>
      <c r="AD46" s="304"/>
      <c r="AE46" s="304"/>
      <c r="AF46" s="304"/>
      <c r="AG46" s="304"/>
      <c r="AH46" s="304"/>
      <c r="AI46" s="304"/>
      <c r="AJ46" s="304"/>
      <c r="AK46" s="304"/>
      <c r="AL46" s="304"/>
      <c r="AM46" s="304"/>
      <c r="AN46" s="304"/>
      <c r="AO46" s="304"/>
      <c r="AP46" s="304"/>
      <c r="AQ46" s="304"/>
      <c r="AR46" s="304"/>
      <c r="AS46" s="304"/>
    </row>
    <row r="47" spans="1:45">
      <c r="B47" s="1268"/>
      <c r="C47" s="1266"/>
      <c r="D47" s="1266"/>
      <c r="E47" s="1266"/>
      <c r="F47" s="1267"/>
      <c r="G47" s="379" t="s">
        <v>715</v>
      </c>
      <c r="H47" s="380"/>
      <c r="I47" s="1272"/>
      <c r="J47" s="378"/>
      <c r="L47" s="403"/>
      <c r="M47" s="403"/>
      <c r="N47" s="403"/>
      <c r="O47" s="403"/>
      <c r="P47" s="403"/>
      <c r="Q47" s="403"/>
      <c r="R47" s="403"/>
      <c r="S47" s="403"/>
      <c r="T47" s="403"/>
      <c r="U47" s="403"/>
      <c r="V47" s="403"/>
      <c r="W47" s="403"/>
      <c r="X47" s="403"/>
      <c r="Y47" s="403"/>
      <c r="Z47" s="367"/>
      <c r="AA47" s="304"/>
      <c r="AB47" s="304"/>
      <c r="AC47" s="304"/>
      <c r="AD47" s="304"/>
      <c r="AE47" s="304"/>
      <c r="AF47" s="304"/>
      <c r="AG47" s="304"/>
      <c r="AH47" s="304"/>
      <c r="AI47" s="304"/>
      <c r="AJ47" s="304"/>
      <c r="AK47" s="304"/>
      <c r="AL47" s="304"/>
      <c r="AM47" s="304"/>
      <c r="AN47" s="304"/>
      <c r="AO47" s="304"/>
      <c r="AP47" s="304"/>
      <c r="AQ47" s="304"/>
      <c r="AR47" s="304"/>
      <c r="AS47" s="304"/>
    </row>
    <row r="48" spans="1:45" ht="15.75" thickBot="1">
      <c r="B48" s="1269"/>
      <c r="C48" s="1270"/>
      <c r="D48" s="1270"/>
      <c r="E48" s="1270"/>
      <c r="F48" s="1271"/>
      <c r="G48" s="379" t="s">
        <v>716</v>
      </c>
      <c r="H48" s="376"/>
      <c r="I48" s="1272"/>
      <c r="J48" s="378"/>
      <c r="L48" s="403"/>
      <c r="M48" s="403"/>
      <c r="N48" s="403"/>
      <c r="O48" s="403"/>
      <c r="P48" s="403"/>
      <c r="Q48" s="403"/>
      <c r="R48" s="403"/>
      <c r="S48" s="403"/>
      <c r="T48" s="403"/>
      <c r="U48" s="403"/>
      <c r="V48" s="403"/>
      <c r="W48" s="403"/>
      <c r="X48" s="403"/>
      <c r="Y48" s="403"/>
      <c r="Z48" s="367"/>
      <c r="AA48" s="304"/>
      <c r="AB48" s="304" t="s">
        <v>717</v>
      </c>
      <c r="AC48" s="304" t="str">
        <f>IF(OR(H46=0, H46&gt;100%), "Year End Profit %", (G52+G53+G54))</f>
        <v>Year End Profit %</v>
      </c>
      <c r="AD48" s="304"/>
      <c r="AE48" s="304"/>
      <c r="AF48" s="304"/>
      <c r="AG48" s="304"/>
      <c r="AH48" s="304"/>
      <c r="AI48" s="304"/>
      <c r="AJ48" s="304"/>
      <c r="AK48" s="304"/>
      <c r="AL48" s="304"/>
      <c r="AM48" s="304"/>
      <c r="AN48" s="304"/>
      <c r="AO48" s="304"/>
      <c r="AP48" s="304"/>
      <c r="AQ48" s="304"/>
      <c r="AR48" s="304"/>
      <c r="AS48" s="304"/>
    </row>
    <row r="49" spans="2:45" ht="18.75">
      <c r="B49" s="1229" t="s">
        <v>718</v>
      </c>
      <c r="C49" s="1273"/>
      <c r="D49" s="1273"/>
      <c r="E49" s="1273"/>
      <c r="F49" s="1273"/>
      <c r="G49" s="377" t="s">
        <v>719</v>
      </c>
      <c r="H49" s="381"/>
      <c r="I49" s="377" t="s">
        <v>719</v>
      </c>
      <c r="J49" s="382"/>
      <c r="L49" s="403"/>
      <c r="M49" s="403"/>
      <c r="N49" s="403"/>
      <c r="O49" s="403"/>
      <c r="P49" s="403"/>
      <c r="Q49" s="403"/>
      <c r="R49" s="403"/>
      <c r="S49" s="403"/>
      <c r="T49" s="403"/>
      <c r="U49" s="403"/>
      <c r="V49" s="403"/>
      <c r="W49" s="403"/>
      <c r="X49" s="403"/>
      <c r="Y49" s="403"/>
      <c r="Z49" s="367"/>
      <c r="AA49" s="304"/>
      <c r="AB49" s="304" t="s">
        <v>720</v>
      </c>
      <c r="AC49" s="304" t="str">
        <f>IF(OR(J46&gt;100%, J46=0), "Year End Profit %", (I52+I53+I54))</f>
        <v>Year End Profit %</v>
      </c>
      <c r="AD49" s="383"/>
      <c r="AE49" s="304"/>
      <c r="AF49" s="304"/>
      <c r="AG49" s="304"/>
      <c r="AH49" s="304"/>
      <c r="AI49" s="304"/>
      <c r="AJ49" s="304"/>
      <c r="AK49" s="304"/>
      <c r="AL49" s="304"/>
      <c r="AM49" s="304"/>
      <c r="AN49" s="304"/>
      <c r="AO49" s="304"/>
      <c r="AP49" s="304"/>
      <c r="AQ49" s="304"/>
      <c r="AR49" s="304"/>
      <c r="AS49" s="304"/>
    </row>
    <row r="50" spans="2:45">
      <c r="B50" s="1274" t="s">
        <v>721</v>
      </c>
      <c r="C50" s="1275"/>
      <c r="D50" s="1275"/>
      <c r="E50" s="1275"/>
      <c r="F50" s="1276"/>
      <c r="G50" s="346"/>
      <c r="H50" s="384">
        <f>G50</f>
        <v>0</v>
      </c>
      <c r="I50" s="364"/>
      <c r="J50" s="385">
        <f>I50</f>
        <v>0</v>
      </c>
      <c r="L50" s="403"/>
      <c r="M50" s="403"/>
      <c r="N50" s="403"/>
      <c r="O50" s="403"/>
      <c r="P50" s="403"/>
      <c r="Q50" s="403"/>
      <c r="R50" s="403"/>
      <c r="S50" s="403"/>
      <c r="T50" s="403"/>
      <c r="U50" s="403"/>
      <c r="V50" s="403"/>
      <c r="W50" s="403"/>
      <c r="X50" s="403"/>
      <c r="Y50" s="403"/>
      <c r="Z50" s="367"/>
      <c r="AA50" s="304"/>
      <c r="AB50" s="304"/>
      <c r="AC50" s="304"/>
      <c r="AD50" s="304"/>
      <c r="AE50" s="304"/>
      <c r="AF50" s="304"/>
      <c r="AG50" s="304"/>
      <c r="AH50" s="304"/>
      <c r="AI50" s="304"/>
      <c r="AJ50" s="304"/>
      <c r="AK50" s="304"/>
      <c r="AL50" s="304"/>
      <c r="AM50" s="304"/>
      <c r="AN50" s="304"/>
      <c r="AO50" s="304"/>
      <c r="AP50" s="304"/>
      <c r="AQ50" s="304"/>
      <c r="AR50" s="304"/>
      <c r="AS50" s="304"/>
    </row>
    <row r="51" spans="2:45">
      <c r="B51" s="1246" t="s">
        <v>722</v>
      </c>
      <c r="C51" s="1247"/>
      <c r="D51" s="1247"/>
      <c r="E51" s="1247"/>
      <c r="F51" s="1247"/>
      <c r="G51" s="377"/>
      <c r="H51" s="381"/>
      <c r="I51" s="386"/>
      <c r="J51" s="382"/>
      <c r="L51" s="403"/>
      <c r="M51" s="403"/>
      <c r="N51" s="403"/>
      <c r="O51" s="403"/>
      <c r="P51" s="403"/>
      <c r="Q51" s="403"/>
      <c r="R51" s="403"/>
      <c r="S51" s="403"/>
      <c r="T51" s="403"/>
      <c r="U51" s="403"/>
      <c r="V51" s="403"/>
      <c r="W51" s="403"/>
      <c r="X51" s="403"/>
      <c r="Y51" s="403"/>
      <c r="Z51" s="367"/>
      <c r="AA51" s="304"/>
      <c r="AB51" s="304"/>
      <c r="AC51" s="304"/>
      <c r="AD51" s="304"/>
      <c r="AE51" s="304"/>
      <c r="AF51" s="304"/>
      <c r="AG51" s="304"/>
      <c r="AH51" s="304"/>
      <c r="AI51" s="304"/>
      <c r="AJ51" s="304"/>
      <c r="AK51" s="304"/>
      <c r="AL51" s="304"/>
      <c r="AM51" s="304"/>
      <c r="AN51" s="304"/>
      <c r="AO51" s="304"/>
      <c r="AP51" s="304"/>
      <c r="AQ51" s="304"/>
      <c r="AR51" s="304"/>
      <c r="AS51" s="304"/>
    </row>
    <row r="52" spans="2:45">
      <c r="B52" s="1248" t="s">
        <v>723</v>
      </c>
      <c r="C52" s="1249"/>
      <c r="D52" s="1249"/>
      <c r="E52" s="1249"/>
      <c r="F52" s="1250"/>
      <c r="G52" s="346"/>
      <c r="H52" s="387" t="str">
        <f>AC48</f>
        <v>Year End Profit %</v>
      </c>
      <c r="I52" s="346"/>
      <c r="J52" s="388" t="str">
        <f>AC49</f>
        <v>Year End Profit %</v>
      </c>
      <c r="L52" s="403"/>
      <c r="M52" s="403"/>
      <c r="N52" s="403"/>
      <c r="O52" s="403"/>
      <c r="P52" s="403"/>
      <c r="Q52" s="403"/>
      <c r="R52" s="403"/>
      <c r="S52" s="403"/>
      <c r="T52" s="403"/>
      <c r="U52" s="403"/>
      <c r="V52" s="403"/>
      <c r="W52" s="403"/>
      <c r="X52" s="403"/>
      <c r="Y52" s="403"/>
      <c r="Z52" s="367"/>
      <c r="AA52" s="304"/>
      <c r="AB52" s="304"/>
      <c r="AC52" s="304"/>
      <c r="AD52" s="304"/>
      <c r="AE52" s="304"/>
      <c r="AF52" s="304"/>
      <c r="AG52" s="304"/>
      <c r="AH52" s="304"/>
      <c r="AI52" s="304"/>
      <c r="AJ52" s="304"/>
      <c r="AK52" s="304"/>
      <c r="AL52" s="304"/>
      <c r="AM52" s="304"/>
      <c r="AN52" s="304"/>
      <c r="AO52" s="304"/>
      <c r="AP52" s="304"/>
      <c r="AQ52" s="304"/>
      <c r="AR52" s="304"/>
      <c r="AS52" s="304"/>
    </row>
    <row r="53" spans="2:45">
      <c r="B53" s="1251" t="s">
        <v>724</v>
      </c>
      <c r="C53" s="1252"/>
      <c r="D53" s="1252"/>
      <c r="E53" s="1252"/>
      <c r="F53" s="1253"/>
      <c r="G53" s="346"/>
      <c r="H53" s="389"/>
      <c r="I53" s="346"/>
      <c r="J53" s="390"/>
      <c r="L53" s="403"/>
      <c r="M53" s="403"/>
      <c r="N53" s="403"/>
      <c r="O53" s="403"/>
      <c r="P53" s="403"/>
      <c r="Q53" s="403"/>
      <c r="R53" s="403"/>
      <c r="S53" s="403"/>
      <c r="T53" s="403"/>
      <c r="U53" s="403"/>
      <c r="V53" s="403"/>
      <c r="W53" s="403"/>
      <c r="X53" s="403"/>
      <c r="Y53" s="403"/>
      <c r="Z53" s="367"/>
      <c r="AA53" s="304"/>
      <c r="AB53" s="304"/>
      <c r="AC53" s="304"/>
      <c r="AD53" s="304"/>
      <c r="AE53" s="304"/>
      <c r="AF53" s="304"/>
      <c r="AG53" s="304"/>
      <c r="AH53" s="304"/>
      <c r="AI53" s="304"/>
      <c r="AJ53" s="304"/>
      <c r="AK53" s="304"/>
      <c r="AL53" s="304"/>
      <c r="AM53" s="304"/>
      <c r="AN53" s="304"/>
      <c r="AO53" s="304"/>
      <c r="AP53" s="304"/>
      <c r="AQ53" s="304"/>
      <c r="AR53" s="304"/>
      <c r="AS53" s="304"/>
    </row>
    <row r="54" spans="2:45">
      <c r="B54" s="1254" t="s">
        <v>725</v>
      </c>
      <c r="C54" s="1255"/>
      <c r="D54" s="1255"/>
      <c r="E54" s="1255"/>
      <c r="F54" s="1256"/>
      <c r="G54" s="346"/>
      <c r="H54" s="389"/>
      <c r="I54" s="346"/>
      <c r="J54" s="390"/>
      <c r="L54" s="403"/>
      <c r="M54" s="403"/>
      <c r="N54" s="403"/>
      <c r="O54" s="403"/>
      <c r="P54" s="403"/>
      <c r="Q54" s="403"/>
      <c r="R54" s="403"/>
      <c r="S54" s="403"/>
      <c r="T54" s="403"/>
      <c r="U54" s="403"/>
      <c r="V54" s="403"/>
      <c r="W54" s="403"/>
      <c r="X54" s="403"/>
      <c r="Y54" s="403"/>
      <c r="Z54" s="367"/>
      <c r="AA54" s="304"/>
      <c r="AB54" s="304"/>
      <c r="AC54" s="304"/>
      <c r="AD54" s="304"/>
      <c r="AE54" s="304"/>
      <c r="AF54" s="304"/>
      <c r="AG54" s="304"/>
      <c r="AH54" s="304"/>
      <c r="AI54" s="304"/>
      <c r="AJ54" s="304"/>
      <c r="AK54" s="304"/>
      <c r="AL54" s="304"/>
      <c r="AM54" s="304"/>
      <c r="AN54" s="304"/>
      <c r="AO54" s="304"/>
      <c r="AP54" s="304"/>
      <c r="AQ54" s="304"/>
      <c r="AR54" s="304"/>
      <c r="AS54" s="304"/>
    </row>
    <row r="55" spans="2:45">
      <c r="B55" s="1257" t="s">
        <v>726</v>
      </c>
      <c r="C55" s="1258"/>
      <c r="D55" s="1258"/>
      <c r="E55" s="1258"/>
      <c r="F55" s="1258"/>
      <c r="G55" s="391"/>
      <c r="H55" s="392"/>
      <c r="I55" s="391"/>
      <c r="J55" s="393"/>
      <c r="L55" s="403"/>
      <c r="M55" s="403"/>
      <c r="N55" s="403"/>
      <c r="O55" s="403"/>
      <c r="P55" s="403"/>
      <c r="Q55" s="403"/>
      <c r="R55" s="403"/>
      <c r="S55" s="403"/>
      <c r="T55" s="403"/>
      <c r="U55" s="403"/>
      <c r="V55" s="403"/>
      <c r="W55" s="403"/>
      <c r="X55" s="403"/>
      <c r="Y55" s="403"/>
      <c r="Z55" s="367"/>
      <c r="AA55" s="304"/>
      <c r="AB55" s="304"/>
      <c r="AC55" s="304"/>
      <c r="AD55" s="304"/>
      <c r="AE55" s="304"/>
      <c r="AF55" s="304"/>
      <c r="AG55" s="304"/>
      <c r="AH55" s="304"/>
      <c r="AI55" s="304"/>
      <c r="AJ55" s="304"/>
      <c r="AK55" s="304"/>
      <c r="AL55" s="304"/>
      <c r="AM55" s="304"/>
      <c r="AN55" s="304"/>
      <c r="AO55" s="304"/>
      <c r="AP55" s="304"/>
      <c r="AQ55" s="304"/>
      <c r="AR55" s="304"/>
      <c r="AS55" s="304"/>
    </row>
    <row r="56" spans="2:45">
      <c r="B56" s="1259" t="s">
        <v>727</v>
      </c>
      <c r="C56" s="1260"/>
      <c r="D56" s="1260"/>
      <c r="E56" s="1260"/>
      <c r="F56" s="1261"/>
      <c r="G56" s="394"/>
      <c r="H56" s="395">
        <f>(G56*H46)*-1</f>
        <v>0</v>
      </c>
      <c r="I56" s="394"/>
      <c r="J56" s="396">
        <f>(I56*J46)*-1</f>
        <v>0</v>
      </c>
      <c r="L56" s="403"/>
      <c r="M56" s="403"/>
      <c r="N56" s="403"/>
      <c r="O56" s="403"/>
      <c r="P56" s="403"/>
      <c r="Q56" s="403"/>
      <c r="R56" s="403"/>
      <c r="S56" s="403"/>
      <c r="T56" s="403"/>
      <c r="U56" s="403"/>
      <c r="V56" s="403"/>
      <c r="W56" s="403"/>
      <c r="X56" s="403"/>
      <c r="Y56" s="403"/>
      <c r="Z56" s="367"/>
      <c r="AA56" s="304"/>
      <c r="AB56" s="304"/>
      <c r="AC56" s="304"/>
      <c r="AD56" s="304"/>
      <c r="AE56" s="304"/>
      <c r="AF56" s="304"/>
      <c r="AG56" s="304"/>
      <c r="AH56" s="304"/>
      <c r="AI56" s="304"/>
      <c r="AJ56" s="304"/>
      <c r="AK56" s="304"/>
      <c r="AL56" s="304"/>
      <c r="AM56" s="304"/>
      <c r="AN56" s="304"/>
      <c r="AO56" s="304"/>
      <c r="AP56" s="304"/>
      <c r="AQ56" s="304"/>
      <c r="AR56" s="304"/>
      <c r="AS56" s="304"/>
    </row>
    <row r="57" spans="2:45">
      <c r="B57" s="1237" t="s">
        <v>728</v>
      </c>
      <c r="C57" s="1238"/>
      <c r="D57" s="1238"/>
      <c r="E57" s="1238"/>
      <c r="F57" s="1239"/>
      <c r="G57" s="394"/>
      <c r="H57" s="395">
        <f>(G57*H46)*-1</f>
        <v>0</v>
      </c>
      <c r="I57" s="394"/>
      <c r="J57" s="396">
        <f>(I57*J46)*-1</f>
        <v>0</v>
      </c>
      <c r="L57" s="403"/>
      <c r="M57" s="403"/>
      <c r="N57" s="403"/>
      <c r="O57" s="403"/>
      <c r="P57" s="403"/>
      <c r="Q57" s="403"/>
      <c r="R57" s="403"/>
      <c r="S57" s="403"/>
      <c r="T57" s="403"/>
      <c r="U57" s="403"/>
      <c r="V57" s="403"/>
      <c r="W57" s="403"/>
      <c r="X57" s="403"/>
      <c r="Y57" s="403"/>
      <c r="Z57" s="367"/>
      <c r="AA57" s="304"/>
      <c r="AB57" s="304"/>
      <c r="AC57" s="304"/>
      <c r="AD57" s="304"/>
      <c r="AE57" s="304"/>
      <c r="AF57" s="304"/>
      <c r="AG57" s="304"/>
      <c r="AH57" s="304"/>
      <c r="AI57" s="304"/>
      <c r="AJ57" s="304"/>
      <c r="AK57" s="304"/>
      <c r="AL57" s="304"/>
      <c r="AM57" s="304"/>
      <c r="AN57" s="304"/>
      <c r="AO57" s="304"/>
      <c r="AP57" s="304"/>
      <c r="AQ57" s="304"/>
      <c r="AR57" s="304"/>
      <c r="AS57" s="304"/>
    </row>
    <row r="58" spans="2:45">
      <c r="B58" s="1237" t="s">
        <v>729</v>
      </c>
      <c r="C58" s="1238"/>
      <c r="D58" s="1238"/>
      <c r="E58" s="1238"/>
      <c r="F58" s="1239"/>
      <c r="G58" s="394"/>
      <c r="H58" s="395">
        <f>(G58*H46)*-1</f>
        <v>0</v>
      </c>
      <c r="I58" s="394"/>
      <c r="J58" s="396">
        <f>(I58*J46)*-1</f>
        <v>0</v>
      </c>
      <c r="L58" s="403"/>
      <c r="M58" s="403"/>
      <c r="N58" s="403"/>
      <c r="O58" s="403"/>
      <c r="P58" s="403"/>
      <c r="Q58" s="403"/>
      <c r="R58" s="403"/>
      <c r="S58" s="403"/>
      <c r="T58" s="403"/>
      <c r="U58" s="403"/>
      <c r="V58" s="403"/>
      <c r="W58" s="403"/>
      <c r="X58" s="403"/>
      <c r="Y58" s="403"/>
      <c r="Z58" s="367"/>
      <c r="AA58" s="304"/>
      <c r="AB58" s="304"/>
      <c r="AC58" s="304"/>
      <c r="AD58" s="304"/>
      <c r="AE58" s="304"/>
      <c r="AF58" s="304"/>
      <c r="AG58" s="304"/>
      <c r="AH58" s="304"/>
      <c r="AI58" s="304"/>
      <c r="AJ58" s="304"/>
      <c r="AK58" s="304"/>
      <c r="AL58" s="304"/>
      <c r="AM58" s="304"/>
      <c r="AN58" s="304"/>
      <c r="AO58" s="304"/>
      <c r="AP58" s="304"/>
      <c r="AQ58" s="304"/>
      <c r="AR58" s="304"/>
      <c r="AS58" s="304"/>
    </row>
    <row r="59" spans="2:45">
      <c r="B59" s="1240" t="s">
        <v>730</v>
      </c>
      <c r="C59" s="1241"/>
      <c r="D59" s="1241"/>
      <c r="E59" s="1241"/>
      <c r="F59" s="1242"/>
      <c r="G59" s="394"/>
      <c r="H59" s="395">
        <f>(G59*H46)*-1</f>
        <v>0</v>
      </c>
      <c r="I59" s="394"/>
      <c r="J59" s="396">
        <f>(I59*J46)*-1</f>
        <v>0</v>
      </c>
      <c r="L59" s="403"/>
      <c r="M59" s="403"/>
      <c r="N59" s="403"/>
      <c r="O59" s="403"/>
      <c r="P59" s="403"/>
      <c r="Q59" s="403"/>
      <c r="R59" s="403"/>
      <c r="S59" s="403"/>
      <c r="T59" s="403"/>
      <c r="U59" s="403"/>
      <c r="V59" s="403"/>
      <c r="W59" s="403"/>
      <c r="X59" s="403"/>
      <c r="Y59" s="403"/>
      <c r="Z59" s="367"/>
      <c r="AA59" s="304"/>
      <c r="AB59" s="304"/>
      <c r="AC59" s="304"/>
      <c r="AD59" s="304"/>
      <c r="AE59" s="304"/>
      <c r="AF59" s="304"/>
      <c r="AG59" s="304"/>
      <c r="AH59" s="304"/>
      <c r="AI59" s="304"/>
      <c r="AJ59" s="304"/>
      <c r="AK59" s="304"/>
      <c r="AL59" s="304"/>
      <c r="AM59" s="304"/>
      <c r="AN59" s="304"/>
      <c r="AO59" s="304"/>
      <c r="AP59" s="304"/>
      <c r="AQ59" s="304"/>
      <c r="AR59" s="304"/>
      <c r="AS59" s="304"/>
    </row>
    <row r="60" spans="2:45">
      <c r="B60" s="1229" t="s">
        <v>731</v>
      </c>
      <c r="C60" s="1230"/>
      <c r="D60" s="1230"/>
      <c r="E60" s="1230"/>
      <c r="F60" s="1230"/>
      <c r="G60" s="350"/>
      <c r="H60" s="351"/>
      <c r="I60" s="350"/>
      <c r="J60" s="352"/>
      <c r="L60" s="403"/>
      <c r="M60" s="403"/>
      <c r="N60" s="403"/>
      <c r="O60" s="403"/>
      <c r="P60" s="403"/>
      <c r="Q60" s="403"/>
      <c r="R60" s="403"/>
      <c r="S60" s="403"/>
      <c r="T60" s="403"/>
      <c r="U60" s="403"/>
      <c r="V60" s="403"/>
      <c r="W60" s="403"/>
      <c r="X60" s="403"/>
      <c r="Y60" s="403"/>
      <c r="Z60" s="367"/>
      <c r="AA60" s="304"/>
      <c r="AB60" s="304"/>
      <c r="AC60" s="304"/>
      <c r="AD60" s="304"/>
      <c r="AE60" s="304"/>
      <c r="AF60" s="304"/>
      <c r="AG60" s="304"/>
      <c r="AH60" s="304"/>
      <c r="AI60" s="304"/>
      <c r="AJ60" s="304"/>
      <c r="AK60" s="304"/>
      <c r="AL60" s="304"/>
      <c r="AM60" s="304"/>
      <c r="AN60" s="304"/>
      <c r="AO60" s="304"/>
      <c r="AP60" s="304"/>
      <c r="AQ60" s="304"/>
      <c r="AR60" s="304"/>
      <c r="AS60" s="304"/>
    </row>
    <row r="61" spans="2:45">
      <c r="B61" s="1243" t="s">
        <v>732</v>
      </c>
      <c r="C61" s="1244"/>
      <c r="D61" s="1244"/>
      <c r="E61" s="1244"/>
      <c r="F61" s="1245"/>
      <c r="G61" s="346"/>
      <c r="H61" s="384">
        <f>G61*H46</f>
        <v>0</v>
      </c>
      <c r="I61" s="346"/>
      <c r="J61" s="385">
        <f>I61*J46</f>
        <v>0</v>
      </c>
      <c r="L61" s="403"/>
      <c r="M61" s="403"/>
      <c r="N61" s="403"/>
      <c r="O61" s="403"/>
      <c r="P61" s="403"/>
      <c r="Q61" s="403"/>
      <c r="R61" s="403"/>
      <c r="S61" s="403"/>
      <c r="T61" s="403"/>
      <c r="U61" s="403"/>
      <c r="V61" s="403"/>
      <c r="W61" s="403"/>
      <c r="X61" s="403"/>
      <c r="Y61" s="403"/>
      <c r="Z61" s="367"/>
      <c r="AA61" s="304"/>
      <c r="AB61" s="304"/>
      <c r="AC61" s="304"/>
      <c r="AD61" s="304"/>
      <c r="AE61" s="304"/>
      <c r="AF61" s="304"/>
      <c r="AG61" s="304"/>
      <c r="AH61" s="304"/>
      <c r="AI61" s="304"/>
      <c r="AJ61" s="304"/>
      <c r="AK61" s="304"/>
      <c r="AL61" s="304"/>
      <c r="AM61" s="304"/>
      <c r="AN61" s="304"/>
      <c r="AO61" s="304"/>
      <c r="AP61" s="304"/>
      <c r="AQ61" s="304"/>
      <c r="AR61" s="304"/>
      <c r="AS61" s="304"/>
    </row>
    <row r="62" spans="2:45">
      <c r="B62" s="1223" t="s">
        <v>733</v>
      </c>
      <c r="C62" s="1224"/>
      <c r="D62" s="1224"/>
      <c r="E62" s="1224"/>
      <c r="F62" s="1225"/>
      <c r="G62" s="346"/>
      <c r="H62" s="384">
        <f>G62*H46</f>
        <v>0</v>
      </c>
      <c r="I62" s="346"/>
      <c r="J62" s="385">
        <f>I62*J46</f>
        <v>0</v>
      </c>
      <c r="L62" s="403"/>
      <c r="M62" s="403"/>
      <c r="N62" s="403"/>
      <c r="O62" s="403"/>
      <c r="P62" s="403"/>
      <c r="Q62" s="403"/>
      <c r="R62" s="403"/>
      <c r="S62" s="403"/>
      <c r="T62" s="403"/>
      <c r="U62" s="403"/>
      <c r="V62" s="403"/>
      <c r="W62" s="403"/>
      <c r="X62" s="403"/>
      <c r="Y62" s="403"/>
      <c r="Z62" s="367"/>
      <c r="AA62" s="304"/>
      <c r="AB62" s="304"/>
      <c r="AC62" s="304"/>
      <c r="AD62" s="304"/>
      <c r="AE62" s="304"/>
      <c r="AF62" s="304"/>
      <c r="AG62" s="304"/>
      <c r="AH62" s="304"/>
      <c r="AI62" s="304"/>
      <c r="AJ62" s="304"/>
      <c r="AK62" s="304"/>
      <c r="AL62" s="304"/>
      <c r="AM62" s="304"/>
      <c r="AN62" s="304"/>
      <c r="AO62" s="304"/>
      <c r="AP62" s="304"/>
      <c r="AQ62" s="304"/>
      <c r="AR62" s="304"/>
      <c r="AS62" s="304"/>
    </row>
    <row r="63" spans="2:45">
      <c r="B63" s="1223" t="s">
        <v>734</v>
      </c>
      <c r="C63" s="1224"/>
      <c r="D63" s="1224"/>
      <c r="E63" s="1224"/>
      <c r="F63" s="1225"/>
      <c r="G63" s="346"/>
      <c r="H63" s="384">
        <f>G63*H46</f>
        <v>0</v>
      </c>
      <c r="I63" s="346"/>
      <c r="J63" s="385">
        <f>I63*J46</f>
        <v>0</v>
      </c>
      <c r="L63" s="403"/>
      <c r="M63" s="403"/>
      <c r="N63" s="403"/>
      <c r="O63" s="403"/>
      <c r="P63" s="403"/>
      <c r="Q63" s="403"/>
      <c r="R63" s="403"/>
      <c r="S63" s="403"/>
      <c r="T63" s="403"/>
      <c r="U63" s="403"/>
      <c r="V63" s="403"/>
      <c r="W63" s="403"/>
      <c r="X63" s="403"/>
      <c r="Y63" s="403"/>
      <c r="Z63" s="367"/>
      <c r="AA63" s="304"/>
      <c r="AB63" s="304"/>
      <c r="AC63" s="304"/>
      <c r="AD63" s="304"/>
      <c r="AE63" s="304"/>
      <c r="AF63" s="304"/>
      <c r="AG63" s="304"/>
      <c r="AH63" s="304"/>
      <c r="AI63" s="304"/>
      <c r="AJ63" s="304"/>
      <c r="AK63" s="304"/>
      <c r="AL63" s="304"/>
      <c r="AM63" s="304"/>
      <c r="AN63" s="304"/>
      <c r="AO63" s="304"/>
      <c r="AP63" s="304"/>
      <c r="AQ63" s="304"/>
      <c r="AR63" s="304"/>
      <c r="AS63" s="304"/>
    </row>
    <row r="64" spans="2:45">
      <c r="B64" s="1172" t="s">
        <v>735</v>
      </c>
      <c r="C64" s="1173"/>
      <c r="D64" s="1173"/>
      <c r="E64" s="1173"/>
      <c r="F64" s="1173"/>
      <c r="G64" s="351"/>
      <c r="H64" s="397"/>
      <c r="I64" s="351"/>
      <c r="J64" s="398"/>
      <c r="L64" s="403"/>
      <c r="M64" s="403"/>
      <c r="N64" s="403"/>
      <c r="O64" s="403"/>
      <c r="P64" s="403"/>
      <c r="Q64" s="403"/>
      <c r="R64" s="403"/>
      <c r="S64" s="403"/>
      <c r="T64" s="403"/>
      <c r="U64" s="403"/>
      <c r="V64" s="403"/>
      <c r="W64" s="403"/>
      <c r="X64" s="403"/>
      <c r="Y64" s="403"/>
      <c r="Z64" s="367"/>
      <c r="AA64" s="304"/>
      <c r="AB64" s="304"/>
      <c r="AC64" s="304"/>
      <c r="AD64" s="304"/>
      <c r="AE64" s="304"/>
      <c r="AF64" s="304"/>
      <c r="AG64" s="304"/>
      <c r="AH64" s="304"/>
      <c r="AI64" s="304"/>
      <c r="AJ64" s="304"/>
      <c r="AK64" s="304"/>
      <c r="AL64" s="304"/>
      <c r="AM64" s="304"/>
      <c r="AN64" s="304"/>
      <c r="AO64" s="304"/>
      <c r="AP64" s="304"/>
      <c r="AQ64" s="304"/>
      <c r="AR64" s="304"/>
      <c r="AS64" s="304"/>
    </row>
    <row r="65" spans="1:45">
      <c r="B65" s="1226" t="s">
        <v>736</v>
      </c>
      <c r="C65" s="1227"/>
      <c r="D65" s="1227"/>
      <c r="E65" s="1227"/>
      <c r="F65" s="1228"/>
      <c r="G65" s="346"/>
      <c r="H65" s="384">
        <f>G65*H46</f>
        <v>0</v>
      </c>
      <c r="I65" s="346"/>
      <c r="J65" s="385">
        <f>I65*J46</f>
        <v>0</v>
      </c>
      <c r="L65" s="403"/>
      <c r="M65" s="403"/>
      <c r="N65" s="403"/>
      <c r="O65" s="403"/>
      <c r="P65" s="403"/>
      <c r="Q65" s="403"/>
      <c r="R65" s="403"/>
      <c r="S65" s="403"/>
      <c r="T65" s="403"/>
      <c r="U65" s="403"/>
      <c r="V65" s="403"/>
      <c r="W65" s="403"/>
      <c r="X65" s="403"/>
      <c r="Y65" s="403"/>
      <c r="Z65" s="367"/>
      <c r="AA65" s="304"/>
      <c r="AB65" s="304"/>
      <c r="AC65" s="304"/>
      <c r="AD65" s="304"/>
      <c r="AE65" s="304"/>
      <c r="AF65" s="304"/>
      <c r="AG65" s="304"/>
      <c r="AH65" s="304"/>
      <c r="AI65" s="304"/>
      <c r="AJ65" s="304"/>
      <c r="AK65" s="304"/>
      <c r="AL65" s="304"/>
      <c r="AM65" s="304"/>
      <c r="AN65" s="304"/>
      <c r="AO65" s="304"/>
      <c r="AP65" s="304"/>
      <c r="AQ65" s="304"/>
      <c r="AR65" s="304"/>
      <c r="AS65" s="304"/>
    </row>
    <row r="66" spans="1:45">
      <c r="B66" s="1229" t="s">
        <v>737</v>
      </c>
      <c r="C66" s="1230"/>
      <c r="D66" s="1230"/>
      <c r="E66" s="1230"/>
      <c r="F66" s="1230"/>
      <c r="G66" s="350"/>
      <c r="H66" s="351"/>
      <c r="I66" s="350"/>
      <c r="J66" s="352"/>
      <c r="L66" s="403"/>
      <c r="M66" s="403"/>
      <c r="N66" s="403"/>
      <c r="O66" s="403"/>
      <c r="P66" s="403"/>
      <c r="Q66" s="403"/>
      <c r="R66" s="403"/>
      <c r="S66" s="403"/>
      <c r="T66" s="403"/>
      <c r="U66" s="403"/>
      <c r="V66" s="403"/>
      <c r="W66" s="403"/>
      <c r="X66" s="403"/>
      <c r="Y66" s="403"/>
      <c r="Z66" s="367"/>
      <c r="AA66" s="304"/>
      <c r="AB66" s="304"/>
      <c r="AC66" s="304"/>
      <c r="AD66" s="304"/>
      <c r="AE66" s="304"/>
      <c r="AF66" s="304"/>
      <c r="AG66" s="304"/>
      <c r="AH66" s="304"/>
      <c r="AI66" s="304"/>
      <c r="AJ66" s="304"/>
      <c r="AK66" s="304"/>
      <c r="AL66" s="304"/>
      <c r="AM66" s="304"/>
      <c r="AN66" s="304"/>
      <c r="AO66" s="304"/>
      <c r="AP66" s="304"/>
      <c r="AQ66" s="304"/>
      <c r="AR66" s="304"/>
      <c r="AS66" s="304"/>
    </row>
    <row r="67" spans="1:45" ht="29.1" customHeight="1">
      <c r="B67" s="1231" t="s">
        <v>738</v>
      </c>
      <c r="C67" s="1232"/>
      <c r="D67" s="1232"/>
      <c r="E67" s="1232"/>
      <c r="F67" s="1233"/>
      <c r="G67" s="399"/>
      <c r="H67" s="359">
        <f>H46*G67*-1</f>
        <v>0</v>
      </c>
      <c r="I67" s="399"/>
      <c r="J67" s="400">
        <f>(J46*I67)*-1</f>
        <v>0</v>
      </c>
      <c r="L67" s="403"/>
      <c r="M67" s="403"/>
      <c r="N67" s="403"/>
      <c r="O67" s="403"/>
      <c r="P67" s="403"/>
      <c r="Q67" s="403"/>
      <c r="R67" s="403"/>
      <c r="S67" s="403"/>
      <c r="T67" s="403"/>
      <c r="U67" s="403"/>
      <c r="V67" s="403"/>
      <c r="W67" s="403"/>
      <c r="X67" s="403"/>
      <c r="Y67" s="403"/>
      <c r="Z67" s="367"/>
      <c r="AA67" s="304"/>
      <c r="AB67" s="304"/>
      <c r="AC67" s="304"/>
      <c r="AD67" s="304"/>
      <c r="AE67" s="304"/>
      <c r="AF67" s="304"/>
      <c r="AG67" s="304"/>
      <c r="AH67" s="304"/>
      <c r="AI67" s="304"/>
      <c r="AJ67" s="304"/>
      <c r="AK67" s="304"/>
      <c r="AL67" s="304"/>
      <c r="AM67" s="304"/>
      <c r="AN67" s="304"/>
      <c r="AO67" s="304"/>
      <c r="AP67" s="304"/>
      <c r="AQ67" s="304"/>
      <c r="AR67" s="304"/>
      <c r="AS67" s="304"/>
    </row>
    <row r="68" spans="1:45" ht="29.1" customHeight="1">
      <c r="B68" s="1234" t="s">
        <v>739</v>
      </c>
      <c r="C68" s="1235"/>
      <c r="D68" s="1235"/>
      <c r="E68" s="1235"/>
      <c r="F68" s="1236"/>
      <c r="G68" s="346"/>
      <c r="H68" s="401">
        <f>(H46*G68)*-1</f>
        <v>0</v>
      </c>
      <c r="I68" s="346"/>
      <c r="J68" s="402">
        <f>(J46*I68)*-1</f>
        <v>0</v>
      </c>
      <c r="L68" s="403"/>
      <c r="M68" s="403"/>
      <c r="N68" s="403"/>
      <c r="O68" s="403"/>
      <c r="P68" s="403"/>
      <c r="Q68" s="403"/>
      <c r="R68" s="403"/>
      <c r="S68" s="403"/>
      <c r="T68" s="403"/>
      <c r="U68" s="403"/>
      <c r="V68" s="403"/>
      <c r="W68" s="403"/>
      <c r="X68" s="403"/>
      <c r="Y68" s="403"/>
      <c r="Z68" s="367"/>
      <c r="AA68" s="304"/>
      <c r="AB68" s="304"/>
      <c r="AC68" s="304"/>
      <c r="AD68" s="304"/>
      <c r="AE68" s="304"/>
      <c r="AF68" s="304"/>
      <c r="AG68" s="304"/>
      <c r="AH68" s="304"/>
      <c r="AI68" s="304"/>
      <c r="AJ68" s="304"/>
      <c r="AK68" s="304"/>
      <c r="AL68" s="304"/>
      <c r="AM68" s="304"/>
      <c r="AN68" s="304"/>
      <c r="AO68" s="304"/>
      <c r="AP68" s="304"/>
      <c r="AQ68" s="304"/>
      <c r="AR68" s="304"/>
      <c r="AS68" s="304"/>
    </row>
    <row r="69" spans="1:45">
      <c r="B69" s="1211" t="s">
        <v>740</v>
      </c>
      <c r="C69" s="1212"/>
      <c r="D69" s="1212"/>
      <c r="E69" s="1212"/>
      <c r="F69" s="1213"/>
      <c r="G69" s="1214">
        <f>SUM(H50:H68)</f>
        <v>0</v>
      </c>
      <c r="H69" s="1215"/>
      <c r="I69" s="1214">
        <f>SUM(J52:J68)+J50</f>
        <v>0</v>
      </c>
      <c r="J69" s="1216"/>
      <c r="L69" s="403"/>
      <c r="M69" s="403"/>
      <c r="N69" s="403"/>
      <c r="O69" s="403"/>
      <c r="P69" s="403"/>
      <c r="Q69" s="403"/>
      <c r="R69" s="403"/>
      <c r="S69" s="403"/>
      <c r="T69" s="403"/>
      <c r="U69" s="403"/>
      <c r="V69" s="403"/>
      <c r="W69" s="403"/>
      <c r="X69" s="403"/>
      <c r="Y69" s="403"/>
      <c r="Z69" s="367"/>
      <c r="AA69" s="304"/>
      <c r="AB69" s="304"/>
      <c r="AC69" s="304"/>
      <c r="AD69" s="304"/>
      <c r="AE69" s="304"/>
      <c r="AF69" s="304"/>
      <c r="AG69" s="304"/>
      <c r="AH69" s="304"/>
      <c r="AI69" s="304"/>
      <c r="AJ69" s="304"/>
      <c r="AK69" s="304"/>
      <c r="AL69" s="304"/>
      <c r="AM69" s="304"/>
      <c r="AN69" s="304"/>
      <c r="AO69" s="304"/>
      <c r="AP69" s="304"/>
      <c r="AQ69" s="304"/>
      <c r="AR69" s="304"/>
      <c r="AS69" s="304"/>
    </row>
    <row r="70" spans="1:45" ht="18.75">
      <c r="B70" s="1217" t="s">
        <v>696</v>
      </c>
      <c r="C70" s="1218"/>
      <c r="D70" s="1218"/>
      <c r="E70" s="1218"/>
      <c r="F70" s="1219"/>
      <c r="G70" s="1161" t="str">
        <f>IF(OR(AC43=0, I69=0), "12 Month Average", "24 Month Average")</f>
        <v>12 Month Average</v>
      </c>
      <c r="H70" s="1162"/>
      <c r="I70" s="1162"/>
      <c r="J70" s="1163"/>
      <c r="L70" s="403"/>
      <c r="M70" s="403"/>
      <c r="N70" s="403"/>
      <c r="O70" s="403"/>
      <c r="P70" s="403"/>
      <c r="Q70" s="403"/>
      <c r="R70" s="403"/>
      <c r="S70" s="403"/>
      <c r="T70" s="403"/>
      <c r="U70" s="403"/>
      <c r="V70" s="403"/>
      <c r="W70" s="403"/>
      <c r="X70" s="403"/>
      <c r="Y70" s="403"/>
      <c r="Z70" s="367"/>
      <c r="AA70" s="304"/>
      <c r="AB70" s="304"/>
      <c r="AC70" s="304"/>
      <c r="AD70" s="304"/>
      <c r="AE70" s="304"/>
      <c r="AF70" s="304"/>
      <c r="AG70" s="304"/>
      <c r="AH70" s="304"/>
      <c r="AI70" s="304"/>
      <c r="AJ70" s="304"/>
      <c r="AK70" s="304"/>
      <c r="AL70" s="304"/>
      <c r="AM70" s="304"/>
      <c r="AN70" s="304"/>
      <c r="AO70" s="304"/>
      <c r="AP70" s="304"/>
      <c r="AQ70" s="304"/>
      <c r="AR70" s="304"/>
      <c r="AS70" s="304"/>
    </row>
    <row r="71" spans="1:45" ht="34.5" thickBot="1">
      <c r="B71" s="1220" t="s">
        <v>697</v>
      </c>
      <c r="C71" s="1221"/>
      <c r="D71" s="1221"/>
      <c r="E71" s="1221"/>
      <c r="F71" s="1222"/>
      <c r="G71" s="1167">
        <f>IF(OR(AC43=0, I69=0), AC45, AC46)</f>
        <v>0</v>
      </c>
      <c r="H71" s="1168"/>
      <c r="I71" s="1168"/>
      <c r="J71" s="1169"/>
      <c r="L71" s="403"/>
      <c r="M71" s="403"/>
      <c r="N71" s="403"/>
      <c r="O71" s="403"/>
      <c r="P71" s="403"/>
      <c r="Q71" s="403"/>
      <c r="R71" s="403"/>
      <c r="S71" s="403"/>
      <c r="T71" s="403"/>
      <c r="U71" s="403"/>
      <c r="V71" s="403"/>
      <c r="W71" s="403"/>
      <c r="X71" s="403"/>
      <c r="Y71" s="403"/>
      <c r="Z71" s="367"/>
      <c r="AA71" s="304"/>
      <c r="AB71" s="304"/>
      <c r="AC71" s="304"/>
      <c r="AD71" s="304"/>
    </row>
    <row r="72" spans="1:45" ht="9" customHeight="1" thickBot="1">
      <c r="H72" s="330"/>
      <c r="I72" s="330"/>
      <c r="L72" s="403"/>
      <c r="M72" s="403"/>
      <c r="N72" s="403"/>
      <c r="O72" s="403"/>
      <c r="P72" s="403"/>
      <c r="Q72" s="403"/>
      <c r="R72" s="403"/>
      <c r="S72" s="403"/>
      <c r="T72" s="403"/>
      <c r="U72" s="403"/>
      <c r="V72" s="403"/>
      <c r="W72" s="403"/>
      <c r="X72" s="403"/>
      <c r="Y72" s="403"/>
      <c r="Z72" s="367"/>
      <c r="AA72" s="304"/>
      <c r="AB72" s="304"/>
      <c r="AC72" s="304"/>
      <c r="AD72" s="304"/>
    </row>
    <row r="73" spans="1:45" ht="105" customHeight="1" thickBot="1">
      <c r="B73" s="1208" t="s">
        <v>645</v>
      </c>
      <c r="C73" s="1209"/>
      <c r="D73" s="1209"/>
      <c r="E73" s="1209"/>
      <c r="F73" s="1209"/>
      <c r="G73" s="1209"/>
      <c r="H73" s="1209"/>
      <c r="I73" s="1209"/>
      <c r="J73" s="1210"/>
      <c r="L73" s="367"/>
      <c r="M73" s="367"/>
      <c r="N73" s="367"/>
      <c r="O73" s="367"/>
      <c r="P73" s="367"/>
      <c r="Q73" s="367"/>
      <c r="R73" s="367"/>
      <c r="S73" s="367"/>
      <c r="T73" s="367"/>
      <c r="U73" s="367"/>
      <c r="V73" s="367"/>
      <c r="W73" s="367"/>
      <c r="X73" s="367"/>
      <c r="Y73" s="367"/>
      <c r="Z73" s="367"/>
      <c r="AA73" s="304"/>
      <c r="AB73" s="304"/>
      <c r="AC73" s="304"/>
      <c r="AD73" s="304"/>
    </row>
    <row r="74" spans="1:45">
      <c r="A74" s="304"/>
      <c r="B74" s="304"/>
      <c r="C74" s="304"/>
      <c r="D74" s="304"/>
      <c r="E74" s="304"/>
      <c r="F74" s="304"/>
      <c r="G74" s="304"/>
      <c r="H74" s="304"/>
      <c r="I74" s="304"/>
      <c r="J74" s="304"/>
      <c r="K74" s="304"/>
      <c r="L74" s="367"/>
      <c r="M74" s="367"/>
      <c r="N74" s="367"/>
      <c r="O74" s="367"/>
      <c r="P74" s="367"/>
      <c r="Q74" s="367"/>
      <c r="R74" s="367"/>
      <c r="S74" s="367"/>
      <c r="T74" s="367"/>
      <c r="U74" s="367"/>
      <c r="V74" s="367"/>
      <c r="W74" s="367"/>
      <c r="X74" s="367"/>
      <c r="Y74" s="367"/>
      <c r="Z74" s="367"/>
      <c r="AA74" s="304"/>
      <c r="AB74" s="304"/>
      <c r="AC74" s="304"/>
      <c r="AD74" s="304"/>
    </row>
    <row r="75" spans="1:45" ht="13.5" customHeight="1" thickBot="1">
      <c r="L75" s="304"/>
      <c r="M75" s="304"/>
      <c r="N75" s="304"/>
      <c r="O75" s="304"/>
      <c r="P75" s="304"/>
      <c r="Q75" s="304"/>
      <c r="R75" s="304"/>
      <c r="S75" s="304"/>
      <c r="T75" s="304"/>
      <c r="U75" s="304"/>
    </row>
    <row r="76" spans="1:45" ht="69" customHeight="1">
      <c r="B76" s="1187" t="s">
        <v>708</v>
      </c>
      <c r="C76" s="1188"/>
      <c r="D76" s="1188"/>
      <c r="E76" s="1188"/>
      <c r="F76" s="1188"/>
      <c r="G76" s="1188"/>
      <c r="H76" s="1188"/>
      <c r="I76" s="1188"/>
      <c r="J76" s="331" t="str">
        <f>'[3]Reference Sheet'!$B$2</f>
        <v>Rev. 4.12.2016</v>
      </c>
      <c r="L76" s="403"/>
      <c r="M76" s="403"/>
      <c r="N76" s="403"/>
      <c r="O76" s="403"/>
      <c r="P76" s="403"/>
      <c r="Q76" s="403"/>
      <c r="R76" s="403"/>
      <c r="S76" s="403"/>
      <c r="T76" s="403"/>
      <c r="U76" s="403"/>
      <c r="V76" s="403"/>
      <c r="W76" s="403"/>
      <c r="X76" s="403"/>
      <c r="Y76" s="403"/>
      <c r="Z76" s="367"/>
      <c r="AA76" s="304"/>
      <c r="AB76" s="304"/>
      <c r="AC76" s="304"/>
      <c r="AD76" s="304"/>
      <c r="AE76" s="304"/>
      <c r="AF76" s="304"/>
      <c r="AG76" s="304"/>
      <c r="AH76" s="304"/>
      <c r="AI76" s="304"/>
      <c r="AJ76" s="304"/>
      <c r="AK76" s="304"/>
      <c r="AL76" s="304"/>
      <c r="AM76" s="304"/>
      <c r="AN76" s="304"/>
      <c r="AO76" s="304"/>
      <c r="AP76" s="304"/>
      <c r="AQ76" s="304"/>
      <c r="AR76" s="304"/>
      <c r="AS76" s="304"/>
    </row>
    <row r="77" spans="1:45" ht="3.75" customHeight="1">
      <c r="B77" s="332"/>
      <c r="C77" s="333"/>
      <c r="D77" s="333"/>
      <c r="E77" s="333"/>
      <c r="F77" s="333"/>
      <c r="G77" s="333"/>
      <c r="H77" s="333"/>
      <c r="I77" s="333"/>
      <c r="J77" s="334"/>
      <c r="L77" s="403"/>
      <c r="M77" s="403"/>
      <c r="N77" s="403"/>
      <c r="O77" s="403"/>
      <c r="P77" s="403"/>
      <c r="Q77" s="403"/>
      <c r="R77" s="403"/>
      <c r="S77" s="403"/>
      <c r="T77" s="403"/>
      <c r="U77" s="403"/>
      <c r="V77" s="403"/>
      <c r="W77" s="403"/>
      <c r="X77" s="403"/>
      <c r="Y77" s="403"/>
      <c r="Z77" s="367"/>
      <c r="AA77" s="304"/>
      <c r="AB77" s="304"/>
      <c r="AC77" s="304"/>
      <c r="AD77" s="304"/>
      <c r="AE77" s="304"/>
      <c r="AF77" s="304"/>
      <c r="AG77" s="304"/>
      <c r="AH77" s="304"/>
      <c r="AI77" s="304"/>
      <c r="AJ77" s="304"/>
      <c r="AK77" s="304"/>
      <c r="AL77" s="304"/>
      <c r="AM77" s="304"/>
      <c r="AN77" s="304"/>
      <c r="AO77" s="304"/>
      <c r="AP77" s="304"/>
      <c r="AQ77" s="304"/>
      <c r="AR77" s="304"/>
      <c r="AS77" s="304"/>
    </row>
    <row r="78" spans="1:45" ht="18" customHeight="1" thickBot="1">
      <c r="B78" s="332"/>
      <c r="C78" s="368" t="s">
        <v>710</v>
      </c>
      <c r="D78" s="1189"/>
      <c r="E78" s="1190"/>
      <c r="F78" s="1190"/>
      <c r="G78" s="1190"/>
      <c r="H78" s="333"/>
      <c r="I78" s="333"/>
      <c r="J78" s="334"/>
      <c r="L78" s="403"/>
      <c r="M78" s="403"/>
      <c r="N78" s="403"/>
      <c r="O78" s="403"/>
      <c r="P78" s="403"/>
      <c r="Q78" s="403"/>
      <c r="R78" s="403"/>
      <c r="S78" s="403"/>
      <c r="T78" s="403"/>
      <c r="U78" s="403"/>
      <c r="V78" s="403"/>
      <c r="W78" s="403"/>
      <c r="X78" s="403"/>
      <c r="Y78" s="403"/>
      <c r="Z78" s="367"/>
      <c r="AA78" s="304"/>
      <c r="AB78" s="304" t="s">
        <v>680</v>
      </c>
      <c r="AC78" s="304">
        <f>IF(AND(J83=0, J87=0, J89=0, J98=0, J99=0, J100=0, J102=0, J104=0, J105=0, I106=0), 0, 1)</f>
        <v>1</v>
      </c>
      <c r="AD78" s="304"/>
      <c r="AE78" s="304"/>
      <c r="AF78" s="366" t="s">
        <v>596</v>
      </c>
      <c r="AG78" s="304"/>
      <c r="AH78" s="304"/>
      <c r="AI78" s="304"/>
      <c r="AJ78" s="304"/>
      <c r="AK78" s="304"/>
      <c r="AL78" s="304"/>
      <c r="AM78" s="304"/>
      <c r="AN78" s="304"/>
      <c r="AO78" s="304"/>
      <c r="AP78" s="304"/>
      <c r="AQ78" s="304"/>
      <c r="AR78" s="304"/>
      <c r="AS78" s="304"/>
    </row>
    <row r="79" spans="1:45" ht="18" customHeight="1" thickBot="1">
      <c r="B79" s="332"/>
      <c r="C79" s="368" t="s">
        <v>711</v>
      </c>
      <c r="D79" s="1277"/>
      <c r="E79" s="1278"/>
      <c r="F79" s="1278"/>
      <c r="G79" s="1278"/>
      <c r="H79" s="368" t="s">
        <v>712</v>
      </c>
      <c r="I79" s="1189"/>
      <c r="J79" s="1279"/>
      <c r="L79" s="403"/>
      <c r="M79" s="403"/>
      <c r="N79" s="403"/>
      <c r="O79" s="403"/>
      <c r="P79" s="403"/>
      <c r="Q79" s="403"/>
      <c r="R79" s="403"/>
      <c r="S79" s="403"/>
      <c r="T79" s="403"/>
      <c r="U79" s="403"/>
      <c r="V79" s="403"/>
      <c r="W79" s="403"/>
      <c r="X79" s="403"/>
      <c r="Y79" s="403"/>
      <c r="Z79" s="367"/>
      <c r="AA79" s="304"/>
      <c r="AB79" s="304" t="s">
        <v>682</v>
      </c>
      <c r="AC79" s="304">
        <f>IF(AND(G106&lt;=I106, I106&lt;&gt;0), 0, 1)</f>
        <v>1</v>
      </c>
      <c r="AD79" s="304"/>
      <c r="AE79" s="304"/>
      <c r="AF79" s="366" t="s">
        <v>683</v>
      </c>
      <c r="AG79" s="304"/>
      <c r="AH79" s="304"/>
      <c r="AI79" s="304"/>
      <c r="AJ79" s="304"/>
      <c r="AK79" s="304"/>
      <c r="AL79" s="304"/>
      <c r="AM79" s="304"/>
      <c r="AN79" s="304"/>
      <c r="AO79" s="304"/>
      <c r="AP79" s="304"/>
      <c r="AQ79" s="304"/>
      <c r="AR79" s="304"/>
      <c r="AS79" s="304"/>
    </row>
    <row r="80" spans="1:45" ht="18" customHeight="1" thickBot="1">
      <c r="B80" s="1176" t="s">
        <v>671</v>
      </c>
      <c r="C80" s="1177"/>
      <c r="D80" s="1280"/>
      <c r="E80" s="1281"/>
      <c r="F80" s="1281"/>
      <c r="G80" s="1281"/>
      <c r="H80" s="336" t="s">
        <v>673</v>
      </c>
      <c r="I80" s="369"/>
      <c r="J80" s="370"/>
      <c r="L80" s="403"/>
      <c r="M80" s="403"/>
      <c r="N80" s="403"/>
      <c r="O80" s="403"/>
      <c r="P80" s="403"/>
      <c r="Q80" s="403"/>
      <c r="R80" s="403"/>
      <c r="S80" s="403"/>
      <c r="T80" s="403"/>
      <c r="U80" s="403"/>
      <c r="V80" s="403"/>
      <c r="W80" s="403"/>
      <c r="X80" s="403"/>
      <c r="Y80" s="403"/>
      <c r="Z80" s="367"/>
      <c r="AA80" s="304"/>
      <c r="AB80" s="304" t="s">
        <v>685</v>
      </c>
      <c r="AC80" s="304">
        <f>IF(AND(AC79=0, AC78=1), 0, 1)</f>
        <v>1</v>
      </c>
      <c r="AD80" s="304"/>
      <c r="AE80" s="304"/>
      <c r="AF80" s="366" t="s">
        <v>599</v>
      </c>
      <c r="AG80" s="304"/>
      <c r="AH80" s="304"/>
      <c r="AI80" s="304"/>
      <c r="AJ80" s="304"/>
      <c r="AK80" s="304"/>
      <c r="AL80" s="304"/>
      <c r="AM80" s="304"/>
      <c r="AN80" s="304"/>
      <c r="AO80" s="304"/>
      <c r="AP80" s="304"/>
      <c r="AQ80" s="304"/>
      <c r="AR80" s="304"/>
      <c r="AS80" s="304"/>
    </row>
    <row r="81" spans="2:45" ht="18" customHeight="1" thickBot="1">
      <c r="B81" s="1176" t="s">
        <v>674</v>
      </c>
      <c r="C81" s="1177"/>
      <c r="D81" s="1262"/>
      <c r="E81" s="1263"/>
      <c r="F81" s="1263"/>
      <c r="G81" s="1263"/>
      <c r="H81" s="1263"/>
      <c r="I81" s="1263"/>
      <c r="J81" s="1264"/>
      <c r="L81" s="403"/>
      <c r="M81" s="403"/>
      <c r="N81" s="403"/>
      <c r="O81" s="403"/>
      <c r="P81" s="403"/>
      <c r="Q81" s="403"/>
      <c r="R81" s="403"/>
      <c r="S81" s="403"/>
      <c r="T81" s="403"/>
      <c r="U81" s="403"/>
      <c r="V81" s="403"/>
      <c r="W81" s="403"/>
      <c r="X81" s="403"/>
      <c r="Y81" s="403"/>
      <c r="Z81" s="367"/>
      <c r="AA81" s="304"/>
      <c r="AB81" s="304"/>
      <c r="AC81" s="304"/>
      <c r="AD81" s="304"/>
      <c r="AE81" s="304"/>
      <c r="AF81" s="366" t="s">
        <v>603</v>
      </c>
      <c r="AG81" s="304"/>
      <c r="AH81" s="304"/>
      <c r="AI81" s="304"/>
      <c r="AJ81" s="304"/>
      <c r="AK81" s="304"/>
      <c r="AL81" s="304"/>
      <c r="AM81" s="304"/>
      <c r="AN81" s="304"/>
      <c r="AO81" s="304"/>
      <c r="AP81" s="304"/>
      <c r="AQ81" s="304"/>
      <c r="AR81" s="304"/>
      <c r="AS81" s="304"/>
    </row>
    <row r="82" spans="2:45">
      <c r="B82" s="1265"/>
      <c r="C82" s="1266"/>
      <c r="D82" s="1266"/>
      <c r="E82" s="1266"/>
      <c r="F82" s="1267"/>
      <c r="G82" s="371" t="s">
        <v>713</v>
      </c>
      <c r="H82" s="372" t="s">
        <v>676</v>
      </c>
      <c r="I82" s="342"/>
      <c r="J82" s="373" t="s">
        <v>677</v>
      </c>
      <c r="L82" s="403"/>
      <c r="M82" s="403"/>
      <c r="N82" s="403"/>
      <c r="O82" s="403"/>
      <c r="P82" s="403"/>
      <c r="Q82" s="403"/>
      <c r="R82" s="403"/>
      <c r="S82" s="403"/>
      <c r="T82" s="403"/>
      <c r="U82" s="403"/>
      <c r="V82" s="403"/>
      <c r="W82" s="403"/>
      <c r="X82" s="403"/>
      <c r="Y82" s="403"/>
      <c r="Z82" s="367"/>
      <c r="AA82" s="304"/>
      <c r="AB82" s="304" t="s">
        <v>689</v>
      </c>
      <c r="AC82" s="374">
        <f>G106/12</f>
        <v>0</v>
      </c>
      <c r="AD82" s="304"/>
      <c r="AE82" s="304"/>
      <c r="AF82" s="366" t="s">
        <v>605</v>
      </c>
      <c r="AG82" s="304"/>
      <c r="AH82" s="304"/>
      <c r="AI82" s="304"/>
      <c r="AJ82" s="304"/>
      <c r="AK82" s="304"/>
      <c r="AL82" s="304"/>
      <c r="AM82" s="304"/>
      <c r="AN82" s="304"/>
      <c r="AO82" s="304"/>
      <c r="AP82" s="304"/>
      <c r="AQ82" s="304"/>
      <c r="AR82" s="304"/>
      <c r="AS82" s="304"/>
    </row>
    <row r="83" spans="2:45">
      <c r="B83" s="1268"/>
      <c r="C83" s="1266"/>
      <c r="D83" s="1266"/>
      <c r="E83" s="1266"/>
      <c r="F83" s="1267"/>
      <c r="G83" s="375" t="s">
        <v>714</v>
      </c>
      <c r="H83" s="376"/>
      <c r="I83" s="1272"/>
      <c r="J83" s="378"/>
      <c r="L83" s="403"/>
      <c r="M83" s="403"/>
      <c r="N83" s="403"/>
      <c r="O83" s="403"/>
      <c r="P83" s="403"/>
      <c r="Q83" s="403"/>
      <c r="R83" s="403"/>
      <c r="S83" s="403"/>
      <c r="T83" s="403"/>
      <c r="U83" s="403"/>
      <c r="V83" s="403"/>
      <c r="W83" s="403"/>
      <c r="X83" s="403"/>
      <c r="Y83" s="403"/>
      <c r="Z83" s="367"/>
      <c r="AA83" s="304"/>
      <c r="AB83" s="304" t="s">
        <v>691</v>
      </c>
      <c r="AC83" s="374">
        <f>(G106+I106)/24</f>
        <v>0</v>
      </c>
      <c r="AD83" s="304"/>
      <c r="AE83" s="304"/>
      <c r="AF83" s="304"/>
      <c r="AG83" s="304"/>
      <c r="AH83" s="304"/>
      <c r="AI83" s="304"/>
      <c r="AJ83" s="304"/>
      <c r="AK83" s="304"/>
      <c r="AL83" s="304"/>
      <c r="AM83" s="304"/>
      <c r="AN83" s="304"/>
      <c r="AO83" s="304"/>
      <c r="AP83" s="304"/>
      <c r="AQ83" s="304"/>
      <c r="AR83" s="304"/>
      <c r="AS83" s="304"/>
    </row>
    <row r="84" spans="2:45">
      <c r="B84" s="1268"/>
      <c r="C84" s="1266"/>
      <c r="D84" s="1266"/>
      <c r="E84" s="1266"/>
      <c r="F84" s="1267"/>
      <c r="G84" s="379" t="s">
        <v>715</v>
      </c>
      <c r="H84" s="380"/>
      <c r="I84" s="1272"/>
      <c r="J84" s="378"/>
      <c r="L84" s="403"/>
      <c r="M84" s="403"/>
      <c r="N84" s="403"/>
      <c r="O84" s="403"/>
      <c r="P84" s="403"/>
      <c r="Q84" s="403"/>
      <c r="R84" s="403"/>
      <c r="S84" s="403"/>
      <c r="T84" s="403"/>
      <c r="U84" s="403"/>
      <c r="V84" s="403"/>
      <c r="W84" s="403"/>
      <c r="X84" s="403"/>
      <c r="Y84" s="403"/>
      <c r="Z84" s="367"/>
      <c r="AA84" s="304"/>
      <c r="AB84" s="304"/>
      <c r="AC84" s="304"/>
      <c r="AD84" s="304"/>
      <c r="AE84" s="304"/>
      <c r="AF84" s="304"/>
      <c r="AG84" s="304"/>
      <c r="AH84" s="304"/>
      <c r="AI84" s="304"/>
      <c r="AJ84" s="304"/>
      <c r="AK84" s="304"/>
      <c r="AL84" s="304"/>
      <c r="AM84" s="304"/>
      <c r="AN84" s="304"/>
      <c r="AO84" s="304"/>
      <c r="AP84" s="304"/>
      <c r="AQ84" s="304"/>
      <c r="AR84" s="304"/>
      <c r="AS84" s="304"/>
    </row>
    <row r="85" spans="2:45" ht="15.75" thickBot="1">
      <c r="B85" s="1269"/>
      <c r="C85" s="1270"/>
      <c r="D85" s="1270"/>
      <c r="E85" s="1270"/>
      <c r="F85" s="1271"/>
      <c r="G85" s="379" t="s">
        <v>716</v>
      </c>
      <c r="H85" s="376"/>
      <c r="I85" s="1272"/>
      <c r="J85" s="378"/>
      <c r="L85" s="403"/>
      <c r="M85" s="403"/>
      <c r="N85" s="403"/>
      <c r="O85" s="403"/>
      <c r="P85" s="403"/>
      <c r="Q85" s="403"/>
      <c r="R85" s="403"/>
      <c r="S85" s="403"/>
      <c r="T85" s="403"/>
      <c r="U85" s="403"/>
      <c r="V85" s="403"/>
      <c r="W85" s="403"/>
      <c r="X85" s="403"/>
      <c r="Y85" s="403"/>
      <c r="Z85" s="367"/>
      <c r="AA85" s="304"/>
      <c r="AB85" s="304" t="s">
        <v>717</v>
      </c>
      <c r="AC85" s="304" t="str">
        <f>IF(OR(H83=0, H83&gt;100%), "Year End Profit %", (G89+G90+G91))</f>
        <v>Year End Profit %</v>
      </c>
      <c r="AD85" s="304"/>
      <c r="AE85" s="304"/>
      <c r="AF85" s="304"/>
      <c r="AG85" s="304"/>
      <c r="AH85" s="304"/>
      <c r="AI85" s="304"/>
      <c r="AJ85" s="304"/>
      <c r="AK85" s="304"/>
      <c r="AL85" s="304"/>
      <c r="AM85" s="304"/>
      <c r="AN85" s="304"/>
      <c r="AO85" s="304"/>
      <c r="AP85" s="304"/>
      <c r="AQ85" s="304"/>
      <c r="AR85" s="304"/>
      <c r="AS85" s="304"/>
    </row>
    <row r="86" spans="2:45" ht="18.75">
      <c r="B86" s="1229" t="s">
        <v>718</v>
      </c>
      <c r="C86" s="1273"/>
      <c r="D86" s="1273"/>
      <c r="E86" s="1273"/>
      <c r="F86" s="1273"/>
      <c r="G86" s="377" t="s">
        <v>719</v>
      </c>
      <c r="H86" s="381"/>
      <c r="I86" s="377" t="s">
        <v>719</v>
      </c>
      <c r="J86" s="382"/>
      <c r="L86" s="403"/>
      <c r="M86" s="403"/>
      <c r="N86" s="403"/>
      <c r="O86" s="403"/>
      <c r="P86" s="403"/>
      <c r="Q86" s="403"/>
      <c r="R86" s="403"/>
      <c r="S86" s="403"/>
      <c r="T86" s="403"/>
      <c r="U86" s="403"/>
      <c r="V86" s="403"/>
      <c r="W86" s="403"/>
      <c r="X86" s="403"/>
      <c r="Y86" s="403"/>
      <c r="Z86" s="367"/>
      <c r="AA86" s="304"/>
      <c r="AB86" s="304" t="s">
        <v>720</v>
      </c>
      <c r="AC86" s="304" t="str">
        <f>IF(OR(J83&gt;100%, J83=0), "Year End Profit %", (I89+I90+I91))</f>
        <v>Year End Profit %</v>
      </c>
      <c r="AD86" s="383"/>
      <c r="AE86" s="304"/>
      <c r="AF86" s="304"/>
      <c r="AG86" s="304"/>
      <c r="AH86" s="304"/>
      <c r="AI86" s="304"/>
      <c r="AJ86" s="304"/>
      <c r="AK86" s="304"/>
      <c r="AL86" s="304"/>
      <c r="AM86" s="304"/>
      <c r="AN86" s="304"/>
      <c r="AO86" s="304"/>
      <c r="AP86" s="304"/>
      <c r="AQ86" s="304"/>
      <c r="AR86" s="304"/>
      <c r="AS86" s="304"/>
    </row>
    <row r="87" spans="2:45">
      <c r="B87" s="1274" t="s">
        <v>721</v>
      </c>
      <c r="C87" s="1275"/>
      <c r="D87" s="1275"/>
      <c r="E87" s="1275"/>
      <c r="F87" s="1276"/>
      <c r="G87" s="346"/>
      <c r="H87" s="384">
        <f>G87</f>
        <v>0</v>
      </c>
      <c r="I87" s="364"/>
      <c r="J87" s="385">
        <f>I87</f>
        <v>0</v>
      </c>
      <c r="L87" s="403"/>
      <c r="M87" s="403"/>
      <c r="N87" s="403"/>
      <c r="O87" s="403"/>
      <c r="P87" s="403"/>
      <c r="Q87" s="403"/>
      <c r="R87" s="403"/>
      <c r="S87" s="403"/>
      <c r="T87" s="403"/>
      <c r="U87" s="403"/>
      <c r="V87" s="403"/>
      <c r="W87" s="403"/>
      <c r="X87" s="403"/>
      <c r="Y87" s="403"/>
      <c r="Z87" s="367"/>
      <c r="AA87" s="304"/>
      <c r="AB87" s="304"/>
      <c r="AC87" s="304"/>
      <c r="AD87" s="304"/>
      <c r="AE87" s="304"/>
      <c r="AF87" s="304"/>
      <c r="AG87" s="304"/>
      <c r="AH87" s="304"/>
      <c r="AI87" s="304"/>
      <c r="AJ87" s="304"/>
      <c r="AK87" s="304"/>
      <c r="AL87" s="304"/>
      <c r="AM87" s="304"/>
      <c r="AN87" s="304"/>
      <c r="AO87" s="304"/>
      <c r="AP87" s="304"/>
      <c r="AQ87" s="304"/>
      <c r="AR87" s="304"/>
      <c r="AS87" s="304"/>
    </row>
    <row r="88" spans="2:45">
      <c r="B88" s="1246" t="s">
        <v>722</v>
      </c>
      <c r="C88" s="1247"/>
      <c r="D88" s="1247"/>
      <c r="E88" s="1247"/>
      <c r="F88" s="1247"/>
      <c r="G88" s="377"/>
      <c r="H88" s="381"/>
      <c r="I88" s="386"/>
      <c r="J88" s="382"/>
      <c r="L88" s="403"/>
      <c r="M88" s="403"/>
      <c r="N88" s="403"/>
      <c r="O88" s="403"/>
      <c r="P88" s="403"/>
      <c r="Q88" s="403"/>
      <c r="R88" s="403"/>
      <c r="S88" s="403"/>
      <c r="T88" s="403"/>
      <c r="U88" s="403"/>
      <c r="V88" s="403"/>
      <c r="W88" s="403"/>
      <c r="X88" s="403"/>
      <c r="Y88" s="403"/>
      <c r="Z88" s="367"/>
      <c r="AA88" s="304"/>
      <c r="AB88" s="304"/>
      <c r="AC88" s="304"/>
      <c r="AD88" s="304"/>
      <c r="AE88" s="304"/>
      <c r="AF88" s="304"/>
      <c r="AG88" s="304"/>
      <c r="AH88" s="304"/>
      <c r="AI88" s="304"/>
      <c r="AJ88" s="304"/>
      <c r="AK88" s="304"/>
      <c r="AL88" s="304"/>
      <c r="AM88" s="304"/>
      <c r="AN88" s="304"/>
      <c r="AO88" s="304"/>
      <c r="AP88" s="304"/>
      <c r="AQ88" s="304"/>
      <c r="AR88" s="304"/>
      <c r="AS88" s="304"/>
    </row>
    <row r="89" spans="2:45">
      <c r="B89" s="1248" t="s">
        <v>723</v>
      </c>
      <c r="C89" s="1249"/>
      <c r="D89" s="1249"/>
      <c r="E89" s="1249"/>
      <c r="F89" s="1250"/>
      <c r="G89" s="346"/>
      <c r="H89" s="387" t="str">
        <f>AC85</f>
        <v>Year End Profit %</v>
      </c>
      <c r="I89" s="346"/>
      <c r="J89" s="388" t="str">
        <f>AC86</f>
        <v>Year End Profit %</v>
      </c>
      <c r="L89" s="403"/>
      <c r="M89" s="403"/>
      <c r="N89" s="403"/>
      <c r="O89" s="403"/>
      <c r="P89" s="403"/>
      <c r="Q89" s="403"/>
      <c r="R89" s="403"/>
      <c r="S89" s="403"/>
      <c r="T89" s="403"/>
      <c r="U89" s="403"/>
      <c r="V89" s="403"/>
      <c r="W89" s="403"/>
      <c r="X89" s="403"/>
      <c r="Y89" s="403"/>
      <c r="Z89" s="367"/>
      <c r="AA89" s="304"/>
      <c r="AB89" s="304"/>
      <c r="AC89" s="304"/>
      <c r="AD89" s="304"/>
      <c r="AE89" s="304"/>
      <c r="AF89" s="304"/>
      <c r="AG89" s="304"/>
      <c r="AH89" s="304"/>
      <c r="AI89" s="304"/>
      <c r="AJ89" s="304"/>
      <c r="AK89" s="304"/>
      <c r="AL89" s="304"/>
      <c r="AM89" s="304"/>
      <c r="AN89" s="304"/>
      <c r="AO89" s="304"/>
      <c r="AP89" s="304"/>
      <c r="AQ89" s="304"/>
      <c r="AR89" s="304"/>
      <c r="AS89" s="304"/>
    </row>
    <row r="90" spans="2:45">
      <c r="B90" s="1251" t="s">
        <v>724</v>
      </c>
      <c r="C90" s="1252"/>
      <c r="D90" s="1252"/>
      <c r="E90" s="1252"/>
      <c r="F90" s="1253"/>
      <c r="G90" s="346"/>
      <c r="H90" s="389"/>
      <c r="I90" s="346"/>
      <c r="J90" s="390"/>
      <c r="L90" s="403"/>
      <c r="M90" s="403"/>
      <c r="N90" s="403"/>
      <c r="O90" s="403"/>
      <c r="P90" s="403"/>
      <c r="Q90" s="403"/>
      <c r="R90" s="403"/>
      <c r="S90" s="403"/>
      <c r="T90" s="403"/>
      <c r="U90" s="403"/>
      <c r="V90" s="403"/>
      <c r="W90" s="403"/>
      <c r="X90" s="403"/>
      <c r="Y90" s="403"/>
      <c r="Z90" s="367"/>
      <c r="AA90" s="304"/>
      <c r="AB90" s="304"/>
      <c r="AC90" s="304"/>
      <c r="AD90" s="304"/>
      <c r="AE90" s="304"/>
      <c r="AF90" s="304"/>
      <c r="AG90" s="304"/>
      <c r="AH90" s="304"/>
      <c r="AI90" s="304"/>
      <c r="AJ90" s="304"/>
      <c r="AK90" s="304"/>
      <c r="AL90" s="304"/>
      <c r="AM90" s="304"/>
      <c r="AN90" s="304"/>
      <c r="AO90" s="304"/>
      <c r="AP90" s="304"/>
      <c r="AQ90" s="304"/>
      <c r="AR90" s="304"/>
      <c r="AS90" s="304"/>
    </row>
    <row r="91" spans="2:45">
      <c r="B91" s="1254" t="s">
        <v>725</v>
      </c>
      <c r="C91" s="1255"/>
      <c r="D91" s="1255"/>
      <c r="E91" s="1255"/>
      <c r="F91" s="1256"/>
      <c r="G91" s="346"/>
      <c r="H91" s="389"/>
      <c r="I91" s="346"/>
      <c r="J91" s="390"/>
      <c r="L91" s="403"/>
      <c r="M91" s="403"/>
      <c r="N91" s="403"/>
      <c r="O91" s="403"/>
      <c r="P91" s="403"/>
      <c r="Q91" s="403"/>
      <c r="R91" s="403"/>
      <c r="S91" s="403"/>
      <c r="T91" s="403"/>
      <c r="U91" s="403"/>
      <c r="V91" s="403"/>
      <c r="W91" s="403"/>
      <c r="X91" s="403"/>
      <c r="Y91" s="403"/>
      <c r="Z91" s="367"/>
      <c r="AA91" s="304"/>
      <c r="AB91" s="304"/>
      <c r="AC91" s="304"/>
      <c r="AD91" s="304"/>
      <c r="AE91" s="304"/>
      <c r="AF91" s="304"/>
      <c r="AG91" s="304"/>
      <c r="AH91" s="304"/>
      <c r="AI91" s="304"/>
      <c r="AJ91" s="304"/>
      <c r="AK91" s="304"/>
      <c r="AL91" s="304"/>
      <c r="AM91" s="304"/>
      <c r="AN91" s="304"/>
      <c r="AO91" s="304"/>
      <c r="AP91" s="304"/>
      <c r="AQ91" s="304"/>
      <c r="AR91" s="304"/>
      <c r="AS91" s="304"/>
    </row>
    <row r="92" spans="2:45">
      <c r="B92" s="1257" t="s">
        <v>726</v>
      </c>
      <c r="C92" s="1258"/>
      <c r="D92" s="1258"/>
      <c r="E92" s="1258"/>
      <c r="F92" s="1258"/>
      <c r="G92" s="391"/>
      <c r="H92" s="392"/>
      <c r="I92" s="391"/>
      <c r="J92" s="393"/>
      <c r="L92" s="403"/>
      <c r="M92" s="403"/>
      <c r="N92" s="403"/>
      <c r="O92" s="403"/>
      <c r="P92" s="403"/>
      <c r="Q92" s="403"/>
      <c r="R92" s="403"/>
      <c r="S92" s="403"/>
      <c r="T92" s="403"/>
      <c r="U92" s="403"/>
      <c r="V92" s="403"/>
      <c r="W92" s="403"/>
      <c r="X92" s="403"/>
      <c r="Y92" s="403"/>
      <c r="Z92" s="367"/>
      <c r="AA92" s="304"/>
      <c r="AB92" s="304"/>
      <c r="AC92" s="304"/>
      <c r="AD92" s="304"/>
      <c r="AE92" s="304"/>
      <c r="AF92" s="304"/>
      <c r="AG92" s="304"/>
      <c r="AH92" s="304"/>
      <c r="AI92" s="304"/>
      <c r="AJ92" s="304"/>
      <c r="AK92" s="304"/>
      <c r="AL92" s="304"/>
      <c r="AM92" s="304"/>
      <c r="AN92" s="304"/>
      <c r="AO92" s="304"/>
      <c r="AP92" s="304"/>
      <c r="AQ92" s="304"/>
      <c r="AR92" s="304"/>
      <c r="AS92" s="304"/>
    </row>
    <row r="93" spans="2:45">
      <c r="B93" s="1259" t="s">
        <v>727</v>
      </c>
      <c r="C93" s="1260"/>
      <c r="D93" s="1260"/>
      <c r="E93" s="1260"/>
      <c r="F93" s="1261"/>
      <c r="G93" s="394"/>
      <c r="H93" s="395">
        <f>(G93*H83)*-1</f>
        <v>0</v>
      </c>
      <c r="I93" s="394"/>
      <c r="J93" s="396">
        <f>(I93*J83)*-1</f>
        <v>0</v>
      </c>
      <c r="L93" s="403"/>
      <c r="M93" s="403"/>
      <c r="N93" s="403"/>
      <c r="O93" s="403"/>
      <c r="P93" s="403"/>
      <c r="Q93" s="403"/>
      <c r="R93" s="403"/>
      <c r="S93" s="403"/>
      <c r="T93" s="403"/>
      <c r="U93" s="403"/>
      <c r="V93" s="403"/>
      <c r="W93" s="403"/>
      <c r="X93" s="403"/>
      <c r="Y93" s="403"/>
      <c r="Z93" s="367"/>
      <c r="AA93" s="304"/>
      <c r="AB93" s="304"/>
      <c r="AC93" s="304"/>
      <c r="AD93" s="304"/>
      <c r="AE93" s="304"/>
      <c r="AF93" s="304"/>
      <c r="AG93" s="304"/>
      <c r="AH93" s="304"/>
      <c r="AI93" s="304"/>
      <c r="AJ93" s="304"/>
      <c r="AK93" s="304"/>
      <c r="AL93" s="304"/>
      <c r="AM93" s="304"/>
      <c r="AN93" s="304"/>
      <c r="AO93" s="304"/>
      <c r="AP93" s="304"/>
      <c r="AQ93" s="304"/>
      <c r="AR93" s="304"/>
      <c r="AS93" s="304"/>
    </row>
    <row r="94" spans="2:45">
      <c r="B94" s="1237" t="s">
        <v>728</v>
      </c>
      <c r="C94" s="1238"/>
      <c r="D94" s="1238"/>
      <c r="E94" s="1238"/>
      <c r="F94" s="1239"/>
      <c r="G94" s="394"/>
      <c r="H94" s="395">
        <f>(G94*H83)*-1</f>
        <v>0</v>
      </c>
      <c r="I94" s="394"/>
      <c r="J94" s="396">
        <f>(I94*J83)*-1</f>
        <v>0</v>
      </c>
      <c r="L94" s="403"/>
      <c r="M94" s="403"/>
      <c r="N94" s="403"/>
      <c r="O94" s="403"/>
      <c r="P94" s="403"/>
      <c r="Q94" s="403"/>
      <c r="R94" s="403"/>
      <c r="S94" s="403"/>
      <c r="T94" s="403"/>
      <c r="U94" s="403"/>
      <c r="V94" s="403"/>
      <c r="W94" s="403"/>
      <c r="X94" s="403"/>
      <c r="Y94" s="403"/>
      <c r="Z94" s="367"/>
      <c r="AA94" s="304"/>
      <c r="AB94" s="304"/>
      <c r="AC94" s="304"/>
      <c r="AD94" s="304"/>
      <c r="AE94" s="304"/>
      <c r="AF94" s="304"/>
      <c r="AG94" s="304"/>
      <c r="AH94" s="304"/>
      <c r="AI94" s="304"/>
      <c r="AJ94" s="304"/>
      <c r="AK94" s="304"/>
      <c r="AL94" s="304"/>
      <c r="AM94" s="304"/>
      <c r="AN94" s="304"/>
      <c r="AO94" s="304"/>
      <c r="AP94" s="304"/>
      <c r="AQ94" s="304"/>
      <c r="AR94" s="304"/>
      <c r="AS94" s="304"/>
    </row>
    <row r="95" spans="2:45">
      <c r="B95" s="1237" t="s">
        <v>729</v>
      </c>
      <c r="C95" s="1238"/>
      <c r="D95" s="1238"/>
      <c r="E95" s="1238"/>
      <c r="F95" s="1239"/>
      <c r="G95" s="394"/>
      <c r="H95" s="395">
        <f>(G95*H83)*-1</f>
        <v>0</v>
      </c>
      <c r="I95" s="394"/>
      <c r="J95" s="396">
        <f>(I95*J83)*-1</f>
        <v>0</v>
      </c>
      <c r="L95" s="403"/>
      <c r="M95" s="403"/>
      <c r="N95" s="403"/>
      <c r="O95" s="403"/>
      <c r="P95" s="403"/>
      <c r="Q95" s="403"/>
      <c r="R95" s="403"/>
      <c r="S95" s="403"/>
      <c r="T95" s="403"/>
      <c r="U95" s="403"/>
      <c r="V95" s="403"/>
      <c r="W95" s="403"/>
      <c r="X95" s="403"/>
      <c r="Y95" s="403"/>
      <c r="Z95" s="367"/>
      <c r="AA95" s="304"/>
      <c r="AB95" s="304"/>
      <c r="AC95" s="304"/>
      <c r="AD95" s="304"/>
      <c r="AE95" s="304"/>
      <c r="AF95" s="304"/>
      <c r="AG95" s="304"/>
      <c r="AH95" s="304"/>
      <c r="AI95" s="304"/>
      <c r="AJ95" s="304"/>
      <c r="AK95" s="304"/>
      <c r="AL95" s="304"/>
      <c r="AM95" s="304"/>
      <c r="AN95" s="304"/>
      <c r="AO95" s="304"/>
      <c r="AP95" s="304"/>
      <c r="AQ95" s="304"/>
      <c r="AR95" s="304"/>
      <c r="AS95" s="304"/>
    </row>
    <row r="96" spans="2:45">
      <c r="B96" s="1240" t="s">
        <v>730</v>
      </c>
      <c r="C96" s="1241"/>
      <c r="D96" s="1241"/>
      <c r="E96" s="1241"/>
      <c r="F96" s="1242"/>
      <c r="G96" s="394"/>
      <c r="H96" s="395">
        <f>(G96*H83)*-1</f>
        <v>0</v>
      </c>
      <c r="I96" s="394"/>
      <c r="J96" s="396">
        <f>(I96*J83)*-1</f>
        <v>0</v>
      </c>
      <c r="L96" s="403"/>
      <c r="M96" s="403"/>
      <c r="N96" s="403"/>
      <c r="O96" s="403"/>
      <c r="P96" s="403"/>
      <c r="Q96" s="403"/>
      <c r="R96" s="403"/>
      <c r="S96" s="403"/>
      <c r="T96" s="403"/>
      <c r="U96" s="403"/>
      <c r="V96" s="403"/>
      <c r="W96" s="403"/>
      <c r="X96" s="403"/>
      <c r="Y96" s="403"/>
      <c r="Z96" s="367"/>
      <c r="AA96" s="304"/>
      <c r="AB96" s="304"/>
      <c r="AC96" s="304"/>
      <c r="AD96" s="304"/>
      <c r="AE96" s="304"/>
      <c r="AF96" s="304"/>
      <c r="AG96" s="304"/>
      <c r="AH96" s="304"/>
      <c r="AI96" s="304"/>
      <c r="AJ96" s="304"/>
      <c r="AK96" s="304"/>
      <c r="AL96" s="304"/>
      <c r="AM96" s="304"/>
      <c r="AN96" s="304"/>
      <c r="AO96" s="304"/>
      <c r="AP96" s="304"/>
      <c r="AQ96" s="304"/>
      <c r="AR96" s="304"/>
      <c r="AS96" s="304"/>
    </row>
    <row r="97" spans="1:45">
      <c r="B97" s="1229" t="s">
        <v>731</v>
      </c>
      <c r="C97" s="1230"/>
      <c r="D97" s="1230"/>
      <c r="E97" s="1230"/>
      <c r="F97" s="1230"/>
      <c r="G97" s="350"/>
      <c r="H97" s="351"/>
      <c r="I97" s="350"/>
      <c r="J97" s="352"/>
      <c r="L97" s="403"/>
      <c r="M97" s="403"/>
      <c r="N97" s="403"/>
      <c r="O97" s="403"/>
      <c r="P97" s="403"/>
      <c r="Q97" s="403"/>
      <c r="R97" s="403"/>
      <c r="S97" s="403"/>
      <c r="T97" s="403"/>
      <c r="U97" s="403"/>
      <c r="V97" s="403"/>
      <c r="W97" s="403"/>
      <c r="X97" s="403"/>
      <c r="Y97" s="403"/>
      <c r="Z97" s="367"/>
      <c r="AA97" s="304"/>
      <c r="AB97" s="304"/>
      <c r="AC97" s="304"/>
      <c r="AD97" s="304"/>
      <c r="AE97" s="304"/>
      <c r="AF97" s="304"/>
      <c r="AG97" s="304"/>
      <c r="AH97" s="304"/>
      <c r="AI97" s="304"/>
      <c r="AJ97" s="304"/>
      <c r="AK97" s="304"/>
      <c r="AL97" s="304"/>
      <c r="AM97" s="304"/>
      <c r="AN97" s="304"/>
      <c r="AO97" s="304"/>
      <c r="AP97" s="304"/>
      <c r="AQ97" s="304"/>
      <c r="AR97" s="304"/>
      <c r="AS97" s="304"/>
    </row>
    <row r="98" spans="1:45">
      <c r="B98" s="1243" t="s">
        <v>732</v>
      </c>
      <c r="C98" s="1244"/>
      <c r="D98" s="1244"/>
      <c r="E98" s="1244"/>
      <c r="F98" s="1245"/>
      <c r="G98" s="346"/>
      <c r="H98" s="384">
        <f>G98*H83</f>
        <v>0</v>
      </c>
      <c r="I98" s="346"/>
      <c r="J98" s="385">
        <f>I98*J83</f>
        <v>0</v>
      </c>
      <c r="L98" s="403"/>
      <c r="M98" s="403"/>
      <c r="N98" s="403"/>
      <c r="O98" s="403"/>
      <c r="P98" s="403"/>
      <c r="Q98" s="403"/>
      <c r="R98" s="403"/>
      <c r="S98" s="403"/>
      <c r="T98" s="403"/>
      <c r="U98" s="403"/>
      <c r="V98" s="403"/>
      <c r="W98" s="403"/>
      <c r="X98" s="403"/>
      <c r="Y98" s="403"/>
      <c r="Z98" s="367"/>
      <c r="AA98" s="304"/>
      <c r="AB98" s="304"/>
      <c r="AC98" s="304"/>
      <c r="AD98" s="304"/>
      <c r="AE98" s="304"/>
      <c r="AF98" s="304"/>
      <c r="AG98" s="304"/>
      <c r="AH98" s="304"/>
      <c r="AI98" s="304"/>
      <c r="AJ98" s="304"/>
      <c r="AK98" s="304"/>
      <c r="AL98" s="304"/>
      <c r="AM98" s="304"/>
      <c r="AN98" s="304"/>
      <c r="AO98" s="304"/>
      <c r="AP98" s="304"/>
      <c r="AQ98" s="304"/>
      <c r="AR98" s="304"/>
      <c r="AS98" s="304"/>
    </row>
    <row r="99" spans="1:45">
      <c r="B99" s="1223" t="s">
        <v>733</v>
      </c>
      <c r="C99" s="1224"/>
      <c r="D99" s="1224"/>
      <c r="E99" s="1224"/>
      <c r="F99" s="1225"/>
      <c r="G99" s="346"/>
      <c r="H99" s="384">
        <f>G99*H83</f>
        <v>0</v>
      </c>
      <c r="I99" s="346"/>
      <c r="J99" s="385">
        <f>I99*J83</f>
        <v>0</v>
      </c>
      <c r="L99" s="403"/>
      <c r="M99" s="403"/>
      <c r="N99" s="403"/>
      <c r="O99" s="403"/>
      <c r="P99" s="403"/>
      <c r="Q99" s="403"/>
      <c r="R99" s="403"/>
      <c r="S99" s="403"/>
      <c r="T99" s="403"/>
      <c r="U99" s="403"/>
      <c r="V99" s="403"/>
      <c r="W99" s="403"/>
      <c r="X99" s="403"/>
      <c r="Y99" s="403"/>
      <c r="Z99" s="367"/>
      <c r="AA99" s="304"/>
      <c r="AB99" s="304"/>
      <c r="AC99" s="304"/>
      <c r="AD99" s="304"/>
      <c r="AE99" s="304"/>
      <c r="AF99" s="304"/>
      <c r="AG99" s="304"/>
      <c r="AH99" s="304"/>
      <c r="AI99" s="304"/>
      <c r="AJ99" s="304"/>
      <c r="AK99" s="304"/>
      <c r="AL99" s="304"/>
      <c r="AM99" s="304"/>
      <c r="AN99" s="304"/>
      <c r="AO99" s="304"/>
      <c r="AP99" s="304"/>
      <c r="AQ99" s="304"/>
      <c r="AR99" s="304"/>
      <c r="AS99" s="304"/>
    </row>
    <row r="100" spans="1:45">
      <c r="B100" s="1223" t="s">
        <v>734</v>
      </c>
      <c r="C100" s="1224"/>
      <c r="D100" s="1224"/>
      <c r="E100" s="1224"/>
      <c r="F100" s="1225"/>
      <c r="G100" s="346"/>
      <c r="H100" s="384">
        <f>G100*H83</f>
        <v>0</v>
      </c>
      <c r="I100" s="346"/>
      <c r="J100" s="385">
        <f>I100*J83</f>
        <v>0</v>
      </c>
      <c r="L100" s="403"/>
      <c r="M100" s="403"/>
      <c r="N100" s="403"/>
      <c r="O100" s="403"/>
      <c r="P100" s="403"/>
      <c r="Q100" s="403"/>
      <c r="R100" s="403"/>
      <c r="S100" s="403"/>
      <c r="T100" s="403"/>
      <c r="U100" s="403"/>
      <c r="V100" s="403"/>
      <c r="W100" s="403"/>
      <c r="X100" s="403"/>
      <c r="Y100" s="403"/>
      <c r="Z100" s="367"/>
      <c r="AA100" s="304"/>
      <c r="AB100" s="304"/>
      <c r="AC100" s="304"/>
      <c r="AD100" s="304"/>
      <c r="AE100" s="304"/>
      <c r="AF100" s="304"/>
      <c r="AG100" s="304"/>
      <c r="AH100" s="304"/>
      <c r="AI100" s="304"/>
      <c r="AJ100" s="304"/>
      <c r="AK100" s="304"/>
      <c r="AL100" s="304"/>
      <c r="AM100" s="304"/>
      <c r="AN100" s="304"/>
      <c r="AO100" s="304"/>
      <c r="AP100" s="304"/>
      <c r="AQ100" s="304"/>
      <c r="AR100" s="304"/>
      <c r="AS100" s="304"/>
    </row>
    <row r="101" spans="1:45">
      <c r="B101" s="1172" t="s">
        <v>735</v>
      </c>
      <c r="C101" s="1173"/>
      <c r="D101" s="1173"/>
      <c r="E101" s="1173"/>
      <c r="F101" s="1173"/>
      <c r="G101" s="351"/>
      <c r="H101" s="397"/>
      <c r="I101" s="351"/>
      <c r="J101" s="398"/>
      <c r="L101" s="403"/>
      <c r="M101" s="403"/>
      <c r="N101" s="403"/>
      <c r="O101" s="403"/>
      <c r="P101" s="403"/>
      <c r="Q101" s="403"/>
      <c r="R101" s="403"/>
      <c r="S101" s="403"/>
      <c r="T101" s="403"/>
      <c r="U101" s="403"/>
      <c r="V101" s="403"/>
      <c r="W101" s="403"/>
      <c r="X101" s="403"/>
      <c r="Y101" s="403"/>
      <c r="Z101" s="367"/>
      <c r="AA101" s="304"/>
      <c r="AB101" s="304"/>
      <c r="AC101" s="304"/>
      <c r="AD101" s="304"/>
      <c r="AE101" s="304"/>
      <c r="AF101" s="304"/>
      <c r="AG101" s="304"/>
      <c r="AH101" s="304"/>
      <c r="AI101" s="304"/>
      <c r="AJ101" s="304"/>
      <c r="AK101" s="304"/>
      <c r="AL101" s="304"/>
      <c r="AM101" s="304"/>
      <c r="AN101" s="304"/>
      <c r="AO101" s="304"/>
      <c r="AP101" s="304"/>
      <c r="AQ101" s="304"/>
      <c r="AR101" s="304"/>
      <c r="AS101" s="304"/>
    </row>
    <row r="102" spans="1:45">
      <c r="B102" s="1226" t="s">
        <v>736</v>
      </c>
      <c r="C102" s="1227"/>
      <c r="D102" s="1227"/>
      <c r="E102" s="1227"/>
      <c r="F102" s="1228"/>
      <c r="G102" s="346"/>
      <c r="H102" s="384">
        <f>G102*H83</f>
        <v>0</v>
      </c>
      <c r="I102" s="346"/>
      <c r="J102" s="385">
        <f>I102*J83</f>
        <v>0</v>
      </c>
      <c r="L102" s="403"/>
      <c r="M102" s="403"/>
      <c r="N102" s="403"/>
      <c r="O102" s="403"/>
      <c r="P102" s="403"/>
      <c r="Q102" s="403"/>
      <c r="R102" s="403"/>
      <c r="S102" s="403"/>
      <c r="T102" s="403"/>
      <c r="U102" s="403"/>
      <c r="V102" s="403"/>
      <c r="W102" s="403"/>
      <c r="X102" s="403"/>
      <c r="Y102" s="403"/>
      <c r="Z102" s="367"/>
      <c r="AA102" s="304"/>
      <c r="AB102" s="304"/>
      <c r="AC102" s="304"/>
      <c r="AD102" s="304"/>
      <c r="AE102" s="304"/>
      <c r="AF102" s="304"/>
      <c r="AG102" s="304"/>
      <c r="AH102" s="304"/>
      <c r="AI102" s="304"/>
      <c r="AJ102" s="304"/>
      <c r="AK102" s="304"/>
      <c r="AL102" s="304"/>
      <c r="AM102" s="304"/>
      <c r="AN102" s="304"/>
      <c r="AO102" s="304"/>
      <c r="AP102" s="304"/>
      <c r="AQ102" s="304"/>
      <c r="AR102" s="304"/>
      <c r="AS102" s="304"/>
    </row>
    <row r="103" spans="1:45">
      <c r="B103" s="1229" t="s">
        <v>737</v>
      </c>
      <c r="C103" s="1230"/>
      <c r="D103" s="1230"/>
      <c r="E103" s="1230"/>
      <c r="F103" s="1230"/>
      <c r="G103" s="350"/>
      <c r="H103" s="351"/>
      <c r="I103" s="350"/>
      <c r="J103" s="352"/>
      <c r="L103" s="403"/>
      <c r="M103" s="403"/>
      <c r="N103" s="403"/>
      <c r="O103" s="403"/>
      <c r="P103" s="403"/>
      <c r="Q103" s="403"/>
      <c r="R103" s="403"/>
      <c r="S103" s="403"/>
      <c r="T103" s="403"/>
      <c r="U103" s="403"/>
      <c r="V103" s="403"/>
      <c r="W103" s="403"/>
      <c r="X103" s="403"/>
      <c r="Y103" s="403"/>
      <c r="Z103" s="367"/>
      <c r="AA103" s="304"/>
      <c r="AB103" s="304"/>
      <c r="AC103" s="304"/>
      <c r="AD103" s="304"/>
      <c r="AE103" s="304"/>
      <c r="AF103" s="304"/>
      <c r="AG103" s="304"/>
      <c r="AH103" s="304"/>
      <c r="AI103" s="304"/>
      <c r="AJ103" s="304"/>
      <c r="AK103" s="304"/>
      <c r="AL103" s="304"/>
      <c r="AM103" s="304"/>
      <c r="AN103" s="304"/>
      <c r="AO103" s="304"/>
      <c r="AP103" s="304"/>
      <c r="AQ103" s="304"/>
      <c r="AR103" s="304"/>
      <c r="AS103" s="304"/>
    </row>
    <row r="104" spans="1:45" ht="29.1" customHeight="1">
      <c r="B104" s="1231" t="s">
        <v>738</v>
      </c>
      <c r="C104" s="1232"/>
      <c r="D104" s="1232"/>
      <c r="E104" s="1232"/>
      <c r="F104" s="1233"/>
      <c r="G104" s="399"/>
      <c r="H104" s="359">
        <f>H83*G104*-1</f>
        <v>0</v>
      </c>
      <c r="I104" s="399"/>
      <c r="J104" s="400">
        <f>(J83*I104)*-1</f>
        <v>0</v>
      </c>
      <c r="L104" s="403"/>
      <c r="M104" s="403"/>
      <c r="N104" s="403"/>
      <c r="O104" s="403"/>
      <c r="P104" s="403"/>
      <c r="Q104" s="403"/>
      <c r="R104" s="403"/>
      <c r="S104" s="403"/>
      <c r="T104" s="403"/>
      <c r="U104" s="403"/>
      <c r="V104" s="403"/>
      <c r="W104" s="403"/>
      <c r="X104" s="403"/>
      <c r="Y104" s="403"/>
      <c r="Z104" s="367"/>
      <c r="AA104" s="304"/>
      <c r="AB104" s="304"/>
      <c r="AC104" s="304"/>
      <c r="AD104" s="304"/>
      <c r="AE104" s="304"/>
      <c r="AF104" s="304"/>
      <c r="AG104" s="304"/>
      <c r="AH104" s="304"/>
      <c r="AI104" s="304"/>
      <c r="AJ104" s="304"/>
      <c r="AK104" s="304"/>
      <c r="AL104" s="304"/>
      <c r="AM104" s="304"/>
      <c r="AN104" s="304"/>
      <c r="AO104" s="304"/>
      <c r="AP104" s="304"/>
      <c r="AQ104" s="304"/>
      <c r="AR104" s="304"/>
      <c r="AS104" s="304"/>
    </row>
    <row r="105" spans="1:45" ht="29.1" customHeight="1">
      <c r="B105" s="1234" t="s">
        <v>739</v>
      </c>
      <c r="C105" s="1235"/>
      <c r="D105" s="1235"/>
      <c r="E105" s="1235"/>
      <c r="F105" s="1236"/>
      <c r="G105" s="346"/>
      <c r="H105" s="401">
        <f>(H83*G105)*-1</f>
        <v>0</v>
      </c>
      <c r="I105" s="346"/>
      <c r="J105" s="402">
        <f>(J83*I105)*-1</f>
        <v>0</v>
      </c>
      <c r="L105" s="403"/>
      <c r="M105" s="403"/>
      <c r="N105" s="403"/>
      <c r="O105" s="403"/>
      <c r="P105" s="403"/>
      <c r="Q105" s="403"/>
      <c r="R105" s="403"/>
      <c r="S105" s="403"/>
      <c r="T105" s="403"/>
      <c r="U105" s="403"/>
      <c r="V105" s="403"/>
      <c r="W105" s="403"/>
      <c r="X105" s="403"/>
      <c r="Y105" s="403"/>
      <c r="Z105" s="367"/>
      <c r="AA105" s="304"/>
      <c r="AB105" s="304"/>
      <c r="AC105" s="304"/>
      <c r="AD105" s="304"/>
      <c r="AE105" s="304"/>
      <c r="AF105" s="304"/>
      <c r="AG105" s="304"/>
      <c r="AH105" s="304"/>
      <c r="AI105" s="304"/>
      <c r="AJ105" s="304"/>
      <c r="AK105" s="304"/>
      <c r="AL105" s="304"/>
      <c r="AM105" s="304"/>
      <c r="AN105" s="304"/>
      <c r="AO105" s="304"/>
      <c r="AP105" s="304"/>
      <c r="AQ105" s="304"/>
      <c r="AR105" s="304"/>
      <c r="AS105" s="304"/>
    </row>
    <row r="106" spans="1:45">
      <c r="B106" s="1211" t="s">
        <v>740</v>
      </c>
      <c r="C106" s="1212"/>
      <c r="D106" s="1212"/>
      <c r="E106" s="1212"/>
      <c r="F106" s="1213"/>
      <c r="G106" s="1214">
        <f>SUM(H87:H105)</f>
        <v>0</v>
      </c>
      <c r="H106" s="1215"/>
      <c r="I106" s="1214">
        <f>SUM(J89:J105)+J87</f>
        <v>0</v>
      </c>
      <c r="J106" s="1216"/>
      <c r="L106" s="403"/>
      <c r="M106" s="403"/>
      <c r="N106" s="403"/>
      <c r="O106" s="403"/>
      <c r="P106" s="403"/>
      <c r="Q106" s="403"/>
      <c r="R106" s="403"/>
      <c r="S106" s="403"/>
      <c r="T106" s="403"/>
      <c r="U106" s="403"/>
      <c r="V106" s="403"/>
      <c r="W106" s="403"/>
      <c r="X106" s="403"/>
      <c r="Y106" s="403"/>
      <c r="Z106" s="367"/>
      <c r="AA106" s="304"/>
      <c r="AB106" s="304"/>
      <c r="AC106" s="304"/>
      <c r="AD106" s="304"/>
      <c r="AE106" s="304"/>
      <c r="AF106" s="304"/>
      <c r="AG106" s="304"/>
      <c r="AH106" s="304"/>
      <c r="AI106" s="304"/>
      <c r="AJ106" s="304"/>
      <c r="AK106" s="304"/>
      <c r="AL106" s="304"/>
      <c r="AM106" s="304"/>
      <c r="AN106" s="304"/>
      <c r="AO106" s="304"/>
      <c r="AP106" s="304"/>
      <c r="AQ106" s="304"/>
      <c r="AR106" s="304"/>
      <c r="AS106" s="304"/>
    </row>
    <row r="107" spans="1:45" ht="18.75">
      <c r="B107" s="1217" t="s">
        <v>696</v>
      </c>
      <c r="C107" s="1218"/>
      <c r="D107" s="1218"/>
      <c r="E107" s="1218"/>
      <c r="F107" s="1219"/>
      <c r="G107" s="1161" t="str">
        <f>IF(OR(AC80=0, I106=0), "12 Month Average", "24 Month Average")</f>
        <v>12 Month Average</v>
      </c>
      <c r="H107" s="1162"/>
      <c r="I107" s="1162"/>
      <c r="J107" s="1163"/>
      <c r="L107" s="403"/>
      <c r="M107" s="403"/>
      <c r="N107" s="403"/>
      <c r="O107" s="403"/>
      <c r="P107" s="403"/>
      <c r="Q107" s="403"/>
      <c r="R107" s="403"/>
      <c r="S107" s="403"/>
      <c r="T107" s="403"/>
      <c r="U107" s="403"/>
      <c r="V107" s="403"/>
      <c r="W107" s="403"/>
      <c r="X107" s="403"/>
      <c r="Y107" s="403"/>
      <c r="Z107" s="367"/>
      <c r="AA107" s="304"/>
      <c r="AB107" s="304"/>
      <c r="AC107" s="304"/>
      <c r="AD107" s="304"/>
      <c r="AE107" s="304"/>
      <c r="AF107" s="304"/>
      <c r="AG107" s="304"/>
      <c r="AH107" s="304"/>
      <c r="AI107" s="304"/>
      <c r="AJ107" s="304"/>
      <c r="AK107" s="304"/>
      <c r="AL107" s="304"/>
      <c r="AM107" s="304"/>
      <c r="AN107" s="304"/>
      <c r="AO107" s="304"/>
      <c r="AP107" s="304"/>
      <c r="AQ107" s="304"/>
      <c r="AR107" s="304"/>
      <c r="AS107" s="304"/>
    </row>
    <row r="108" spans="1:45" ht="34.5" thickBot="1">
      <c r="B108" s="1220" t="s">
        <v>697</v>
      </c>
      <c r="C108" s="1221"/>
      <c r="D108" s="1221"/>
      <c r="E108" s="1221"/>
      <c r="F108" s="1222"/>
      <c r="G108" s="1167">
        <f>IF(OR(AC80=0, I106=0), AC82, AC83)</f>
        <v>0</v>
      </c>
      <c r="H108" s="1168"/>
      <c r="I108" s="1168"/>
      <c r="J108" s="1169"/>
      <c r="L108" s="403"/>
      <c r="M108" s="403"/>
      <c r="N108" s="403"/>
      <c r="O108" s="403"/>
      <c r="P108" s="403"/>
      <c r="Q108" s="403"/>
      <c r="R108" s="403"/>
      <c r="S108" s="403"/>
      <c r="T108" s="403"/>
      <c r="U108" s="403"/>
      <c r="V108" s="403"/>
      <c r="W108" s="403"/>
      <c r="X108" s="403"/>
      <c r="Y108" s="403"/>
      <c r="Z108" s="367"/>
      <c r="AA108" s="304"/>
      <c r="AB108" s="304"/>
      <c r="AC108" s="304"/>
      <c r="AD108" s="304"/>
    </row>
    <row r="109" spans="1:45" ht="9" customHeight="1" thickBot="1">
      <c r="H109" s="330"/>
      <c r="I109" s="330"/>
      <c r="L109" s="403"/>
      <c r="M109" s="403"/>
      <c r="N109" s="403"/>
      <c r="O109" s="403"/>
      <c r="P109" s="403"/>
      <c r="Q109" s="403"/>
      <c r="R109" s="403"/>
      <c r="S109" s="403"/>
      <c r="T109" s="403"/>
      <c r="U109" s="403"/>
      <c r="V109" s="403"/>
      <c r="W109" s="403"/>
      <c r="X109" s="403"/>
      <c r="Y109" s="403"/>
      <c r="Z109" s="367"/>
      <c r="AA109" s="304"/>
      <c r="AB109" s="304"/>
      <c r="AC109" s="304"/>
      <c r="AD109" s="304"/>
    </row>
    <row r="110" spans="1:45" ht="105" customHeight="1" thickBot="1">
      <c r="B110" s="1208" t="s">
        <v>645</v>
      </c>
      <c r="C110" s="1209"/>
      <c r="D110" s="1209"/>
      <c r="E110" s="1209"/>
      <c r="F110" s="1209"/>
      <c r="G110" s="1209"/>
      <c r="H110" s="1209"/>
      <c r="I110" s="1209"/>
      <c r="J110" s="1210"/>
      <c r="L110" s="367"/>
      <c r="M110" s="367"/>
      <c r="N110" s="367"/>
      <c r="O110" s="367"/>
      <c r="P110" s="367"/>
      <c r="Q110" s="367"/>
      <c r="R110" s="367"/>
      <c r="S110" s="367"/>
      <c r="T110" s="367"/>
      <c r="U110" s="367"/>
      <c r="V110" s="367"/>
      <c r="W110" s="367"/>
      <c r="X110" s="367"/>
      <c r="Y110" s="367"/>
      <c r="Z110" s="367"/>
      <c r="AA110" s="304"/>
      <c r="AB110" s="304"/>
      <c r="AC110" s="304"/>
      <c r="AD110" s="304"/>
    </row>
    <row r="111" spans="1:45">
      <c r="A111" s="304"/>
      <c r="B111" s="304"/>
      <c r="C111" s="304"/>
      <c r="D111" s="304"/>
      <c r="E111" s="304"/>
      <c r="F111" s="304"/>
      <c r="G111" s="304"/>
      <c r="H111" s="304"/>
      <c r="I111" s="304"/>
      <c r="J111" s="304"/>
      <c r="K111" s="304"/>
      <c r="L111" s="367"/>
      <c r="M111" s="367"/>
      <c r="N111" s="367"/>
      <c r="O111" s="367"/>
      <c r="P111" s="367"/>
      <c r="Q111" s="367"/>
      <c r="R111" s="367"/>
      <c r="S111" s="367"/>
      <c r="T111" s="367"/>
      <c r="U111" s="367"/>
      <c r="V111" s="367"/>
      <c r="W111" s="367"/>
      <c r="X111" s="367"/>
      <c r="Y111" s="367"/>
      <c r="Z111" s="367"/>
      <c r="AA111" s="304"/>
      <c r="AB111" s="304"/>
      <c r="AC111" s="304"/>
      <c r="AD111" s="304"/>
    </row>
    <row r="112" spans="1:45" ht="13.5" customHeight="1" thickBot="1">
      <c r="L112" s="304"/>
      <c r="M112" s="304"/>
      <c r="N112" s="304"/>
      <c r="O112" s="304"/>
      <c r="P112" s="304"/>
      <c r="Q112" s="304"/>
      <c r="R112" s="304"/>
      <c r="S112" s="304"/>
      <c r="T112" s="304"/>
      <c r="U112" s="304"/>
    </row>
    <row r="113" spans="2:45" ht="69" customHeight="1">
      <c r="B113" s="1187" t="s">
        <v>708</v>
      </c>
      <c r="C113" s="1188"/>
      <c r="D113" s="1188"/>
      <c r="E113" s="1188"/>
      <c r="F113" s="1188"/>
      <c r="G113" s="1188"/>
      <c r="H113" s="1188"/>
      <c r="I113" s="1188"/>
      <c r="J113" s="331" t="str">
        <f>'[3]Reference Sheet'!$B$2</f>
        <v>Rev. 4.12.2016</v>
      </c>
      <c r="L113" s="403"/>
      <c r="M113" s="403"/>
      <c r="N113" s="403"/>
      <c r="O113" s="403"/>
      <c r="P113" s="403"/>
      <c r="Q113" s="403"/>
      <c r="R113" s="403"/>
      <c r="S113" s="403"/>
      <c r="T113" s="403"/>
      <c r="U113" s="403"/>
      <c r="V113" s="403"/>
      <c r="W113" s="403"/>
      <c r="X113" s="403"/>
      <c r="Y113" s="403"/>
      <c r="Z113" s="367"/>
      <c r="AA113" s="304"/>
      <c r="AB113" s="304"/>
      <c r="AC113" s="304"/>
      <c r="AD113" s="304"/>
      <c r="AE113" s="304"/>
      <c r="AF113" s="304"/>
      <c r="AG113" s="304"/>
      <c r="AH113" s="304"/>
      <c r="AI113" s="304"/>
      <c r="AJ113" s="304"/>
      <c r="AK113" s="304"/>
      <c r="AL113" s="304"/>
      <c r="AM113" s="304"/>
      <c r="AN113" s="304"/>
      <c r="AO113" s="304"/>
      <c r="AP113" s="304"/>
      <c r="AQ113" s="304"/>
      <c r="AR113" s="304"/>
      <c r="AS113" s="304"/>
    </row>
    <row r="114" spans="2:45" ht="3.75" customHeight="1">
      <c r="B114" s="332"/>
      <c r="C114" s="333"/>
      <c r="D114" s="333"/>
      <c r="E114" s="333"/>
      <c r="F114" s="333"/>
      <c r="G114" s="333"/>
      <c r="H114" s="333"/>
      <c r="I114" s="333"/>
      <c r="J114" s="334"/>
      <c r="L114" s="403"/>
      <c r="M114" s="403"/>
      <c r="N114" s="403"/>
      <c r="O114" s="403"/>
      <c r="P114" s="403"/>
      <c r="Q114" s="403"/>
      <c r="R114" s="403"/>
      <c r="S114" s="403"/>
      <c r="T114" s="403"/>
      <c r="U114" s="403"/>
      <c r="V114" s="403"/>
      <c r="W114" s="403"/>
      <c r="X114" s="403"/>
      <c r="Y114" s="403"/>
      <c r="Z114" s="367"/>
      <c r="AA114" s="304"/>
      <c r="AB114" s="304"/>
      <c r="AC114" s="304"/>
      <c r="AD114" s="304"/>
      <c r="AE114" s="304"/>
      <c r="AF114" s="304"/>
      <c r="AG114" s="304"/>
      <c r="AH114" s="304"/>
      <c r="AI114" s="304"/>
      <c r="AJ114" s="304"/>
      <c r="AK114" s="304"/>
      <c r="AL114" s="304"/>
      <c r="AM114" s="304"/>
      <c r="AN114" s="304"/>
      <c r="AO114" s="304"/>
      <c r="AP114" s="304"/>
      <c r="AQ114" s="304"/>
      <c r="AR114" s="304"/>
      <c r="AS114" s="304"/>
    </row>
    <row r="115" spans="2:45" ht="18" customHeight="1" thickBot="1">
      <c r="B115" s="332"/>
      <c r="C115" s="368" t="s">
        <v>710</v>
      </c>
      <c r="D115" s="1189"/>
      <c r="E115" s="1190"/>
      <c r="F115" s="1190"/>
      <c r="G115" s="1190"/>
      <c r="H115" s="333"/>
      <c r="I115" s="333"/>
      <c r="J115" s="334"/>
      <c r="L115" s="403"/>
      <c r="M115" s="403"/>
      <c r="N115" s="403"/>
      <c r="O115" s="403"/>
      <c r="P115" s="403"/>
      <c r="Q115" s="403"/>
      <c r="R115" s="403"/>
      <c r="S115" s="403"/>
      <c r="T115" s="403"/>
      <c r="U115" s="403"/>
      <c r="V115" s="403"/>
      <c r="W115" s="403"/>
      <c r="X115" s="403"/>
      <c r="Y115" s="403"/>
      <c r="Z115" s="367"/>
      <c r="AA115" s="304"/>
      <c r="AB115" s="304" t="s">
        <v>680</v>
      </c>
      <c r="AC115" s="304">
        <f>IF(AND(J120=0, J124=0, J126=0, J135=0, J136=0, J137=0, J139=0, J141=0, J142=0, I143=0), 0, 1)</f>
        <v>1</v>
      </c>
      <c r="AD115" s="304"/>
      <c r="AE115" s="304"/>
      <c r="AF115" s="366" t="s">
        <v>596</v>
      </c>
      <c r="AG115" s="304"/>
      <c r="AH115" s="304"/>
      <c r="AI115" s="304"/>
      <c r="AJ115" s="304"/>
      <c r="AK115" s="304"/>
      <c r="AL115" s="304"/>
      <c r="AM115" s="304"/>
      <c r="AN115" s="304"/>
      <c r="AO115" s="304"/>
      <c r="AP115" s="304"/>
      <c r="AQ115" s="304"/>
      <c r="AR115" s="304"/>
      <c r="AS115" s="304"/>
    </row>
    <row r="116" spans="2:45" ht="18" customHeight="1" thickBot="1">
      <c r="B116" s="332"/>
      <c r="C116" s="368" t="s">
        <v>711</v>
      </c>
      <c r="D116" s="1277"/>
      <c r="E116" s="1278"/>
      <c r="F116" s="1278"/>
      <c r="G116" s="1278"/>
      <c r="H116" s="368" t="s">
        <v>712</v>
      </c>
      <c r="I116" s="1189"/>
      <c r="J116" s="1279"/>
      <c r="L116" s="403"/>
      <c r="M116" s="403"/>
      <c r="N116" s="403"/>
      <c r="O116" s="403"/>
      <c r="P116" s="403"/>
      <c r="Q116" s="403"/>
      <c r="R116" s="403"/>
      <c r="S116" s="403"/>
      <c r="T116" s="403"/>
      <c r="U116" s="403"/>
      <c r="V116" s="403"/>
      <c r="W116" s="403"/>
      <c r="X116" s="403"/>
      <c r="Y116" s="403"/>
      <c r="Z116" s="367"/>
      <c r="AA116" s="304"/>
      <c r="AB116" s="304" t="s">
        <v>682</v>
      </c>
      <c r="AC116" s="304">
        <f>IF(AND(G143&lt;=I143, I143&lt;&gt;0), 0, 1)</f>
        <v>1</v>
      </c>
      <c r="AD116" s="304"/>
      <c r="AE116" s="304"/>
      <c r="AF116" s="366" t="s">
        <v>683</v>
      </c>
      <c r="AG116" s="304"/>
      <c r="AH116" s="304"/>
      <c r="AI116" s="304"/>
      <c r="AJ116" s="304"/>
      <c r="AK116" s="304"/>
      <c r="AL116" s="304"/>
      <c r="AM116" s="304"/>
      <c r="AN116" s="304"/>
      <c r="AO116" s="304"/>
      <c r="AP116" s="304"/>
      <c r="AQ116" s="304"/>
      <c r="AR116" s="304"/>
      <c r="AS116" s="304"/>
    </row>
    <row r="117" spans="2:45" ht="18" customHeight="1" thickBot="1">
      <c r="B117" s="1176" t="s">
        <v>671</v>
      </c>
      <c r="C117" s="1177"/>
      <c r="D117" s="1280"/>
      <c r="E117" s="1281"/>
      <c r="F117" s="1281"/>
      <c r="G117" s="1281"/>
      <c r="H117" s="336" t="s">
        <v>673</v>
      </c>
      <c r="I117" s="369"/>
      <c r="J117" s="370"/>
      <c r="L117" s="403"/>
      <c r="M117" s="403"/>
      <c r="N117" s="403"/>
      <c r="O117" s="403"/>
      <c r="P117" s="403"/>
      <c r="Q117" s="403"/>
      <c r="R117" s="403"/>
      <c r="S117" s="403"/>
      <c r="T117" s="403"/>
      <c r="U117" s="403"/>
      <c r="V117" s="403"/>
      <c r="W117" s="403"/>
      <c r="X117" s="403"/>
      <c r="Y117" s="403"/>
      <c r="Z117" s="367"/>
      <c r="AA117" s="304"/>
      <c r="AB117" s="304" t="s">
        <v>685</v>
      </c>
      <c r="AC117" s="304">
        <f>IF(AND(AC116=0, AC115=1), 0, 1)</f>
        <v>1</v>
      </c>
      <c r="AD117" s="304"/>
      <c r="AE117" s="304"/>
      <c r="AF117" s="366" t="s">
        <v>599</v>
      </c>
      <c r="AG117" s="304"/>
      <c r="AH117" s="304"/>
      <c r="AI117" s="304"/>
      <c r="AJ117" s="304"/>
      <c r="AK117" s="304"/>
      <c r="AL117" s="304"/>
      <c r="AM117" s="304"/>
      <c r="AN117" s="304"/>
      <c r="AO117" s="304"/>
      <c r="AP117" s="304"/>
      <c r="AQ117" s="304"/>
      <c r="AR117" s="304"/>
      <c r="AS117" s="304"/>
    </row>
    <row r="118" spans="2:45" ht="18" customHeight="1" thickBot="1">
      <c r="B118" s="1176" t="s">
        <v>674</v>
      </c>
      <c r="C118" s="1177"/>
      <c r="D118" s="1262"/>
      <c r="E118" s="1263"/>
      <c r="F118" s="1263"/>
      <c r="G118" s="1263"/>
      <c r="H118" s="1263"/>
      <c r="I118" s="1263"/>
      <c r="J118" s="1264"/>
      <c r="L118" s="403"/>
      <c r="M118" s="403"/>
      <c r="N118" s="403"/>
      <c r="O118" s="403"/>
      <c r="P118" s="403"/>
      <c r="Q118" s="403"/>
      <c r="R118" s="403"/>
      <c r="S118" s="403"/>
      <c r="T118" s="403"/>
      <c r="U118" s="403"/>
      <c r="V118" s="403"/>
      <c r="W118" s="403"/>
      <c r="X118" s="403"/>
      <c r="Y118" s="403"/>
      <c r="Z118" s="367"/>
      <c r="AA118" s="304"/>
      <c r="AB118" s="304"/>
      <c r="AC118" s="304"/>
      <c r="AD118" s="304"/>
      <c r="AE118" s="304"/>
      <c r="AF118" s="366" t="s">
        <v>603</v>
      </c>
      <c r="AG118" s="304"/>
      <c r="AH118" s="304"/>
      <c r="AI118" s="304"/>
      <c r="AJ118" s="304"/>
      <c r="AK118" s="304"/>
      <c r="AL118" s="304"/>
      <c r="AM118" s="304"/>
      <c r="AN118" s="304"/>
      <c r="AO118" s="304"/>
      <c r="AP118" s="304"/>
      <c r="AQ118" s="304"/>
      <c r="AR118" s="304"/>
      <c r="AS118" s="304"/>
    </row>
    <row r="119" spans="2:45">
      <c r="B119" s="1265"/>
      <c r="C119" s="1266"/>
      <c r="D119" s="1266"/>
      <c r="E119" s="1266"/>
      <c r="F119" s="1267"/>
      <c r="G119" s="371" t="s">
        <v>713</v>
      </c>
      <c r="H119" s="372" t="s">
        <v>676</v>
      </c>
      <c r="I119" s="342"/>
      <c r="J119" s="373" t="s">
        <v>677</v>
      </c>
      <c r="L119" s="403"/>
      <c r="M119" s="403"/>
      <c r="N119" s="403"/>
      <c r="O119" s="403"/>
      <c r="P119" s="403"/>
      <c r="Q119" s="403"/>
      <c r="R119" s="403"/>
      <c r="S119" s="403"/>
      <c r="T119" s="403"/>
      <c r="U119" s="403"/>
      <c r="V119" s="403"/>
      <c r="W119" s="403"/>
      <c r="X119" s="403"/>
      <c r="Y119" s="403"/>
      <c r="Z119" s="367"/>
      <c r="AA119" s="304"/>
      <c r="AB119" s="304" t="s">
        <v>689</v>
      </c>
      <c r="AC119" s="374">
        <f>G143/12</f>
        <v>0</v>
      </c>
      <c r="AD119" s="304"/>
      <c r="AE119" s="304"/>
      <c r="AF119" s="366" t="s">
        <v>605</v>
      </c>
      <c r="AG119" s="304"/>
      <c r="AH119" s="304"/>
      <c r="AI119" s="304"/>
      <c r="AJ119" s="304"/>
      <c r="AK119" s="304"/>
      <c r="AL119" s="304"/>
      <c r="AM119" s="304"/>
      <c r="AN119" s="304"/>
      <c r="AO119" s="304"/>
      <c r="AP119" s="304"/>
      <c r="AQ119" s="304"/>
      <c r="AR119" s="304"/>
      <c r="AS119" s="304"/>
    </row>
    <row r="120" spans="2:45">
      <c r="B120" s="1268"/>
      <c r="C120" s="1266"/>
      <c r="D120" s="1266"/>
      <c r="E120" s="1266"/>
      <c r="F120" s="1267"/>
      <c r="G120" s="375" t="s">
        <v>714</v>
      </c>
      <c r="H120" s="376"/>
      <c r="I120" s="1272"/>
      <c r="J120" s="378"/>
      <c r="L120" s="403"/>
      <c r="M120" s="403"/>
      <c r="N120" s="403"/>
      <c r="O120" s="403"/>
      <c r="P120" s="403"/>
      <c r="Q120" s="403"/>
      <c r="R120" s="403"/>
      <c r="S120" s="403"/>
      <c r="T120" s="403"/>
      <c r="U120" s="403"/>
      <c r="V120" s="403"/>
      <c r="W120" s="403"/>
      <c r="X120" s="403"/>
      <c r="Y120" s="403"/>
      <c r="Z120" s="367"/>
      <c r="AA120" s="304"/>
      <c r="AB120" s="304" t="s">
        <v>691</v>
      </c>
      <c r="AC120" s="374">
        <f>(G143+I143)/24</f>
        <v>0</v>
      </c>
      <c r="AD120" s="304"/>
      <c r="AE120" s="304"/>
      <c r="AF120" s="304"/>
      <c r="AG120" s="304"/>
      <c r="AH120" s="304"/>
      <c r="AI120" s="304"/>
      <c r="AJ120" s="304"/>
      <c r="AK120" s="304"/>
      <c r="AL120" s="304"/>
      <c r="AM120" s="304"/>
      <c r="AN120" s="304"/>
      <c r="AO120" s="304"/>
      <c r="AP120" s="304"/>
      <c r="AQ120" s="304"/>
      <c r="AR120" s="304"/>
      <c r="AS120" s="304"/>
    </row>
    <row r="121" spans="2:45">
      <c r="B121" s="1268"/>
      <c r="C121" s="1266"/>
      <c r="D121" s="1266"/>
      <c r="E121" s="1266"/>
      <c r="F121" s="1267"/>
      <c r="G121" s="379" t="s">
        <v>715</v>
      </c>
      <c r="H121" s="380"/>
      <c r="I121" s="1272"/>
      <c r="J121" s="378"/>
      <c r="L121" s="403"/>
      <c r="M121" s="403"/>
      <c r="N121" s="403"/>
      <c r="O121" s="403"/>
      <c r="P121" s="403"/>
      <c r="Q121" s="403"/>
      <c r="R121" s="403"/>
      <c r="S121" s="403"/>
      <c r="T121" s="403"/>
      <c r="U121" s="403"/>
      <c r="V121" s="403"/>
      <c r="W121" s="403"/>
      <c r="X121" s="403"/>
      <c r="Y121" s="403"/>
      <c r="Z121" s="367"/>
      <c r="AA121" s="304"/>
      <c r="AB121" s="304"/>
      <c r="AC121" s="304"/>
      <c r="AD121" s="304"/>
      <c r="AE121" s="304"/>
      <c r="AF121" s="304"/>
      <c r="AG121" s="304"/>
      <c r="AH121" s="304"/>
      <c r="AI121" s="304"/>
      <c r="AJ121" s="304"/>
      <c r="AK121" s="304"/>
      <c r="AL121" s="304"/>
      <c r="AM121" s="304"/>
      <c r="AN121" s="304"/>
      <c r="AO121" s="304"/>
      <c r="AP121" s="304"/>
      <c r="AQ121" s="304"/>
      <c r="AR121" s="304"/>
      <c r="AS121" s="304"/>
    </row>
    <row r="122" spans="2:45" ht="15.75" thickBot="1">
      <c r="B122" s="1269"/>
      <c r="C122" s="1270"/>
      <c r="D122" s="1270"/>
      <c r="E122" s="1270"/>
      <c r="F122" s="1271"/>
      <c r="G122" s="379" t="s">
        <v>716</v>
      </c>
      <c r="H122" s="376"/>
      <c r="I122" s="1272"/>
      <c r="J122" s="378"/>
      <c r="L122" s="403"/>
      <c r="M122" s="403"/>
      <c r="N122" s="403"/>
      <c r="O122" s="403"/>
      <c r="P122" s="403"/>
      <c r="Q122" s="403"/>
      <c r="R122" s="403"/>
      <c r="S122" s="403"/>
      <c r="T122" s="403"/>
      <c r="U122" s="403"/>
      <c r="V122" s="403"/>
      <c r="W122" s="403"/>
      <c r="X122" s="403"/>
      <c r="Y122" s="403"/>
      <c r="Z122" s="367"/>
      <c r="AA122" s="304"/>
      <c r="AB122" s="304" t="s">
        <v>717</v>
      </c>
      <c r="AC122" s="304" t="str">
        <f>IF(OR(H120=0, H120&gt;100%), "Year End Profit %", (G126+G127+G128))</f>
        <v>Year End Profit %</v>
      </c>
      <c r="AD122" s="304"/>
      <c r="AE122" s="304"/>
      <c r="AF122" s="304"/>
      <c r="AG122" s="304"/>
      <c r="AH122" s="304"/>
      <c r="AI122" s="304"/>
      <c r="AJ122" s="304"/>
      <c r="AK122" s="304"/>
      <c r="AL122" s="304"/>
      <c r="AM122" s="304"/>
      <c r="AN122" s="304"/>
      <c r="AO122" s="304"/>
      <c r="AP122" s="304"/>
      <c r="AQ122" s="304"/>
      <c r="AR122" s="304"/>
      <c r="AS122" s="304"/>
    </row>
    <row r="123" spans="2:45" ht="18.75">
      <c r="B123" s="1229" t="s">
        <v>718</v>
      </c>
      <c r="C123" s="1273"/>
      <c r="D123" s="1273"/>
      <c r="E123" s="1273"/>
      <c r="F123" s="1273"/>
      <c r="G123" s="377" t="s">
        <v>719</v>
      </c>
      <c r="H123" s="381"/>
      <c r="I123" s="377" t="s">
        <v>719</v>
      </c>
      <c r="J123" s="382"/>
      <c r="L123" s="403"/>
      <c r="M123" s="403"/>
      <c r="N123" s="403"/>
      <c r="O123" s="403"/>
      <c r="P123" s="403"/>
      <c r="Q123" s="403"/>
      <c r="R123" s="403"/>
      <c r="S123" s="403"/>
      <c r="T123" s="403"/>
      <c r="U123" s="403"/>
      <c r="V123" s="403"/>
      <c r="W123" s="403"/>
      <c r="X123" s="403"/>
      <c r="Y123" s="403"/>
      <c r="Z123" s="367"/>
      <c r="AA123" s="304"/>
      <c r="AB123" s="304" t="s">
        <v>720</v>
      </c>
      <c r="AC123" s="304" t="str">
        <f>IF(OR(J120&gt;100%, J120=0), "Year End Profit %", (I126+I127+I128))</f>
        <v>Year End Profit %</v>
      </c>
      <c r="AD123" s="383"/>
      <c r="AE123" s="304"/>
      <c r="AF123" s="304"/>
      <c r="AG123" s="304"/>
      <c r="AH123" s="304"/>
      <c r="AI123" s="304"/>
      <c r="AJ123" s="304"/>
      <c r="AK123" s="304"/>
      <c r="AL123" s="304"/>
      <c r="AM123" s="304"/>
      <c r="AN123" s="304"/>
      <c r="AO123" s="304"/>
      <c r="AP123" s="304"/>
      <c r="AQ123" s="304"/>
      <c r="AR123" s="304"/>
      <c r="AS123" s="304"/>
    </row>
    <row r="124" spans="2:45">
      <c r="B124" s="1274" t="s">
        <v>721</v>
      </c>
      <c r="C124" s="1275"/>
      <c r="D124" s="1275"/>
      <c r="E124" s="1275"/>
      <c r="F124" s="1276"/>
      <c r="G124" s="346"/>
      <c r="H124" s="384">
        <f>G124</f>
        <v>0</v>
      </c>
      <c r="I124" s="364"/>
      <c r="J124" s="385">
        <f>I124</f>
        <v>0</v>
      </c>
      <c r="L124" s="403"/>
      <c r="M124" s="403"/>
      <c r="N124" s="403"/>
      <c r="O124" s="403"/>
      <c r="P124" s="403"/>
      <c r="Q124" s="403"/>
      <c r="R124" s="403"/>
      <c r="S124" s="403"/>
      <c r="T124" s="403"/>
      <c r="U124" s="403"/>
      <c r="V124" s="403"/>
      <c r="W124" s="403"/>
      <c r="X124" s="403"/>
      <c r="Y124" s="403"/>
      <c r="Z124" s="367"/>
      <c r="AA124" s="304"/>
      <c r="AB124" s="304"/>
      <c r="AC124" s="304"/>
      <c r="AD124" s="304"/>
      <c r="AE124" s="304"/>
      <c r="AF124" s="304"/>
      <c r="AG124" s="304"/>
      <c r="AH124" s="304"/>
      <c r="AI124" s="304"/>
      <c r="AJ124" s="304"/>
      <c r="AK124" s="304"/>
      <c r="AL124" s="304"/>
      <c r="AM124" s="304"/>
      <c r="AN124" s="304"/>
      <c r="AO124" s="304"/>
      <c r="AP124" s="304"/>
      <c r="AQ124" s="304"/>
      <c r="AR124" s="304"/>
      <c r="AS124" s="304"/>
    </row>
    <row r="125" spans="2:45">
      <c r="B125" s="1246" t="s">
        <v>722</v>
      </c>
      <c r="C125" s="1247"/>
      <c r="D125" s="1247"/>
      <c r="E125" s="1247"/>
      <c r="F125" s="1247"/>
      <c r="G125" s="377"/>
      <c r="H125" s="381"/>
      <c r="I125" s="386"/>
      <c r="J125" s="382"/>
      <c r="L125" s="403"/>
      <c r="M125" s="403"/>
      <c r="N125" s="403"/>
      <c r="O125" s="403"/>
      <c r="P125" s="403"/>
      <c r="Q125" s="403"/>
      <c r="R125" s="403"/>
      <c r="S125" s="403"/>
      <c r="T125" s="403"/>
      <c r="U125" s="403"/>
      <c r="V125" s="403"/>
      <c r="W125" s="403"/>
      <c r="X125" s="403"/>
      <c r="Y125" s="403"/>
      <c r="Z125" s="367"/>
      <c r="AA125" s="304"/>
      <c r="AB125" s="304"/>
      <c r="AC125" s="304"/>
      <c r="AD125" s="304"/>
      <c r="AE125" s="304"/>
      <c r="AF125" s="304"/>
      <c r="AG125" s="304"/>
      <c r="AH125" s="304"/>
      <c r="AI125" s="304"/>
      <c r="AJ125" s="304"/>
      <c r="AK125" s="304"/>
      <c r="AL125" s="304"/>
      <c r="AM125" s="304"/>
      <c r="AN125" s="304"/>
      <c r="AO125" s="304"/>
      <c r="AP125" s="304"/>
      <c r="AQ125" s="304"/>
      <c r="AR125" s="304"/>
      <c r="AS125" s="304"/>
    </row>
    <row r="126" spans="2:45">
      <c r="B126" s="1248" t="s">
        <v>723</v>
      </c>
      <c r="C126" s="1249"/>
      <c r="D126" s="1249"/>
      <c r="E126" s="1249"/>
      <c r="F126" s="1250"/>
      <c r="G126" s="346"/>
      <c r="H126" s="387" t="str">
        <f>AC122</f>
        <v>Year End Profit %</v>
      </c>
      <c r="I126" s="346"/>
      <c r="J126" s="388" t="str">
        <f>AC123</f>
        <v>Year End Profit %</v>
      </c>
      <c r="L126" s="403"/>
      <c r="M126" s="403"/>
      <c r="N126" s="403"/>
      <c r="O126" s="403"/>
      <c r="P126" s="403"/>
      <c r="Q126" s="403"/>
      <c r="R126" s="403"/>
      <c r="S126" s="403"/>
      <c r="T126" s="403"/>
      <c r="U126" s="403"/>
      <c r="V126" s="403"/>
      <c r="W126" s="403"/>
      <c r="X126" s="403"/>
      <c r="Y126" s="403"/>
      <c r="Z126" s="367"/>
      <c r="AA126" s="304"/>
      <c r="AB126" s="304"/>
      <c r="AC126" s="304"/>
      <c r="AD126" s="304"/>
      <c r="AE126" s="304"/>
      <c r="AF126" s="304"/>
      <c r="AG126" s="304"/>
      <c r="AH126" s="304"/>
      <c r="AI126" s="304"/>
      <c r="AJ126" s="304"/>
      <c r="AK126" s="304"/>
      <c r="AL126" s="304"/>
      <c r="AM126" s="304"/>
      <c r="AN126" s="304"/>
      <c r="AO126" s="304"/>
      <c r="AP126" s="304"/>
      <c r="AQ126" s="304"/>
      <c r="AR126" s="304"/>
      <c r="AS126" s="304"/>
    </row>
    <row r="127" spans="2:45">
      <c r="B127" s="1251" t="s">
        <v>724</v>
      </c>
      <c r="C127" s="1252"/>
      <c r="D127" s="1252"/>
      <c r="E127" s="1252"/>
      <c r="F127" s="1253"/>
      <c r="G127" s="346"/>
      <c r="H127" s="389"/>
      <c r="I127" s="346"/>
      <c r="J127" s="390"/>
      <c r="L127" s="403"/>
      <c r="M127" s="403"/>
      <c r="N127" s="403"/>
      <c r="O127" s="403"/>
      <c r="P127" s="403"/>
      <c r="Q127" s="403"/>
      <c r="R127" s="403"/>
      <c r="S127" s="403"/>
      <c r="T127" s="403"/>
      <c r="U127" s="403"/>
      <c r="V127" s="403"/>
      <c r="W127" s="403"/>
      <c r="X127" s="403"/>
      <c r="Y127" s="403"/>
      <c r="Z127" s="367"/>
      <c r="AA127" s="304"/>
      <c r="AB127" s="304"/>
      <c r="AC127" s="304"/>
      <c r="AD127" s="304"/>
      <c r="AE127" s="304"/>
      <c r="AF127" s="304"/>
      <c r="AG127" s="304"/>
      <c r="AH127" s="304"/>
      <c r="AI127" s="304"/>
      <c r="AJ127" s="304"/>
      <c r="AK127" s="304"/>
      <c r="AL127" s="304"/>
      <c r="AM127" s="304"/>
      <c r="AN127" s="304"/>
      <c r="AO127" s="304"/>
      <c r="AP127" s="304"/>
      <c r="AQ127" s="304"/>
      <c r="AR127" s="304"/>
      <c r="AS127" s="304"/>
    </row>
    <row r="128" spans="2:45">
      <c r="B128" s="1254" t="s">
        <v>725</v>
      </c>
      <c r="C128" s="1255"/>
      <c r="D128" s="1255"/>
      <c r="E128" s="1255"/>
      <c r="F128" s="1256"/>
      <c r="G128" s="346"/>
      <c r="H128" s="389"/>
      <c r="I128" s="346"/>
      <c r="J128" s="390"/>
      <c r="L128" s="403"/>
      <c r="M128" s="403"/>
      <c r="N128" s="403"/>
      <c r="O128" s="403"/>
      <c r="P128" s="403"/>
      <c r="Q128" s="403"/>
      <c r="R128" s="403"/>
      <c r="S128" s="403"/>
      <c r="T128" s="403"/>
      <c r="U128" s="403"/>
      <c r="V128" s="403"/>
      <c r="W128" s="403"/>
      <c r="X128" s="403"/>
      <c r="Y128" s="403"/>
      <c r="Z128" s="367"/>
      <c r="AA128" s="304"/>
      <c r="AB128" s="304"/>
      <c r="AC128" s="304"/>
      <c r="AD128" s="304"/>
      <c r="AE128" s="304"/>
      <c r="AF128" s="304"/>
      <c r="AG128" s="304"/>
      <c r="AH128" s="304"/>
      <c r="AI128" s="304"/>
      <c r="AJ128" s="304"/>
      <c r="AK128" s="304"/>
      <c r="AL128" s="304"/>
      <c r="AM128" s="304"/>
      <c r="AN128" s="304"/>
      <c r="AO128" s="304"/>
      <c r="AP128" s="304"/>
      <c r="AQ128" s="304"/>
      <c r="AR128" s="304"/>
      <c r="AS128" s="304"/>
    </row>
    <row r="129" spans="2:45">
      <c r="B129" s="1257" t="s">
        <v>726</v>
      </c>
      <c r="C129" s="1258"/>
      <c r="D129" s="1258"/>
      <c r="E129" s="1258"/>
      <c r="F129" s="1258"/>
      <c r="G129" s="391"/>
      <c r="H129" s="392"/>
      <c r="I129" s="391"/>
      <c r="J129" s="393"/>
      <c r="L129" s="403"/>
      <c r="M129" s="403"/>
      <c r="N129" s="403"/>
      <c r="O129" s="403"/>
      <c r="P129" s="403"/>
      <c r="Q129" s="403"/>
      <c r="R129" s="403"/>
      <c r="S129" s="403"/>
      <c r="T129" s="403"/>
      <c r="U129" s="403"/>
      <c r="V129" s="403"/>
      <c r="W129" s="403"/>
      <c r="X129" s="403"/>
      <c r="Y129" s="403"/>
      <c r="Z129" s="367"/>
      <c r="AA129" s="304"/>
      <c r="AB129" s="304"/>
      <c r="AC129" s="304"/>
      <c r="AD129" s="304"/>
      <c r="AE129" s="304"/>
      <c r="AF129" s="304"/>
      <c r="AG129" s="304"/>
      <c r="AH129" s="304"/>
      <c r="AI129" s="304"/>
      <c r="AJ129" s="304"/>
      <c r="AK129" s="304"/>
      <c r="AL129" s="304"/>
      <c r="AM129" s="304"/>
      <c r="AN129" s="304"/>
      <c r="AO129" s="304"/>
      <c r="AP129" s="304"/>
      <c r="AQ129" s="304"/>
      <c r="AR129" s="304"/>
      <c r="AS129" s="304"/>
    </row>
    <row r="130" spans="2:45">
      <c r="B130" s="1259" t="s">
        <v>727</v>
      </c>
      <c r="C130" s="1260"/>
      <c r="D130" s="1260"/>
      <c r="E130" s="1260"/>
      <c r="F130" s="1261"/>
      <c r="G130" s="394"/>
      <c r="H130" s="395">
        <f>(G130*H120)*-1</f>
        <v>0</v>
      </c>
      <c r="I130" s="394"/>
      <c r="J130" s="396">
        <f>(I130*J120)*-1</f>
        <v>0</v>
      </c>
      <c r="L130" s="403"/>
      <c r="M130" s="403"/>
      <c r="N130" s="403"/>
      <c r="O130" s="403"/>
      <c r="P130" s="403"/>
      <c r="Q130" s="403"/>
      <c r="R130" s="403"/>
      <c r="S130" s="403"/>
      <c r="T130" s="403"/>
      <c r="U130" s="403"/>
      <c r="V130" s="403"/>
      <c r="W130" s="403"/>
      <c r="X130" s="403"/>
      <c r="Y130" s="403"/>
      <c r="Z130" s="367"/>
      <c r="AA130" s="304"/>
      <c r="AB130" s="304"/>
      <c r="AC130" s="304"/>
      <c r="AD130" s="304"/>
      <c r="AE130" s="304"/>
      <c r="AF130" s="304"/>
      <c r="AG130" s="304"/>
      <c r="AH130" s="304"/>
      <c r="AI130" s="304"/>
      <c r="AJ130" s="304"/>
      <c r="AK130" s="304"/>
      <c r="AL130" s="304"/>
      <c r="AM130" s="304"/>
      <c r="AN130" s="304"/>
      <c r="AO130" s="304"/>
      <c r="AP130" s="304"/>
      <c r="AQ130" s="304"/>
      <c r="AR130" s="304"/>
      <c r="AS130" s="304"/>
    </row>
    <row r="131" spans="2:45">
      <c r="B131" s="1237" t="s">
        <v>728</v>
      </c>
      <c r="C131" s="1238"/>
      <c r="D131" s="1238"/>
      <c r="E131" s="1238"/>
      <c r="F131" s="1239"/>
      <c r="G131" s="394"/>
      <c r="H131" s="395">
        <f>(G131*H120)*-1</f>
        <v>0</v>
      </c>
      <c r="I131" s="394"/>
      <c r="J131" s="396">
        <f>(I131*J120)*-1</f>
        <v>0</v>
      </c>
      <c r="L131" s="403"/>
      <c r="M131" s="403"/>
      <c r="N131" s="403"/>
      <c r="O131" s="403"/>
      <c r="P131" s="403"/>
      <c r="Q131" s="403"/>
      <c r="R131" s="403"/>
      <c r="S131" s="403"/>
      <c r="T131" s="403"/>
      <c r="U131" s="403"/>
      <c r="V131" s="403"/>
      <c r="W131" s="403"/>
      <c r="X131" s="403"/>
      <c r="Y131" s="403"/>
      <c r="Z131" s="367"/>
      <c r="AA131" s="304"/>
      <c r="AB131" s="304"/>
      <c r="AC131" s="304"/>
      <c r="AD131" s="304"/>
      <c r="AE131" s="304"/>
      <c r="AF131" s="304"/>
      <c r="AG131" s="304"/>
      <c r="AH131" s="304"/>
      <c r="AI131" s="304"/>
      <c r="AJ131" s="304"/>
      <c r="AK131" s="304"/>
      <c r="AL131" s="304"/>
      <c r="AM131" s="304"/>
      <c r="AN131" s="304"/>
      <c r="AO131" s="304"/>
      <c r="AP131" s="304"/>
      <c r="AQ131" s="304"/>
      <c r="AR131" s="304"/>
      <c r="AS131" s="304"/>
    </row>
    <row r="132" spans="2:45">
      <c r="B132" s="1237" t="s">
        <v>729</v>
      </c>
      <c r="C132" s="1238"/>
      <c r="D132" s="1238"/>
      <c r="E132" s="1238"/>
      <c r="F132" s="1239"/>
      <c r="G132" s="394"/>
      <c r="H132" s="395">
        <f>(G132*H120)*-1</f>
        <v>0</v>
      </c>
      <c r="I132" s="394"/>
      <c r="J132" s="396">
        <f>(I132*J120)*-1</f>
        <v>0</v>
      </c>
      <c r="L132" s="403"/>
      <c r="M132" s="403"/>
      <c r="N132" s="403"/>
      <c r="O132" s="403"/>
      <c r="P132" s="403"/>
      <c r="Q132" s="403"/>
      <c r="R132" s="403"/>
      <c r="S132" s="403"/>
      <c r="T132" s="403"/>
      <c r="U132" s="403"/>
      <c r="V132" s="403"/>
      <c r="W132" s="403"/>
      <c r="X132" s="403"/>
      <c r="Y132" s="403"/>
      <c r="Z132" s="367"/>
      <c r="AA132" s="304"/>
      <c r="AB132" s="304"/>
      <c r="AC132" s="304"/>
      <c r="AD132" s="304"/>
      <c r="AE132" s="304"/>
      <c r="AF132" s="304"/>
      <c r="AG132" s="304"/>
      <c r="AH132" s="304"/>
      <c r="AI132" s="304"/>
      <c r="AJ132" s="304"/>
      <c r="AK132" s="304"/>
      <c r="AL132" s="304"/>
      <c r="AM132" s="304"/>
      <c r="AN132" s="304"/>
      <c r="AO132" s="304"/>
      <c r="AP132" s="304"/>
      <c r="AQ132" s="304"/>
      <c r="AR132" s="304"/>
      <c r="AS132" s="304"/>
    </row>
    <row r="133" spans="2:45">
      <c r="B133" s="1240" t="s">
        <v>730</v>
      </c>
      <c r="C133" s="1241"/>
      <c r="D133" s="1241"/>
      <c r="E133" s="1241"/>
      <c r="F133" s="1242"/>
      <c r="G133" s="394"/>
      <c r="H133" s="395">
        <f>(G133*H120)*-1</f>
        <v>0</v>
      </c>
      <c r="I133" s="394"/>
      <c r="J133" s="396">
        <f>(I133*J120)*-1</f>
        <v>0</v>
      </c>
      <c r="L133" s="403"/>
      <c r="M133" s="403"/>
      <c r="N133" s="403"/>
      <c r="O133" s="403"/>
      <c r="P133" s="403"/>
      <c r="Q133" s="403"/>
      <c r="R133" s="403"/>
      <c r="S133" s="403"/>
      <c r="T133" s="403"/>
      <c r="U133" s="403"/>
      <c r="V133" s="403"/>
      <c r="W133" s="403"/>
      <c r="X133" s="403"/>
      <c r="Y133" s="403"/>
      <c r="Z133" s="367"/>
      <c r="AA133" s="304"/>
      <c r="AB133" s="304"/>
      <c r="AC133" s="304"/>
      <c r="AD133" s="304"/>
      <c r="AE133" s="304"/>
      <c r="AF133" s="304"/>
      <c r="AG133" s="304"/>
      <c r="AH133" s="304"/>
      <c r="AI133" s="304"/>
      <c r="AJ133" s="304"/>
      <c r="AK133" s="304"/>
      <c r="AL133" s="304"/>
      <c r="AM133" s="304"/>
      <c r="AN133" s="304"/>
      <c r="AO133" s="304"/>
      <c r="AP133" s="304"/>
      <c r="AQ133" s="304"/>
      <c r="AR133" s="304"/>
      <c r="AS133" s="304"/>
    </row>
    <row r="134" spans="2:45">
      <c r="B134" s="1229" t="s">
        <v>731</v>
      </c>
      <c r="C134" s="1230"/>
      <c r="D134" s="1230"/>
      <c r="E134" s="1230"/>
      <c r="F134" s="1230"/>
      <c r="G134" s="350"/>
      <c r="H134" s="351"/>
      <c r="I134" s="350"/>
      <c r="J134" s="352"/>
      <c r="L134" s="403"/>
      <c r="M134" s="403"/>
      <c r="N134" s="403"/>
      <c r="O134" s="403"/>
      <c r="P134" s="403"/>
      <c r="Q134" s="403"/>
      <c r="R134" s="403"/>
      <c r="S134" s="403"/>
      <c r="T134" s="403"/>
      <c r="U134" s="403"/>
      <c r="V134" s="403"/>
      <c r="W134" s="403"/>
      <c r="X134" s="403"/>
      <c r="Y134" s="403"/>
      <c r="Z134" s="367"/>
      <c r="AA134" s="304"/>
      <c r="AB134" s="304"/>
      <c r="AC134" s="304"/>
      <c r="AD134" s="304"/>
      <c r="AE134" s="304"/>
      <c r="AF134" s="304"/>
      <c r="AG134" s="304"/>
      <c r="AH134" s="304"/>
      <c r="AI134" s="304"/>
      <c r="AJ134" s="304"/>
      <c r="AK134" s="304"/>
      <c r="AL134" s="304"/>
      <c r="AM134" s="304"/>
      <c r="AN134" s="304"/>
      <c r="AO134" s="304"/>
      <c r="AP134" s="304"/>
      <c r="AQ134" s="304"/>
      <c r="AR134" s="304"/>
      <c r="AS134" s="304"/>
    </row>
    <row r="135" spans="2:45">
      <c r="B135" s="1243" t="s">
        <v>732</v>
      </c>
      <c r="C135" s="1244"/>
      <c r="D135" s="1244"/>
      <c r="E135" s="1244"/>
      <c r="F135" s="1245"/>
      <c r="G135" s="346"/>
      <c r="H135" s="384">
        <f>G135*H120</f>
        <v>0</v>
      </c>
      <c r="I135" s="346"/>
      <c r="J135" s="385">
        <f>I135*J120</f>
        <v>0</v>
      </c>
      <c r="L135" s="403"/>
      <c r="M135" s="403"/>
      <c r="N135" s="403"/>
      <c r="O135" s="403"/>
      <c r="P135" s="403"/>
      <c r="Q135" s="403"/>
      <c r="R135" s="403"/>
      <c r="S135" s="403"/>
      <c r="T135" s="403"/>
      <c r="U135" s="403"/>
      <c r="V135" s="403"/>
      <c r="W135" s="403"/>
      <c r="X135" s="403"/>
      <c r="Y135" s="403"/>
      <c r="Z135" s="367"/>
      <c r="AA135" s="304"/>
      <c r="AB135" s="304"/>
      <c r="AC135" s="304"/>
      <c r="AD135" s="304"/>
      <c r="AE135" s="304"/>
      <c r="AF135" s="304"/>
      <c r="AG135" s="304"/>
      <c r="AH135" s="304"/>
      <c r="AI135" s="304"/>
      <c r="AJ135" s="304"/>
      <c r="AK135" s="304"/>
      <c r="AL135" s="304"/>
      <c r="AM135" s="304"/>
      <c r="AN135" s="304"/>
      <c r="AO135" s="304"/>
      <c r="AP135" s="304"/>
      <c r="AQ135" s="304"/>
      <c r="AR135" s="304"/>
      <c r="AS135" s="304"/>
    </row>
    <row r="136" spans="2:45">
      <c r="B136" s="1223" t="s">
        <v>733</v>
      </c>
      <c r="C136" s="1224"/>
      <c r="D136" s="1224"/>
      <c r="E136" s="1224"/>
      <c r="F136" s="1225"/>
      <c r="G136" s="346"/>
      <c r="H136" s="384">
        <f>G136*H120</f>
        <v>0</v>
      </c>
      <c r="I136" s="346"/>
      <c r="J136" s="385">
        <f>I136*J120</f>
        <v>0</v>
      </c>
      <c r="L136" s="403"/>
      <c r="M136" s="403"/>
      <c r="N136" s="403"/>
      <c r="O136" s="403"/>
      <c r="P136" s="403"/>
      <c r="Q136" s="403"/>
      <c r="R136" s="403"/>
      <c r="S136" s="403"/>
      <c r="T136" s="403"/>
      <c r="U136" s="403"/>
      <c r="V136" s="403"/>
      <c r="W136" s="403"/>
      <c r="X136" s="403"/>
      <c r="Y136" s="403"/>
      <c r="Z136" s="367"/>
      <c r="AA136" s="304"/>
      <c r="AB136" s="304"/>
      <c r="AC136" s="304"/>
      <c r="AD136" s="304"/>
      <c r="AE136" s="304"/>
      <c r="AF136" s="304"/>
      <c r="AG136" s="304"/>
      <c r="AH136" s="304"/>
      <c r="AI136" s="304"/>
      <c r="AJ136" s="304"/>
      <c r="AK136" s="304"/>
      <c r="AL136" s="304"/>
      <c r="AM136" s="304"/>
      <c r="AN136" s="304"/>
      <c r="AO136" s="304"/>
      <c r="AP136" s="304"/>
      <c r="AQ136" s="304"/>
      <c r="AR136" s="304"/>
      <c r="AS136" s="304"/>
    </row>
    <row r="137" spans="2:45">
      <c r="B137" s="1223" t="s">
        <v>734</v>
      </c>
      <c r="C137" s="1224"/>
      <c r="D137" s="1224"/>
      <c r="E137" s="1224"/>
      <c r="F137" s="1225"/>
      <c r="G137" s="346"/>
      <c r="H137" s="384">
        <f>G137*H120</f>
        <v>0</v>
      </c>
      <c r="I137" s="346"/>
      <c r="J137" s="385">
        <f>I137*J120</f>
        <v>0</v>
      </c>
      <c r="L137" s="403"/>
      <c r="M137" s="403"/>
      <c r="N137" s="403"/>
      <c r="O137" s="403"/>
      <c r="P137" s="403"/>
      <c r="Q137" s="403"/>
      <c r="R137" s="403"/>
      <c r="S137" s="403"/>
      <c r="T137" s="403"/>
      <c r="U137" s="403"/>
      <c r="V137" s="403"/>
      <c r="W137" s="403"/>
      <c r="X137" s="403"/>
      <c r="Y137" s="403"/>
      <c r="Z137" s="367"/>
      <c r="AA137" s="304"/>
      <c r="AB137" s="304"/>
      <c r="AC137" s="304"/>
      <c r="AD137" s="304"/>
      <c r="AE137" s="304"/>
      <c r="AF137" s="304"/>
      <c r="AG137" s="304"/>
      <c r="AH137" s="304"/>
      <c r="AI137" s="304"/>
      <c r="AJ137" s="304"/>
      <c r="AK137" s="304"/>
      <c r="AL137" s="304"/>
      <c r="AM137" s="304"/>
      <c r="AN137" s="304"/>
      <c r="AO137" s="304"/>
      <c r="AP137" s="304"/>
      <c r="AQ137" s="304"/>
      <c r="AR137" s="304"/>
      <c r="AS137" s="304"/>
    </row>
    <row r="138" spans="2:45">
      <c r="B138" s="1172" t="s">
        <v>735</v>
      </c>
      <c r="C138" s="1173"/>
      <c r="D138" s="1173"/>
      <c r="E138" s="1173"/>
      <c r="F138" s="1173"/>
      <c r="G138" s="351"/>
      <c r="H138" s="397"/>
      <c r="I138" s="351"/>
      <c r="J138" s="398"/>
      <c r="L138" s="403"/>
      <c r="M138" s="403"/>
      <c r="N138" s="403"/>
      <c r="O138" s="403"/>
      <c r="P138" s="403"/>
      <c r="Q138" s="403"/>
      <c r="R138" s="403"/>
      <c r="S138" s="403"/>
      <c r="T138" s="403"/>
      <c r="U138" s="403"/>
      <c r="V138" s="403"/>
      <c r="W138" s="403"/>
      <c r="X138" s="403"/>
      <c r="Y138" s="403"/>
      <c r="Z138" s="367"/>
      <c r="AA138" s="304"/>
      <c r="AB138" s="304"/>
      <c r="AC138" s="304"/>
      <c r="AD138" s="304"/>
      <c r="AE138" s="304"/>
      <c r="AF138" s="304"/>
      <c r="AG138" s="304"/>
      <c r="AH138" s="304"/>
      <c r="AI138" s="304"/>
      <c r="AJ138" s="304"/>
      <c r="AK138" s="304"/>
      <c r="AL138" s="304"/>
      <c r="AM138" s="304"/>
      <c r="AN138" s="304"/>
      <c r="AO138" s="304"/>
      <c r="AP138" s="304"/>
      <c r="AQ138" s="304"/>
      <c r="AR138" s="304"/>
      <c r="AS138" s="304"/>
    </row>
    <row r="139" spans="2:45">
      <c r="B139" s="1226" t="s">
        <v>736</v>
      </c>
      <c r="C139" s="1227"/>
      <c r="D139" s="1227"/>
      <c r="E139" s="1227"/>
      <c r="F139" s="1228"/>
      <c r="G139" s="346"/>
      <c r="H139" s="384">
        <f>G139*H120</f>
        <v>0</v>
      </c>
      <c r="I139" s="346"/>
      <c r="J139" s="385">
        <f>I139*J120</f>
        <v>0</v>
      </c>
      <c r="L139" s="403"/>
      <c r="M139" s="403"/>
      <c r="N139" s="403"/>
      <c r="O139" s="403"/>
      <c r="P139" s="403"/>
      <c r="Q139" s="403"/>
      <c r="R139" s="403"/>
      <c r="S139" s="403"/>
      <c r="T139" s="403"/>
      <c r="U139" s="403"/>
      <c r="V139" s="403"/>
      <c r="W139" s="403"/>
      <c r="X139" s="403"/>
      <c r="Y139" s="403"/>
      <c r="Z139" s="367"/>
      <c r="AA139" s="304"/>
      <c r="AB139" s="304"/>
      <c r="AC139" s="304"/>
      <c r="AD139" s="304"/>
      <c r="AE139" s="304"/>
      <c r="AF139" s="304"/>
      <c r="AG139" s="304"/>
      <c r="AH139" s="304"/>
      <c r="AI139" s="304"/>
      <c r="AJ139" s="304"/>
      <c r="AK139" s="304"/>
      <c r="AL139" s="304"/>
      <c r="AM139" s="304"/>
      <c r="AN139" s="304"/>
      <c r="AO139" s="304"/>
      <c r="AP139" s="304"/>
      <c r="AQ139" s="304"/>
      <c r="AR139" s="304"/>
      <c r="AS139" s="304"/>
    </row>
    <row r="140" spans="2:45">
      <c r="B140" s="1229" t="s">
        <v>737</v>
      </c>
      <c r="C140" s="1230"/>
      <c r="D140" s="1230"/>
      <c r="E140" s="1230"/>
      <c r="F140" s="1230"/>
      <c r="G140" s="350"/>
      <c r="H140" s="351"/>
      <c r="I140" s="350"/>
      <c r="J140" s="352"/>
      <c r="L140" s="403"/>
      <c r="M140" s="403"/>
      <c r="N140" s="403"/>
      <c r="O140" s="403"/>
      <c r="P140" s="403"/>
      <c r="Q140" s="403"/>
      <c r="R140" s="403"/>
      <c r="S140" s="403"/>
      <c r="T140" s="403"/>
      <c r="U140" s="403"/>
      <c r="V140" s="403"/>
      <c r="W140" s="403"/>
      <c r="X140" s="403"/>
      <c r="Y140" s="403"/>
      <c r="Z140" s="367"/>
      <c r="AA140" s="304"/>
      <c r="AB140" s="304"/>
      <c r="AC140" s="304"/>
      <c r="AD140" s="304"/>
      <c r="AE140" s="304"/>
      <c r="AF140" s="304"/>
      <c r="AG140" s="304"/>
      <c r="AH140" s="304"/>
      <c r="AI140" s="304"/>
      <c r="AJ140" s="304"/>
      <c r="AK140" s="304"/>
      <c r="AL140" s="304"/>
      <c r="AM140" s="304"/>
      <c r="AN140" s="304"/>
      <c r="AO140" s="304"/>
      <c r="AP140" s="304"/>
      <c r="AQ140" s="304"/>
      <c r="AR140" s="304"/>
      <c r="AS140" s="304"/>
    </row>
    <row r="141" spans="2:45" ht="29.1" customHeight="1">
      <c r="B141" s="1231" t="s">
        <v>738</v>
      </c>
      <c r="C141" s="1232"/>
      <c r="D141" s="1232"/>
      <c r="E141" s="1232"/>
      <c r="F141" s="1233"/>
      <c r="G141" s="399"/>
      <c r="H141" s="359">
        <f>H120*G141*-1</f>
        <v>0</v>
      </c>
      <c r="I141" s="399"/>
      <c r="J141" s="400">
        <f>(J120*I141)*-1</f>
        <v>0</v>
      </c>
      <c r="L141" s="403"/>
      <c r="M141" s="403"/>
      <c r="N141" s="403"/>
      <c r="O141" s="403"/>
      <c r="P141" s="403"/>
      <c r="Q141" s="403"/>
      <c r="R141" s="403"/>
      <c r="S141" s="403"/>
      <c r="T141" s="403"/>
      <c r="U141" s="403"/>
      <c r="V141" s="403"/>
      <c r="W141" s="403"/>
      <c r="X141" s="403"/>
      <c r="Y141" s="403"/>
      <c r="Z141" s="367"/>
      <c r="AA141" s="304"/>
      <c r="AB141" s="304"/>
      <c r="AC141" s="304"/>
      <c r="AD141" s="304"/>
      <c r="AE141" s="304"/>
      <c r="AF141" s="304"/>
      <c r="AG141" s="304"/>
      <c r="AH141" s="304"/>
      <c r="AI141" s="304"/>
      <c r="AJ141" s="304"/>
      <c r="AK141" s="304"/>
      <c r="AL141" s="304"/>
      <c r="AM141" s="304"/>
      <c r="AN141" s="304"/>
      <c r="AO141" s="304"/>
      <c r="AP141" s="304"/>
      <c r="AQ141" s="304"/>
      <c r="AR141" s="304"/>
      <c r="AS141" s="304"/>
    </row>
    <row r="142" spans="2:45" ht="29.1" customHeight="1">
      <c r="B142" s="1234" t="s">
        <v>739</v>
      </c>
      <c r="C142" s="1235"/>
      <c r="D142" s="1235"/>
      <c r="E142" s="1235"/>
      <c r="F142" s="1236"/>
      <c r="G142" s="346"/>
      <c r="H142" s="401">
        <f>(H120*G142)*-1</f>
        <v>0</v>
      </c>
      <c r="I142" s="346"/>
      <c r="J142" s="402">
        <f>(J120*I142)*-1</f>
        <v>0</v>
      </c>
      <c r="L142" s="403"/>
      <c r="M142" s="403"/>
      <c r="N142" s="403"/>
      <c r="O142" s="403"/>
      <c r="P142" s="403"/>
      <c r="Q142" s="403"/>
      <c r="R142" s="403"/>
      <c r="S142" s="403"/>
      <c r="T142" s="403"/>
      <c r="U142" s="403"/>
      <c r="V142" s="403"/>
      <c r="W142" s="403"/>
      <c r="X142" s="403"/>
      <c r="Y142" s="403"/>
      <c r="Z142" s="367"/>
      <c r="AA142" s="304"/>
      <c r="AB142" s="304"/>
      <c r="AC142" s="304"/>
      <c r="AD142" s="304"/>
      <c r="AE142" s="304"/>
      <c r="AF142" s="304"/>
      <c r="AG142" s="304"/>
      <c r="AH142" s="304"/>
      <c r="AI142" s="304"/>
      <c r="AJ142" s="304"/>
      <c r="AK142" s="304"/>
      <c r="AL142" s="304"/>
      <c r="AM142" s="304"/>
      <c r="AN142" s="304"/>
      <c r="AO142" s="304"/>
      <c r="AP142" s="304"/>
      <c r="AQ142" s="304"/>
      <c r="AR142" s="304"/>
      <c r="AS142" s="304"/>
    </row>
    <row r="143" spans="2:45">
      <c r="B143" s="1211" t="s">
        <v>740</v>
      </c>
      <c r="C143" s="1212"/>
      <c r="D143" s="1212"/>
      <c r="E143" s="1212"/>
      <c r="F143" s="1213"/>
      <c r="G143" s="1214">
        <f>SUM(H124:H142)</f>
        <v>0</v>
      </c>
      <c r="H143" s="1215"/>
      <c r="I143" s="1214">
        <f>SUM(J126:J142)+J124</f>
        <v>0</v>
      </c>
      <c r="J143" s="1216"/>
      <c r="L143" s="403"/>
      <c r="M143" s="403"/>
      <c r="N143" s="403"/>
      <c r="O143" s="403"/>
      <c r="P143" s="403"/>
      <c r="Q143" s="403"/>
      <c r="R143" s="403"/>
      <c r="S143" s="403"/>
      <c r="T143" s="403"/>
      <c r="U143" s="403"/>
      <c r="V143" s="403"/>
      <c r="W143" s="403"/>
      <c r="X143" s="403"/>
      <c r="Y143" s="403"/>
      <c r="Z143" s="367"/>
      <c r="AA143" s="304"/>
      <c r="AB143" s="304"/>
      <c r="AC143" s="304"/>
      <c r="AD143" s="304"/>
      <c r="AE143" s="304"/>
      <c r="AF143" s="304"/>
      <c r="AG143" s="304"/>
      <c r="AH143" s="304"/>
      <c r="AI143" s="304"/>
      <c r="AJ143" s="304"/>
      <c r="AK143" s="304"/>
      <c r="AL143" s="304"/>
      <c r="AM143" s="304"/>
      <c r="AN143" s="304"/>
      <c r="AO143" s="304"/>
      <c r="AP143" s="304"/>
      <c r="AQ143" s="304"/>
      <c r="AR143" s="304"/>
      <c r="AS143" s="304"/>
    </row>
    <row r="144" spans="2:45" ht="18.75">
      <c r="B144" s="1217" t="s">
        <v>696</v>
      </c>
      <c r="C144" s="1218"/>
      <c r="D144" s="1218"/>
      <c r="E144" s="1218"/>
      <c r="F144" s="1219"/>
      <c r="G144" s="1161" t="str">
        <f>IF(OR(AC117=0, I143=0), "12 Month Average", "24 Month Average")</f>
        <v>12 Month Average</v>
      </c>
      <c r="H144" s="1162"/>
      <c r="I144" s="1162"/>
      <c r="J144" s="1163"/>
      <c r="L144" s="403"/>
      <c r="M144" s="403"/>
      <c r="N144" s="403"/>
      <c r="O144" s="403"/>
      <c r="P144" s="403"/>
      <c r="Q144" s="403"/>
      <c r="R144" s="403"/>
      <c r="S144" s="403"/>
      <c r="T144" s="403"/>
      <c r="U144" s="403"/>
      <c r="V144" s="403"/>
      <c r="W144" s="403"/>
      <c r="X144" s="403"/>
      <c r="Y144" s="403"/>
      <c r="Z144" s="367"/>
      <c r="AA144" s="304"/>
      <c r="AB144" s="304"/>
      <c r="AC144" s="304"/>
      <c r="AD144" s="304"/>
      <c r="AE144" s="304"/>
      <c r="AF144" s="304"/>
      <c r="AG144" s="304"/>
      <c r="AH144" s="304"/>
      <c r="AI144" s="304"/>
      <c r="AJ144" s="304"/>
      <c r="AK144" s="304"/>
      <c r="AL144" s="304"/>
      <c r="AM144" s="304"/>
      <c r="AN144" s="304"/>
      <c r="AO144" s="304"/>
      <c r="AP144" s="304"/>
      <c r="AQ144" s="304"/>
      <c r="AR144" s="304"/>
      <c r="AS144" s="304"/>
    </row>
    <row r="145" spans="1:45" ht="34.5" thickBot="1">
      <c r="B145" s="1220" t="s">
        <v>697</v>
      </c>
      <c r="C145" s="1221"/>
      <c r="D145" s="1221"/>
      <c r="E145" s="1221"/>
      <c r="F145" s="1222"/>
      <c r="G145" s="1167">
        <f>IF(OR(AC117=0, I143=0), AC119, AC120)</f>
        <v>0</v>
      </c>
      <c r="H145" s="1168"/>
      <c r="I145" s="1168"/>
      <c r="J145" s="1169"/>
      <c r="L145" s="403"/>
      <c r="M145" s="403"/>
      <c r="N145" s="403"/>
      <c r="O145" s="403"/>
      <c r="P145" s="403"/>
      <c r="Q145" s="403"/>
      <c r="R145" s="403"/>
      <c r="S145" s="403"/>
      <c r="T145" s="403"/>
      <c r="U145" s="403"/>
      <c r="V145" s="403"/>
      <c r="W145" s="403"/>
      <c r="X145" s="403"/>
      <c r="Y145" s="403"/>
      <c r="Z145" s="367"/>
      <c r="AA145" s="304"/>
      <c r="AB145" s="304"/>
      <c r="AC145" s="304"/>
      <c r="AD145" s="304"/>
    </row>
    <row r="146" spans="1:45" ht="9" customHeight="1" thickBot="1">
      <c r="H146" s="330"/>
      <c r="I146" s="330"/>
      <c r="L146" s="403"/>
      <c r="M146" s="403"/>
      <c r="N146" s="403"/>
      <c r="O146" s="403"/>
      <c r="P146" s="403"/>
      <c r="Q146" s="403"/>
      <c r="R146" s="403"/>
      <c r="S146" s="403"/>
      <c r="T146" s="403"/>
      <c r="U146" s="403"/>
      <c r="V146" s="403"/>
      <c r="W146" s="403"/>
      <c r="X146" s="403"/>
      <c r="Y146" s="403"/>
      <c r="Z146" s="367"/>
      <c r="AA146" s="304"/>
      <c r="AB146" s="304"/>
      <c r="AC146" s="304"/>
      <c r="AD146" s="304"/>
    </row>
    <row r="147" spans="1:45" ht="105" customHeight="1" thickBot="1">
      <c r="B147" s="1208" t="s">
        <v>645</v>
      </c>
      <c r="C147" s="1209"/>
      <c r="D147" s="1209"/>
      <c r="E147" s="1209"/>
      <c r="F147" s="1209"/>
      <c r="G147" s="1209"/>
      <c r="H147" s="1209"/>
      <c r="I147" s="1209"/>
      <c r="J147" s="1210"/>
      <c r="L147" s="367"/>
      <c r="M147" s="367"/>
      <c r="N147" s="367"/>
      <c r="O147" s="367"/>
      <c r="P147" s="367"/>
      <c r="Q147" s="367"/>
      <c r="R147" s="367"/>
      <c r="S147" s="367"/>
      <c r="T147" s="367"/>
      <c r="U147" s="367"/>
      <c r="V147" s="367"/>
      <c r="W147" s="367"/>
      <c r="X147" s="367"/>
      <c r="Y147" s="367"/>
      <c r="Z147" s="367"/>
      <c r="AA147" s="304"/>
      <c r="AB147" s="304"/>
      <c r="AC147" s="304"/>
      <c r="AD147" s="304"/>
    </row>
    <row r="148" spans="1:45">
      <c r="A148" s="304"/>
      <c r="B148" s="304"/>
      <c r="C148" s="304"/>
      <c r="D148" s="304"/>
      <c r="E148" s="304"/>
      <c r="F148" s="304"/>
      <c r="G148" s="304"/>
      <c r="H148" s="304"/>
      <c r="I148" s="304"/>
      <c r="J148" s="304"/>
      <c r="K148" s="304"/>
      <c r="L148" s="367"/>
      <c r="M148" s="367"/>
      <c r="N148" s="367"/>
      <c r="O148" s="367"/>
      <c r="P148" s="367"/>
      <c r="Q148" s="367"/>
      <c r="R148" s="367"/>
      <c r="S148" s="367"/>
      <c r="T148" s="367"/>
      <c r="U148" s="367"/>
      <c r="V148" s="367"/>
      <c r="W148" s="367"/>
      <c r="X148" s="367"/>
      <c r="Y148" s="367"/>
      <c r="Z148" s="367"/>
      <c r="AA148" s="304"/>
      <c r="AB148" s="304"/>
      <c r="AC148" s="304"/>
      <c r="AD148" s="304"/>
    </row>
    <row r="149" spans="1:45" ht="13.5" customHeight="1" thickBot="1">
      <c r="L149" s="304"/>
      <c r="M149" s="304"/>
      <c r="N149" s="304"/>
      <c r="O149" s="304"/>
      <c r="P149" s="304"/>
      <c r="Q149" s="304"/>
      <c r="R149" s="304"/>
      <c r="S149" s="304"/>
      <c r="T149" s="304"/>
      <c r="U149" s="304"/>
    </row>
    <row r="150" spans="1:45" ht="69" customHeight="1">
      <c r="B150" s="1187" t="s">
        <v>708</v>
      </c>
      <c r="C150" s="1188"/>
      <c r="D150" s="1188"/>
      <c r="E150" s="1188"/>
      <c r="F150" s="1188"/>
      <c r="G150" s="1188"/>
      <c r="H150" s="1188"/>
      <c r="I150" s="1188"/>
      <c r="J150" s="331" t="str">
        <f>'[3]Reference Sheet'!$B$2</f>
        <v>Rev. 4.12.2016</v>
      </c>
      <c r="L150" s="403"/>
      <c r="M150" s="403"/>
      <c r="N150" s="403"/>
      <c r="O150" s="403"/>
      <c r="P150" s="403"/>
      <c r="Q150" s="403"/>
      <c r="R150" s="403"/>
      <c r="S150" s="403"/>
      <c r="T150" s="403"/>
      <c r="U150" s="403"/>
      <c r="V150" s="403"/>
      <c r="W150" s="403"/>
      <c r="X150" s="403"/>
      <c r="Y150" s="403"/>
      <c r="Z150" s="367"/>
      <c r="AA150" s="304"/>
      <c r="AB150" s="304"/>
      <c r="AC150" s="304"/>
      <c r="AD150" s="304"/>
      <c r="AE150" s="304"/>
      <c r="AF150" s="304"/>
      <c r="AG150" s="304"/>
      <c r="AH150" s="304"/>
      <c r="AI150" s="304"/>
      <c r="AJ150" s="304"/>
      <c r="AK150" s="304"/>
      <c r="AL150" s="304"/>
      <c r="AM150" s="304"/>
      <c r="AN150" s="304"/>
      <c r="AO150" s="304"/>
      <c r="AP150" s="304"/>
      <c r="AQ150" s="304"/>
      <c r="AR150" s="304"/>
      <c r="AS150" s="304"/>
    </row>
    <row r="151" spans="1:45" ht="3.75" customHeight="1">
      <c r="B151" s="332"/>
      <c r="C151" s="333"/>
      <c r="D151" s="333"/>
      <c r="E151" s="333"/>
      <c r="F151" s="333"/>
      <c r="G151" s="333"/>
      <c r="H151" s="333"/>
      <c r="I151" s="333"/>
      <c r="J151" s="334"/>
      <c r="L151" s="403"/>
      <c r="M151" s="403"/>
      <c r="N151" s="403"/>
      <c r="O151" s="403"/>
      <c r="P151" s="403"/>
      <c r="Q151" s="403"/>
      <c r="R151" s="403"/>
      <c r="S151" s="403"/>
      <c r="T151" s="403"/>
      <c r="U151" s="403"/>
      <c r="V151" s="403"/>
      <c r="W151" s="403"/>
      <c r="X151" s="403"/>
      <c r="Y151" s="403"/>
      <c r="Z151" s="367"/>
      <c r="AA151" s="304"/>
      <c r="AB151" s="304"/>
      <c r="AC151" s="304"/>
      <c r="AD151" s="304"/>
      <c r="AE151" s="304"/>
      <c r="AF151" s="304"/>
      <c r="AG151" s="304"/>
      <c r="AH151" s="304"/>
      <c r="AI151" s="304"/>
      <c r="AJ151" s="304"/>
      <c r="AK151" s="304"/>
      <c r="AL151" s="304"/>
      <c r="AM151" s="304"/>
      <c r="AN151" s="304"/>
      <c r="AO151" s="304"/>
      <c r="AP151" s="304"/>
      <c r="AQ151" s="304"/>
      <c r="AR151" s="304"/>
      <c r="AS151" s="304"/>
    </row>
    <row r="152" spans="1:45" ht="18" customHeight="1" thickBot="1">
      <c r="B152" s="332"/>
      <c r="C152" s="368" t="s">
        <v>710</v>
      </c>
      <c r="D152" s="1189"/>
      <c r="E152" s="1190"/>
      <c r="F152" s="1190"/>
      <c r="G152" s="1190"/>
      <c r="H152" s="333"/>
      <c r="I152" s="333"/>
      <c r="J152" s="334"/>
      <c r="L152" s="403"/>
      <c r="M152" s="403"/>
      <c r="N152" s="403"/>
      <c r="O152" s="403"/>
      <c r="P152" s="403"/>
      <c r="Q152" s="403"/>
      <c r="R152" s="403"/>
      <c r="S152" s="403"/>
      <c r="T152" s="403"/>
      <c r="U152" s="403"/>
      <c r="V152" s="403"/>
      <c r="W152" s="403"/>
      <c r="X152" s="403"/>
      <c r="Y152" s="403"/>
      <c r="Z152" s="367"/>
      <c r="AA152" s="304"/>
      <c r="AB152" s="304" t="s">
        <v>680</v>
      </c>
      <c r="AC152" s="304">
        <f>IF(AND(J157=0, J161=0, J163=0, J172=0, J173=0, J174=0, J176=0, J178=0, J179=0, I180=0), 0, 1)</f>
        <v>1</v>
      </c>
      <c r="AD152" s="304"/>
      <c r="AE152" s="304"/>
      <c r="AF152" s="366" t="s">
        <v>596</v>
      </c>
      <c r="AG152" s="304"/>
      <c r="AH152" s="304"/>
      <c r="AI152" s="304"/>
      <c r="AJ152" s="304"/>
      <c r="AK152" s="304"/>
      <c r="AL152" s="304"/>
      <c r="AM152" s="304"/>
      <c r="AN152" s="304"/>
      <c r="AO152" s="304"/>
      <c r="AP152" s="304"/>
      <c r="AQ152" s="304"/>
      <c r="AR152" s="304"/>
      <c r="AS152" s="304"/>
    </row>
    <row r="153" spans="1:45" ht="18" customHeight="1" thickBot="1">
      <c r="B153" s="332"/>
      <c r="C153" s="368" t="s">
        <v>711</v>
      </c>
      <c r="D153" s="1277"/>
      <c r="E153" s="1278"/>
      <c r="F153" s="1278"/>
      <c r="G153" s="1278"/>
      <c r="H153" s="368" t="s">
        <v>712</v>
      </c>
      <c r="I153" s="1189"/>
      <c r="J153" s="1279"/>
      <c r="L153" s="403"/>
      <c r="M153" s="403"/>
      <c r="N153" s="403"/>
      <c r="O153" s="403"/>
      <c r="P153" s="403"/>
      <c r="Q153" s="403"/>
      <c r="R153" s="403"/>
      <c r="S153" s="403"/>
      <c r="T153" s="403"/>
      <c r="U153" s="403"/>
      <c r="V153" s="403"/>
      <c r="W153" s="403"/>
      <c r="X153" s="403"/>
      <c r="Y153" s="403"/>
      <c r="Z153" s="367"/>
      <c r="AA153" s="304"/>
      <c r="AB153" s="304" t="s">
        <v>682</v>
      </c>
      <c r="AC153" s="304">
        <f>IF(AND(G180&lt;=I180, I180&lt;&gt;0), 0, 1)</f>
        <v>1</v>
      </c>
      <c r="AD153" s="304"/>
      <c r="AE153" s="304"/>
      <c r="AF153" s="366" t="s">
        <v>683</v>
      </c>
      <c r="AG153" s="304"/>
      <c r="AH153" s="304"/>
      <c r="AI153" s="304"/>
      <c r="AJ153" s="304"/>
      <c r="AK153" s="304"/>
      <c r="AL153" s="304"/>
      <c r="AM153" s="304"/>
      <c r="AN153" s="304"/>
      <c r="AO153" s="304"/>
      <c r="AP153" s="304"/>
      <c r="AQ153" s="304"/>
      <c r="AR153" s="304"/>
      <c r="AS153" s="304"/>
    </row>
    <row r="154" spans="1:45" ht="18" customHeight="1" thickBot="1">
      <c r="B154" s="1176" t="s">
        <v>671</v>
      </c>
      <c r="C154" s="1177"/>
      <c r="D154" s="1280"/>
      <c r="E154" s="1281"/>
      <c r="F154" s="1281"/>
      <c r="G154" s="1281"/>
      <c r="H154" s="336" t="s">
        <v>673</v>
      </c>
      <c r="I154" s="369"/>
      <c r="J154" s="370"/>
      <c r="L154" s="403"/>
      <c r="M154" s="403"/>
      <c r="N154" s="403"/>
      <c r="O154" s="403"/>
      <c r="P154" s="403"/>
      <c r="Q154" s="403"/>
      <c r="R154" s="403"/>
      <c r="S154" s="403"/>
      <c r="T154" s="403"/>
      <c r="U154" s="403"/>
      <c r="V154" s="403"/>
      <c r="W154" s="403"/>
      <c r="X154" s="403"/>
      <c r="Y154" s="403"/>
      <c r="Z154" s="367"/>
      <c r="AA154" s="304"/>
      <c r="AB154" s="304" t="s">
        <v>685</v>
      </c>
      <c r="AC154" s="304">
        <f>IF(AND(AC153=0, AC152=1), 0, 1)</f>
        <v>1</v>
      </c>
      <c r="AD154" s="304"/>
      <c r="AE154" s="304"/>
      <c r="AF154" s="366" t="s">
        <v>599</v>
      </c>
      <c r="AG154" s="304"/>
      <c r="AH154" s="304"/>
      <c r="AI154" s="304"/>
      <c r="AJ154" s="304"/>
      <c r="AK154" s="304"/>
      <c r="AL154" s="304"/>
      <c r="AM154" s="304"/>
      <c r="AN154" s="304"/>
      <c r="AO154" s="304"/>
      <c r="AP154" s="304"/>
      <c r="AQ154" s="304"/>
      <c r="AR154" s="304"/>
      <c r="AS154" s="304"/>
    </row>
    <row r="155" spans="1:45" ht="18" customHeight="1" thickBot="1">
      <c r="B155" s="1176" t="s">
        <v>674</v>
      </c>
      <c r="C155" s="1177"/>
      <c r="D155" s="1262"/>
      <c r="E155" s="1263"/>
      <c r="F155" s="1263"/>
      <c r="G155" s="1263"/>
      <c r="H155" s="1263"/>
      <c r="I155" s="1263"/>
      <c r="J155" s="1264"/>
      <c r="L155" s="403"/>
      <c r="M155" s="403"/>
      <c r="N155" s="403"/>
      <c r="O155" s="403"/>
      <c r="P155" s="403"/>
      <c r="Q155" s="403"/>
      <c r="R155" s="403"/>
      <c r="S155" s="403"/>
      <c r="T155" s="403"/>
      <c r="U155" s="403"/>
      <c r="V155" s="403"/>
      <c r="W155" s="403"/>
      <c r="X155" s="403"/>
      <c r="Y155" s="403"/>
      <c r="Z155" s="367"/>
      <c r="AA155" s="304"/>
      <c r="AB155" s="304"/>
      <c r="AC155" s="304"/>
      <c r="AD155" s="304"/>
      <c r="AE155" s="304"/>
      <c r="AF155" s="366" t="s">
        <v>603</v>
      </c>
      <c r="AG155" s="304"/>
      <c r="AH155" s="304"/>
      <c r="AI155" s="304"/>
      <c r="AJ155" s="304"/>
      <c r="AK155" s="304"/>
      <c r="AL155" s="304"/>
      <c r="AM155" s="304"/>
      <c r="AN155" s="304"/>
      <c r="AO155" s="304"/>
      <c r="AP155" s="304"/>
      <c r="AQ155" s="304"/>
      <c r="AR155" s="304"/>
      <c r="AS155" s="304"/>
    </row>
    <row r="156" spans="1:45">
      <c r="B156" s="1265"/>
      <c r="C156" s="1266"/>
      <c r="D156" s="1266"/>
      <c r="E156" s="1266"/>
      <c r="F156" s="1267"/>
      <c r="G156" s="371" t="s">
        <v>713</v>
      </c>
      <c r="H156" s="372" t="s">
        <v>676</v>
      </c>
      <c r="I156" s="342"/>
      <c r="J156" s="373" t="s">
        <v>677</v>
      </c>
      <c r="L156" s="403"/>
      <c r="M156" s="403"/>
      <c r="N156" s="403"/>
      <c r="O156" s="403"/>
      <c r="P156" s="403"/>
      <c r="Q156" s="403"/>
      <c r="R156" s="403"/>
      <c r="S156" s="403"/>
      <c r="T156" s="403"/>
      <c r="U156" s="403"/>
      <c r="V156" s="403"/>
      <c r="W156" s="403"/>
      <c r="X156" s="403"/>
      <c r="Y156" s="403"/>
      <c r="Z156" s="367"/>
      <c r="AA156" s="304"/>
      <c r="AB156" s="304" t="s">
        <v>689</v>
      </c>
      <c r="AC156" s="374">
        <f>G180/12</f>
        <v>0</v>
      </c>
      <c r="AD156" s="304"/>
      <c r="AE156" s="304"/>
      <c r="AF156" s="366" t="s">
        <v>605</v>
      </c>
      <c r="AG156" s="304"/>
      <c r="AH156" s="304"/>
      <c r="AI156" s="304"/>
      <c r="AJ156" s="304"/>
      <c r="AK156" s="304"/>
      <c r="AL156" s="304"/>
      <c r="AM156" s="304"/>
      <c r="AN156" s="304"/>
      <c r="AO156" s="304"/>
      <c r="AP156" s="304"/>
      <c r="AQ156" s="304"/>
      <c r="AR156" s="304"/>
      <c r="AS156" s="304"/>
    </row>
    <row r="157" spans="1:45">
      <c r="B157" s="1268"/>
      <c r="C157" s="1266"/>
      <c r="D157" s="1266"/>
      <c r="E157" s="1266"/>
      <c r="F157" s="1267"/>
      <c r="G157" s="375" t="s">
        <v>714</v>
      </c>
      <c r="H157" s="376"/>
      <c r="I157" s="1272"/>
      <c r="J157" s="378"/>
      <c r="L157" s="403"/>
      <c r="M157" s="403"/>
      <c r="N157" s="403"/>
      <c r="O157" s="403"/>
      <c r="P157" s="403"/>
      <c r="Q157" s="403"/>
      <c r="R157" s="403"/>
      <c r="S157" s="403"/>
      <c r="T157" s="403"/>
      <c r="U157" s="403"/>
      <c r="V157" s="403"/>
      <c r="W157" s="403"/>
      <c r="X157" s="403"/>
      <c r="Y157" s="403"/>
      <c r="Z157" s="367"/>
      <c r="AA157" s="304"/>
      <c r="AB157" s="304" t="s">
        <v>691</v>
      </c>
      <c r="AC157" s="374">
        <f>(G180+I180)/24</f>
        <v>0</v>
      </c>
      <c r="AD157" s="304"/>
      <c r="AE157" s="304"/>
      <c r="AF157" s="304"/>
      <c r="AG157" s="304"/>
      <c r="AH157" s="304"/>
      <c r="AI157" s="304"/>
      <c r="AJ157" s="304"/>
      <c r="AK157" s="304"/>
      <c r="AL157" s="304"/>
      <c r="AM157" s="304"/>
      <c r="AN157" s="304"/>
      <c r="AO157" s="304"/>
      <c r="AP157" s="304"/>
      <c r="AQ157" s="304"/>
      <c r="AR157" s="304"/>
      <c r="AS157" s="304"/>
    </row>
    <row r="158" spans="1:45">
      <c r="B158" s="1268"/>
      <c r="C158" s="1266"/>
      <c r="D158" s="1266"/>
      <c r="E158" s="1266"/>
      <c r="F158" s="1267"/>
      <c r="G158" s="379" t="s">
        <v>715</v>
      </c>
      <c r="H158" s="380"/>
      <c r="I158" s="1272"/>
      <c r="J158" s="378"/>
      <c r="L158" s="403"/>
      <c r="M158" s="403"/>
      <c r="N158" s="403"/>
      <c r="O158" s="403"/>
      <c r="P158" s="403"/>
      <c r="Q158" s="403"/>
      <c r="R158" s="403"/>
      <c r="S158" s="403"/>
      <c r="T158" s="403"/>
      <c r="U158" s="403"/>
      <c r="V158" s="403"/>
      <c r="W158" s="403"/>
      <c r="X158" s="403"/>
      <c r="Y158" s="403"/>
      <c r="Z158" s="367"/>
      <c r="AA158" s="304"/>
      <c r="AB158" s="304"/>
      <c r="AC158" s="304"/>
      <c r="AD158" s="304"/>
      <c r="AE158" s="304"/>
      <c r="AF158" s="304"/>
      <c r="AG158" s="304"/>
      <c r="AH158" s="304"/>
      <c r="AI158" s="304"/>
      <c r="AJ158" s="304"/>
      <c r="AK158" s="304"/>
      <c r="AL158" s="304"/>
      <c r="AM158" s="304"/>
      <c r="AN158" s="304"/>
      <c r="AO158" s="304"/>
      <c r="AP158" s="304"/>
      <c r="AQ158" s="304"/>
      <c r="AR158" s="304"/>
      <c r="AS158" s="304"/>
    </row>
    <row r="159" spans="1:45" ht="15.75" thickBot="1">
      <c r="B159" s="1269"/>
      <c r="C159" s="1270"/>
      <c r="D159" s="1270"/>
      <c r="E159" s="1270"/>
      <c r="F159" s="1271"/>
      <c r="G159" s="379" t="s">
        <v>716</v>
      </c>
      <c r="H159" s="376"/>
      <c r="I159" s="1272"/>
      <c r="J159" s="378"/>
      <c r="L159" s="403"/>
      <c r="M159" s="403"/>
      <c r="N159" s="403"/>
      <c r="O159" s="403"/>
      <c r="P159" s="403"/>
      <c r="Q159" s="403"/>
      <c r="R159" s="403"/>
      <c r="S159" s="403"/>
      <c r="T159" s="403"/>
      <c r="U159" s="403"/>
      <c r="V159" s="403"/>
      <c r="W159" s="403"/>
      <c r="X159" s="403"/>
      <c r="Y159" s="403"/>
      <c r="Z159" s="367"/>
      <c r="AA159" s="304"/>
      <c r="AB159" s="304" t="s">
        <v>717</v>
      </c>
      <c r="AC159" s="304" t="str">
        <f>IF(OR(H157=0, H157&gt;100%), "Year End Profit %", (G163+G164+G165))</f>
        <v>Year End Profit %</v>
      </c>
      <c r="AD159" s="304"/>
      <c r="AE159" s="304"/>
      <c r="AF159" s="304"/>
      <c r="AG159" s="304"/>
      <c r="AH159" s="304"/>
      <c r="AI159" s="304"/>
      <c r="AJ159" s="304"/>
      <c r="AK159" s="304"/>
      <c r="AL159" s="304"/>
      <c r="AM159" s="304"/>
      <c r="AN159" s="304"/>
      <c r="AO159" s="304"/>
      <c r="AP159" s="304"/>
      <c r="AQ159" s="304"/>
      <c r="AR159" s="304"/>
      <c r="AS159" s="304"/>
    </row>
    <row r="160" spans="1:45" ht="18.75">
      <c r="B160" s="1229" t="s">
        <v>718</v>
      </c>
      <c r="C160" s="1273"/>
      <c r="D160" s="1273"/>
      <c r="E160" s="1273"/>
      <c r="F160" s="1273"/>
      <c r="G160" s="377" t="s">
        <v>719</v>
      </c>
      <c r="H160" s="381"/>
      <c r="I160" s="377" t="s">
        <v>719</v>
      </c>
      <c r="J160" s="382"/>
      <c r="L160" s="403"/>
      <c r="M160" s="403"/>
      <c r="N160" s="403"/>
      <c r="O160" s="403"/>
      <c r="P160" s="403"/>
      <c r="Q160" s="403"/>
      <c r="R160" s="403"/>
      <c r="S160" s="403"/>
      <c r="T160" s="403"/>
      <c r="U160" s="403"/>
      <c r="V160" s="403"/>
      <c r="W160" s="403"/>
      <c r="X160" s="403"/>
      <c r="Y160" s="403"/>
      <c r="Z160" s="367"/>
      <c r="AA160" s="304"/>
      <c r="AB160" s="304" t="s">
        <v>720</v>
      </c>
      <c r="AC160" s="304" t="str">
        <f>IF(OR(J157&gt;100%, J157=0), "Year End Profit %", (I163+I164+I165))</f>
        <v>Year End Profit %</v>
      </c>
      <c r="AD160" s="383"/>
      <c r="AE160" s="304"/>
      <c r="AF160" s="304"/>
      <c r="AG160" s="304"/>
      <c r="AH160" s="304"/>
      <c r="AI160" s="304"/>
      <c r="AJ160" s="304"/>
      <c r="AK160" s="304"/>
      <c r="AL160" s="304"/>
      <c r="AM160" s="304"/>
      <c r="AN160" s="304"/>
      <c r="AO160" s="304"/>
      <c r="AP160" s="304"/>
      <c r="AQ160" s="304"/>
      <c r="AR160" s="304"/>
      <c r="AS160" s="304"/>
    </row>
    <row r="161" spans="2:45">
      <c r="B161" s="1274" t="s">
        <v>721</v>
      </c>
      <c r="C161" s="1275"/>
      <c r="D161" s="1275"/>
      <c r="E161" s="1275"/>
      <c r="F161" s="1276"/>
      <c r="G161" s="346"/>
      <c r="H161" s="384">
        <f>G161</f>
        <v>0</v>
      </c>
      <c r="I161" s="364"/>
      <c r="J161" s="385">
        <f>I161</f>
        <v>0</v>
      </c>
      <c r="L161" s="403"/>
      <c r="M161" s="403"/>
      <c r="N161" s="403"/>
      <c r="O161" s="403"/>
      <c r="P161" s="403"/>
      <c r="Q161" s="403"/>
      <c r="R161" s="403"/>
      <c r="S161" s="403"/>
      <c r="T161" s="403"/>
      <c r="U161" s="403"/>
      <c r="V161" s="403"/>
      <c r="W161" s="403"/>
      <c r="X161" s="403"/>
      <c r="Y161" s="403"/>
      <c r="Z161" s="367"/>
      <c r="AA161" s="304"/>
      <c r="AB161" s="304"/>
      <c r="AC161" s="304"/>
      <c r="AD161" s="304"/>
      <c r="AE161" s="304"/>
      <c r="AF161" s="304"/>
      <c r="AG161" s="304"/>
      <c r="AH161" s="304"/>
      <c r="AI161" s="304"/>
      <c r="AJ161" s="304"/>
      <c r="AK161" s="304"/>
      <c r="AL161" s="304"/>
      <c r="AM161" s="304"/>
      <c r="AN161" s="304"/>
      <c r="AO161" s="304"/>
      <c r="AP161" s="304"/>
      <c r="AQ161" s="304"/>
      <c r="AR161" s="304"/>
      <c r="AS161" s="304"/>
    </row>
    <row r="162" spans="2:45">
      <c r="B162" s="1246" t="s">
        <v>722</v>
      </c>
      <c r="C162" s="1247"/>
      <c r="D162" s="1247"/>
      <c r="E162" s="1247"/>
      <c r="F162" s="1247"/>
      <c r="G162" s="377"/>
      <c r="H162" s="381"/>
      <c r="I162" s="386"/>
      <c r="J162" s="382"/>
      <c r="L162" s="403"/>
      <c r="M162" s="403"/>
      <c r="N162" s="403"/>
      <c r="O162" s="403"/>
      <c r="P162" s="403"/>
      <c r="Q162" s="403"/>
      <c r="R162" s="403"/>
      <c r="S162" s="403"/>
      <c r="T162" s="403"/>
      <c r="U162" s="403"/>
      <c r="V162" s="403"/>
      <c r="W162" s="403"/>
      <c r="X162" s="403"/>
      <c r="Y162" s="403"/>
      <c r="Z162" s="367"/>
      <c r="AA162" s="304"/>
      <c r="AB162" s="304"/>
      <c r="AC162" s="304"/>
      <c r="AD162" s="304"/>
      <c r="AE162" s="304"/>
      <c r="AF162" s="304"/>
      <c r="AG162" s="304"/>
      <c r="AH162" s="304"/>
      <c r="AI162" s="304"/>
      <c r="AJ162" s="304"/>
      <c r="AK162" s="304"/>
      <c r="AL162" s="304"/>
      <c r="AM162" s="304"/>
      <c r="AN162" s="304"/>
      <c r="AO162" s="304"/>
      <c r="AP162" s="304"/>
      <c r="AQ162" s="304"/>
      <c r="AR162" s="304"/>
      <c r="AS162" s="304"/>
    </row>
    <row r="163" spans="2:45">
      <c r="B163" s="1248" t="s">
        <v>723</v>
      </c>
      <c r="C163" s="1249"/>
      <c r="D163" s="1249"/>
      <c r="E163" s="1249"/>
      <c r="F163" s="1250"/>
      <c r="G163" s="346"/>
      <c r="H163" s="387" t="str">
        <f>AC159</f>
        <v>Year End Profit %</v>
      </c>
      <c r="I163" s="346"/>
      <c r="J163" s="388" t="str">
        <f>AC160</f>
        <v>Year End Profit %</v>
      </c>
      <c r="L163" s="403"/>
      <c r="M163" s="403"/>
      <c r="N163" s="403"/>
      <c r="O163" s="403"/>
      <c r="P163" s="403"/>
      <c r="Q163" s="403"/>
      <c r="R163" s="403"/>
      <c r="S163" s="403"/>
      <c r="T163" s="403"/>
      <c r="U163" s="403"/>
      <c r="V163" s="403"/>
      <c r="W163" s="403"/>
      <c r="X163" s="403"/>
      <c r="Y163" s="403"/>
      <c r="Z163" s="367"/>
      <c r="AA163" s="304"/>
      <c r="AB163" s="304"/>
      <c r="AC163" s="304"/>
      <c r="AD163" s="304"/>
      <c r="AE163" s="304"/>
      <c r="AF163" s="304"/>
      <c r="AG163" s="304"/>
      <c r="AH163" s="304"/>
      <c r="AI163" s="304"/>
      <c r="AJ163" s="304"/>
      <c r="AK163" s="304"/>
      <c r="AL163" s="304"/>
      <c r="AM163" s="304"/>
      <c r="AN163" s="304"/>
      <c r="AO163" s="304"/>
      <c r="AP163" s="304"/>
      <c r="AQ163" s="304"/>
      <c r="AR163" s="304"/>
      <c r="AS163" s="304"/>
    </row>
    <row r="164" spans="2:45">
      <c r="B164" s="1251" t="s">
        <v>724</v>
      </c>
      <c r="C164" s="1252"/>
      <c r="D164" s="1252"/>
      <c r="E164" s="1252"/>
      <c r="F164" s="1253"/>
      <c r="G164" s="346"/>
      <c r="H164" s="389"/>
      <c r="I164" s="346"/>
      <c r="J164" s="390"/>
      <c r="L164" s="403"/>
      <c r="M164" s="403"/>
      <c r="N164" s="403"/>
      <c r="O164" s="403"/>
      <c r="P164" s="403"/>
      <c r="Q164" s="403"/>
      <c r="R164" s="403"/>
      <c r="S164" s="403"/>
      <c r="T164" s="403"/>
      <c r="U164" s="403"/>
      <c r="V164" s="403"/>
      <c r="W164" s="403"/>
      <c r="X164" s="403"/>
      <c r="Y164" s="403"/>
      <c r="Z164" s="367"/>
      <c r="AA164" s="304"/>
      <c r="AB164" s="304"/>
      <c r="AC164" s="304"/>
      <c r="AD164" s="304"/>
      <c r="AE164" s="304"/>
      <c r="AF164" s="304"/>
      <c r="AG164" s="304"/>
      <c r="AH164" s="304"/>
      <c r="AI164" s="304"/>
      <c r="AJ164" s="304"/>
      <c r="AK164" s="304"/>
      <c r="AL164" s="304"/>
      <c r="AM164" s="304"/>
      <c r="AN164" s="304"/>
      <c r="AO164" s="304"/>
      <c r="AP164" s="304"/>
      <c r="AQ164" s="304"/>
      <c r="AR164" s="304"/>
      <c r="AS164" s="304"/>
    </row>
    <row r="165" spans="2:45">
      <c r="B165" s="1254" t="s">
        <v>725</v>
      </c>
      <c r="C165" s="1255"/>
      <c r="D165" s="1255"/>
      <c r="E165" s="1255"/>
      <c r="F165" s="1256"/>
      <c r="G165" s="346"/>
      <c r="H165" s="389"/>
      <c r="I165" s="346"/>
      <c r="J165" s="390"/>
      <c r="L165" s="403"/>
      <c r="M165" s="403"/>
      <c r="N165" s="403"/>
      <c r="O165" s="403"/>
      <c r="P165" s="403"/>
      <c r="Q165" s="403"/>
      <c r="R165" s="403"/>
      <c r="S165" s="403"/>
      <c r="T165" s="403"/>
      <c r="U165" s="403"/>
      <c r="V165" s="403"/>
      <c r="W165" s="403"/>
      <c r="X165" s="403"/>
      <c r="Y165" s="403"/>
      <c r="Z165" s="367"/>
      <c r="AA165" s="304"/>
      <c r="AB165" s="304"/>
      <c r="AC165" s="304"/>
      <c r="AD165" s="304"/>
      <c r="AE165" s="304"/>
      <c r="AF165" s="304"/>
      <c r="AG165" s="304"/>
      <c r="AH165" s="304"/>
      <c r="AI165" s="304"/>
      <c r="AJ165" s="304"/>
      <c r="AK165" s="304"/>
      <c r="AL165" s="304"/>
      <c r="AM165" s="304"/>
      <c r="AN165" s="304"/>
      <c r="AO165" s="304"/>
      <c r="AP165" s="304"/>
      <c r="AQ165" s="304"/>
      <c r="AR165" s="304"/>
      <c r="AS165" s="304"/>
    </row>
    <row r="166" spans="2:45">
      <c r="B166" s="1257" t="s">
        <v>726</v>
      </c>
      <c r="C166" s="1258"/>
      <c r="D166" s="1258"/>
      <c r="E166" s="1258"/>
      <c r="F166" s="1258"/>
      <c r="G166" s="391"/>
      <c r="H166" s="392"/>
      <c r="I166" s="391"/>
      <c r="J166" s="393"/>
      <c r="L166" s="403"/>
      <c r="M166" s="403"/>
      <c r="N166" s="403"/>
      <c r="O166" s="403"/>
      <c r="P166" s="403"/>
      <c r="Q166" s="403"/>
      <c r="R166" s="403"/>
      <c r="S166" s="403"/>
      <c r="T166" s="403"/>
      <c r="U166" s="403"/>
      <c r="V166" s="403"/>
      <c r="W166" s="403"/>
      <c r="X166" s="403"/>
      <c r="Y166" s="403"/>
      <c r="Z166" s="367"/>
      <c r="AA166" s="304"/>
      <c r="AB166" s="304"/>
      <c r="AC166" s="304"/>
      <c r="AD166" s="304"/>
      <c r="AE166" s="304"/>
      <c r="AF166" s="304"/>
      <c r="AG166" s="304"/>
      <c r="AH166" s="304"/>
      <c r="AI166" s="304"/>
      <c r="AJ166" s="304"/>
      <c r="AK166" s="304"/>
      <c r="AL166" s="304"/>
      <c r="AM166" s="304"/>
      <c r="AN166" s="304"/>
      <c r="AO166" s="304"/>
      <c r="AP166" s="304"/>
      <c r="AQ166" s="304"/>
      <c r="AR166" s="304"/>
      <c r="AS166" s="304"/>
    </row>
    <row r="167" spans="2:45">
      <c r="B167" s="1259" t="s">
        <v>727</v>
      </c>
      <c r="C167" s="1260"/>
      <c r="D167" s="1260"/>
      <c r="E167" s="1260"/>
      <c r="F167" s="1261"/>
      <c r="G167" s="394"/>
      <c r="H167" s="395">
        <f>(G167*H157)*-1</f>
        <v>0</v>
      </c>
      <c r="I167" s="394"/>
      <c r="J167" s="396">
        <f>(I167*J157)*-1</f>
        <v>0</v>
      </c>
      <c r="L167" s="403"/>
      <c r="M167" s="403"/>
      <c r="N167" s="403"/>
      <c r="O167" s="403"/>
      <c r="P167" s="403"/>
      <c r="Q167" s="403"/>
      <c r="R167" s="403"/>
      <c r="S167" s="403"/>
      <c r="T167" s="403"/>
      <c r="U167" s="403"/>
      <c r="V167" s="403"/>
      <c r="W167" s="403"/>
      <c r="X167" s="403"/>
      <c r="Y167" s="403"/>
      <c r="Z167" s="367"/>
      <c r="AA167" s="304"/>
      <c r="AB167" s="304"/>
      <c r="AC167" s="304"/>
      <c r="AD167" s="304"/>
      <c r="AE167" s="304"/>
      <c r="AF167" s="304"/>
      <c r="AG167" s="304"/>
      <c r="AH167" s="304"/>
      <c r="AI167" s="304"/>
      <c r="AJ167" s="304"/>
      <c r="AK167" s="304"/>
      <c r="AL167" s="304"/>
      <c r="AM167" s="304"/>
      <c r="AN167" s="304"/>
      <c r="AO167" s="304"/>
      <c r="AP167" s="304"/>
      <c r="AQ167" s="304"/>
      <c r="AR167" s="304"/>
      <c r="AS167" s="304"/>
    </row>
    <row r="168" spans="2:45">
      <c r="B168" s="1237" t="s">
        <v>728</v>
      </c>
      <c r="C168" s="1238"/>
      <c r="D168" s="1238"/>
      <c r="E168" s="1238"/>
      <c r="F168" s="1239"/>
      <c r="G168" s="394"/>
      <c r="H168" s="395">
        <f>(G168*H157)*-1</f>
        <v>0</v>
      </c>
      <c r="I168" s="394"/>
      <c r="J168" s="396">
        <f>(I168*J157)*-1</f>
        <v>0</v>
      </c>
      <c r="L168" s="403"/>
      <c r="M168" s="403"/>
      <c r="N168" s="403"/>
      <c r="O168" s="403"/>
      <c r="P168" s="403"/>
      <c r="Q168" s="403"/>
      <c r="R168" s="403"/>
      <c r="S168" s="403"/>
      <c r="T168" s="403"/>
      <c r="U168" s="403"/>
      <c r="V168" s="403"/>
      <c r="W168" s="403"/>
      <c r="X168" s="403"/>
      <c r="Y168" s="403"/>
      <c r="Z168" s="367"/>
      <c r="AA168" s="304"/>
      <c r="AB168" s="304"/>
      <c r="AC168" s="304"/>
      <c r="AD168" s="304"/>
      <c r="AE168" s="304"/>
      <c r="AF168" s="304"/>
      <c r="AG168" s="304"/>
      <c r="AH168" s="304"/>
      <c r="AI168" s="304"/>
      <c r="AJ168" s="304"/>
      <c r="AK168" s="304"/>
      <c r="AL168" s="304"/>
      <c r="AM168" s="304"/>
      <c r="AN168" s="304"/>
      <c r="AO168" s="304"/>
      <c r="AP168" s="304"/>
      <c r="AQ168" s="304"/>
      <c r="AR168" s="304"/>
      <c r="AS168" s="304"/>
    </row>
    <row r="169" spans="2:45">
      <c r="B169" s="1237" t="s">
        <v>729</v>
      </c>
      <c r="C169" s="1238"/>
      <c r="D169" s="1238"/>
      <c r="E169" s="1238"/>
      <c r="F169" s="1239"/>
      <c r="G169" s="394"/>
      <c r="H169" s="395">
        <f>(G169*H157)*-1</f>
        <v>0</v>
      </c>
      <c r="I169" s="394"/>
      <c r="J169" s="396">
        <f>(I169*J157)*-1</f>
        <v>0</v>
      </c>
      <c r="L169" s="403"/>
      <c r="M169" s="403"/>
      <c r="N169" s="403"/>
      <c r="O169" s="403"/>
      <c r="P169" s="403"/>
      <c r="Q169" s="403"/>
      <c r="R169" s="403"/>
      <c r="S169" s="403"/>
      <c r="T169" s="403"/>
      <c r="U169" s="403"/>
      <c r="V169" s="403"/>
      <c r="W169" s="403"/>
      <c r="X169" s="403"/>
      <c r="Y169" s="403"/>
      <c r="Z169" s="367"/>
      <c r="AA169" s="304"/>
      <c r="AB169" s="304"/>
      <c r="AC169" s="304"/>
      <c r="AD169" s="304"/>
      <c r="AE169" s="304"/>
      <c r="AF169" s="304"/>
      <c r="AG169" s="304"/>
      <c r="AH169" s="304"/>
      <c r="AI169" s="304"/>
      <c r="AJ169" s="304"/>
      <c r="AK169" s="304"/>
      <c r="AL169" s="304"/>
      <c r="AM169" s="304"/>
      <c r="AN169" s="304"/>
      <c r="AO169" s="304"/>
      <c r="AP169" s="304"/>
      <c r="AQ169" s="304"/>
      <c r="AR169" s="304"/>
      <c r="AS169" s="304"/>
    </row>
    <row r="170" spans="2:45">
      <c r="B170" s="1240" t="s">
        <v>730</v>
      </c>
      <c r="C170" s="1241"/>
      <c r="D170" s="1241"/>
      <c r="E170" s="1241"/>
      <c r="F170" s="1242"/>
      <c r="G170" s="394"/>
      <c r="H170" s="395">
        <f>(G170*H157)*-1</f>
        <v>0</v>
      </c>
      <c r="I170" s="394"/>
      <c r="J170" s="396">
        <f>(I170*J157)*-1</f>
        <v>0</v>
      </c>
      <c r="L170" s="403"/>
      <c r="M170" s="403"/>
      <c r="N170" s="403"/>
      <c r="O170" s="403"/>
      <c r="P170" s="403"/>
      <c r="Q170" s="403"/>
      <c r="R170" s="403"/>
      <c r="S170" s="403"/>
      <c r="T170" s="403"/>
      <c r="U170" s="403"/>
      <c r="V170" s="403"/>
      <c r="W170" s="403"/>
      <c r="X170" s="403"/>
      <c r="Y170" s="403"/>
      <c r="Z170" s="367"/>
      <c r="AA170" s="304"/>
      <c r="AB170" s="304"/>
      <c r="AC170" s="304"/>
      <c r="AD170" s="304"/>
      <c r="AE170" s="304"/>
      <c r="AF170" s="304"/>
      <c r="AG170" s="304"/>
      <c r="AH170" s="304"/>
      <c r="AI170" s="304"/>
      <c r="AJ170" s="304"/>
      <c r="AK170" s="304"/>
      <c r="AL170" s="304"/>
      <c r="AM170" s="304"/>
      <c r="AN170" s="304"/>
      <c r="AO170" s="304"/>
      <c r="AP170" s="304"/>
      <c r="AQ170" s="304"/>
      <c r="AR170" s="304"/>
      <c r="AS170" s="304"/>
    </row>
    <row r="171" spans="2:45">
      <c r="B171" s="1229" t="s">
        <v>731</v>
      </c>
      <c r="C171" s="1230"/>
      <c r="D171" s="1230"/>
      <c r="E171" s="1230"/>
      <c r="F171" s="1230"/>
      <c r="G171" s="350"/>
      <c r="H171" s="351"/>
      <c r="I171" s="350"/>
      <c r="J171" s="352"/>
      <c r="L171" s="403"/>
      <c r="M171" s="403"/>
      <c r="N171" s="403"/>
      <c r="O171" s="403"/>
      <c r="P171" s="403"/>
      <c r="Q171" s="403"/>
      <c r="R171" s="403"/>
      <c r="S171" s="403"/>
      <c r="T171" s="403"/>
      <c r="U171" s="403"/>
      <c r="V171" s="403"/>
      <c r="W171" s="403"/>
      <c r="X171" s="403"/>
      <c r="Y171" s="403"/>
      <c r="Z171" s="367"/>
      <c r="AA171" s="304"/>
      <c r="AB171" s="304"/>
      <c r="AC171" s="304"/>
      <c r="AD171" s="304"/>
      <c r="AE171" s="304"/>
      <c r="AF171" s="304"/>
      <c r="AG171" s="304"/>
      <c r="AH171" s="304"/>
      <c r="AI171" s="304"/>
      <c r="AJ171" s="304"/>
      <c r="AK171" s="304"/>
      <c r="AL171" s="304"/>
      <c r="AM171" s="304"/>
      <c r="AN171" s="304"/>
      <c r="AO171" s="304"/>
      <c r="AP171" s="304"/>
      <c r="AQ171" s="304"/>
      <c r="AR171" s="304"/>
      <c r="AS171" s="304"/>
    </row>
    <row r="172" spans="2:45">
      <c r="B172" s="1243" t="s">
        <v>732</v>
      </c>
      <c r="C172" s="1244"/>
      <c r="D172" s="1244"/>
      <c r="E172" s="1244"/>
      <c r="F172" s="1245"/>
      <c r="G172" s="346"/>
      <c r="H172" s="384">
        <f>G172*H157</f>
        <v>0</v>
      </c>
      <c r="I172" s="346"/>
      <c r="J172" s="385">
        <f>I172*J157</f>
        <v>0</v>
      </c>
      <c r="L172" s="403"/>
      <c r="M172" s="403"/>
      <c r="N172" s="403"/>
      <c r="O172" s="403"/>
      <c r="P172" s="403"/>
      <c r="Q172" s="403"/>
      <c r="R172" s="403"/>
      <c r="S172" s="403"/>
      <c r="T172" s="403"/>
      <c r="U172" s="403"/>
      <c r="V172" s="403"/>
      <c r="W172" s="403"/>
      <c r="X172" s="403"/>
      <c r="Y172" s="403"/>
      <c r="Z172" s="367"/>
      <c r="AA172" s="304"/>
      <c r="AB172" s="304"/>
      <c r="AC172" s="304"/>
      <c r="AD172" s="304"/>
      <c r="AE172" s="304"/>
      <c r="AF172" s="304"/>
      <c r="AG172" s="304"/>
      <c r="AH172" s="304"/>
      <c r="AI172" s="304"/>
      <c r="AJ172" s="304"/>
      <c r="AK172" s="304"/>
      <c r="AL172" s="304"/>
      <c r="AM172" s="304"/>
      <c r="AN172" s="304"/>
      <c r="AO172" s="304"/>
      <c r="AP172" s="304"/>
      <c r="AQ172" s="304"/>
      <c r="AR172" s="304"/>
      <c r="AS172" s="304"/>
    </row>
    <row r="173" spans="2:45">
      <c r="B173" s="1223" t="s">
        <v>733</v>
      </c>
      <c r="C173" s="1224"/>
      <c r="D173" s="1224"/>
      <c r="E173" s="1224"/>
      <c r="F173" s="1225"/>
      <c r="G173" s="346"/>
      <c r="H173" s="384">
        <f>G173*H157</f>
        <v>0</v>
      </c>
      <c r="I173" s="346"/>
      <c r="J173" s="385">
        <f>I173*J157</f>
        <v>0</v>
      </c>
      <c r="L173" s="403"/>
      <c r="M173" s="403"/>
      <c r="N173" s="403"/>
      <c r="O173" s="403"/>
      <c r="P173" s="403"/>
      <c r="Q173" s="403"/>
      <c r="R173" s="403"/>
      <c r="S173" s="403"/>
      <c r="T173" s="403"/>
      <c r="U173" s="403"/>
      <c r="V173" s="403"/>
      <c r="W173" s="403"/>
      <c r="X173" s="403"/>
      <c r="Y173" s="403"/>
      <c r="Z173" s="367"/>
      <c r="AA173" s="304"/>
      <c r="AB173" s="304"/>
      <c r="AC173" s="304"/>
      <c r="AD173" s="304"/>
      <c r="AE173" s="304"/>
      <c r="AF173" s="304"/>
      <c r="AG173" s="304"/>
      <c r="AH173" s="304"/>
      <c r="AI173" s="304"/>
      <c r="AJ173" s="304"/>
      <c r="AK173" s="304"/>
      <c r="AL173" s="304"/>
      <c r="AM173" s="304"/>
      <c r="AN173" s="304"/>
      <c r="AO173" s="304"/>
      <c r="AP173" s="304"/>
      <c r="AQ173" s="304"/>
      <c r="AR173" s="304"/>
      <c r="AS173" s="304"/>
    </row>
    <row r="174" spans="2:45">
      <c r="B174" s="1223" t="s">
        <v>734</v>
      </c>
      <c r="C174" s="1224"/>
      <c r="D174" s="1224"/>
      <c r="E174" s="1224"/>
      <c r="F174" s="1225"/>
      <c r="G174" s="346"/>
      <c r="H174" s="384">
        <f>G174*H157</f>
        <v>0</v>
      </c>
      <c r="I174" s="346"/>
      <c r="J174" s="385">
        <f>I174*J157</f>
        <v>0</v>
      </c>
      <c r="L174" s="403"/>
      <c r="M174" s="403"/>
      <c r="N174" s="403"/>
      <c r="O174" s="403"/>
      <c r="P174" s="403"/>
      <c r="Q174" s="403"/>
      <c r="R174" s="403"/>
      <c r="S174" s="403"/>
      <c r="T174" s="403"/>
      <c r="U174" s="403"/>
      <c r="V174" s="403"/>
      <c r="W174" s="403"/>
      <c r="X174" s="403"/>
      <c r="Y174" s="403"/>
      <c r="Z174" s="367"/>
      <c r="AA174" s="304"/>
      <c r="AB174" s="304"/>
      <c r="AC174" s="304"/>
      <c r="AD174" s="304"/>
      <c r="AE174" s="304"/>
      <c r="AF174" s="304"/>
      <c r="AG174" s="304"/>
      <c r="AH174" s="304"/>
      <c r="AI174" s="304"/>
      <c r="AJ174" s="304"/>
      <c r="AK174" s="304"/>
      <c r="AL174" s="304"/>
      <c r="AM174" s="304"/>
      <c r="AN174" s="304"/>
      <c r="AO174" s="304"/>
      <c r="AP174" s="304"/>
      <c r="AQ174" s="304"/>
      <c r="AR174" s="304"/>
      <c r="AS174" s="304"/>
    </row>
    <row r="175" spans="2:45">
      <c r="B175" s="1172" t="s">
        <v>735</v>
      </c>
      <c r="C175" s="1173"/>
      <c r="D175" s="1173"/>
      <c r="E175" s="1173"/>
      <c r="F175" s="1173"/>
      <c r="G175" s="351"/>
      <c r="H175" s="397"/>
      <c r="I175" s="351"/>
      <c r="J175" s="398"/>
      <c r="L175" s="403"/>
      <c r="M175" s="403"/>
      <c r="N175" s="403"/>
      <c r="O175" s="403"/>
      <c r="P175" s="403"/>
      <c r="Q175" s="403"/>
      <c r="R175" s="403"/>
      <c r="S175" s="403"/>
      <c r="T175" s="403"/>
      <c r="U175" s="403"/>
      <c r="V175" s="403"/>
      <c r="W175" s="403"/>
      <c r="X175" s="403"/>
      <c r="Y175" s="403"/>
      <c r="Z175" s="367"/>
      <c r="AA175" s="304"/>
      <c r="AB175" s="304"/>
      <c r="AC175" s="304"/>
      <c r="AD175" s="304"/>
      <c r="AE175" s="304"/>
      <c r="AF175" s="304"/>
      <c r="AG175" s="304"/>
      <c r="AH175" s="304"/>
      <c r="AI175" s="304"/>
      <c r="AJ175" s="304"/>
      <c r="AK175" s="304"/>
      <c r="AL175" s="304"/>
      <c r="AM175" s="304"/>
      <c r="AN175" s="304"/>
      <c r="AO175" s="304"/>
      <c r="AP175" s="304"/>
      <c r="AQ175" s="304"/>
      <c r="AR175" s="304"/>
      <c r="AS175" s="304"/>
    </row>
    <row r="176" spans="2:45">
      <c r="B176" s="1226" t="s">
        <v>736</v>
      </c>
      <c r="C176" s="1227"/>
      <c r="D176" s="1227"/>
      <c r="E176" s="1227"/>
      <c r="F176" s="1228"/>
      <c r="G176" s="346"/>
      <c r="H176" s="384">
        <f>G176*H157</f>
        <v>0</v>
      </c>
      <c r="I176" s="346"/>
      <c r="J176" s="385">
        <f>I176*J157</f>
        <v>0</v>
      </c>
      <c r="L176" s="403"/>
      <c r="M176" s="403"/>
      <c r="N176" s="403"/>
      <c r="O176" s="403"/>
      <c r="P176" s="403"/>
      <c r="Q176" s="403"/>
      <c r="R176" s="403"/>
      <c r="S176" s="403"/>
      <c r="T176" s="403"/>
      <c r="U176" s="403"/>
      <c r="V176" s="403"/>
      <c r="W176" s="403"/>
      <c r="X176" s="403"/>
      <c r="Y176" s="403"/>
      <c r="Z176" s="367"/>
      <c r="AA176" s="304"/>
      <c r="AB176" s="304"/>
      <c r="AC176" s="304"/>
      <c r="AD176" s="304"/>
      <c r="AE176" s="304"/>
      <c r="AF176" s="304"/>
      <c r="AG176" s="304"/>
      <c r="AH176" s="304"/>
      <c r="AI176" s="304"/>
      <c r="AJ176" s="304"/>
      <c r="AK176" s="304"/>
      <c r="AL176" s="304"/>
      <c r="AM176" s="304"/>
      <c r="AN176" s="304"/>
      <c r="AO176" s="304"/>
      <c r="AP176" s="304"/>
      <c r="AQ176" s="304"/>
      <c r="AR176" s="304"/>
      <c r="AS176" s="304"/>
    </row>
    <row r="177" spans="1:45">
      <c r="B177" s="1229" t="s">
        <v>737</v>
      </c>
      <c r="C177" s="1230"/>
      <c r="D177" s="1230"/>
      <c r="E177" s="1230"/>
      <c r="F177" s="1230"/>
      <c r="G177" s="350"/>
      <c r="H177" s="351"/>
      <c r="I177" s="350"/>
      <c r="J177" s="352"/>
      <c r="L177" s="403"/>
      <c r="M177" s="403"/>
      <c r="N177" s="403"/>
      <c r="O177" s="403"/>
      <c r="P177" s="403"/>
      <c r="Q177" s="403"/>
      <c r="R177" s="403"/>
      <c r="S177" s="403"/>
      <c r="T177" s="403"/>
      <c r="U177" s="403"/>
      <c r="V177" s="403"/>
      <c r="W177" s="403"/>
      <c r="X177" s="403"/>
      <c r="Y177" s="403"/>
      <c r="Z177" s="367"/>
      <c r="AA177" s="304"/>
      <c r="AB177" s="304"/>
      <c r="AC177" s="304"/>
      <c r="AD177" s="304"/>
      <c r="AE177" s="304"/>
      <c r="AF177" s="304"/>
      <c r="AG177" s="304"/>
      <c r="AH177" s="304"/>
      <c r="AI177" s="304"/>
      <c r="AJ177" s="304"/>
      <c r="AK177" s="304"/>
      <c r="AL177" s="304"/>
      <c r="AM177" s="304"/>
      <c r="AN177" s="304"/>
      <c r="AO177" s="304"/>
      <c r="AP177" s="304"/>
      <c r="AQ177" s="304"/>
      <c r="AR177" s="304"/>
      <c r="AS177" s="304"/>
    </row>
    <row r="178" spans="1:45" ht="29.1" customHeight="1">
      <c r="B178" s="1231" t="s">
        <v>738</v>
      </c>
      <c r="C178" s="1232"/>
      <c r="D178" s="1232"/>
      <c r="E178" s="1232"/>
      <c r="F178" s="1233"/>
      <c r="G178" s="399"/>
      <c r="H178" s="359">
        <f>H157*G178*-1</f>
        <v>0</v>
      </c>
      <c r="I178" s="399"/>
      <c r="J178" s="400">
        <f>(J157*I178)*-1</f>
        <v>0</v>
      </c>
      <c r="L178" s="403"/>
      <c r="M178" s="403"/>
      <c r="N178" s="403"/>
      <c r="O178" s="403"/>
      <c r="P178" s="403"/>
      <c r="Q178" s="403"/>
      <c r="R178" s="403"/>
      <c r="S178" s="403"/>
      <c r="T178" s="403"/>
      <c r="U178" s="403"/>
      <c r="V178" s="403"/>
      <c r="W178" s="403"/>
      <c r="X178" s="403"/>
      <c r="Y178" s="403"/>
      <c r="Z178" s="367"/>
      <c r="AA178" s="304"/>
      <c r="AB178" s="304"/>
      <c r="AC178" s="304"/>
      <c r="AD178" s="304"/>
      <c r="AE178" s="304"/>
      <c r="AF178" s="304"/>
      <c r="AG178" s="304"/>
      <c r="AH178" s="304"/>
      <c r="AI178" s="304"/>
      <c r="AJ178" s="304"/>
      <c r="AK178" s="304"/>
      <c r="AL178" s="304"/>
      <c r="AM178" s="304"/>
      <c r="AN178" s="304"/>
      <c r="AO178" s="304"/>
      <c r="AP178" s="304"/>
      <c r="AQ178" s="304"/>
      <c r="AR178" s="304"/>
      <c r="AS178" s="304"/>
    </row>
    <row r="179" spans="1:45" ht="29.1" customHeight="1">
      <c r="B179" s="1234" t="s">
        <v>739</v>
      </c>
      <c r="C179" s="1235"/>
      <c r="D179" s="1235"/>
      <c r="E179" s="1235"/>
      <c r="F179" s="1236"/>
      <c r="G179" s="346"/>
      <c r="H179" s="401">
        <f>(H157*G179)*-1</f>
        <v>0</v>
      </c>
      <c r="I179" s="346"/>
      <c r="J179" s="402">
        <f>(J157*I179)*-1</f>
        <v>0</v>
      </c>
      <c r="L179" s="403"/>
      <c r="M179" s="403"/>
      <c r="N179" s="403"/>
      <c r="O179" s="403"/>
      <c r="P179" s="403"/>
      <c r="Q179" s="403"/>
      <c r="R179" s="403"/>
      <c r="S179" s="403"/>
      <c r="T179" s="403"/>
      <c r="U179" s="403"/>
      <c r="V179" s="403"/>
      <c r="W179" s="403"/>
      <c r="X179" s="403"/>
      <c r="Y179" s="403"/>
      <c r="Z179" s="367"/>
      <c r="AA179" s="304"/>
      <c r="AB179" s="304"/>
      <c r="AC179" s="304"/>
      <c r="AD179" s="304"/>
      <c r="AE179" s="304"/>
      <c r="AF179" s="304"/>
      <c r="AG179" s="304"/>
      <c r="AH179" s="304"/>
      <c r="AI179" s="304"/>
      <c r="AJ179" s="304"/>
      <c r="AK179" s="304"/>
      <c r="AL179" s="304"/>
      <c r="AM179" s="304"/>
      <c r="AN179" s="304"/>
      <c r="AO179" s="304"/>
      <c r="AP179" s="304"/>
      <c r="AQ179" s="304"/>
      <c r="AR179" s="304"/>
      <c r="AS179" s="304"/>
    </row>
    <row r="180" spans="1:45">
      <c r="B180" s="1211" t="s">
        <v>740</v>
      </c>
      <c r="C180" s="1212"/>
      <c r="D180" s="1212"/>
      <c r="E180" s="1212"/>
      <c r="F180" s="1213"/>
      <c r="G180" s="1214">
        <f>SUM(H161:H179)</f>
        <v>0</v>
      </c>
      <c r="H180" s="1215"/>
      <c r="I180" s="1214">
        <f>SUM(J163:J179)+J161</f>
        <v>0</v>
      </c>
      <c r="J180" s="1216"/>
      <c r="L180" s="403"/>
      <c r="M180" s="403"/>
      <c r="N180" s="403"/>
      <c r="O180" s="403"/>
      <c r="P180" s="403"/>
      <c r="Q180" s="403"/>
      <c r="R180" s="403"/>
      <c r="S180" s="403"/>
      <c r="T180" s="403"/>
      <c r="U180" s="403"/>
      <c r="V180" s="403"/>
      <c r="W180" s="403"/>
      <c r="X180" s="403"/>
      <c r="Y180" s="403"/>
      <c r="Z180" s="367"/>
      <c r="AA180" s="304"/>
      <c r="AB180" s="304"/>
      <c r="AC180" s="304"/>
      <c r="AD180" s="304"/>
      <c r="AE180" s="304"/>
      <c r="AF180" s="304"/>
      <c r="AG180" s="304"/>
      <c r="AH180" s="304"/>
      <c r="AI180" s="304"/>
      <c r="AJ180" s="304"/>
      <c r="AK180" s="304"/>
      <c r="AL180" s="304"/>
      <c r="AM180" s="304"/>
      <c r="AN180" s="304"/>
      <c r="AO180" s="304"/>
      <c r="AP180" s="304"/>
      <c r="AQ180" s="304"/>
      <c r="AR180" s="304"/>
      <c r="AS180" s="304"/>
    </row>
    <row r="181" spans="1:45" ht="18.75">
      <c r="B181" s="1217" t="s">
        <v>696</v>
      </c>
      <c r="C181" s="1218"/>
      <c r="D181" s="1218"/>
      <c r="E181" s="1218"/>
      <c r="F181" s="1219"/>
      <c r="G181" s="1161" t="str">
        <f>IF(OR(AC154=0, I180=0), "12 Month Average", "24 Month Average")</f>
        <v>12 Month Average</v>
      </c>
      <c r="H181" s="1162"/>
      <c r="I181" s="1162"/>
      <c r="J181" s="1163"/>
      <c r="L181" s="403"/>
      <c r="M181" s="403"/>
      <c r="N181" s="403"/>
      <c r="O181" s="403"/>
      <c r="P181" s="403"/>
      <c r="Q181" s="403"/>
      <c r="R181" s="403"/>
      <c r="S181" s="403"/>
      <c r="T181" s="403"/>
      <c r="U181" s="403"/>
      <c r="V181" s="403"/>
      <c r="W181" s="403"/>
      <c r="X181" s="403"/>
      <c r="Y181" s="403"/>
      <c r="Z181" s="367"/>
      <c r="AA181" s="304"/>
      <c r="AB181" s="304"/>
      <c r="AC181" s="304"/>
      <c r="AD181" s="304"/>
      <c r="AE181" s="304"/>
      <c r="AF181" s="304"/>
      <c r="AG181" s="304"/>
      <c r="AH181" s="304"/>
      <c r="AI181" s="304"/>
      <c r="AJ181" s="304"/>
      <c r="AK181" s="304"/>
      <c r="AL181" s="304"/>
      <c r="AM181" s="304"/>
      <c r="AN181" s="304"/>
      <c r="AO181" s="304"/>
      <c r="AP181" s="304"/>
      <c r="AQ181" s="304"/>
      <c r="AR181" s="304"/>
      <c r="AS181" s="304"/>
    </row>
    <row r="182" spans="1:45" ht="34.5" thickBot="1">
      <c r="B182" s="1220" t="s">
        <v>697</v>
      </c>
      <c r="C182" s="1221"/>
      <c r="D182" s="1221"/>
      <c r="E182" s="1221"/>
      <c r="F182" s="1222"/>
      <c r="G182" s="1167">
        <f>IF(OR(AC154=0, I180=0), AC156, AC157)</f>
        <v>0</v>
      </c>
      <c r="H182" s="1168"/>
      <c r="I182" s="1168"/>
      <c r="J182" s="1169"/>
      <c r="L182" s="403"/>
      <c r="M182" s="403"/>
      <c r="N182" s="403"/>
      <c r="O182" s="403"/>
      <c r="P182" s="403"/>
      <c r="Q182" s="403"/>
      <c r="R182" s="403"/>
      <c r="S182" s="403"/>
      <c r="T182" s="403"/>
      <c r="U182" s="403"/>
      <c r="V182" s="403"/>
      <c r="W182" s="403"/>
      <c r="X182" s="403"/>
      <c r="Y182" s="403"/>
      <c r="Z182" s="367"/>
      <c r="AA182" s="304"/>
      <c r="AB182" s="304"/>
      <c r="AC182" s="304"/>
      <c r="AD182" s="304"/>
    </row>
    <row r="183" spans="1:45" ht="9" customHeight="1" thickBot="1">
      <c r="H183" s="330"/>
      <c r="I183" s="330"/>
      <c r="L183" s="403"/>
      <c r="M183" s="403"/>
      <c r="N183" s="403"/>
      <c r="O183" s="403"/>
      <c r="P183" s="403"/>
      <c r="Q183" s="403"/>
      <c r="R183" s="403"/>
      <c r="S183" s="403"/>
      <c r="T183" s="403"/>
      <c r="U183" s="403"/>
      <c r="V183" s="403"/>
      <c r="W183" s="403"/>
      <c r="X183" s="403"/>
      <c r="Y183" s="403"/>
      <c r="Z183" s="367"/>
      <c r="AA183" s="304"/>
      <c r="AB183" s="304"/>
      <c r="AC183" s="304"/>
      <c r="AD183" s="304"/>
    </row>
    <row r="184" spans="1:45" ht="105" customHeight="1" thickBot="1">
      <c r="B184" s="1208" t="s">
        <v>645</v>
      </c>
      <c r="C184" s="1209"/>
      <c r="D184" s="1209"/>
      <c r="E184" s="1209"/>
      <c r="F184" s="1209"/>
      <c r="G184" s="1209"/>
      <c r="H184" s="1209"/>
      <c r="I184" s="1209"/>
      <c r="J184" s="1210"/>
      <c r="L184" s="367"/>
      <c r="M184" s="367"/>
      <c r="N184" s="367"/>
      <c r="O184" s="367"/>
      <c r="P184" s="367"/>
      <c r="Q184" s="367"/>
      <c r="R184" s="367"/>
      <c r="S184" s="367"/>
      <c r="T184" s="367"/>
      <c r="U184" s="367"/>
      <c r="V184" s="367"/>
      <c r="W184" s="367"/>
      <c r="X184" s="367"/>
      <c r="Y184" s="367"/>
      <c r="Z184" s="367"/>
      <c r="AA184" s="304"/>
      <c r="AB184" s="304"/>
      <c r="AC184" s="304"/>
      <c r="AD184" s="304"/>
    </row>
    <row r="185" spans="1:45">
      <c r="A185" s="304"/>
      <c r="B185" s="304"/>
      <c r="C185" s="304"/>
      <c r="D185" s="304"/>
      <c r="E185" s="304"/>
      <c r="F185" s="304"/>
      <c r="G185" s="304"/>
      <c r="H185" s="304"/>
      <c r="I185" s="304"/>
      <c r="J185" s="304"/>
      <c r="K185" s="304"/>
      <c r="L185" s="367"/>
      <c r="M185" s="367"/>
      <c r="N185" s="367"/>
      <c r="O185" s="367"/>
      <c r="P185" s="367"/>
      <c r="Q185" s="367"/>
      <c r="R185" s="367"/>
      <c r="S185" s="367"/>
      <c r="T185" s="367"/>
      <c r="U185" s="367"/>
      <c r="V185" s="367"/>
      <c r="W185" s="367"/>
      <c r="X185" s="367"/>
      <c r="Y185" s="367"/>
      <c r="Z185" s="367"/>
      <c r="AA185" s="304"/>
      <c r="AB185" s="304"/>
      <c r="AC185" s="304"/>
      <c r="AD185" s="304"/>
    </row>
    <row r="186" spans="1:45" ht="13.5" customHeight="1" thickBot="1">
      <c r="L186" s="304"/>
      <c r="M186" s="304"/>
      <c r="N186" s="304"/>
      <c r="O186" s="304"/>
      <c r="P186" s="304"/>
      <c r="Q186" s="304"/>
      <c r="R186" s="304"/>
      <c r="S186" s="304"/>
      <c r="T186" s="304"/>
      <c r="U186" s="304"/>
    </row>
    <row r="187" spans="1:45" ht="69" customHeight="1">
      <c r="B187" s="1187" t="s">
        <v>708</v>
      </c>
      <c r="C187" s="1188"/>
      <c r="D187" s="1188"/>
      <c r="E187" s="1188"/>
      <c r="F187" s="1188"/>
      <c r="G187" s="1188"/>
      <c r="H187" s="1188"/>
      <c r="I187" s="1188"/>
      <c r="J187" s="331" t="str">
        <f>'[3]Reference Sheet'!$B$2</f>
        <v>Rev. 4.12.2016</v>
      </c>
      <c r="L187" s="403"/>
      <c r="M187" s="403"/>
      <c r="N187" s="403"/>
      <c r="O187" s="403"/>
      <c r="P187" s="403"/>
      <c r="Q187" s="403"/>
      <c r="R187" s="403"/>
      <c r="S187" s="403"/>
      <c r="T187" s="403"/>
      <c r="U187" s="403"/>
      <c r="V187" s="403"/>
      <c r="W187" s="403"/>
      <c r="X187" s="403"/>
      <c r="Y187" s="403"/>
      <c r="Z187" s="367"/>
      <c r="AA187" s="304"/>
      <c r="AB187" s="304"/>
      <c r="AC187" s="304"/>
      <c r="AD187" s="304"/>
      <c r="AE187" s="304"/>
      <c r="AF187" s="304"/>
      <c r="AG187" s="304"/>
      <c r="AH187" s="304"/>
      <c r="AI187" s="304"/>
      <c r="AJ187" s="304"/>
      <c r="AK187" s="304"/>
      <c r="AL187" s="304"/>
      <c r="AM187" s="304"/>
      <c r="AN187" s="304"/>
      <c r="AO187" s="304"/>
      <c r="AP187" s="304"/>
      <c r="AQ187" s="304"/>
      <c r="AR187" s="304"/>
      <c r="AS187" s="304"/>
    </row>
    <row r="188" spans="1:45" ht="3.75" customHeight="1">
      <c r="B188" s="332"/>
      <c r="C188" s="333"/>
      <c r="D188" s="333"/>
      <c r="E188" s="333"/>
      <c r="F188" s="333"/>
      <c r="G188" s="333"/>
      <c r="H188" s="333"/>
      <c r="I188" s="333"/>
      <c r="J188" s="334"/>
      <c r="L188" s="403"/>
      <c r="M188" s="403"/>
      <c r="N188" s="403"/>
      <c r="O188" s="403"/>
      <c r="P188" s="403"/>
      <c r="Q188" s="403"/>
      <c r="R188" s="403"/>
      <c r="S188" s="403"/>
      <c r="T188" s="403"/>
      <c r="U188" s="403"/>
      <c r="V188" s="403"/>
      <c r="W188" s="403"/>
      <c r="X188" s="403"/>
      <c r="Y188" s="403"/>
      <c r="Z188" s="367"/>
      <c r="AA188" s="304"/>
      <c r="AB188" s="304"/>
      <c r="AC188" s="304"/>
      <c r="AD188" s="304"/>
      <c r="AE188" s="304"/>
      <c r="AF188" s="304"/>
      <c r="AG188" s="304"/>
      <c r="AH188" s="304"/>
      <c r="AI188" s="304"/>
      <c r="AJ188" s="304"/>
      <c r="AK188" s="304"/>
      <c r="AL188" s="304"/>
      <c r="AM188" s="304"/>
      <c r="AN188" s="304"/>
      <c r="AO188" s="304"/>
      <c r="AP188" s="304"/>
      <c r="AQ188" s="304"/>
      <c r="AR188" s="304"/>
      <c r="AS188" s="304"/>
    </row>
    <row r="189" spans="1:45" ht="18" customHeight="1" thickBot="1">
      <c r="B189" s="332"/>
      <c r="C189" s="368" t="s">
        <v>710</v>
      </c>
      <c r="D189" s="1189"/>
      <c r="E189" s="1190"/>
      <c r="F189" s="1190"/>
      <c r="G189" s="1190"/>
      <c r="H189" s="333"/>
      <c r="I189" s="333"/>
      <c r="J189" s="334"/>
      <c r="L189" s="403"/>
      <c r="M189" s="403"/>
      <c r="N189" s="403"/>
      <c r="O189" s="403"/>
      <c r="P189" s="403"/>
      <c r="Q189" s="403"/>
      <c r="R189" s="403"/>
      <c r="S189" s="403"/>
      <c r="T189" s="403"/>
      <c r="U189" s="403"/>
      <c r="V189" s="403"/>
      <c r="W189" s="403"/>
      <c r="X189" s="403"/>
      <c r="Y189" s="403"/>
      <c r="Z189" s="367"/>
      <c r="AA189" s="304"/>
      <c r="AB189" s="304" t="s">
        <v>680</v>
      </c>
      <c r="AC189" s="304">
        <f>IF(AND(J194=0, J198=0, J200=0, J209=0, J210=0, J211=0, J213=0, J215=0, J216=0, I217=0), 0, 1)</f>
        <v>1</v>
      </c>
      <c r="AD189" s="304"/>
      <c r="AE189" s="304"/>
      <c r="AF189" s="366" t="s">
        <v>596</v>
      </c>
      <c r="AG189" s="304"/>
      <c r="AH189" s="304"/>
      <c r="AI189" s="304"/>
      <c r="AJ189" s="304"/>
      <c r="AK189" s="304"/>
      <c r="AL189" s="304"/>
      <c r="AM189" s="304"/>
      <c r="AN189" s="304"/>
      <c r="AO189" s="304"/>
      <c r="AP189" s="304"/>
      <c r="AQ189" s="304"/>
      <c r="AR189" s="304"/>
      <c r="AS189" s="304"/>
    </row>
    <row r="190" spans="1:45" ht="18" customHeight="1" thickBot="1">
      <c r="B190" s="332"/>
      <c r="C190" s="368" t="s">
        <v>711</v>
      </c>
      <c r="D190" s="1277"/>
      <c r="E190" s="1278"/>
      <c r="F190" s="1278"/>
      <c r="G190" s="1278"/>
      <c r="H190" s="368" t="s">
        <v>712</v>
      </c>
      <c r="I190" s="1189"/>
      <c r="J190" s="1279"/>
      <c r="L190" s="403"/>
      <c r="M190" s="403"/>
      <c r="N190" s="403"/>
      <c r="O190" s="403"/>
      <c r="P190" s="403"/>
      <c r="Q190" s="403"/>
      <c r="R190" s="403"/>
      <c r="S190" s="403"/>
      <c r="T190" s="403"/>
      <c r="U190" s="403"/>
      <c r="V190" s="403"/>
      <c r="W190" s="403"/>
      <c r="X190" s="403"/>
      <c r="Y190" s="403"/>
      <c r="Z190" s="367"/>
      <c r="AA190" s="304"/>
      <c r="AB190" s="304" t="s">
        <v>682</v>
      </c>
      <c r="AC190" s="304">
        <f>IF(AND(G217&lt;=I217, I217&lt;&gt;0), 0, 1)</f>
        <v>1</v>
      </c>
      <c r="AD190" s="304"/>
      <c r="AE190" s="304"/>
      <c r="AF190" s="366" t="s">
        <v>683</v>
      </c>
      <c r="AG190" s="304"/>
      <c r="AH190" s="304"/>
      <c r="AI190" s="304"/>
      <c r="AJ190" s="304"/>
      <c r="AK190" s="304"/>
      <c r="AL190" s="304"/>
      <c r="AM190" s="304"/>
      <c r="AN190" s="304"/>
      <c r="AO190" s="304"/>
      <c r="AP190" s="304"/>
      <c r="AQ190" s="304"/>
      <c r="AR190" s="304"/>
      <c r="AS190" s="304"/>
    </row>
    <row r="191" spans="1:45" ht="18" customHeight="1" thickBot="1">
      <c r="B191" s="1176" t="s">
        <v>671</v>
      </c>
      <c r="C191" s="1177"/>
      <c r="D191" s="1280"/>
      <c r="E191" s="1281"/>
      <c r="F191" s="1281"/>
      <c r="G191" s="1281"/>
      <c r="H191" s="336" t="s">
        <v>673</v>
      </c>
      <c r="I191" s="369"/>
      <c r="J191" s="370"/>
      <c r="L191" s="403"/>
      <c r="M191" s="403"/>
      <c r="N191" s="403"/>
      <c r="O191" s="403"/>
      <c r="P191" s="403"/>
      <c r="Q191" s="403"/>
      <c r="R191" s="403"/>
      <c r="S191" s="403"/>
      <c r="T191" s="403"/>
      <c r="U191" s="403"/>
      <c r="V191" s="403"/>
      <c r="W191" s="403"/>
      <c r="X191" s="403"/>
      <c r="Y191" s="403"/>
      <c r="Z191" s="367"/>
      <c r="AA191" s="304"/>
      <c r="AB191" s="304" t="s">
        <v>685</v>
      </c>
      <c r="AC191" s="304">
        <f>IF(AND(AC190=0, AC189=1), 0, 1)</f>
        <v>1</v>
      </c>
      <c r="AD191" s="304"/>
      <c r="AE191" s="304"/>
      <c r="AF191" s="366" t="s">
        <v>599</v>
      </c>
      <c r="AG191" s="304"/>
      <c r="AH191" s="304"/>
      <c r="AI191" s="304"/>
      <c r="AJ191" s="304"/>
      <c r="AK191" s="304"/>
      <c r="AL191" s="304"/>
      <c r="AM191" s="304"/>
      <c r="AN191" s="304"/>
      <c r="AO191" s="304"/>
      <c r="AP191" s="304"/>
      <c r="AQ191" s="304"/>
      <c r="AR191" s="304"/>
      <c r="AS191" s="304"/>
    </row>
    <row r="192" spans="1:45" ht="18" customHeight="1" thickBot="1">
      <c r="B192" s="1176" t="s">
        <v>674</v>
      </c>
      <c r="C192" s="1177"/>
      <c r="D192" s="1262"/>
      <c r="E192" s="1263"/>
      <c r="F192" s="1263"/>
      <c r="G192" s="1263"/>
      <c r="H192" s="1263"/>
      <c r="I192" s="1263"/>
      <c r="J192" s="1264"/>
      <c r="L192" s="403"/>
      <c r="M192" s="403"/>
      <c r="N192" s="403"/>
      <c r="O192" s="403"/>
      <c r="P192" s="403"/>
      <c r="Q192" s="403"/>
      <c r="R192" s="403"/>
      <c r="S192" s="403"/>
      <c r="T192" s="403"/>
      <c r="U192" s="403"/>
      <c r="V192" s="403"/>
      <c r="W192" s="403"/>
      <c r="X192" s="403"/>
      <c r="Y192" s="403"/>
      <c r="Z192" s="367"/>
      <c r="AA192" s="304"/>
      <c r="AB192" s="304"/>
      <c r="AC192" s="304"/>
      <c r="AD192" s="304"/>
      <c r="AE192" s="304"/>
      <c r="AF192" s="366" t="s">
        <v>603</v>
      </c>
      <c r="AG192" s="304"/>
      <c r="AH192" s="304"/>
      <c r="AI192" s="304"/>
      <c r="AJ192" s="304"/>
      <c r="AK192" s="304"/>
      <c r="AL192" s="304"/>
      <c r="AM192" s="304"/>
      <c r="AN192" s="304"/>
      <c r="AO192" s="304"/>
      <c r="AP192" s="304"/>
      <c r="AQ192" s="304"/>
      <c r="AR192" s="304"/>
      <c r="AS192" s="304"/>
    </row>
    <row r="193" spans="2:45">
      <c r="B193" s="1265"/>
      <c r="C193" s="1266"/>
      <c r="D193" s="1266"/>
      <c r="E193" s="1266"/>
      <c r="F193" s="1267"/>
      <c r="G193" s="371" t="s">
        <v>713</v>
      </c>
      <c r="H193" s="372" t="s">
        <v>676</v>
      </c>
      <c r="I193" s="342"/>
      <c r="J193" s="373" t="s">
        <v>677</v>
      </c>
      <c r="L193" s="403"/>
      <c r="M193" s="403"/>
      <c r="N193" s="403"/>
      <c r="O193" s="403"/>
      <c r="P193" s="403"/>
      <c r="Q193" s="403"/>
      <c r="R193" s="403"/>
      <c r="S193" s="403"/>
      <c r="T193" s="403"/>
      <c r="U193" s="403"/>
      <c r="V193" s="403"/>
      <c r="W193" s="403"/>
      <c r="X193" s="403"/>
      <c r="Y193" s="403"/>
      <c r="Z193" s="367"/>
      <c r="AA193" s="304"/>
      <c r="AB193" s="304" t="s">
        <v>689</v>
      </c>
      <c r="AC193" s="374">
        <f>G217/12</f>
        <v>0</v>
      </c>
      <c r="AD193" s="304"/>
      <c r="AE193" s="304"/>
      <c r="AF193" s="366" t="s">
        <v>605</v>
      </c>
      <c r="AG193" s="304"/>
      <c r="AH193" s="304"/>
      <c r="AI193" s="304"/>
      <c r="AJ193" s="304"/>
      <c r="AK193" s="304"/>
      <c r="AL193" s="304"/>
      <c r="AM193" s="304"/>
      <c r="AN193" s="304"/>
      <c r="AO193" s="304"/>
      <c r="AP193" s="304"/>
      <c r="AQ193" s="304"/>
      <c r="AR193" s="304"/>
      <c r="AS193" s="304"/>
    </row>
    <row r="194" spans="2:45">
      <c r="B194" s="1268"/>
      <c r="C194" s="1266"/>
      <c r="D194" s="1266"/>
      <c r="E194" s="1266"/>
      <c r="F194" s="1267"/>
      <c r="G194" s="375" t="s">
        <v>714</v>
      </c>
      <c r="H194" s="376"/>
      <c r="I194" s="1272"/>
      <c r="J194" s="378"/>
      <c r="L194" s="403"/>
      <c r="M194" s="403"/>
      <c r="N194" s="403"/>
      <c r="O194" s="403"/>
      <c r="P194" s="403"/>
      <c r="Q194" s="403"/>
      <c r="R194" s="403"/>
      <c r="S194" s="403"/>
      <c r="T194" s="403"/>
      <c r="U194" s="403"/>
      <c r="V194" s="403"/>
      <c r="W194" s="403"/>
      <c r="X194" s="403"/>
      <c r="Y194" s="403"/>
      <c r="Z194" s="367"/>
      <c r="AA194" s="304"/>
      <c r="AB194" s="304" t="s">
        <v>691</v>
      </c>
      <c r="AC194" s="374">
        <f>(G217+I217)/24</f>
        <v>0</v>
      </c>
      <c r="AD194" s="304"/>
      <c r="AE194" s="304"/>
      <c r="AF194" s="304"/>
      <c r="AG194" s="304"/>
      <c r="AH194" s="304"/>
      <c r="AI194" s="304"/>
      <c r="AJ194" s="304"/>
      <c r="AK194" s="304"/>
      <c r="AL194" s="304"/>
      <c r="AM194" s="304"/>
      <c r="AN194" s="304"/>
      <c r="AO194" s="304"/>
      <c r="AP194" s="304"/>
      <c r="AQ194" s="304"/>
      <c r="AR194" s="304"/>
      <c r="AS194" s="304"/>
    </row>
    <row r="195" spans="2:45">
      <c r="B195" s="1268"/>
      <c r="C195" s="1266"/>
      <c r="D195" s="1266"/>
      <c r="E195" s="1266"/>
      <c r="F195" s="1267"/>
      <c r="G195" s="379" t="s">
        <v>715</v>
      </c>
      <c r="H195" s="380"/>
      <c r="I195" s="1272"/>
      <c r="J195" s="378"/>
      <c r="L195" s="403"/>
      <c r="M195" s="403"/>
      <c r="N195" s="403"/>
      <c r="O195" s="403"/>
      <c r="P195" s="403"/>
      <c r="Q195" s="403"/>
      <c r="R195" s="403"/>
      <c r="S195" s="403"/>
      <c r="T195" s="403"/>
      <c r="U195" s="403"/>
      <c r="V195" s="403"/>
      <c r="W195" s="403"/>
      <c r="X195" s="403"/>
      <c r="Y195" s="403"/>
      <c r="Z195" s="367"/>
      <c r="AA195" s="304"/>
      <c r="AB195" s="304"/>
      <c r="AC195" s="304"/>
      <c r="AD195" s="304"/>
      <c r="AE195" s="304"/>
      <c r="AF195" s="304"/>
      <c r="AG195" s="304"/>
      <c r="AH195" s="304"/>
      <c r="AI195" s="304"/>
      <c r="AJ195" s="304"/>
      <c r="AK195" s="304"/>
      <c r="AL195" s="304"/>
      <c r="AM195" s="304"/>
      <c r="AN195" s="304"/>
      <c r="AO195" s="304"/>
      <c r="AP195" s="304"/>
      <c r="AQ195" s="304"/>
      <c r="AR195" s="304"/>
      <c r="AS195" s="304"/>
    </row>
    <row r="196" spans="2:45" ht="15.75" thickBot="1">
      <c r="B196" s="1269"/>
      <c r="C196" s="1270"/>
      <c r="D196" s="1270"/>
      <c r="E196" s="1270"/>
      <c r="F196" s="1271"/>
      <c r="G196" s="379" t="s">
        <v>716</v>
      </c>
      <c r="H196" s="376"/>
      <c r="I196" s="1272"/>
      <c r="J196" s="378"/>
      <c r="L196" s="403"/>
      <c r="M196" s="403"/>
      <c r="N196" s="403"/>
      <c r="O196" s="403"/>
      <c r="P196" s="403"/>
      <c r="Q196" s="403"/>
      <c r="R196" s="403"/>
      <c r="S196" s="403"/>
      <c r="T196" s="403"/>
      <c r="U196" s="403"/>
      <c r="V196" s="403"/>
      <c r="W196" s="403"/>
      <c r="X196" s="403"/>
      <c r="Y196" s="403"/>
      <c r="Z196" s="367"/>
      <c r="AA196" s="304"/>
      <c r="AB196" s="304" t="s">
        <v>717</v>
      </c>
      <c r="AC196" s="304" t="str">
        <f>IF(OR(H194=0, H194&gt;100%), "Year End Profit %", (G200+G201+G202))</f>
        <v>Year End Profit %</v>
      </c>
      <c r="AD196" s="304"/>
      <c r="AE196" s="304"/>
      <c r="AF196" s="304"/>
      <c r="AG196" s="304"/>
      <c r="AH196" s="304"/>
      <c r="AI196" s="304"/>
      <c r="AJ196" s="304"/>
      <c r="AK196" s="304"/>
      <c r="AL196" s="304"/>
      <c r="AM196" s="304"/>
      <c r="AN196" s="304"/>
      <c r="AO196" s="304"/>
      <c r="AP196" s="304"/>
      <c r="AQ196" s="304"/>
      <c r="AR196" s="304"/>
      <c r="AS196" s="304"/>
    </row>
    <row r="197" spans="2:45" ht="18.75">
      <c r="B197" s="1229" t="s">
        <v>718</v>
      </c>
      <c r="C197" s="1273"/>
      <c r="D197" s="1273"/>
      <c r="E197" s="1273"/>
      <c r="F197" s="1273"/>
      <c r="G197" s="377" t="s">
        <v>719</v>
      </c>
      <c r="H197" s="381"/>
      <c r="I197" s="377" t="s">
        <v>719</v>
      </c>
      <c r="J197" s="382"/>
      <c r="L197" s="403"/>
      <c r="M197" s="403"/>
      <c r="N197" s="403"/>
      <c r="O197" s="403"/>
      <c r="P197" s="403"/>
      <c r="Q197" s="403"/>
      <c r="R197" s="403"/>
      <c r="S197" s="403"/>
      <c r="T197" s="403"/>
      <c r="U197" s="403"/>
      <c r="V197" s="403"/>
      <c r="W197" s="403"/>
      <c r="X197" s="403"/>
      <c r="Y197" s="403"/>
      <c r="Z197" s="367"/>
      <c r="AA197" s="304"/>
      <c r="AB197" s="304" t="s">
        <v>720</v>
      </c>
      <c r="AC197" s="304" t="str">
        <f>IF(OR(J194&gt;100%, J194=0), "Year End Profit %", (I200+I201+I202))</f>
        <v>Year End Profit %</v>
      </c>
      <c r="AD197" s="383"/>
      <c r="AE197" s="304"/>
      <c r="AF197" s="304"/>
      <c r="AG197" s="304"/>
      <c r="AH197" s="304"/>
      <c r="AI197" s="304"/>
      <c r="AJ197" s="304"/>
      <c r="AK197" s="304"/>
      <c r="AL197" s="304"/>
      <c r="AM197" s="304"/>
      <c r="AN197" s="304"/>
      <c r="AO197" s="304"/>
      <c r="AP197" s="304"/>
      <c r="AQ197" s="304"/>
      <c r="AR197" s="304"/>
      <c r="AS197" s="304"/>
    </row>
    <row r="198" spans="2:45">
      <c r="B198" s="1274" t="s">
        <v>721</v>
      </c>
      <c r="C198" s="1275"/>
      <c r="D198" s="1275"/>
      <c r="E198" s="1275"/>
      <c r="F198" s="1276"/>
      <c r="G198" s="346"/>
      <c r="H198" s="384">
        <f>G198</f>
        <v>0</v>
      </c>
      <c r="I198" s="364"/>
      <c r="J198" s="385">
        <f>I198</f>
        <v>0</v>
      </c>
      <c r="L198" s="403"/>
      <c r="M198" s="403"/>
      <c r="N198" s="403"/>
      <c r="O198" s="403"/>
      <c r="P198" s="403"/>
      <c r="Q198" s="403"/>
      <c r="R198" s="403"/>
      <c r="S198" s="403"/>
      <c r="T198" s="403"/>
      <c r="U198" s="403"/>
      <c r="V198" s="403"/>
      <c r="W198" s="403"/>
      <c r="X198" s="403"/>
      <c r="Y198" s="403"/>
      <c r="Z198" s="367"/>
      <c r="AA198" s="304"/>
      <c r="AB198" s="304"/>
      <c r="AC198" s="304"/>
      <c r="AD198" s="304"/>
      <c r="AE198" s="304"/>
      <c r="AF198" s="304"/>
      <c r="AG198" s="304"/>
      <c r="AH198" s="304"/>
      <c r="AI198" s="304"/>
      <c r="AJ198" s="304"/>
      <c r="AK198" s="304"/>
      <c r="AL198" s="304"/>
      <c r="AM198" s="304"/>
      <c r="AN198" s="304"/>
      <c r="AO198" s="304"/>
      <c r="AP198" s="304"/>
      <c r="AQ198" s="304"/>
      <c r="AR198" s="304"/>
      <c r="AS198" s="304"/>
    </row>
    <row r="199" spans="2:45">
      <c r="B199" s="1246" t="s">
        <v>722</v>
      </c>
      <c r="C199" s="1247"/>
      <c r="D199" s="1247"/>
      <c r="E199" s="1247"/>
      <c r="F199" s="1247"/>
      <c r="G199" s="377"/>
      <c r="H199" s="381"/>
      <c r="I199" s="386"/>
      <c r="J199" s="382"/>
      <c r="L199" s="403"/>
      <c r="M199" s="403"/>
      <c r="N199" s="403"/>
      <c r="O199" s="403"/>
      <c r="P199" s="403"/>
      <c r="Q199" s="403"/>
      <c r="R199" s="403"/>
      <c r="S199" s="403"/>
      <c r="T199" s="403"/>
      <c r="U199" s="403"/>
      <c r="V199" s="403"/>
      <c r="W199" s="403"/>
      <c r="X199" s="403"/>
      <c r="Y199" s="403"/>
      <c r="Z199" s="367"/>
      <c r="AA199" s="304"/>
      <c r="AB199" s="304"/>
      <c r="AC199" s="304"/>
      <c r="AD199" s="304"/>
      <c r="AE199" s="304"/>
      <c r="AF199" s="304"/>
      <c r="AG199" s="304"/>
      <c r="AH199" s="304"/>
      <c r="AI199" s="304"/>
      <c r="AJ199" s="304"/>
      <c r="AK199" s="304"/>
      <c r="AL199" s="304"/>
      <c r="AM199" s="304"/>
      <c r="AN199" s="304"/>
      <c r="AO199" s="304"/>
      <c r="AP199" s="304"/>
      <c r="AQ199" s="304"/>
      <c r="AR199" s="304"/>
      <c r="AS199" s="304"/>
    </row>
    <row r="200" spans="2:45">
      <c r="B200" s="1248" t="s">
        <v>723</v>
      </c>
      <c r="C200" s="1249"/>
      <c r="D200" s="1249"/>
      <c r="E200" s="1249"/>
      <c r="F200" s="1250"/>
      <c r="G200" s="346"/>
      <c r="H200" s="387" t="str">
        <f>AC196</f>
        <v>Year End Profit %</v>
      </c>
      <c r="I200" s="346"/>
      <c r="J200" s="388" t="str">
        <f>AC197</f>
        <v>Year End Profit %</v>
      </c>
      <c r="L200" s="403"/>
      <c r="M200" s="403"/>
      <c r="N200" s="403"/>
      <c r="O200" s="403"/>
      <c r="P200" s="403"/>
      <c r="Q200" s="403"/>
      <c r="R200" s="403"/>
      <c r="S200" s="403"/>
      <c r="T200" s="403"/>
      <c r="U200" s="403"/>
      <c r="V200" s="403"/>
      <c r="W200" s="403"/>
      <c r="X200" s="403"/>
      <c r="Y200" s="403"/>
      <c r="Z200" s="367"/>
      <c r="AA200" s="304"/>
      <c r="AB200" s="304"/>
      <c r="AC200" s="304"/>
      <c r="AD200" s="304"/>
      <c r="AE200" s="304"/>
      <c r="AF200" s="304"/>
      <c r="AG200" s="304"/>
      <c r="AH200" s="304"/>
      <c r="AI200" s="304"/>
      <c r="AJ200" s="304"/>
      <c r="AK200" s="304"/>
      <c r="AL200" s="304"/>
      <c r="AM200" s="304"/>
      <c r="AN200" s="304"/>
      <c r="AO200" s="304"/>
      <c r="AP200" s="304"/>
      <c r="AQ200" s="304"/>
      <c r="AR200" s="304"/>
      <c r="AS200" s="304"/>
    </row>
    <row r="201" spans="2:45">
      <c r="B201" s="1251" t="s">
        <v>724</v>
      </c>
      <c r="C201" s="1252"/>
      <c r="D201" s="1252"/>
      <c r="E201" s="1252"/>
      <c r="F201" s="1253"/>
      <c r="G201" s="346"/>
      <c r="H201" s="389"/>
      <c r="I201" s="346"/>
      <c r="J201" s="390"/>
      <c r="L201" s="403"/>
      <c r="M201" s="403"/>
      <c r="N201" s="403"/>
      <c r="O201" s="403"/>
      <c r="P201" s="403"/>
      <c r="Q201" s="403"/>
      <c r="R201" s="403"/>
      <c r="S201" s="403"/>
      <c r="T201" s="403"/>
      <c r="U201" s="403"/>
      <c r="V201" s="403"/>
      <c r="W201" s="403"/>
      <c r="X201" s="403"/>
      <c r="Y201" s="403"/>
      <c r="Z201" s="367"/>
      <c r="AA201" s="304"/>
      <c r="AB201" s="304"/>
      <c r="AC201" s="304"/>
      <c r="AD201" s="304"/>
      <c r="AE201" s="304"/>
      <c r="AF201" s="304"/>
      <c r="AG201" s="304"/>
      <c r="AH201" s="304"/>
      <c r="AI201" s="304"/>
      <c r="AJ201" s="304"/>
      <c r="AK201" s="304"/>
      <c r="AL201" s="304"/>
      <c r="AM201" s="304"/>
      <c r="AN201" s="304"/>
      <c r="AO201" s="304"/>
      <c r="AP201" s="304"/>
      <c r="AQ201" s="304"/>
      <c r="AR201" s="304"/>
      <c r="AS201" s="304"/>
    </row>
    <row r="202" spans="2:45">
      <c r="B202" s="1254" t="s">
        <v>725</v>
      </c>
      <c r="C202" s="1255"/>
      <c r="D202" s="1255"/>
      <c r="E202" s="1255"/>
      <c r="F202" s="1256"/>
      <c r="G202" s="346"/>
      <c r="H202" s="389"/>
      <c r="I202" s="346"/>
      <c r="J202" s="390"/>
      <c r="L202" s="403"/>
      <c r="M202" s="403"/>
      <c r="N202" s="403"/>
      <c r="O202" s="403"/>
      <c r="P202" s="403"/>
      <c r="Q202" s="403"/>
      <c r="R202" s="403"/>
      <c r="S202" s="403"/>
      <c r="T202" s="403"/>
      <c r="U202" s="403"/>
      <c r="V202" s="403"/>
      <c r="W202" s="403"/>
      <c r="X202" s="403"/>
      <c r="Y202" s="403"/>
      <c r="Z202" s="367"/>
      <c r="AA202" s="304"/>
      <c r="AB202" s="304"/>
      <c r="AC202" s="304"/>
      <c r="AD202" s="304"/>
      <c r="AE202" s="304"/>
      <c r="AF202" s="304"/>
      <c r="AG202" s="304"/>
      <c r="AH202" s="304"/>
      <c r="AI202" s="304"/>
      <c r="AJ202" s="304"/>
      <c r="AK202" s="304"/>
      <c r="AL202" s="304"/>
      <c r="AM202" s="304"/>
      <c r="AN202" s="304"/>
      <c r="AO202" s="304"/>
      <c r="AP202" s="304"/>
      <c r="AQ202" s="304"/>
      <c r="AR202" s="304"/>
      <c r="AS202" s="304"/>
    </row>
    <row r="203" spans="2:45">
      <c r="B203" s="1257" t="s">
        <v>726</v>
      </c>
      <c r="C203" s="1258"/>
      <c r="D203" s="1258"/>
      <c r="E203" s="1258"/>
      <c r="F203" s="1258"/>
      <c r="G203" s="391"/>
      <c r="H203" s="392"/>
      <c r="I203" s="391"/>
      <c r="J203" s="393"/>
      <c r="L203" s="403"/>
      <c r="M203" s="403"/>
      <c r="N203" s="403"/>
      <c r="O203" s="403"/>
      <c r="P203" s="403"/>
      <c r="Q203" s="403"/>
      <c r="R203" s="403"/>
      <c r="S203" s="403"/>
      <c r="T203" s="403"/>
      <c r="U203" s="403"/>
      <c r="V203" s="403"/>
      <c r="W203" s="403"/>
      <c r="X203" s="403"/>
      <c r="Y203" s="403"/>
      <c r="Z203" s="367"/>
      <c r="AA203" s="304"/>
      <c r="AB203" s="304"/>
      <c r="AC203" s="304"/>
      <c r="AD203" s="304"/>
      <c r="AE203" s="304"/>
      <c r="AF203" s="304"/>
      <c r="AG203" s="304"/>
      <c r="AH203" s="304"/>
      <c r="AI203" s="304"/>
      <c r="AJ203" s="304"/>
      <c r="AK203" s="304"/>
      <c r="AL203" s="304"/>
      <c r="AM203" s="304"/>
      <c r="AN203" s="304"/>
      <c r="AO203" s="304"/>
      <c r="AP203" s="304"/>
      <c r="AQ203" s="304"/>
      <c r="AR203" s="304"/>
      <c r="AS203" s="304"/>
    </row>
    <row r="204" spans="2:45">
      <c r="B204" s="1259" t="s">
        <v>727</v>
      </c>
      <c r="C204" s="1260"/>
      <c r="D204" s="1260"/>
      <c r="E204" s="1260"/>
      <c r="F204" s="1261"/>
      <c r="G204" s="394"/>
      <c r="H204" s="395">
        <f>(G204*H194)*-1</f>
        <v>0</v>
      </c>
      <c r="I204" s="394"/>
      <c r="J204" s="396">
        <f>(I204*J194)*-1</f>
        <v>0</v>
      </c>
      <c r="L204" s="403"/>
      <c r="M204" s="403"/>
      <c r="N204" s="403"/>
      <c r="O204" s="403"/>
      <c r="P204" s="403"/>
      <c r="Q204" s="403"/>
      <c r="R204" s="403"/>
      <c r="S204" s="403"/>
      <c r="T204" s="403"/>
      <c r="U204" s="403"/>
      <c r="V204" s="403"/>
      <c r="W204" s="403"/>
      <c r="X204" s="403"/>
      <c r="Y204" s="403"/>
      <c r="Z204" s="367"/>
      <c r="AA204" s="304"/>
      <c r="AB204" s="304"/>
      <c r="AC204" s="304"/>
      <c r="AD204" s="304"/>
      <c r="AE204" s="304"/>
      <c r="AF204" s="304"/>
      <c r="AG204" s="304"/>
      <c r="AH204" s="304"/>
      <c r="AI204" s="304"/>
      <c r="AJ204" s="304"/>
      <c r="AK204" s="304"/>
      <c r="AL204" s="304"/>
      <c r="AM204" s="304"/>
      <c r="AN204" s="304"/>
      <c r="AO204" s="304"/>
      <c r="AP204" s="304"/>
      <c r="AQ204" s="304"/>
      <c r="AR204" s="304"/>
      <c r="AS204" s="304"/>
    </row>
    <row r="205" spans="2:45">
      <c r="B205" s="1237" t="s">
        <v>728</v>
      </c>
      <c r="C205" s="1238"/>
      <c r="D205" s="1238"/>
      <c r="E205" s="1238"/>
      <c r="F205" s="1239"/>
      <c r="G205" s="394"/>
      <c r="H205" s="395">
        <f>(G205*H194)*-1</f>
        <v>0</v>
      </c>
      <c r="I205" s="394"/>
      <c r="J205" s="396">
        <f>(I205*J194)*-1</f>
        <v>0</v>
      </c>
      <c r="L205" s="403"/>
      <c r="M205" s="403"/>
      <c r="N205" s="403"/>
      <c r="O205" s="403"/>
      <c r="P205" s="403"/>
      <c r="Q205" s="403"/>
      <c r="R205" s="403"/>
      <c r="S205" s="403"/>
      <c r="T205" s="403"/>
      <c r="U205" s="403"/>
      <c r="V205" s="403"/>
      <c r="W205" s="403"/>
      <c r="X205" s="403"/>
      <c r="Y205" s="403"/>
      <c r="Z205" s="367"/>
      <c r="AA205" s="304"/>
      <c r="AB205" s="304"/>
      <c r="AC205" s="304"/>
      <c r="AD205" s="304"/>
      <c r="AE205" s="304"/>
      <c r="AF205" s="304"/>
      <c r="AG205" s="304"/>
      <c r="AH205" s="304"/>
      <c r="AI205" s="304"/>
      <c r="AJ205" s="304"/>
      <c r="AK205" s="304"/>
      <c r="AL205" s="304"/>
      <c r="AM205" s="304"/>
      <c r="AN205" s="304"/>
      <c r="AO205" s="304"/>
      <c r="AP205" s="304"/>
      <c r="AQ205" s="304"/>
      <c r="AR205" s="304"/>
      <c r="AS205" s="304"/>
    </row>
    <row r="206" spans="2:45">
      <c r="B206" s="1237" t="s">
        <v>729</v>
      </c>
      <c r="C206" s="1238"/>
      <c r="D206" s="1238"/>
      <c r="E206" s="1238"/>
      <c r="F206" s="1239"/>
      <c r="G206" s="394"/>
      <c r="H206" s="395">
        <f>(G206*H194)*-1</f>
        <v>0</v>
      </c>
      <c r="I206" s="394"/>
      <c r="J206" s="396">
        <f>(I206*J194)*-1</f>
        <v>0</v>
      </c>
      <c r="L206" s="403"/>
      <c r="M206" s="403"/>
      <c r="N206" s="403"/>
      <c r="O206" s="403"/>
      <c r="P206" s="403"/>
      <c r="Q206" s="403"/>
      <c r="R206" s="403"/>
      <c r="S206" s="403"/>
      <c r="T206" s="403"/>
      <c r="U206" s="403"/>
      <c r="V206" s="403"/>
      <c r="W206" s="403"/>
      <c r="X206" s="403"/>
      <c r="Y206" s="403"/>
      <c r="Z206" s="367"/>
      <c r="AA206" s="304"/>
      <c r="AB206" s="304"/>
      <c r="AC206" s="304"/>
      <c r="AD206" s="304"/>
      <c r="AE206" s="304"/>
      <c r="AF206" s="304"/>
      <c r="AG206" s="304"/>
      <c r="AH206" s="304"/>
      <c r="AI206" s="304"/>
      <c r="AJ206" s="304"/>
      <c r="AK206" s="304"/>
      <c r="AL206" s="304"/>
      <c r="AM206" s="304"/>
      <c r="AN206" s="304"/>
      <c r="AO206" s="304"/>
      <c r="AP206" s="304"/>
      <c r="AQ206" s="304"/>
      <c r="AR206" s="304"/>
      <c r="AS206" s="304"/>
    </row>
    <row r="207" spans="2:45">
      <c r="B207" s="1240" t="s">
        <v>730</v>
      </c>
      <c r="C207" s="1241"/>
      <c r="D207" s="1241"/>
      <c r="E207" s="1241"/>
      <c r="F207" s="1242"/>
      <c r="G207" s="394"/>
      <c r="H207" s="395">
        <f>(G207*H194)*-1</f>
        <v>0</v>
      </c>
      <c r="I207" s="394"/>
      <c r="J207" s="396">
        <f>(I207*J194)*-1</f>
        <v>0</v>
      </c>
      <c r="L207" s="403"/>
      <c r="M207" s="403"/>
      <c r="N207" s="403"/>
      <c r="O207" s="403"/>
      <c r="P207" s="403"/>
      <c r="Q207" s="403"/>
      <c r="R207" s="403"/>
      <c r="S207" s="403"/>
      <c r="T207" s="403"/>
      <c r="U207" s="403"/>
      <c r="V207" s="403"/>
      <c r="W207" s="403"/>
      <c r="X207" s="403"/>
      <c r="Y207" s="403"/>
      <c r="Z207" s="367"/>
      <c r="AA207" s="304"/>
      <c r="AB207" s="304"/>
      <c r="AC207" s="304"/>
      <c r="AD207" s="304"/>
      <c r="AE207" s="304"/>
      <c r="AF207" s="304"/>
      <c r="AG207" s="304"/>
      <c r="AH207" s="304"/>
      <c r="AI207" s="304"/>
      <c r="AJ207" s="304"/>
      <c r="AK207" s="304"/>
      <c r="AL207" s="304"/>
      <c r="AM207" s="304"/>
      <c r="AN207" s="304"/>
      <c r="AO207" s="304"/>
      <c r="AP207" s="304"/>
      <c r="AQ207" s="304"/>
      <c r="AR207" s="304"/>
      <c r="AS207" s="304"/>
    </row>
    <row r="208" spans="2:45">
      <c r="B208" s="1229" t="s">
        <v>731</v>
      </c>
      <c r="C208" s="1230"/>
      <c r="D208" s="1230"/>
      <c r="E208" s="1230"/>
      <c r="F208" s="1230"/>
      <c r="G208" s="350"/>
      <c r="H208" s="351"/>
      <c r="I208" s="350"/>
      <c r="J208" s="352"/>
      <c r="L208" s="403"/>
      <c r="M208" s="403"/>
      <c r="N208" s="403"/>
      <c r="O208" s="403"/>
      <c r="P208" s="403"/>
      <c r="Q208" s="403"/>
      <c r="R208" s="403"/>
      <c r="S208" s="403"/>
      <c r="T208" s="403"/>
      <c r="U208" s="403"/>
      <c r="V208" s="403"/>
      <c r="W208" s="403"/>
      <c r="X208" s="403"/>
      <c r="Y208" s="403"/>
      <c r="Z208" s="367"/>
      <c r="AA208" s="304"/>
      <c r="AB208" s="304"/>
      <c r="AC208" s="304"/>
      <c r="AD208" s="304"/>
      <c r="AE208" s="304"/>
      <c r="AF208" s="304"/>
      <c r="AG208" s="304"/>
      <c r="AH208" s="304"/>
      <c r="AI208" s="304"/>
      <c r="AJ208" s="304"/>
      <c r="AK208" s="304"/>
      <c r="AL208" s="304"/>
      <c r="AM208" s="304"/>
      <c r="AN208" s="304"/>
      <c r="AO208" s="304"/>
      <c r="AP208" s="304"/>
      <c r="AQ208" s="304"/>
      <c r="AR208" s="304"/>
      <c r="AS208" s="304"/>
    </row>
    <row r="209" spans="1:45">
      <c r="B209" s="1243" t="s">
        <v>732</v>
      </c>
      <c r="C209" s="1244"/>
      <c r="D209" s="1244"/>
      <c r="E209" s="1244"/>
      <c r="F209" s="1245"/>
      <c r="G209" s="346"/>
      <c r="H209" s="384">
        <f>G209*H194</f>
        <v>0</v>
      </c>
      <c r="I209" s="346"/>
      <c r="J209" s="385">
        <f>I209*J194</f>
        <v>0</v>
      </c>
      <c r="L209" s="403"/>
      <c r="M209" s="403"/>
      <c r="N209" s="403"/>
      <c r="O209" s="403"/>
      <c r="P209" s="403"/>
      <c r="Q209" s="403"/>
      <c r="R209" s="403"/>
      <c r="S209" s="403"/>
      <c r="T209" s="403"/>
      <c r="U209" s="403"/>
      <c r="V209" s="403"/>
      <c r="W209" s="403"/>
      <c r="X209" s="403"/>
      <c r="Y209" s="403"/>
      <c r="Z209" s="367"/>
      <c r="AA209" s="304"/>
      <c r="AB209" s="304"/>
      <c r="AC209" s="304"/>
      <c r="AD209" s="304"/>
      <c r="AE209" s="304"/>
      <c r="AF209" s="304"/>
      <c r="AG209" s="304"/>
      <c r="AH209" s="304"/>
      <c r="AI209" s="304"/>
      <c r="AJ209" s="304"/>
      <c r="AK209" s="304"/>
      <c r="AL209" s="304"/>
      <c r="AM209" s="304"/>
      <c r="AN209" s="304"/>
      <c r="AO209" s="304"/>
      <c r="AP209" s="304"/>
      <c r="AQ209" s="304"/>
      <c r="AR209" s="304"/>
      <c r="AS209" s="304"/>
    </row>
    <row r="210" spans="1:45">
      <c r="B210" s="1223" t="s">
        <v>733</v>
      </c>
      <c r="C210" s="1224"/>
      <c r="D210" s="1224"/>
      <c r="E210" s="1224"/>
      <c r="F210" s="1225"/>
      <c r="G210" s="346"/>
      <c r="H210" s="384">
        <f>G210*H194</f>
        <v>0</v>
      </c>
      <c r="I210" s="346"/>
      <c r="J210" s="385">
        <f>I210*J194</f>
        <v>0</v>
      </c>
      <c r="L210" s="403"/>
      <c r="M210" s="403"/>
      <c r="N210" s="403"/>
      <c r="O210" s="403"/>
      <c r="P210" s="403"/>
      <c r="Q210" s="403"/>
      <c r="R210" s="403"/>
      <c r="S210" s="403"/>
      <c r="T210" s="403"/>
      <c r="U210" s="403"/>
      <c r="V210" s="403"/>
      <c r="W210" s="403"/>
      <c r="X210" s="403"/>
      <c r="Y210" s="403"/>
      <c r="Z210" s="367"/>
      <c r="AA210" s="304"/>
      <c r="AB210" s="304"/>
      <c r="AC210" s="304"/>
      <c r="AD210" s="304"/>
      <c r="AE210" s="304"/>
      <c r="AF210" s="304"/>
      <c r="AG210" s="304"/>
      <c r="AH210" s="304"/>
      <c r="AI210" s="304"/>
      <c r="AJ210" s="304"/>
      <c r="AK210" s="304"/>
      <c r="AL210" s="304"/>
      <c r="AM210" s="304"/>
      <c r="AN210" s="304"/>
      <c r="AO210" s="304"/>
      <c r="AP210" s="304"/>
      <c r="AQ210" s="304"/>
      <c r="AR210" s="304"/>
      <c r="AS210" s="304"/>
    </row>
    <row r="211" spans="1:45">
      <c r="B211" s="1223" t="s">
        <v>734</v>
      </c>
      <c r="C211" s="1224"/>
      <c r="D211" s="1224"/>
      <c r="E211" s="1224"/>
      <c r="F211" s="1225"/>
      <c r="G211" s="346"/>
      <c r="H211" s="384">
        <f>G211*H194</f>
        <v>0</v>
      </c>
      <c r="I211" s="346"/>
      <c r="J211" s="385">
        <f>I211*J194</f>
        <v>0</v>
      </c>
      <c r="L211" s="403"/>
      <c r="M211" s="403"/>
      <c r="N211" s="403"/>
      <c r="O211" s="403"/>
      <c r="P211" s="403"/>
      <c r="Q211" s="403"/>
      <c r="R211" s="403"/>
      <c r="S211" s="403"/>
      <c r="T211" s="403"/>
      <c r="U211" s="403"/>
      <c r="V211" s="403"/>
      <c r="W211" s="403"/>
      <c r="X211" s="403"/>
      <c r="Y211" s="403"/>
      <c r="Z211" s="367"/>
      <c r="AA211" s="304"/>
      <c r="AB211" s="304"/>
      <c r="AC211" s="304"/>
      <c r="AD211" s="304"/>
      <c r="AE211" s="304"/>
      <c r="AF211" s="304"/>
      <c r="AG211" s="304"/>
      <c r="AH211" s="304"/>
      <c r="AI211" s="304"/>
      <c r="AJ211" s="304"/>
      <c r="AK211" s="304"/>
      <c r="AL211" s="304"/>
      <c r="AM211" s="304"/>
      <c r="AN211" s="304"/>
      <c r="AO211" s="304"/>
      <c r="AP211" s="304"/>
      <c r="AQ211" s="304"/>
      <c r="AR211" s="304"/>
      <c r="AS211" s="304"/>
    </row>
    <row r="212" spans="1:45">
      <c r="B212" s="1172" t="s">
        <v>735</v>
      </c>
      <c r="C212" s="1173"/>
      <c r="D212" s="1173"/>
      <c r="E212" s="1173"/>
      <c r="F212" s="1173"/>
      <c r="G212" s="351"/>
      <c r="H212" s="397"/>
      <c r="I212" s="351"/>
      <c r="J212" s="398"/>
      <c r="L212" s="403"/>
      <c r="M212" s="403"/>
      <c r="N212" s="403"/>
      <c r="O212" s="403"/>
      <c r="P212" s="403"/>
      <c r="Q212" s="403"/>
      <c r="R212" s="403"/>
      <c r="S212" s="403"/>
      <c r="T212" s="403"/>
      <c r="U212" s="403"/>
      <c r="V212" s="403"/>
      <c r="W212" s="403"/>
      <c r="X212" s="403"/>
      <c r="Y212" s="403"/>
      <c r="Z212" s="367"/>
      <c r="AA212" s="304"/>
      <c r="AB212" s="304"/>
      <c r="AC212" s="304"/>
      <c r="AD212" s="304"/>
      <c r="AE212" s="304"/>
      <c r="AF212" s="304"/>
      <c r="AG212" s="304"/>
      <c r="AH212" s="304"/>
      <c r="AI212" s="304"/>
      <c r="AJ212" s="304"/>
      <c r="AK212" s="304"/>
      <c r="AL212" s="304"/>
      <c r="AM212" s="304"/>
      <c r="AN212" s="304"/>
      <c r="AO212" s="304"/>
      <c r="AP212" s="304"/>
      <c r="AQ212" s="304"/>
      <c r="AR212" s="304"/>
      <c r="AS212" s="304"/>
    </row>
    <row r="213" spans="1:45">
      <c r="B213" s="1226" t="s">
        <v>736</v>
      </c>
      <c r="C213" s="1227"/>
      <c r="D213" s="1227"/>
      <c r="E213" s="1227"/>
      <c r="F213" s="1228"/>
      <c r="G213" s="346"/>
      <c r="H213" s="384">
        <f>G213*H194</f>
        <v>0</v>
      </c>
      <c r="I213" s="346"/>
      <c r="J213" s="385">
        <f>I213*J194</f>
        <v>0</v>
      </c>
      <c r="L213" s="403"/>
      <c r="M213" s="403"/>
      <c r="N213" s="403"/>
      <c r="O213" s="403"/>
      <c r="P213" s="403"/>
      <c r="Q213" s="403"/>
      <c r="R213" s="403"/>
      <c r="S213" s="403"/>
      <c r="T213" s="403"/>
      <c r="U213" s="403"/>
      <c r="V213" s="403"/>
      <c r="W213" s="403"/>
      <c r="X213" s="403"/>
      <c r="Y213" s="403"/>
      <c r="Z213" s="367"/>
      <c r="AA213" s="304"/>
      <c r="AB213" s="304"/>
      <c r="AC213" s="304"/>
      <c r="AD213" s="304"/>
      <c r="AE213" s="304"/>
      <c r="AF213" s="304"/>
      <c r="AG213" s="304"/>
      <c r="AH213" s="304"/>
      <c r="AI213" s="304"/>
      <c r="AJ213" s="304"/>
      <c r="AK213" s="304"/>
      <c r="AL213" s="304"/>
      <c r="AM213" s="304"/>
      <c r="AN213" s="304"/>
      <c r="AO213" s="304"/>
      <c r="AP213" s="304"/>
      <c r="AQ213" s="304"/>
      <c r="AR213" s="304"/>
      <c r="AS213" s="304"/>
    </row>
    <row r="214" spans="1:45">
      <c r="B214" s="1229" t="s">
        <v>737</v>
      </c>
      <c r="C214" s="1230"/>
      <c r="D214" s="1230"/>
      <c r="E214" s="1230"/>
      <c r="F214" s="1230"/>
      <c r="G214" s="350"/>
      <c r="H214" s="351"/>
      <c r="I214" s="350"/>
      <c r="J214" s="352"/>
      <c r="L214" s="403"/>
      <c r="M214" s="403"/>
      <c r="N214" s="403"/>
      <c r="O214" s="403"/>
      <c r="P214" s="403"/>
      <c r="Q214" s="403"/>
      <c r="R214" s="403"/>
      <c r="S214" s="403"/>
      <c r="T214" s="403"/>
      <c r="U214" s="403"/>
      <c r="V214" s="403"/>
      <c r="W214" s="403"/>
      <c r="X214" s="403"/>
      <c r="Y214" s="403"/>
      <c r="Z214" s="367"/>
      <c r="AA214" s="304"/>
      <c r="AB214" s="304"/>
      <c r="AC214" s="304"/>
      <c r="AD214" s="304"/>
      <c r="AE214" s="304"/>
      <c r="AF214" s="304"/>
      <c r="AG214" s="304"/>
      <c r="AH214" s="304"/>
      <c r="AI214" s="304"/>
      <c r="AJ214" s="304"/>
      <c r="AK214" s="304"/>
      <c r="AL214" s="304"/>
      <c r="AM214" s="304"/>
      <c r="AN214" s="304"/>
      <c r="AO214" s="304"/>
      <c r="AP214" s="304"/>
      <c r="AQ214" s="304"/>
      <c r="AR214" s="304"/>
      <c r="AS214" s="304"/>
    </row>
    <row r="215" spans="1:45" ht="29.1" customHeight="1">
      <c r="B215" s="1231" t="s">
        <v>738</v>
      </c>
      <c r="C215" s="1232"/>
      <c r="D215" s="1232"/>
      <c r="E215" s="1232"/>
      <c r="F215" s="1233"/>
      <c r="G215" s="399"/>
      <c r="H215" s="359">
        <f>H194*G215*-1</f>
        <v>0</v>
      </c>
      <c r="I215" s="399"/>
      <c r="J215" s="400">
        <f>(J194*I215)*-1</f>
        <v>0</v>
      </c>
      <c r="L215" s="403"/>
      <c r="M215" s="403"/>
      <c r="N215" s="403"/>
      <c r="O215" s="403"/>
      <c r="P215" s="403"/>
      <c r="Q215" s="403"/>
      <c r="R215" s="403"/>
      <c r="S215" s="403"/>
      <c r="T215" s="403"/>
      <c r="U215" s="403"/>
      <c r="V215" s="403"/>
      <c r="W215" s="403"/>
      <c r="X215" s="403"/>
      <c r="Y215" s="403"/>
      <c r="Z215" s="367"/>
      <c r="AA215" s="304"/>
      <c r="AB215" s="304"/>
      <c r="AC215" s="304"/>
      <c r="AD215" s="304"/>
      <c r="AE215" s="304"/>
      <c r="AF215" s="304"/>
      <c r="AG215" s="304"/>
      <c r="AH215" s="304"/>
      <c r="AI215" s="304"/>
      <c r="AJ215" s="304"/>
      <c r="AK215" s="304"/>
      <c r="AL215" s="304"/>
      <c r="AM215" s="304"/>
      <c r="AN215" s="304"/>
      <c r="AO215" s="304"/>
      <c r="AP215" s="304"/>
      <c r="AQ215" s="304"/>
      <c r="AR215" s="304"/>
      <c r="AS215" s="304"/>
    </row>
    <row r="216" spans="1:45" ht="29.1" customHeight="1">
      <c r="B216" s="1234" t="s">
        <v>739</v>
      </c>
      <c r="C216" s="1235"/>
      <c r="D216" s="1235"/>
      <c r="E216" s="1235"/>
      <c r="F216" s="1236"/>
      <c r="G216" s="346"/>
      <c r="H216" s="401">
        <f>(H194*G216)*-1</f>
        <v>0</v>
      </c>
      <c r="I216" s="346"/>
      <c r="J216" s="402">
        <f>(J194*I216)*-1</f>
        <v>0</v>
      </c>
      <c r="L216" s="403"/>
      <c r="M216" s="403"/>
      <c r="N216" s="403"/>
      <c r="O216" s="403"/>
      <c r="P216" s="403"/>
      <c r="Q216" s="403"/>
      <c r="R216" s="403"/>
      <c r="S216" s="403"/>
      <c r="T216" s="403"/>
      <c r="U216" s="403"/>
      <c r="V216" s="403"/>
      <c r="W216" s="403"/>
      <c r="X216" s="403"/>
      <c r="Y216" s="403"/>
      <c r="Z216" s="367"/>
      <c r="AA216" s="304"/>
      <c r="AB216" s="304"/>
      <c r="AC216" s="304"/>
      <c r="AD216" s="304"/>
      <c r="AE216" s="304"/>
      <c r="AF216" s="304"/>
      <c r="AG216" s="304"/>
      <c r="AH216" s="304"/>
      <c r="AI216" s="304"/>
      <c r="AJ216" s="304"/>
      <c r="AK216" s="304"/>
      <c r="AL216" s="304"/>
      <c r="AM216" s="304"/>
      <c r="AN216" s="304"/>
      <c r="AO216" s="304"/>
      <c r="AP216" s="304"/>
      <c r="AQ216" s="304"/>
      <c r="AR216" s="304"/>
      <c r="AS216" s="304"/>
    </row>
    <row r="217" spans="1:45">
      <c r="B217" s="1211" t="s">
        <v>740</v>
      </c>
      <c r="C217" s="1212"/>
      <c r="D217" s="1212"/>
      <c r="E217" s="1212"/>
      <c r="F217" s="1213"/>
      <c r="G217" s="1214">
        <f>SUM(H198:H216)</f>
        <v>0</v>
      </c>
      <c r="H217" s="1215"/>
      <c r="I217" s="1214">
        <f>SUM(J200:J216)+J198</f>
        <v>0</v>
      </c>
      <c r="J217" s="1216"/>
      <c r="L217" s="403"/>
      <c r="M217" s="403"/>
      <c r="N217" s="403"/>
      <c r="O217" s="403"/>
      <c r="P217" s="403"/>
      <c r="Q217" s="403"/>
      <c r="R217" s="403"/>
      <c r="S217" s="403"/>
      <c r="T217" s="403"/>
      <c r="U217" s="403"/>
      <c r="V217" s="403"/>
      <c r="W217" s="403"/>
      <c r="X217" s="403"/>
      <c r="Y217" s="403"/>
      <c r="Z217" s="367"/>
      <c r="AA217" s="304"/>
      <c r="AB217" s="304"/>
      <c r="AC217" s="304"/>
      <c r="AD217" s="304"/>
      <c r="AE217" s="304"/>
      <c r="AF217" s="304"/>
      <c r="AG217" s="304"/>
      <c r="AH217" s="304"/>
      <c r="AI217" s="304"/>
      <c r="AJ217" s="304"/>
      <c r="AK217" s="304"/>
      <c r="AL217" s="304"/>
      <c r="AM217" s="304"/>
      <c r="AN217" s="304"/>
      <c r="AO217" s="304"/>
      <c r="AP217" s="304"/>
      <c r="AQ217" s="304"/>
      <c r="AR217" s="304"/>
      <c r="AS217" s="304"/>
    </row>
    <row r="218" spans="1:45" ht="18.75">
      <c r="B218" s="1217" t="s">
        <v>696</v>
      </c>
      <c r="C218" s="1218"/>
      <c r="D218" s="1218"/>
      <c r="E218" s="1218"/>
      <c r="F218" s="1219"/>
      <c r="G218" s="1161" t="str">
        <f>IF(OR(AC191=0, I217=0), "12 Month Average", "24 Month Average")</f>
        <v>12 Month Average</v>
      </c>
      <c r="H218" s="1162"/>
      <c r="I218" s="1162"/>
      <c r="J218" s="1163"/>
      <c r="L218" s="403"/>
      <c r="M218" s="403"/>
      <c r="N218" s="403"/>
      <c r="O218" s="403"/>
      <c r="P218" s="403"/>
      <c r="Q218" s="403"/>
      <c r="R218" s="403"/>
      <c r="S218" s="403"/>
      <c r="T218" s="403"/>
      <c r="U218" s="403"/>
      <c r="V218" s="403"/>
      <c r="W218" s="403"/>
      <c r="X218" s="403"/>
      <c r="Y218" s="403"/>
      <c r="Z218" s="367"/>
      <c r="AA218" s="304"/>
      <c r="AB218" s="304"/>
      <c r="AC218" s="304"/>
      <c r="AD218" s="304"/>
      <c r="AE218" s="304"/>
      <c r="AF218" s="304"/>
      <c r="AG218" s="304"/>
      <c r="AH218" s="304"/>
      <c r="AI218" s="304"/>
      <c r="AJ218" s="304"/>
      <c r="AK218" s="304"/>
      <c r="AL218" s="304"/>
      <c r="AM218" s="304"/>
      <c r="AN218" s="304"/>
      <c r="AO218" s="304"/>
      <c r="AP218" s="304"/>
      <c r="AQ218" s="304"/>
      <c r="AR218" s="304"/>
      <c r="AS218" s="304"/>
    </row>
    <row r="219" spans="1:45" ht="34.5" thickBot="1">
      <c r="B219" s="1220" t="s">
        <v>697</v>
      </c>
      <c r="C219" s="1221"/>
      <c r="D219" s="1221"/>
      <c r="E219" s="1221"/>
      <c r="F219" s="1222"/>
      <c r="G219" s="1167">
        <f>IF(OR(AC191=0, I217=0), AC193, AC194)</f>
        <v>0</v>
      </c>
      <c r="H219" s="1168"/>
      <c r="I219" s="1168"/>
      <c r="J219" s="1169"/>
      <c r="L219" s="403"/>
      <c r="M219" s="403"/>
      <c r="N219" s="403"/>
      <c r="O219" s="403"/>
      <c r="P219" s="403"/>
      <c r="Q219" s="403"/>
      <c r="R219" s="403"/>
      <c r="S219" s="403"/>
      <c r="T219" s="403"/>
      <c r="U219" s="403"/>
      <c r="V219" s="403"/>
      <c r="W219" s="403"/>
      <c r="X219" s="403"/>
      <c r="Y219" s="403"/>
      <c r="Z219" s="367"/>
      <c r="AA219" s="304"/>
      <c r="AB219" s="304"/>
      <c r="AC219" s="304"/>
      <c r="AD219" s="304"/>
    </row>
    <row r="220" spans="1:45" ht="9" customHeight="1" thickBot="1">
      <c r="H220" s="330"/>
      <c r="I220" s="330"/>
      <c r="L220" s="403"/>
      <c r="M220" s="403"/>
      <c r="N220" s="403"/>
      <c r="O220" s="403"/>
      <c r="P220" s="403"/>
      <c r="Q220" s="403"/>
      <c r="R220" s="403"/>
      <c r="S220" s="403"/>
      <c r="T220" s="403"/>
      <c r="U220" s="403"/>
      <c r="V220" s="403"/>
      <c r="W220" s="403"/>
      <c r="X220" s="403"/>
      <c r="Y220" s="403"/>
      <c r="Z220" s="367"/>
      <c r="AA220" s="304"/>
      <c r="AB220" s="304"/>
      <c r="AC220" s="304"/>
      <c r="AD220" s="304"/>
    </row>
    <row r="221" spans="1:45" ht="105" customHeight="1" thickBot="1">
      <c r="B221" s="1208" t="s">
        <v>645</v>
      </c>
      <c r="C221" s="1209"/>
      <c r="D221" s="1209"/>
      <c r="E221" s="1209"/>
      <c r="F221" s="1209"/>
      <c r="G221" s="1209"/>
      <c r="H221" s="1209"/>
      <c r="I221" s="1209"/>
      <c r="J221" s="1210"/>
      <c r="L221" s="367"/>
      <c r="M221" s="367"/>
      <c r="N221" s="367"/>
      <c r="O221" s="367"/>
      <c r="P221" s="367"/>
      <c r="Q221" s="367"/>
      <c r="R221" s="367"/>
      <c r="S221" s="367"/>
      <c r="T221" s="367"/>
      <c r="U221" s="367"/>
      <c r="V221" s="367"/>
      <c r="W221" s="367"/>
      <c r="X221" s="367"/>
      <c r="Y221" s="367"/>
      <c r="Z221" s="367"/>
      <c r="AA221" s="304"/>
      <c r="AB221" s="304"/>
      <c r="AC221" s="304"/>
      <c r="AD221" s="304"/>
    </row>
    <row r="222" spans="1:45">
      <c r="A222" s="304"/>
      <c r="B222" s="304"/>
      <c r="C222" s="304"/>
      <c r="D222" s="304"/>
      <c r="E222" s="304"/>
      <c r="F222" s="304"/>
      <c r="G222" s="304"/>
      <c r="H222" s="304"/>
      <c r="I222" s="304"/>
      <c r="J222" s="304"/>
      <c r="K222" s="304"/>
      <c r="L222" s="367"/>
      <c r="M222" s="367"/>
      <c r="N222" s="367"/>
      <c r="O222" s="367"/>
      <c r="P222" s="367"/>
      <c r="Q222" s="367"/>
      <c r="R222" s="367"/>
      <c r="S222" s="367"/>
      <c r="T222" s="367"/>
      <c r="U222" s="367"/>
      <c r="V222" s="367"/>
      <c r="W222" s="367"/>
      <c r="X222" s="367"/>
      <c r="Y222" s="367"/>
      <c r="Z222" s="367"/>
      <c r="AA222" s="304"/>
      <c r="AB222" s="304"/>
      <c r="AC222" s="304"/>
      <c r="AD222" s="304"/>
    </row>
    <row r="223" spans="1:45" ht="13.5" customHeight="1" thickBot="1">
      <c r="L223" s="304"/>
      <c r="M223" s="304"/>
      <c r="N223" s="304"/>
      <c r="O223" s="304"/>
      <c r="P223" s="304"/>
      <c r="Q223" s="304"/>
      <c r="R223" s="304"/>
      <c r="S223" s="304"/>
      <c r="T223" s="304"/>
      <c r="U223" s="304"/>
    </row>
    <row r="224" spans="1:45" ht="69" customHeight="1">
      <c r="B224" s="1187" t="s">
        <v>708</v>
      </c>
      <c r="C224" s="1188"/>
      <c r="D224" s="1188"/>
      <c r="E224" s="1188"/>
      <c r="F224" s="1188"/>
      <c r="G224" s="1188"/>
      <c r="H224" s="1188"/>
      <c r="I224" s="1188"/>
      <c r="J224" s="331" t="str">
        <f>'[3]Reference Sheet'!$B$2</f>
        <v>Rev. 4.12.2016</v>
      </c>
      <c r="L224" s="403"/>
      <c r="M224" s="403"/>
      <c r="N224" s="403"/>
      <c r="O224" s="403"/>
      <c r="P224" s="403"/>
      <c r="Q224" s="403"/>
      <c r="R224" s="403"/>
      <c r="S224" s="403"/>
      <c r="T224" s="403"/>
      <c r="U224" s="403"/>
      <c r="V224" s="403"/>
      <c r="W224" s="403"/>
      <c r="X224" s="403"/>
      <c r="Y224" s="403"/>
      <c r="Z224" s="367"/>
      <c r="AA224" s="304"/>
      <c r="AB224" s="304"/>
      <c r="AC224" s="304"/>
      <c r="AD224" s="304"/>
      <c r="AE224" s="304"/>
      <c r="AF224" s="304"/>
      <c r="AG224" s="304"/>
      <c r="AH224" s="304"/>
      <c r="AI224" s="304"/>
      <c r="AJ224" s="304"/>
      <c r="AK224" s="304"/>
      <c r="AL224" s="304"/>
      <c r="AM224" s="304"/>
      <c r="AN224" s="304"/>
      <c r="AO224" s="304"/>
      <c r="AP224" s="304"/>
      <c r="AQ224" s="304"/>
      <c r="AR224" s="304"/>
      <c r="AS224" s="304"/>
    </row>
    <row r="225" spans="2:45" ht="3.75" customHeight="1">
      <c r="B225" s="332"/>
      <c r="C225" s="333"/>
      <c r="D225" s="333"/>
      <c r="E225" s="333"/>
      <c r="F225" s="333"/>
      <c r="G225" s="333"/>
      <c r="H225" s="333"/>
      <c r="I225" s="333"/>
      <c r="J225" s="334"/>
      <c r="L225" s="403"/>
      <c r="M225" s="403"/>
      <c r="N225" s="403"/>
      <c r="O225" s="403"/>
      <c r="P225" s="403"/>
      <c r="Q225" s="403"/>
      <c r="R225" s="403"/>
      <c r="S225" s="403"/>
      <c r="T225" s="403"/>
      <c r="U225" s="403"/>
      <c r="V225" s="403"/>
      <c r="W225" s="403"/>
      <c r="X225" s="403"/>
      <c r="Y225" s="403"/>
      <c r="Z225" s="367"/>
      <c r="AA225" s="304"/>
      <c r="AB225" s="304"/>
      <c r="AC225" s="304"/>
      <c r="AD225" s="304"/>
      <c r="AE225" s="304"/>
      <c r="AF225" s="304"/>
      <c r="AG225" s="304"/>
      <c r="AH225" s="304"/>
      <c r="AI225" s="304"/>
      <c r="AJ225" s="304"/>
      <c r="AK225" s="304"/>
      <c r="AL225" s="304"/>
      <c r="AM225" s="304"/>
      <c r="AN225" s="304"/>
      <c r="AO225" s="304"/>
      <c r="AP225" s="304"/>
      <c r="AQ225" s="304"/>
      <c r="AR225" s="304"/>
      <c r="AS225" s="304"/>
    </row>
    <row r="226" spans="2:45" ht="18" customHeight="1" thickBot="1">
      <c r="B226" s="332"/>
      <c r="C226" s="368" t="s">
        <v>710</v>
      </c>
      <c r="D226" s="1189"/>
      <c r="E226" s="1190"/>
      <c r="F226" s="1190"/>
      <c r="G226" s="1190"/>
      <c r="H226" s="333"/>
      <c r="I226" s="333"/>
      <c r="J226" s="334"/>
      <c r="L226" s="403"/>
      <c r="M226" s="403"/>
      <c r="N226" s="403"/>
      <c r="O226" s="403"/>
      <c r="P226" s="403"/>
      <c r="Q226" s="403"/>
      <c r="R226" s="403"/>
      <c r="S226" s="403"/>
      <c r="T226" s="403"/>
      <c r="U226" s="403"/>
      <c r="V226" s="403"/>
      <c r="W226" s="403"/>
      <c r="X226" s="403"/>
      <c r="Y226" s="403"/>
      <c r="Z226" s="367"/>
      <c r="AA226" s="304"/>
      <c r="AB226" s="304" t="s">
        <v>680</v>
      </c>
      <c r="AC226" s="304">
        <f>IF(AND(J231=0, J235=0, J237=0, J246=0, J247=0, J248=0, J250=0, J252=0, J253=0, I254=0), 0, 1)</f>
        <v>1</v>
      </c>
      <c r="AD226" s="304"/>
      <c r="AE226" s="304"/>
      <c r="AF226" s="366" t="s">
        <v>596</v>
      </c>
      <c r="AG226" s="304"/>
      <c r="AH226" s="304"/>
      <c r="AI226" s="304"/>
      <c r="AJ226" s="304"/>
      <c r="AK226" s="304"/>
      <c r="AL226" s="304"/>
      <c r="AM226" s="304"/>
      <c r="AN226" s="304"/>
      <c r="AO226" s="304"/>
      <c r="AP226" s="304"/>
      <c r="AQ226" s="304"/>
      <c r="AR226" s="304"/>
      <c r="AS226" s="304"/>
    </row>
    <row r="227" spans="2:45" ht="18" customHeight="1" thickBot="1">
      <c r="B227" s="332"/>
      <c r="C227" s="368" t="s">
        <v>711</v>
      </c>
      <c r="D227" s="1277"/>
      <c r="E227" s="1278"/>
      <c r="F227" s="1278"/>
      <c r="G227" s="1278"/>
      <c r="H227" s="368" t="s">
        <v>712</v>
      </c>
      <c r="I227" s="1189"/>
      <c r="J227" s="1279"/>
      <c r="L227" s="403"/>
      <c r="M227" s="403"/>
      <c r="N227" s="403"/>
      <c r="O227" s="403"/>
      <c r="P227" s="403"/>
      <c r="Q227" s="403"/>
      <c r="R227" s="403"/>
      <c r="S227" s="403"/>
      <c r="T227" s="403"/>
      <c r="U227" s="403"/>
      <c r="V227" s="403"/>
      <c r="W227" s="403"/>
      <c r="X227" s="403"/>
      <c r="Y227" s="403"/>
      <c r="Z227" s="367"/>
      <c r="AA227" s="304"/>
      <c r="AB227" s="304" t="s">
        <v>682</v>
      </c>
      <c r="AC227" s="304">
        <f>IF(AND(G254&lt;=I254, I254&lt;&gt;0), 0, 1)</f>
        <v>1</v>
      </c>
      <c r="AD227" s="304"/>
      <c r="AE227" s="304"/>
      <c r="AF227" s="366" t="s">
        <v>683</v>
      </c>
      <c r="AG227" s="304"/>
      <c r="AH227" s="304"/>
      <c r="AI227" s="304"/>
      <c r="AJ227" s="304"/>
      <c r="AK227" s="304"/>
      <c r="AL227" s="304"/>
      <c r="AM227" s="304"/>
      <c r="AN227" s="304"/>
      <c r="AO227" s="304"/>
      <c r="AP227" s="304"/>
      <c r="AQ227" s="304"/>
      <c r="AR227" s="304"/>
      <c r="AS227" s="304"/>
    </row>
    <row r="228" spans="2:45" ht="18" customHeight="1" thickBot="1">
      <c r="B228" s="1176" t="s">
        <v>671</v>
      </c>
      <c r="C228" s="1177"/>
      <c r="D228" s="1280"/>
      <c r="E228" s="1281"/>
      <c r="F228" s="1281"/>
      <c r="G228" s="1281"/>
      <c r="H228" s="336" t="s">
        <v>673</v>
      </c>
      <c r="I228" s="369"/>
      <c r="J228" s="370"/>
      <c r="L228" s="403"/>
      <c r="M228" s="403"/>
      <c r="N228" s="403"/>
      <c r="O228" s="403"/>
      <c r="P228" s="403"/>
      <c r="Q228" s="403"/>
      <c r="R228" s="403"/>
      <c r="S228" s="403"/>
      <c r="T228" s="403"/>
      <c r="U228" s="403"/>
      <c r="V228" s="403"/>
      <c r="W228" s="403"/>
      <c r="X228" s="403"/>
      <c r="Y228" s="403"/>
      <c r="Z228" s="367"/>
      <c r="AA228" s="304"/>
      <c r="AB228" s="304" t="s">
        <v>685</v>
      </c>
      <c r="AC228" s="304">
        <f>IF(AND(AC227=0, AC226=1), 0, 1)</f>
        <v>1</v>
      </c>
      <c r="AD228" s="304"/>
      <c r="AE228" s="304"/>
      <c r="AF228" s="366" t="s">
        <v>599</v>
      </c>
      <c r="AG228" s="304"/>
      <c r="AH228" s="304"/>
      <c r="AI228" s="304"/>
      <c r="AJ228" s="304"/>
      <c r="AK228" s="304"/>
      <c r="AL228" s="304"/>
      <c r="AM228" s="304"/>
      <c r="AN228" s="304"/>
      <c r="AO228" s="304"/>
      <c r="AP228" s="304"/>
      <c r="AQ228" s="304"/>
      <c r="AR228" s="304"/>
      <c r="AS228" s="304"/>
    </row>
    <row r="229" spans="2:45" ht="18" customHeight="1" thickBot="1">
      <c r="B229" s="1176" t="s">
        <v>674</v>
      </c>
      <c r="C229" s="1177"/>
      <c r="D229" s="1262"/>
      <c r="E229" s="1263"/>
      <c r="F229" s="1263"/>
      <c r="G229" s="1263"/>
      <c r="H229" s="1263"/>
      <c r="I229" s="1263"/>
      <c r="J229" s="1264"/>
      <c r="L229" s="403"/>
      <c r="M229" s="403"/>
      <c r="N229" s="403"/>
      <c r="O229" s="403"/>
      <c r="P229" s="403"/>
      <c r="Q229" s="403"/>
      <c r="R229" s="403"/>
      <c r="S229" s="403"/>
      <c r="T229" s="403"/>
      <c r="U229" s="403"/>
      <c r="V229" s="403"/>
      <c r="W229" s="403"/>
      <c r="X229" s="403"/>
      <c r="Y229" s="403"/>
      <c r="Z229" s="367"/>
      <c r="AA229" s="304"/>
      <c r="AB229" s="304"/>
      <c r="AC229" s="304"/>
      <c r="AD229" s="304"/>
      <c r="AE229" s="304"/>
      <c r="AF229" s="366" t="s">
        <v>603</v>
      </c>
      <c r="AG229" s="304"/>
      <c r="AH229" s="304"/>
      <c r="AI229" s="304"/>
      <c r="AJ229" s="304"/>
      <c r="AK229" s="304"/>
      <c r="AL229" s="304"/>
      <c r="AM229" s="304"/>
      <c r="AN229" s="304"/>
      <c r="AO229" s="304"/>
      <c r="AP229" s="304"/>
      <c r="AQ229" s="304"/>
      <c r="AR229" s="304"/>
      <c r="AS229" s="304"/>
    </row>
    <row r="230" spans="2:45">
      <c r="B230" s="1265"/>
      <c r="C230" s="1266"/>
      <c r="D230" s="1266"/>
      <c r="E230" s="1266"/>
      <c r="F230" s="1267"/>
      <c r="G230" s="371" t="s">
        <v>713</v>
      </c>
      <c r="H230" s="372" t="s">
        <v>676</v>
      </c>
      <c r="I230" s="342"/>
      <c r="J230" s="373" t="s">
        <v>677</v>
      </c>
      <c r="L230" s="403"/>
      <c r="M230" s="403"/>
      <c r="N230" s="403"/>
      <c r="O230" s="403"/>
      <c r="P230" s="403"/>
      <c r="Q230" s="403"/>
      <c r="R230" s="403"/>
      <c r="S230" s="403"/>
      <c r="T230" s="403"/>
      <c r="U230" s="403"/>
      <c r="V230" s="403"/>
      <c r="W230" s="403"/>
      <c r="X230" s="403"/>
      <c r="Y230" s="403"/>
      <c r="Z230" s="367"/>
      <c r="AA230" s="304"/>
      <c r="AB230" s="304" t="s">
        <v>689</v>
      </c>
      <c r="AC230" s="374">
        <f>G254/12</f>
        <v>0</v>
      </c>
      <c r="AD230" s="304"/>
      <c r="AE230" s="304"/>
      <c r="AF230" s="366" t="s">
        <v>605</v>
      </c>
      <c r="AG230" s="304"/>
      <c r="AH230" s="304"/>
      <c r="AI230" s="304"/>
      <c r="AJ230" s="304"/>
      <c r="AK230" s="304"/>
      <c r="AL230" s="304"/>
      <c r="AM230" s="304"/>
      <c r="AN230" s="304"/>
      <c r="AO230" s="304"/>
      <c r="AP230" s="304"/>
      <c r="AQ230" s="304"/>
      <c r="AR230" s="304"/>
      <c r="AS230" s="304"/>
    </row>
    <row r="231" spans="2:45">
      <c r="B231" s="1268"/>
      <c r="C231" s="1266"/>
      <c r="D231" s="1266"/>
      <c r="E231" s="1266"/>
      <c r="F231" s="1267"/>
      <c r="G231" s="375" t="s">
        <v>714</v>
      </c>
      <c r="H231" s="376"/>
      <c r="I231" s="1272"/>
      <c r="J231" s="378"/>
      <c r="L231" s="403"/>
      <c r="M231" s="403"/>
      <c r="N231" s="403"/>
      <c r="O231" s="403"/>
      <c r="P231" s="403"/>
      <c r="Q231" s="403"/>
      <c r="R231" s="403"/>
      <c r="S231" s="403"/>
      <c r="T231" s="403"/>
      <c r="U231" s="403"/>
      <c r="V231" s="403"/>
      <c r="W231" s="403"/>
      <c r="X231" s="403"/>
      <c r="Y231" s="403"/>
      <c r="Z231" s="367"/>
      <c r="AA231" s="304"/>
      <c r="AB231" s="304" t="s">
        <v>691</v>
      </c>
      <c r="AC231" s="374">
        <f>(G254+I254)/24</f>
        <v>0</v>
      </c>
      <c r="AD231" s="304"/>
      <c r="AE231" s="304"/>
      <c r="AF231" s="304"/>
      <c r="AG231" s="304"/>
      <c r="AH231" s="304"/>
      <c r="AI231" s="304"/>
      <c r="AJ231" s="304"/>
      <c r="AK231" s="304"/>
      <c r="AL231" s="304"/>
      <c r="AM231" s="304"/>
      <c r="AN231" s="304"/>
      <c r="AO231" s="304"/>
      <c r="AP231" s="304"/>
      <c r="AQ231" s="304"/>
      <c r="AR231" s="304"/>
      <c r="AS231" s="304"/>
    </row>
    <row r="232" spans="2:45">
      <c r="B232" s="1268"/>
      <c r="C232" s="1266"/>
      <c r="D232" s="1266"/>
      <c r="E232" s="1266"/>
      <c r="F232" s="1267"/>
      <c r="G232" s="379" t="s">
        <v>715</v>
      </c>
      <c r="H232" s="380"/>
      <c r="I232" s="1272"/>
      <c r="J232" s="378"/>
      <c r="L232" s="403"/>
      <c r="M232" s="403"/>
      <c r="N232" s="403"/>
      <c r="O232" s="403"/>
      <c r="P232" s="403"/>
      <c r="Q232" s="403"/>
      <c r="R232" s="403"/>
      <c r="S232" s="403"/>
      <c r="T232" s="403"/>
      <c r="U232" s="403"/>
      <c r="V232" s="403"/>
      <c r="W232" s="403"/>
      <c r="X232" s="403"/>
      <c r="Y232" s="403"/>
      <c r="Z232" s="367"/>
      <c r="AA232" s="304"/>
      <c r="AB232" s="304"/>
      <c r="AC232" s="304"/>
      <c r="AD232" s="304"/>
      <c r="AE232" s="304"/>
      <c r="AF232" s="304"/>
      <c r="AG232" s="304"/>
      <c r="AH232" s="304"/>
      <c r="AI232" s="304"/>
      <c r="AJ232" s="304"/>
      <c r="AK232" s="304"/>
      <c r="AL232" s="304"/>
      <c r="AM232" s="304"/>
      <c r="AN232" s="304"/>
      <c r="AO232" s="304"/>
      <c r="AP232" s="304"/>
      <c r="AQ232" s="304"/>
      <c r="AR232" s="304"/>
      <c r="AS232" s="304"/>
    </row>
    <row r="233" spans="2:45" ht="15.75" thickBot="1">
      <c r="B233" s="1269"/>
      <c r="C233" s="1270"/>
      <c r="D233" s="1270"/>
      <c r="E233" s="1270"/>
      <c r="F233" s="1271"/>
      <c r="G233" s="379" t="s">
        <v>716</v>
      </c>
      <c r="H233" s="376"/>
      <c r="I233" s="1272"/>
      <c r="J233" s="378"/>
      <c r="L233" s="403"/>
      <c r="M233" s="403"/>
      <c r="N233" s="403"/>
      <c r="O233" s="403"/>
      <c r="P233" s="403"/>
      <c r="Q233" s="403"/>
      <c r="R233" s="403"/>
      <c r="S233" s="403"/>
      <c r="T233" s="403"/>
      <c r="U233" s="403"/>
      <c r="V233" s="403"/>
      <c r="W233" s="403"/>
      <c r="X233" s="403"/>
      <c r="Y233" s="403"/>
      <c r="Z233" s="367"/>
      <c r="AA233" s="304"/>
      <c r="AB233" s="304" t="s">
        <v>717</v>
      </c>
      <c r="AC233" s="304" t="str">
        <f>IF(OR(H231=0, H231&gt;100%), "Year End Profit %", (G237+G238+G239))</f>
        <v>Year End Profit %</v>
      </c>
      <c r="AD233" s="304"/>
      <c r="AE233" s="304"/>
      <c r="AF233" s="304"/>
      <c r="AG233" s="304"/>
      <c r="AH233" s="304"/>
      <c r="AI233" s="304"/>
      <c r="AJ233" s="304"/>
      <c r="AK233" s="304"/>
      <c r="AL233" s="304"/>
      <c r="AM233" s="304"/>
      <c r="AN233" s="304"/>
      <c r="AO233" s="304"/>
      <c r="AP233" s="304"/>
      <c r="AQ233" s="304"/>
      <c r="AR233" s="304"/>
      <c r="AS233" s="304"/>
    </row>
    <row r="234" spans="2:45" ht="18.75">
      <c r="B234" s="1229" t="s">
        <v>718</v>
      </c>
      <c r="C234" s="1273"/>
      <c r="D234" s="1273"/>
      <c r="E234" s="1273"/>
      <c r="F234" s="1273"/>
      <c r="G234" s="377" t="s">
        <v>719</v>
      </c>
      <c r="H234" s="381"/>
      <c r="I234" s="377" t="s">
        <v>719</v>
      </c>
      <c r="J234" s="382"/>
      <c r="L234" s="403"/>
      <c r="M234" s="403"/>
      <c r="N234" s="403"/>
      <c r="O234" s="403"/>
      <c r="P234" s="403"/>
      <c r="Q234" s="403"/>
      <c r="R234" s="403"/>
      <c r="S234" s="403"/>
      <c r="T234" s="403"/>
      <c r="U234" s="403"/>
      <c r="V234" s="403"/>
      <c r="W234" s="403"/>
      <c r="X234" s="403"/>
      <c r="Y234" s="403"/>
      <c r="Z234" s="367"/>
      <c r="AA234" s="304"/>
      <c r="AB234" s="304" t="s">
        <v>720</v>
      </c>
      <c r="AC234" s="304" t="str">
        <f>IF(OR(J231&gt;100%, J231=0), "Year End Profit %", (I237+I238+I239))</f>
        <v>Year End Profit %</v>
      </c>
      <c r="AD234" s="383"/>
      <c r="AE234" s="304"/>
      <c r="AF234" s="304"/>
      <c r="AG234" s="304"/>
      <c r="AH234" s="304"/>
      <c r="AI234" s="304"/>
      <c r="AJ234" s="304"/>
      <c r="AK234" s="304"/>
      <c r="AL234" s="304"/>
      <c r="AM234" s="304"/>
      <c r="AN234" s="304"/>
      <c r="AO234" s="304"/>
      <c r="AP234" s="304"/>
      <c r="AQ234" s="304"/>
      <c r="AR234" s="304"/>
      <c r="AS234" s="304"/>
    </row>
    <row r="235" spans="2:45">
      <c r="B235" s="1274" t="s">
        <v>721</v>
      </c>
      <c r="C235" s="1275"/>
      <c r="D235" s="1275"/>
      <c r="E235" s="1275"/>
      <c r="F235" s="1276"/>
      <c r="G235" s="346"/>
      <c r="H235" s="384">
        <f>G235</f>
        <v>0</v>
      </c>
      <c r="I235" s="364"/>
      <c r="J235" s="385">
        <f>I235</f>
        <v>0</v>
      </c>
      <c r="L235" s="403"/>
      <c r="M235" s="403"/>
      <c r="N235" s="403"/>
      <c r="O235" s="403"/>
      <c r="P235" s="403"/>
      <c r="Q235" s="403"/>
      <c r="R235" s="403"/>
      <c r="S235" s="403"/>
      <c r="T235" s="403"/>
      <c r="U235" s="403"/>
      <c r="V235" s="403"/>
      <c r="W235" s="403"/>
      <c r="X235" s="403"/>
      <c r="Y235" s="403"/>
      <c r="Z235" s="367"/>
      <c r="AA235" s="304"/>
      <c r="AB235" s="304"/>
      <c r="AC235" s="304"/>
      <c r="AD235" s="304"/>
      <c r="AE235" s="304"/>
      <c r="AF235" s="304"/>
      <c r="AG235" s="304"/>
      <c r="AH235" s="304"/>
      <c r="AI235" s="304"/>
      <c r="AJ235" s="304"/>
      <c r="AK235" s="304"/>
      <c r="AL235" s="304"/>
      <c r="AM235" s="304"/>
      <c r="AN235" s="304"/>
      <c r="AO235" s="304"/>
      <c r="AP235" s="304"/>
      <c r="AQ235" s="304"/>
      <c r="AR235" s="304"/>
      <c r="AS235" s="304"/>
    </row>
    <row r="236" spans="2:45">
      <c r="B236" s="1246" t="s">
        <v>722</v>
      </c>
      <c r="C236" s="1247"/>
      <c r="D236" s="1247"/>
      <c r="E236" s="1247"/>
      <c r="F236" s="1247"/>
      <c r="G236" s="377"/>
      <c r="H236" s="381"/>
      <c r="I236" s="386"/>
      <c r="J236" s="382"/>
      <c r="L236" s="403"/>
      <c r="M236" s="403"/>
      <c r="N236" s="403"/>
      <c r="O236" s="403"/>
      <c r="P236" s="403"/>
      <c r="Q236" s="403"/>
      <c r="R236" s="403"/>
      <c r="S236" s="403"/>
      <c r="T236" s="403"/>
      <c r="U236" s="403"/>
      <c r="V236" s="403"/>
      <c r="W236" s="403"/>
      <c r="X236" s="403"/>
      <c r="Y236" s="403"/>
      <c r="Z236" s="367"/>
      <c r="AA236" s="304"/>
      <c r="AB236" s="304"/>
      <c r="AC236" s="304"/>
      <c r="AD236" s="304"/>
      <c r="AE236" s="304"/>
      <c r="AF236" s="304"/>
      <c r="AG236" s="304"/>
      <c r="AH236" s="304"/>
      <c r="AI236" s="304"/>
      <c r="AJ236" s="304"/>
      <c r="AK236" s="304"/>
      <c r="AL236" s="304"/>
      <c r="AM236" s="304"/>
      <c r="AN236" s="304"/>
      <c r="AO236" s="304"/>
      <c r="AP236" s="304"/>
      <c r="AQ236" s="304"/>
      <c r="AR236" s="304"/>
      <c r="AS236" s="304"/>
    </row>
    <row r="237" spans="2:45">
      <c r="B237" s="1248" t="s">
        <v>723</v>
      </c>
      <c r="C237" s="1249"/>
      <c r="D237" s="1249"/>
      <c r="E237" s="1249"/>
      <c r="F237" s="1250"/>
      <c r="G237" s="346"/>
      <c r="H237" s="387" t="str">
        <f>AC233</f>
        <v>Year End Profit %</v>
      </c>
      <c r="I237" s="346"/>
      <c r="J237" s="388" t="str">
        <f>AC234</f>
        <v>Year End Profit %</v>
      </c>
      <c r="L237" s="403"/>
      <c r="M237" s="403"/>
      <c r="N237" s="403"/>
      <c r="O237" s="403"/>
      <c r="P237" s="403"/>
      <c r="Q237" s="403"/>
      <c r="R237" s="403"/>
      <c r="S237" s="403"/>
      <c r="T237" s="403"/>
      <c r="U237" s="403"/>
      <c r="V237" s="403"/>
      <c r="W237" s="403"/>
      <c r="X237" s="403"/>
      <c r="Y237" s="403"/>
      <c r="Z237" s="367"/>
      <c r="AA237" s="304"/>
      <c r="AB237" s="304"/>
      <c r="AC237" s="304"/>
      <c r="AD237" s="304"/>
      <c r="AE237" s="304"/>
      <c r="AF237" s="304"/>
      <c r="AG237" s="304"/>
      <c r="AH237" s="304"/>
      <c r="AI237" s="304"/>
      <c r="AJ237" s="304"/>
      <c r="AK237" s="304"/>
      <c r="AL237" s="304"/>
      <c r="AM237" s="304"/>
      <c r="AN237" s="304"/>
      <c r="AO237" s="304"/>
      <c r="AP237" s="304"/>
      <c r="AQ237" s="304"/>
      <c r="AR237" s="304"/>
      <c r="AS237" s="304"/>
    </row>
    <row r="238" spans="2:45">
      <c r="B238" s="1251" t="s">
        <v>724</v>
      </c>
      <c r="C238" s="1252"/>
      <c r="D238" s="1252"/>
      <c r="E238" s="1252"/>
      <c r="F238" s="1253"/>
      <c r="G238" s="346"/>
      <c r="H238" s="389"/>
      <c r="I238" s="346"/>
      <c r="J238" s="390"/>
      <c r="L238" s="403"/>
      <c r="M238" s="403"/>
      <c r="N238" s="403"/>
      <c r="O238" s="403"/>
      <c r="P238" s="403"/>
      <c r="Q238" s="403"/>
      <c r="R238" s="403"/>
      <c r="S238" s="403"/>
      <c r="T238" s="403"/>
      <c r="U238" s="403"/>
      <c r="V238" s="403"/>
      <c r="W238" s="403"/>
      <c r="X238" s="403"/>
      <c r="Y238" s="403"/>
      <c r="Z238" s="367"/>
      <c r="AA238" s="304"/>
      <c r="AB238" s="304"/>
      <c r="AC238" s="304"/>
      <c r="AD238" s="304"/>
      <c r="AE238" s="304"/>
      <c r="AF238" s="304"/>
      <c r="AG238" s="304"/>
      <c r="AH238" s="304"/>
      <c r="AI238" s="304"/>
      <c r="AJ238" s="304"/>
      <c r="AK238" s="304"/>
      <c r="AL238" s="304"/>
      <c r="AM238" s="304"/>
      <c r="AN238" s="304"/>
      <c r="AO238" s="304"/>
      <c r="AP238" s="304"/>
      <c r="AQ238" s="304"/>
      <c r="AR238" s="304"/>
      <c r="AS238" s="304"/>
    </row>
    <row r="239" spans="2:45">
      <c r="B239" s="1254" t="s">
        <v>725</v>
      </c>
      <c r="C239" s="1255"/>
      <c r="D239" s="1255"/>
      <c r="E239" s="1255"/>
      <c r="F239" s="1256"/>
      <c r="G239" s="346"/>
      <c r="H239" s="389"/>
      <c r="I239" s="346"/>
      <c r="J239" s="390"/>
      <c r="L239" s="403"/>
      <c r="M239" s="403"/>
      <c r="N239" s="403"/>
      <c r="O239" s="403"/>
      <c r="P239" s="403"/>
      <c r="Q239" s="403"/>
      <c r="R239" s="403"/>
      <c r="S239" s="403"/>
      <c r="T239" s="403"/>
      <c r="U239" s="403"/>
      <c r="V239" s="403"/>
      <c r="W239" s="403"/>
      <c r="X239" s="403"/>
      <c r="Y239" s="403"/>
      <c r="Z239" s="367"/>
      <c r="AA239" s="304"/>
      <c r="AB239" s="304"/>
      <c r="AC239" s="304"/>
      <c r="AD239" s="304"/>
      <c r="AE239" s="304"/>
      <c r="AF239" s="304"/>
      <c r="AG239" s="304"/>
      <c r="AH239" s="304"/>
      <c r="AI239" s="304"/>
      <c r="AJ239" s="304"/>
      <c r="AK239" s="304"/>
      <c r="AL239" s="304"/>
      <c r="AM239" s="304"/>
      <c r="AN239" s="304"/>
      <c r="AO239" s="304"/>
      <c r="AP239" s="304"/>
      <c r="AQ239" s="304"/>
      <c r="AR239" s="304"/>
      <c r="AS239" s="304"/>
    </row>
    <row r="240" spans="2:45">
      <c r="B240" s="1257" t="s">
        <v>726</v>
      </c>
      <c r="C240" s="1258"/>
      <c r="D240" s="1258"/>
      <c r="E240" s="1258"/>
      <c r="F240" s="1258"/>
      <c r="G240" s="391"/>
      <c r="H240" s="392"/>
      <c r="I240" s="391"/>
      <c r="J240" s="393"/>
      <c r="L240" s="403"/>
      <c r="M240" s="403"/>
      <c r="N240" s="403"/>
      <c r="O240" s="403"/>
      <c r="P240" s="403"/>
      <c r="Q240" s="403"/>
      <c r="R240" s="403"/>
      <c r="S240" s="403"/>
      <c r="T240" s="403"/>
      <c r="U240" s="403"/>
      <c r="V240" s="403"/>
      <c r="W240" s="403"/>
      <c r="X240" s="403"/>
      <c r="Y240" s="403"/>
      <c r="Z240" s="367"/>
      <c r="AA240" s="304"/>
      <c r="AB240" s="304"/>
      <c r="AC240" s="304"/>
      <c r="AD240" s="304"/>
      <c r="AE240" s="304"/>
      <c r="AF240" s="304"/>
      <c r="AG240" s="304"/>
      <c r="AH240" s="304"/>
      <c r="AI240" s="304"/>
      <c r="AJ240" s="304"/>
      <c r="AK240" s="304"/>
      <c r="AL240" s="304"/>
      <c r="AM240" s="304"/>
      <c r="AN240" s="304"/>
      <c r="AO240" s="304"/>
      <c r="AP240" s="304"/>
      <c r="AQ240" s="304"/>
      <c r="AR240" s="304"/>
      <c r="AS240" s="304"/>
    </row>
    <row r="241" spans="2:45">
      <c r="B241" s="1259" t="s">
        <v>727</v>
      </c>
      <c r="C241" s="1260"/>
      <c r="D241" s="1260"/>
      <c r="E241" s="1260"/>
      <c r="F241" s="1261"/>
      <c r="G241" s="394"/>
      <c r="H241" s="395">
        <f>(G241*H231)*-1</f>
        <v>0</v>
      </c>
      <c r="I241" s="394"/>
      <c r="J241" s="396">
        <f>(I241*J231)*-1</f>
        <v>0</v>
      </c>
      <c r="L241" s="403"/>
      <c r="M241" s="403"/>
      <c r="N241" s="403"/>
      <c r="O241" s="403"/>
      <c r="P241" s="403"/>
      <c r="Q241" s="403"/>
      <c r="R241" s="403"/>
      <c r="S241" s="403"/>
      <c r="T241" s="403"/>
      <c r="U241" s="403"/>
      <c r="V241" s="403"/>
      <c r="W241" s="403"/>
      <c r="X241" s="403"/>
      <c r="Y241" s="403"/>
      <c r="Z241" s="367"/>
      <c r="AA241" s="304"/>
      <c r="AB241" s="304"/>
      <c r="AC241" s="304"/>
      <c r="AD241" s="304"/>
      <c r="AE241" s="304"/>
      <c r="AF241" s="304"/>
      <c r="AG241" s="304"/>
      <c r="AH241" s="304"/>
      <c r="AI241" s="304"/>
      <c r="AJ241" s="304"/>
      <c r="AK241" s="304"/>
      <c r="AL241" s="304"/>
      <c r="AM241" s="304"/>
      <c r="AN241" s="304"/>
      <c r="AO241" s="304"/>
      <c r="AP241" s="304"/>
      <c r="AQ241" s="304"/>
      <c r="AR241" s="304"/>
      <c r="AS241" s="304"/>
    </row>
    <row r="242" spans="2:45">
      <c r="B242" s="1237" t="s">
        <v>728</v>
      </c>
      <c r="C242" s="1238"/>
      <c r="D242" s="1238"/>
      <c r="E242" s="1238"/>
      <c r="F242" s="1239"/>
      <c r="G242" s="394"/>
      <c r="H242" s="395">
        <f>(G242*H231)*-1</f>
        <v>0</v>
      </c>
      <c r="I242" s="394"/>
      <c r="J242" s="396">
        <f>(I242*J231)*-1</f>
        <v>0</v>
      </c>
      <c r="L242" s="403"/>
      <c r="M242" s="403"/>
      <c r="N242" s="403"/>
      <c r="O242" s="403"/>
      <c r="P242" s="403"/>
      <c r="Q242" s="403"/>
      <c r="R242" s="403"/>
      <c r="S242" s="403"/>
      <c r="T242" s="403"/>
      <c r="U242" s="403"/>
      <c r="V242" s="403"/>
      <c r="W242" s="403"/>
      <c r="X242" s="403"/>
      <c r="Y242" s="403"/>
      <c r="Z242" s="367"/>
      <c r="AA242" s="304"/>
      <c r="AB242" s="304"/>
      <c r="AC242" s="304"/>
      <c r="AD242" s="304"/>
      <c r="AE242" s="304"/>
      <c r="AF242" s="304"/>
      <c r="AG242" s="304"/>
      <c r="AH242" s="304"/>
      <c r="AI242" s="304"/>
      <c r="AJ242" s="304"/>
      <c r="AK242" s="304"/>
      <c r="AL242" s="304"/>
      <c r="AM242" s="304"/>
      <c r="AN242" s="304"/>
      <c r="AO242" s="304"/>
      <c r="AP242" s="304"/>
      <c r="AQ242" s="304"/>
      <c r="AR242" s="304"/>
      <c r="AS242" s="304"/>
    </row>
    <row r="243" spans="2:45">
      <c r="B243" s="1237" t="s">
        <v>729</v>
      </c>
      <c r="C243" s="1238"/>
      <c r="D243" s="1238"/>
      <c r="E243" s="1238"/>
      <c r="F243" s="1239"/>
      <c r="G243" s="394"/>
      <c r="H243" s="395">
        <f>(G243*H231)*-1</f>
        <v>0</v>
      </c>
      <c r="I243" s="394"/>
      <c r="J243" s="396">
        <f>(I243*J231)*-1</f>
        <v>0</v>
      </c>
      <c r="L243" s="403"/>
      <c r="M243" s="403"/>
      <c r="N243" s="403"/>
      <c r="O243" s="403"/>
      <c r="P243" s="403"/>
      <c r="Q243" s="403"/>
      <c r="R243" s="403"/>
      <c r="S243" s="403"/>
      <c r="T243" s="403"/>
      <c r="U243" s="403"/>
      <c r="V243" s="403"/>
      <c r="W243" s="403"/>
      <c r="X243" s="403"/>
      <c r="Y243" s="403"/>
      <c r="Z243" s="367"/>
      <c r="AA243" s="304"/>
      <c r="AB243" s="304"/>
      <c r="AC243" s="304"/>
      <c r="AD243" s="304"/>
      <c r="AE243" s="304"/>
      <c r="AF243" s="304"/>
      <c r="AG243" s="304"/>
      <c r="AH243" s="304"/>
      <c r="AI243" s="304"/>
      <c r="AJ243" s="304"/>
      <c r="AK243" s="304"/>
      <c r="AL243" s="304"/>
      <c r="AM243" s="304"/>
      <c r="AN243" s="304"/>
      <c r="AO243" s="304"/>
      <c r="AP243" s="304"/>
      <c r="AQ243" s="304"/>
      <c r="AR243" s="304"/>
      <c r="AS243" s="304"/>
    </row>
    <row r="244" spans="2:45">
      <c r="B244" s="1240" t="s">
        <v>730</v>
      </c>
      <c r="C244" s="1241"/>
      <c r="D244" s="1241"/>
      <c r="E244" s="1241"/>
      <c r="F244" s="1242"/>
      <c r="G244" s="394"/>
      <c r="H244" s="395">
        <f>(G244*H231)*-1</f>
        <v>0</v>
      </c>
      <c r="I244" s="394"/>
      <c r="J244" s="396">
        <f>(I244*J231)*-1</f>
        <v>0</v>
      </c>
      <c r="L244" s="403"/>
      <c r="M244" s="403"/>
      <c r="N244" s="403"/>
      <c r="O244" s="403"/>
      <c r="P244" s="403"/>
      <c r="Q244" s="403"/>
      <c r="R244" s="403"/>
      <c r="S244" s="403"/>
      <c r="T244" s="403"/>
      <c r="U244" s="403"/>
      <c r="V244" s="403"/>
      <c r="W244" s="403"/>
      <c r="X244" s="403"/>
      <c r="Y244" s="403"/>
      <c r="Z244" s="367"/>
      <c r="AA244" s="304"/>
      <c r="AB244" s="304"/>
      <c r="AC244" s="304"/>
      <c r="AD244" s="304"/>
      <c r="AE244" s="304"/>
      <c r="AF244" s="304"/>
      <c r="AG244" s="304"/>
      <c r="AH244" s="304"/>
      <c r="AI244" s="304"/>
      <c r="AJ244" s="304"/>
      <c r="AK244" s="304"/>
      <c r="AL244" s="304"/>
      <c r="AM244" s="304"/>
      <c r="AN244" s="304"/>
      <c r="AO244" s="304"/>
      <c r="AP244" s="304"/>
      <c r="AQ244" s="304"/>
      <c r="AR244" s="304"/>
      <c r="AS244" s="304"/>
    </row>
    <row r="245" spans="2:45">
      <c r="B245" s="1229" t="s">
        <v>731</v>
      </c>
      <c r="C245" s="1230"/>
      <c r="D245" s="1230"/>
      <c r="E245" s="1230"/>
      <c r="F245" s="1230"/>
      <c r="G245" s="350"/>
      <c r="H245" s="351"/>
      <c r="I245" s="350"/>
      <c r="J245" s="352"/>
      <c r="L245" s="403"/>
      <c r="M245" s="403"/>
      <c r="N245" s="403"/>
      <c r="O245" s="403"/>
      <c r="P245" s="403"/>
      <c r="Q245" s="403"/>
      <c r="R245" s="403"/>
      <c r="S245" s="403"/>
      <c r="T245" s="403"/>
      <c r="U245" s="403"/>
      <c r="V245" s="403"/>
      <c r="W245" s="403"/>
      <c r="X245" s="403"/>
      <c r="Y245" s="403"/>
      <c r="Z245" s="367"/>
      <c r="AA245" s="304"/>
      <c r="AB245" s="304"/>
      <c r="AC245" s="304"/>
      <c r="AD245" s="304"/>
      <c r="AE245" s="304"/>
      <c r="AF245" s="304"/>
      <c r="AG245" s="304"/>
      <c r="AH245" s="304"/>
      <c r="AI245" s="304"/>
      <c r="AJ245" s="304"/>
      <c r="AK245" s="304"/>
      <c r="AL245" s="304"/>
      <c r="AM245" s="304"/>
      <c r="AN245" s="304"/>
      <c r="AO245" s="304"/>
      <c r="AP245" s="304"/>
      <c r="AQ245" s="304"/>
      <c r="AR245" s="304"/>
      <c r="AS245" s="304"/>
    </row>
    <row r="246" spans="2:45">
      <c r="B246" s="1243" t="s">
        <v>732</v>
      </c>
      <c r="C246" s="1244"/>
      <c r="D246" s="1244"/>
      <c r="E246" s="1244"/>
      <c r="F246" s="1245"/>
      <c r="G246" s="346"/>
      <c r="H246" s="384">
        <f>G246*H231</f>
        <v>0</v>
      </c>
      <c r="I246" s="346"/>
      <c r="J246" s="385">
        <f>I246*J231</f>
        <v>0</v>
      </c>
      <c r="L246" s="403"/>
      <c r="M246" s="403"/>
      <c r="N246" s="403"/>
      <c r="O246" s="403"/>
      <c r="P246" s="403"/>
      <c r="Q246" s="403"/>
      <c r="R246" s="403"/>
      <c r="S246" s="403"/>
      <c r="T246" s="403"/>
      <c r="U246" s="403"/>
      <c r="V246" s="403"/>
      <c r="W246" s="403"/>
      <c r="X246" s="403"/>
      <c r="Y246" s="403"/>
      <c r="Z246" s="367"/>
      <c r="AA246" s="304"/>
      <c r="AB246" s="304"/>
      <c r="AC246" s="304"/>
      <c r="AD246" s="304"/>
      <c r="AE246" s="304"/>
      <c r="AF246" s="304"/>
      <c r="AG246" s="304"/>
      <c r="AH246" s="304"/>
      <c r="AI246" s="304"/>
      <c r="AJ246" s="304"/>
      <c r="AK246" s="304"/>
      <c r="AL246" s="304"/>
      <c r="AM246" s="304"/>
      <c r="AN246" s="304"/>
      <c r="AO246" s="304"/>
      <c r="AP246" s="304"/>
      <c r="AQ246" s="304"/>
      <c r="AR246" s="304"/>
      <c r="AS246" s="304"/>
    </row>
    <row r="247" spans="2:45">
      <c r="B247" s="1223" t="s">
        <v>733</v>
      </c>
      <c r="C247" s="1224"/>
      <c r="D247" s="1224"/>
      <c r="E247" s="1224"/>
      <c r="F247" s="1225"/>
      <c r="G247" s="346"/>
      <c r="H247" s="384">
        <f>G247*H231</f>
        <v>0</v>
      </c>
      <c r="I247" s="346"/>
      <c r="J247" s="385">
        <f>I247*J231</f>
        <v>0</v>
      </c>
      <c r="L247" s="403"/>
      <c r="M247" s="403"/>
      <c r="N247" s="403"/>
      <c r="O247" s="403"/>
      <c r="P247" s="403"/>
      <c r="Q247" s="403"/>
      <c r="R247" s="403"/>
      <c r="S247" s="403"/>
      <c r="T247" s="403"/>
      <c r="U247" s="403"/>
      <c r="V247" s="403"/>
      <c r="W247" s="403"/>
      <c r="X247" s="403"/>
      <c r="Y247" s="403"/>
      <c r="Z247" s="367"/>
      <c r="AA247" s="304"/>
      <c r="AB247" s="304"/>
      <c r="AC247" s="304"/>
      <c r="AD247" s="304"/>
      <c r="AE247" s="304"/>
      <c r="AF247" s="304"/>
      <c r="AG247" s="304"/>
      <c r="AH247" s="304"/>
      <c r="AI247" s="304"/>
      <c r="AJ247" s="304"/>
      <c r="AK247" s="304"/>
      <c r="AL247" s="304"/>
      <c r="AM247" s="304"/>
      <c r="AN247" s="304"/>
      <c r="AO247" s="304"/>
      <c r="AP247" s="304"/>
      <c r="AQ247" s="304"/>
      <c r="AR247" s="304"/>
      <c r="AS247" s="304"/>
    </row>
    <row r="248" spans="2:45">
      <c r="B248" s="1223" t="s">
        <v>734</v>
      </c>
      <c r="C248" s="1224"/>
      <c r="D248" s="1224"/>
      <c r="E248" s="1224"/>
      <c r="F248" s="1225"/>
      <c r="G248" s="346"/>
      <c r="H248" s="384">
        <f>G248*H231</f>
        <v>0</v>
      </c>
      <c r="I248" s="346"/>
      <c r="J248" s="385">
        <f>I248*J231</f>
        <v>0</v>
      </c>
      <c r="L248" s="403"/>
      <c r="M248" s="403"/>
      <c r="N248" s="403"/>
      <c r="O248" s="403"/>
      <c r="P248" s="403"/>
      <c r="Q248" s="403"/>
      <c r="R248" s="403"/>
      <c r="S248" s="403"/>
      <c r="T248" s="403"/>
      <c r="U248" s="403"/>
      <c r="V248" s="403"/>
      <c r="W248" s="403"/>
      <c r="X248" s="403"/>
      <c r="Y248" s="403"/>
      <c r="Z248" s="367"/>
      <c r="AA248" s="304"/>
      <c r="AB248" s="304"/>
      <c r="AC248" s="304"/>
      <c r="AD248" s="304"/>
      <c r="AE248" s="304"/>
      <c r="AF248" s="304"/>
      <c r="AG248" s="304"/>
      <c r="AH248" s="304"/>
      <c r="AI248" s="304"/>
      <c r="AJ248" s="304"/>
      <c r="AK248" s="304"/>
      <c r="AL248" s="304"/>
      <c r="AM248" s="304"/>
      <c r="AN248" s="304"/>
      <c r="AO248" s="304"/>
      <c r="AP248" s="304"/>
      <c r="AQ248" s="304"/>
      <c r="AR248" s="304"/>
      <c r="AS248" s="304"/>
    </row>
    <row r="249" spans="2:45">
      <c r="B249" s="1172" t="s">
        <v>735</v>
      </c>
      <c r="C249" s="1173"/>
      <c r="D249" s="1173"/>
      <c r="E249" s="1173"/>
      <c r="F249" s="1173"/>
      <c r="G249" s="351"/>
      <c r="H249" s="397"/>
      <c r="I249" s="351"/>
      <c r="J249" s="398"/>
      <c r="L249" s="403"/>
      <c r="M249" s="403"/>
      <c r="N249" s="403"/>
      <c r="O249" s="403"/>
      <c r="P249" s="403"/>
      <c r="Q249" s="403"/>
      <c r="R249" s="403"/>
      <c r="S249" s="403"/>
      <c r="T249" s="403"/>
      <c r="U249" s="403"/>
      <c r="V249" s="403"/>
      <c r="W249" s="403"/>
      <c r="X249" s="403"/>
      <c r="Y249" s="403"/>
      <c r="Z249" s="367"/>
      <c r="AA249" s="304"/>
      <c r="AB249" s="304"/>
      <c r="AC249" s="304"/>
      <c r="AD249" s="304"/>
      <c r="AE249" s="304"/>
      <c r="AF249" s="304"/>
      <c r="AG249" s="304"/>
      <c r="AH249" s="304"/>
      <c r="AI249" s="304"/>
      <c r="AJ249" s="304"/>
      <c r="AK249" s="304"/>
      <c r="AL249" s="304"/>
      <c r="AM249" s="304"/>
      <c r="AN249" s="304"/>
      <c r="AO249" s="304"/>
      <c r="AP249" s="304"/>
      <c r="AQ249" s="304"/>
      <c r="AR249" s="304"/>
      <c r="AS249" s="304"/>
    </row>
    <row r="250" spans="2:45">
      <c r="B250" s="1226" t="s">
        <v>736</v>
      </c>
      <c r="C250" s="1227"/>
      <c r="D250" s="1227"/>
      <c r="E250" s="1227"/>
      <c r="F250" s="1228"/>
      <c r="G250" s="346"/>
      <c r="H250" s="384">
        <f>G250*H231</f>
        <v>0</v>
      </c>
      <c r="I250" s="346"/>
      <c r="J250" s="385">
        <f>I250*J231</f>
        <v>0</v>
      </c>
      <c r="L250" s="403"/>
      <c r="M250" s="403"/>
      <c r="N250" s="403"/>
      <c r="O250" s="403"/>
      <c r="P250" s="403"/>
      <c r="Q250" s="403"/>
      <c r="R250" s="403"/>
      <c r="S250" s="403"/>
      <c r="T250" s="403"/>
      <c r="U250" s="403"/>
      <c r="V250" s="403"/>
      <c r="W250" s="403"/>
      <c r="X250" s="403"/>
      <c r="Y250" s="403"/>
      <c r="Z250" s="367"/>
      <c r="AA250" s="304"/>
      <c r="AB250" s="304"/>
      <c r="AC250" s="304"/>
      <c r="AD250" s="304"/>
      <c r="AE250" s="304"/>
      <c r="AF250" s="304"/>
      <c r="AG250" s="304"/>
      <c r="AH250" s="304"/>
      <c r="AI250" s="304"/>
      <c r="AJ250" s="304"/>
      <c r="AK250" s="304"/>
      <c r="AL250" s="304"/>
      <c r="AM250" s="304"/>
      <c r="AN250" s="304"/>
      <c r="AO250" s="304"/>
      <c r="AP250" s="304"/>
      <c r="AQ250" s="304"/>
      <c r="AR250" s="304"/>
      <c r="AS250" s="304"/>
    </row>
    <row r="251" spans="2:45">
      <c r="B251" s="1229" t="s">
        <v>737</v>
      </c>
      <c r="C251" s="1230"/>
      <c r="D251" s="1230"/>
      <c r="E251" s="1230"/>
      <c r="F251" s="1230"/>
      <c r="G251" s="350"/>
      <c r="H251" s="351"/>
      <c r="I251" s="350"/>
      <c r="J251" s="352"/>
      <c r="L251" s="403"/>
      <c r="M251" s="403"/>
      <c r="N251" s="403"/>
      <c r="O251" s="403"/>
      <c r="P251" s="403"/>
      <c r="Q251" s="403"/>
      <c r="R251" s="403"/>
      <c r="S251" s="403"/>
      <c r="T251" s="403"/>
      <c r="U251" s="403"/>
      <c r="V251" s="403"/>
      <c r="W251" s="403"/>
      <c r="X251" s="403"/>
      <c r="Y251" s="403"/>
      <c r="Z251" s="367"/>
      <c r="AA251" s="304"/>
      <c r="AB251" s="304"/>
      <c r="AC251" s="304"/>
      <c r="AD251" s="304"/>
      <c r="AE251" s="304"/>
      <c r="AF251" s="304"/>
      <c r="AG251" s="304"/>
      <c r="AH251" s="304"/>
      <c r="AI251" s="304"/>
      <c r="AJ251" s="304"/>
      <c r="AK251" s="304"/>
      <c r="AL251" s="304"/>
      <c r="AM251" s="304"/>
      <c r="AN251" s="304"/>
      <c r="AO251" s="304"/>
      <c r="AP251" s="304"/>
      <c r="AQ251" s="304"/>
      <c r="AR251" s="304"/>
      <c r="AS251" s="304"/>
    </row>
    <row r="252" spans="2:45" ht="29.1" customHeight="1">
      <c r="B252" s="1231" t="s">
        <v>738</v>
      </c>
      <c r="C252" s="1232"/>
      <c r="D252" s="1232"/>
      <c r="E252" s="1232"/>
      <c r="F252" s="1233"/>
      <c r="G252" s="399"/>
      <c r="H252" s="359">
        <f>H231*G252*-1</f>
        <v>0</v>
      </c>
      <c r="I252" s="399"/>
      <c r="J252" s="400">
        <f>(J231*I252)*-1</f>
        <v>0</v>
      </c>
      <c r="L252" s="403"/>
      <c r="M252" s="403"/>
      <c r="N252" s="403"/>
      <c r="O252" s="403"/>
      <c r="P252" s="403"/>
      <c r="Q252" s="403"/>
      <c r="R252" s="403"/>
      <c r="S252" s="403"/>
      <c r="T252" s="403"/>
      <c r="U252" s="403"/>
      <c r="V252" s="403"/>
      <c r="W252" s="403"/>
      <c r="X252" s="403"/>
      <c r="Y252" s="403"/>
      <c r="Z252" s="367"/>
      <c r="AA252" s="304"/>
      <c r="AB252" s="304"/>
      <c r="AC252" s="304"/>
      <c r="AD252" s="304"/>
      <c r="AE252" s="304"/>
      <c r="AF252" s="304"/>
      <c r="AG252" s="304"/>
      <c r="AH252" s="304"/>
      <c r="AI252" s="304"/>
      <c r="AJ252" s="304"/>
      <c r="AK252" s="304"/>
      <c r="AL252" s="304"/>
      <c r="AM252" s="304"/>
      <c r="AN252" s="304"/>
      <c r="AO252" s="304"/>
      <c r="AP252" s="304"/>
      <c r="AQ252" s="304"/>
      <c r="AR252" s="304"/>
      <c r="AS252" s="304"/>
    </row>
    <row r="253" spans="2:45" ht="29.1" customHeight="1">
      <c r="B253" s="1234" t="s">
        <v>739</v>
      </c>
      <c r="C253" s="1235"/>
      <c r="D253" s="1235"/>
      <c r="E253" s="1235"/>
      <c r="F253" s="1236"/>
      <c r="G253" s="346"/>
      <c r="H253" s="401">
        <f>(H231*G253)*-1</f>
        <v>0</v>
      </c>
      <c r="I253" s="346"/>
      <c r="J253" s="402">
        <f>(J231*I253)*-1</f>
        <v>0</v>
      </c>
      <c r="L253" s="403"/>
      <c r="M253" s="403"/>
      <c r="N253" s="403"/>
      <c r="O253" s="403"/>
      <c r="P253" s="403"/>
      <c r="Q253" s="403"/>
      <c r="R253" s="403"/>
      <c r="S253" s="403"/>
      <c r="T253" s="403"/>
      <c r="U253" s="403"/>
      <c r="V253" s="403"/>
      <c r="W253" s="403"/>
      <c r="X253" s="403"/>
      <c r="Y253" s="403"/>
      <c r="Z253" s="367"/>
      <c r="AA253" s="304"/>
      <c r="AB253" s="304"/>
      <c r="AC253" s="304"/>
      <c r="AD253" s="304"/>
      <c r="AE253" s="304"/>
      <c r="AF253" s="304"/>
      <c r="AG253" s="304"/>
      <c r="AH253" s="304"/>
      <c r="AI253" s="304"/>
      <c r="AJ253" s="304"/>
      <c r="AK253" s="304"/>
      <c r="AL253" s="304"/>
      <c r="AM253" s="304"/>
      <c r="AN253" s="304"/>
      <c r="AO253" s="304"/>
      <c r="AP253" s="304"/>
      <c r="AQ253" s="304"/>
      <c r="AR253" s="304"/>
      <c r="AS253" s="304"/>
    </row>
    <row r="254" spans="2:45">
      <c r="B254" s="1211" t="s">
        <v>740</v>
      </c>
      <c r="C254" s="1212"/>
      <c r="D254" s="1212"/>
      <c r="E254" s="1212"/>
      <c r="F254" s="1213"/>
      <c r="G254" s="1214">
        <f>SUM(H235:H253)</f>
        <v>0</v>
      </c>
      <c r="H254" s="1215"/>
      <c r="I254" s="1214">
        <f>SUM(J237:J253)+J235</f>
        <v>0</v>
      </c>
      <c r="J254" s="1216"/>
      <c r="L254" s="403"/>
      <c r="M254" s="403"/>
      <c r="N254" s="403"/>
      <c r="O254" s="403"/>
      <c r="P254" s="403"/>
      <c r="Q254" s="403"/>
      <c r="R254" s="403"/>
      <c r="S254" s="403"/>
      <c r="T254" s="403"/>
      <c r="U254" s="403"/>
      <c r="V254" s="403"/>
      <c r="W254" s="403"/>
      <c r="X254" s="403"/>
      <c r="Y254" s="403"/>
      <c r="Z254" s="367"/>
      <c r="AA254" s="304"/>
      <c r="AB254" s="304"/>
      <c r="AC254" s="304"/>
      <c r="AD254" s="304"/>
      <c r="AE254" s="304"/>
      <c r="AF254" s="304"/>
      <c r="AG254" s="304"/>
      <c r="AH254" s="304"/>
      <c r="AI254" s="304"/>
      <c r="AJ254" s="304"/>
      <c r="AK254" s="304"/>
      <c r="AL254" s="304"/>
      <c r="AM254" s="304"/>
      <c r="AN254" s="304"/>
      <c r="AO254" s="304"/>
      <c r="AP254" s="304"/>
      <c r="AQ254" s="304"/>
      <c r="AR254" s="304"/>
      <c r="AS254" s="304"/>
    </row>
    <row r="255" spans="2:45" ht="18.75">
      <c r="B255" s="1217" t="s">
        <v>696</v>
      </c>
      <c r="C255" s="1218"/>
      <c r="D255" s="1218"/>
      <c r="E255" s="1218"/>
      <c r="F255" s="1219"/>
      <c r="G255" s="1161" t="str">
        <f>IF(OR(AC228=0, I254=0), "12 Month Average", "24 Month Average")</f>
        <v>12 Month Average</v>
      </c>
      <c r="H255" s="1162"/>
      <c r="I255" s="1162"/>
      <c r="J255" s="1163"/>
      <c r="L255" s="403"/>
      <c r="M255" s="403"/>
      <c r="N255" s="403"/>
      <c r="O255" s="403"/>
      <c r="P255" s="403"/>
      <c r="Q255" s="403"/>
      <c r="R255" s="403"/>
      <c r="S255" s="403"/>
      <c r="T255" s="403"/>
      <c r="U255" s="403"/>
      <c r="V255" s="403"/>
      <c r="W255" s="403"/>
      <c r="X255" s="403"/>
      <c r="Y255" s="403"/>
      <c r="Z255" s="367"/>
      <c r="AA255" s="304"/>
      <c r="AB255" s="304"/>
      <c r="AC255" s="304"/>
      <c r="AD255" s="304"/>
      <c r="AE255" s="304"/>
      <c r="AF255" s="304"/>
      <c r="AG255" s="304"/>
      <c r="AH255" s="304"/>
      <c r="AI255" s="304"/>
      <c r="AJ255" s="304"/>
      <c r="AK255" s="304"/>
      <c r="AL255" s="304"/>
      <c r="AM255" s="304"/>
      <c r="AN255" s="304"/>
      <c r="AO255" s="304"/>
      <c r="AP255" s="304"/>
      <c r="AQ255" s="304"/>
      <c r="AR255" s="304"/>
      <c r="AS255" s="304"/>
    </row>
    <row r="256" spans="2:45" ht="34.5" thickBot="1">
      <c r="B256" s="1220" t="s">
        <v>697</v>
      </c>
      <c r="C256" s="1221"/>
      <c r="D256" s="1221"/>
      <c r="E256" s="1221"/>
      <c r="F256" s="1222"/>
      <c r="G256" s="1167">
        <f>IF(OR(AC228=0, I254=0), AC230, AC231)</f>
        <v>0</v>
      </c>
      <c r="H256" s="1168"/>
      <c r="I256" s="1168"/>
      <c r="J256" s="1169"/>
      <c r="L256" s="403"/>
      <c r="M256" s="403"/>
      <c r="N256" s="403"/>
      <c r="O256" s="403"/>
      <c r="P256" s="403"/>
      <c r="Q256" s="403"/>
      <c r="R256" s="403"/>
      <c r="S256" s="403"/>
      <c r="T256" s="403"/>
      <c r="U256" s="403"/>
      <c r="V256" s="403"/>
      <c r="W256" s="403"/>
      <c r="X256" s="403"/>
      <c r="Y256" s="403"/>
      <c r="Z256" s="367"/>
      <c r="AA256" s="304"/>
      <c r="AB256" s="304"/>
      <c r="AC256" s="304"/>
      <c r="AD256" s="304"/>
    </row>
    <row r="257" spans="1:45" ht="9" customHeight="1" thickBot="1">
      <c r="H257" s="330"/>
      <c r="I257" s="330"/>
      <c r="L257" s="403"/>
      <c r="M257" s="403"/>
      <c r="N257" s="403"/>
      <c r="O257" s="403"/>
      <c r="P257" s="403"/>
      <c r="Q257" s="403"/>
      <c r="R257" s="403"/>
      <c r="S257" s="403"/>
      <c r="T257" s="403"/>
      <c r="U257" s="403"/>
      <c r="V257" s="403"/>
      <c r="W257" s="403"/>
      <c r="X257" s="403"/>
      <c r="Y257" s="403"/>
      <c r="Z257" s="367"/>
      <c r="AA257" s="304"/>
      <c r="AB257" s="304"/>
      <c r="AC257" s="304"/>
      <c r="AD257" s="304"/>
    </row>
    <row r="258" spans="1:45" ht="105" customHeight="1" thickBot="1">
      <c r="B258" s="1208" t="s">
        <v>645</v>
      </c>
      <c r="C258" s="1209"/>
      <c r="D258" s="1209"/>
      <c r="E258" s="1209"/>
      <c r="F258" s="1209"/>
      <c r="G258" s="1209"/>
      <c r="H258" s="1209"/>
      <c r="I258" s="1209"/>
      <c r="J258" s="1210"/>
      <c r="L258" s="367"/>
      <c r="M258" s="367"/>
      <c r="N258" s="367"/>
      <c r="O258" s="367"/>
      <c r="P258" s="367"/>
      <c r="Q258" s="367"/>
      <c r="R258" s="367"/>
      <c r="S258" s="367"/>
      <c r="T258" s="367"/>
      <c r="U258" s="367"/>
      <c r="V258" s="367"/>
      <c r="W258" s="367"/>
      <c r="X258" s="367"/>
      <c r="Y258" s="367"/>
      <c r="Z258" s="367"/>
      <c r="AA258" s="304"/>
      <c r="AB258" s="304"/>
      <c r="AC258" s="304"/>
      <c r="AD258" s="304"/>
    </row>
    <row r="259" spans="1:45">
      <c r="A259" s="304"/>
      <c r="B259" s="304"/>
      <c r="C259" s="304"/>
      <c r="D259" s="304"/>
      <c r="E259" s="304"/>
      <c r="F259" s="304"/>
      <c r="G259" s="304"/>
      <c r="H259" s="304"/>
      <c r="I259" s="304"/>
      <c r="J259" s="304"/>
      <c r="K259" s="304"/>
      <c r="L259" s="367"/>
      <c r="M259" s="367"/>
      <c r="N259" s="367"/>
      <c r="O259" s="367"/>
      <c r="P259" s="367"/>
      <c r="Q259" s="367"/>
      <c r="R259" s="367"/>
      <c r="S259" s="367"/>
      <c r="T259" s="367"/>
      <c r="U259" s="367"/>
      <c r="V259" s="367"/>
      <c r="W259" s="367"/>
      <c r="X259" s="367"/>
      <c r="Y259" s="367"/>
      <c r="Z259" s="367"/>
      <c r="AA259" s="304"/>
      <c r="AB259" s="304"/>
      <c r="AC259" s="304"/>
      <c r="AD259" s="304"/>
    </row>
    <row r="260" spans="1:45" ht="13.5" customHeight="1" thickBot="1">
      <c r="L260" s="304"/>
      <c r="M260" s="304"/>
      <c r="N260" s="304"/>
      <c r="O260" s="304"/>
      <c r="P260" s="304"/>
      <c r="Q260" s="304"/>
      <c r="R260" s="304"/>
      <c r="S260" s="304"/>
      <c r="T260" s="304"/>
      <c r="U260" s="304"/>
    </row>
    <row r="261" spans="1:45" ht="69" customHeight="1">
      <c r="B261" s="1187" t="s">
        <v>708</v>
      </c>
      <c r="C261" s="1188"/>
      <c r="D261" s="1188"/>
      <c r="E261" s="1188"/>
      <c r="F261" s="1188"/>
      <c r="G261" s="1188"/>
      <c r="H261" s="1188"/>
      <c r="I261" s="1188"/>
      <c r="J261" s="331" t="str">
        <f>'[3]Reference Sheet'!$B$2</f>
        <v>Rev. 4.12.2016</v>
      </c>
      <c r="L261" s="403"/>
      <c r="M261" s="403"/>
      <c r="N261" s="403"/>
      <c r="O261" s="403"/>
      <c r="P261" s="403"/>
      <c r="Q261" s="403"/>
      <c r="R261" s="403"/>
      <c r="S261" s="403"/>
      <c r="T261" s="403"/>
      <c r="U261" s="403"/>
      <c r="V261" s="403"/>
      <c r="W261" s="403"/>
      <c r="X261" s="403"/>
      <c r="Y261" s="403"/>
      <c r="Z261" s="367"/>
      <c r="AA261" s="304"/>
      <c r="AB261" s="304"/>
      <c r="AC261" s="304"/>
      <c r="AD261" s="304"/>
      <c r="AE261" s="304"/>
      <c r="AF261" s="304"/>
      <c r="AG261" s="304"/>
      <c r="AH261" s="304"/>
      <c r="AI261" s="304"/>
      <c r="AJ261" s="304"/>
      <c r="AK261" s="304"/>
      <c r="AL261" s="304"/>
      <c r="AM261" s="304"/>
      <c r="AN261" s="304"/>
      <c r="AO261" s="304"/>
      <c r="AP261" s="304"/>
      <c r="AQ261" s="304"/>
      <c r="AR261" s="304"/>
      <c r="AS261" s="304"/>
    </row>
    <row r="262" spans="1:45" ht="3.75" customHeight="1">
      <c r="B262" s="332"/>
      <c r="C262" s="333"/>
      <c r="D262" s="333"/>
      <c r="E262" s="333"/>
      <c r="F262" s="333"/>
      <c r="G262" s="333"/>
      <c r="H262" s="333"/>
      <c r="I262" s="333"/>
      <c r="J262" s="334"/>
      <c r="L262" s="403"/>
      <c r="M262" s="403"/>
      <c r="N262" s="403"/>
      <c r="O262" s="403"/>
      <c r="P262" s="403"/>
      <c r="Q262" s="403"/>
      <c r="R262" s="403"/>
      <c r="S262" s="403"/>
      <c r="T262" s="403"/>
      <c r="U262" s="403"/>
      <c r="V262" s="403"/>
      <c r="W262" s="403"/>
      <c r="X262" s="403"/>
      <c r="Y262" s="403"/>
      <c r="Z262" s="367"/>
      <c r="AA262" s="304"/>
      <c r="AB262" s="304"/>
      <c r="AC262" s="304"/>
      <c r="AD262" s="304"/>
      <c r="AE262" s="304"/>
      <c r="AF262" s="304"/>
      <c r="AG262" s="304"/>
      <c r="AH262" s="304"/>
      <c r="AI262" s="304"/>
      <c r="AJ262" s="304"/>
      <c r="AK262" s="304"/>
      <c r="AL262" s="304"/>
      <c r="AM262" s="304"/>
      <c r="AN262" s="304"/>
      <c r="AO262" s="304"/>
      <c r="AP262" s="304"/>
      <c r="AQ262" s="304"/>
      <c r="AR262" s="304"/>
      <c r="AS262" s="304"/>
    </row>
    <row r="263" spans="1:45" ht="18" customHeight="1" thickBot="1">
      <c r="B263" s="332"/>
      <c r="C263" s="368" t="s">
        <v>710</v>
      </c>
      <c r="D263" s="1189"/>
      <c r="E263" s="1190"/>
      <c r="F263" s="1190"/>
      <c r="G263" s="1190"/>
      <c r="H263" s="333"/>
      <c r="I263" s="333"/>
      <c r="J263" s="334"/>
      <c r="L263" s="403"/>
      <c r="M263" s="403"/>
      <c r="N263" s="403"/>
      <c r="O263" s="403"/>
      <c r="P263" s="403"/>
      <c r="Q263" s="403"/>
      <c r="R263" s="403"/>
      <c r="S263" s="403"/>
      <c r="T263" s="403"/>
      <c r="U263" s="403"/>
      <c r="V263" s="403"/>
      <c r="W263" s="403"/>
      <c r="X263" s="403"/>
      <c r="Y263" s="403"/>
      <c r="Z263" s="367"/>
      <c r="AA263" s="304"/>
      <c r="AB263" s="304" t="s">
        <v>680</v>
      </c>
      <c r="AC263" s="304">
        <f>IF(AND(J268=0, J272=0, J274=0, J283=0, J284=0, J285=0, J287=0, J289=0, J290=0, I291=0), 0, 1)</f>
        <v>1</v>
      </c>
      <c r="AD263" s="304"/>
      <c r="AE263" s="304"/>
      <c r="AF263" s="366" t="s">
        <v>596</v>
      </c>
      <c r="AG263" s="304"/>
      <c r="AH263" s="304"/>
      <c r="AI263" s="304"/>
      <c r="AJ263" s="304"/>
      <c r="AK263" s="304"/>
      <c r="AL263" s="304"/>
      <c r="AM263" s="304"/>
      <c r="AN263" s="304"/>
      <c r="AO263" s="304"/>
      <c r="AP263" s="304"/>
      <c r="AQ263" s="304"/>
      <c r="AR263" s="304"/>
      <c r="AS263" s="304"/>
    </row>
    <row r="264" spans="1:45" ht="18" customHeight="1" thickBot="1">
      <c r="B264" s="332"/>
      <c r="C264" s="368" t="s">
        <v>711</v>
      </c>
      <c r="D264" s="1277"/>
      <c r="E264" s="1278"/>
      <c r="F264" s="1278"/>
      <c r="G264" s="1278"/>
      <c r="H264" s="368" t="s">
        <v>712</v>
      </c>
      <c r="I264" s="1189"/>
      <c r="J264" s="1279"/>
      <c r="L264" s="403"/>
      <c r="M264" s="403"/>
      <c r="N264" s="403"/>
      <c r="O264" s="403"/>
      <c r="P264" s="403"/>
      <c r="Q264" s="403"/>
      <c r="R264" s="403"/>
      <c r="S264" s="403"/>
      <c r="T264" s="403"/>
      <c r="U264" s="403"/>
      <c r="V264" s="403"/>
      <c r="W264" s="403"/>
      <c r="X264" s="403"/>
      <c r="Y264" s="403"/>
      <c r="Z264" s="367"/>
      <c r="AA264" s="304"/>
      <c r="AB264" s="304" t="s">
        <v>682</v>
      </c>
      <c r="AC264" s="304">
        <f>IF(AND(G291&lt;=I291, I291&lt;&gt;0), 0, 1)</f>
        <v>1</v>
      </c>
      <c r="AD264" s="304"/>
      <c r="AE264" s="304"/>
      <c r="AF264" s="366" t="s">
        <v>683</v>
      </c>
      <c r="AG264" s="304"/>
      <c r="AH264" s="304"/>
      <c r="AI264" s="304"/>
      <c r="AJ264" s="304"/>
      <c r="AK264" s="304"/>
      <c r="AL264" s="304"/>
      <c r="AM264" s="304"/>
      <c r="AN264" s="304"/>
      <c r="AO264" s="304"/>
      <c r="AP264" s="304"/>
      <c r="AQ264" s="304"/>
      <c r="AR264" s="304"/>
      <c r="AS264" s="304"/>
    </row>
    <row r="265" spans="1:45" ht="18" customHeight="1" thickBot="1">
      <c r="B265" s="1176" t="s">
        <v>671</v>
      </c>
      <c r="C265" s="1177"/>
      <c r="D265" s="1280"/>
      <c r="E265" s="1281"/>
      <c r="F265" s="1281"/>
      <c r="G265" s="1281"/>
      <c r="H265" s="336" t="s">
        <v>673</v>
      </c>
      <c r="I265" s="369"/>
      <c r="J265" s="370"/>
      <c r="L265" s="403"/>
      <c r="M265" s="403"/>
      <c r="N265" s="403"/>
      <c r="O265" s="403"/>
      <c r="P265" s="403"/>
      <c r="Q265" s="403"/>
      <c r="R265" s="403"/>
      <c r="S265" s="403"/>
      <c r="T265" s="403"/>
      <c r="U265" s="403"/>
      <c r="V265" s="403"/>
      <c r="W265" s="403"/>
      <c r="X265" s="403"/>
      <c r="Y265" s="403"/>
      <c r="Z265" s="367"/>
      <c r="AA265" s="304"/>
      <c r="AB265" s="304" t="s">
        <v>685</v>
      </c>
      <c r="AC265" s="304">
        <f>IF(AND(AC264=0, AC263=1), 0, 1)</f>
        <v>1</v>
      </c>
      <c r="AD265" s="304"/>
      <c r="AE265" s="304"/>
      <c r="AF265" s="366" t="s">
        <v>599</v>
      </c>
      <c r="AG265" s="304"/>
      <c r="AH265" s="304"/>
      <c r="AI265" s="304"/>
      <c r="AJ265" s="304"/>
      <c r="AK265" s="304"/>
      <c r="AL265" s="304"/>
      <c r="AM265" s="304"/>
      <c r="AN265" s="304"/>
      <c r="AO265" s="304"/>
      <c r="AP265" s="304"/>
      <c r="AQ265" s="304"/>
      <c r="AR265" s="304"/>
      <c r="AS265" s="304"/>
    </row>
    <row r="266" spans="1:45" ht="18" customHeight="1" thickBot="1">
      <c r="B266" s="1176" t="s">
        <v>674</v>
      </c>
      <c r="C266" s="1177"/>
      <c r="D266" s="1262"/>
      <c r="E266" s="1263"/>
      <c r="F266" s="1263"/>
      <c r="G266" s="1263"/>
      <c r="H266" s="1263"/>
      <c r="I266" s="1263"/>
      <c r="J266" s="1264"/>
      <c r="L266" s="403"/>
      <c r="M266" s="403"/>
      <c r="N266" s="403"/>
      <c r="O266" s="403"/>
      <c r="P266" s="403"/>
      <c r="Q266" s="403"/>
      <c r="R266" s="403"/>
      <c r="S266" s="403"/>
      <c r="T266" s="403"/>
      <c r="U266" s="403"/>
      <c r="V266" s="403"/>
      <c r="W266" s="403"/>
      <c r="X266" s="403"/>
      <c r="Y266" s="403"/>
      <c r="Z266" s="367"/>
      <c r="AA266" s="304"/>
      <c r="AB266" s="304"/>
      <c r="AC266" s="304"/>
      <c r="AD266" s="304"/>
      <c r="AE266" s="304"/>
      <c r="AF266" s="366" t="s">
        <v>603</v>
      </c>
      <c r="AG266" s="304"/>
      <c r="AH266" s="304"/>
      <c r="AI266" s="304"/>
      <c r="AJ266" s="304"/>
      <c r="AK266" s="304"/>
      <c r="AL266" s="304"/>
      <c r="AM266" s="304"/>
      <c r="AN266" s="304"/>
      <c r="AO266" s="304"/>
      <c r="AP266" s="304"/>
      <c r="AQ266" s="304"/>
      <c r="AR266" s="304"/>
      <c r="AS266" s="304"/>
    </row>
    <row r="267" spans="1:45">
      <c r="B267" s="1265"/>
      <c r="C267" s="1266"/>
      <c r="D267" s="1266"/>
      <c r="E267" s="1266"/>
      <c r="F267" s="1267"/>
      <c r="G267" s="371" t="s">
        <v>713</v>
      </c>
      <c r="H267" s="372" t="s">
        <v>676</v>
      </c>
      <c r="I267" s="342"/>
      <c r="J267" s="373" t="s">
        <v>677</v>
      </c>
      <c r="L267" s="403"/>
      <c r="M267" s="403"/>
      <c r="N267" s="403"/>
      <c r="O267" s="403"/>
      <c r="P267" s="403"/>
      <c r="Q267" s="403"/>
      <c r="R267" s="403"/>
      <c r="S267" s="403"/>
      <c r="T267" s="403"/>
      <c r="U267" s="403"/>
      <c r="V267" s="403"/>
      <c r="W267" s="403"/>
      <c r="X267" s="403"/>
      <c r="Y267" s="403"/>
      <c r="Z267" s="367"/>
      <c r="AA267" s="304"/>
      <c r="AB267" s="304" t="s">
        <v>689</v>
      </c>
      <c r="AC267" s="374">
        <f>G291/12</f>
        <v>0</v>
      </c>
      <c r="AD267" s="304"/>
      <c r="AE267" s="304"/>
      <c r="AF267" s="366" t="s">
        <v>605</v>
      </c>
      <c r="AG267" s="304"/>
      <c r="AH267" s="304"/>
      <c r="AI267" s="304"/>
      <c r="AJ267" s="304"/>
      <c r="AK267" s="304"/>
      <c r="AL267" s="304"/>
      <c r="AM267" s="304"/>
      <c r="AN267" s="304"/>
      <c r="AO267" s="304"/>
      <c r="AP267" s="304"/>
      <c r="AQ267" s="304"/>
      <c r="AR267" s="304"/>
      <c r="AS267" s="304"/>
    </row>
    <row r="268" spans="1:45">
      <c r="B268" s="1268"/>
      <c r="C268" s="1266"/>
      <c r="D268" s="1266"/>
      <c r="E268" s="1266"/>
      <c r="F268" s="1267"/>
      <c r="G268" s="375" t="s">
        <v>714</v>
      </c>
      <c r="H268" s="376"/>
      <c r="I268" s="1272"/>
      <c r="J268" s="378"/>
      <c r="L268" s="403"/>
      <c r="M268" s="403"/>
      <c r="N268" s="403"/>
      <c r="O268" s="403"/>
      <c r="P268" s="403"/>
      <c r="Q268" s="403"/>
      <c r="R268" s="403"/>
      <c r="S268" s="403"/>
      <c r="T268" s="403"/>
      <c r="U268" s="403"/>
      <c r="V268" s="403"/>
      <c r="W268" s="403"/>
      <c r="X268" s="403"/>
      <c r="Y268" s="403"/>
      <c r="Z268" s="367"/>
      <c r="AA268" s="304"/>
      <c r="AB268" s="304" t="s">
        <v>691</v>
      </c>
      <c r="AC268" s="374">
        <f>(G291+I291)/24</f>
        <v>0</v>
      </c>
      <c r="AD268" s="304"/>
      <c r="AE268" s="304"/>
      <c r="AF268" s="304"/>
      <c r="AG268" s="304"/>
      <c r="AH268" s="304"/>
      <c r="AI268" s="304"/>
      <c r="AJ268" s="304"/>
      <c r="AK268" s="304"/>
      <c r="AL268" s="304"/>
      <c r="AM268" s="304"/>
      <c r="AN268" s="304"/>
      <c r="AO268" s="304"/>
      <c r="AP268" s="304"/>
      <c r="AQ268" s="304"/>
      <c r="AR268" s="304"/>
      <c r="AS268" s="304"/>
    </row>
    <row r="269" spans="1:45">
      <c r="B269" s="1268"/>
      <c r="C269" s="1266"/>
      <c r="D269" s="1266"/>
      <c r="E269" s="1266"/>
      <c r="F269" s="1267"/>
      <c r="G269" s="379" t="s">
        <v>715</v>
      </c>
      <c r="H269" s="380"/>
      <c r="I269" s="1272"/>
      <c r="J269" s="378"/>
      <c r="L269" s="403"/>
      <c r="M269" s="403"/>
      <c r="N269" s="403"/>
      <c r="O269" s="403"/>
      <c r="P269" s="403"/>
      <c r="Q269" s="403"/>
      <c r="R269" s="403"/>
      <c r="S269" s="403"/>
      <c r="T269" s="403"/>
      <c r="U269" s="403"/>
      <c r="V269" s="403"/>
      <c r="W269" s="403"/>
      <c r="X269" s="403"/>
      <c r="Y269" s="403"/>
      <c r="Z269" s="367"/>
      <c r="AA269" s="304"/>
      <c r="AB269" s="304"/>
      <c r="AC269" s="304"/>
      <c r="AD269" s="304"/>
      <c r="AE269" s="304"/>
      <c r="AF269" s="304"/>
      <c r="AG269" s="304"/>
      <c r="AH269" s="304"/>
      <c r="AI269" s="304"/>
      <c r="AJ269" s="304"/>
      <c r="AK269" s="304"/>
      <c r="AL269" s="304"/>
      <c r="AM269" s="304"/>
      <c r="AN269" s="304"/>
      <c r="AO269" s="304"/>
      <c r="AP269" s="304"/>
      <c r="AQ269" s="304"/>
      <c r="AR269" s="304"/>
      <c r="AS269" s="304"/>
    </row>
    <row r="270" spans="1:45" ht="15.75" thickBot="1">
      <c r="B270" s="1269"/>
      <c r="C270" s="1270"/>
      <c r="D270" s="1270"/>
      <c r="E270" s="1270"/>
      <c r="F270" s="1271"/>
      <c r="G270" s="379" t="s">
        <v>716</v>
      </c>
      <c r="H270" s="376"/>
      <c r="I270" s="1272"/>
      <c r="J270" s="378"/>
      <c r="L270" s="403"/>
      <c r="M270" s="403"/>
      <c r="N270" s="403"/>
      <c r="O270" s="403"/>
      <c r="P270" s="403"/>
      <c r="Q270" s="403"/>
      <c r="R270" s="403"/>
      <c r="S270" s="403"/>
      <c r="T270" s="403"/>
      <c r="U270" s="403"/>
      <c r="V270" s="403"/>
      <c r="W270" s="403"/>
      <c r="X270" s="403"/>
      <c r="Y270" s="403"/>
      <c r="Z270" s="367"/>
      <c r="AA270" s="304"/>
      <c r="AB270" s="304" t="s">
        <v>717</v>
      </c>
      <c r="AC270" s="304" t="str">
        <f>IF(OR(H268=0, H268&gt;100%), "Year End Profit %", (G274+G275+G276))</f>
        <v>Year End Profit %</v>
      </c>
      <c r="AD270" s="304"/>
      <c r="AE270" s="304"/>
      <c r="AF270" s="304"/>
      <c r="AG270" s="304"/>
      <c r="AH270" s="304"/>
      <c r="AI270" s="304"/>
      <c r="AJ270" s="304"/>
      <c r="AK270" s="304"/>
      <c r="AL270" s="304"/>
      <c r="AM270" s="304"/>
      <c r="AN270" s="304"/>
      <c r="AO270" s="304"/>
      <c r="AP270" s="304"/>
      <c r="AQ270" s="304"/>
      <c r="AR270" s="304"/>
      <c r="AS270" s="304"/>
    </row>
    <row r="271" spans="1:45" ht="18.75">
      <c r="B271" s="1229" t="s">
        <v>718</v>
      </c>
      <c r="C271" s="1273"/>
      <c r="D271" s="1273"/>
      <c r="E271" s="1273"/>
      <c r="F271" s="1273"/>
      <c r="G271" s="377" t="s">
        <v>719</v>
      </c>
      <c r="H271" s="381"/>
      <c r="I271" s="377" t="s">
        <v>719</v>
      </c>
      <c r="J271" s="382"/>
      <c r="L271" s="403"/>
      <c r="M271" s="403"/>
      <c r="N271" s="403"/>
      <c r="O271" s="403"/>
      <c r="P271" s="403"/>
      <c r="Q271" s="403"/>
      <c r="R271" s="403"/>
      <c r="S271" s="403"/>
      <c r="T271" s="403"/>
      <c r="U271" s="403"/>
      <c r="V271" s="403"/>
      <c r="W271" s="403"/>
      <c r="X271" s="403"/>
      <c r="Y271" s="403"/>
      <c r="Z271" s="367"/>
      <c r="AA271" s="304"/>
      <c r="AB271" s="304" t="s">
        <v>720</v>
      </c>
      <c r="AC271" s="304" t="str">
        <f>IF(OR(J268&gt;100%, J268=0), "Year End Profit %", (I274+I275+I276))</f>
        <v>Year End Profit %</v>
      </c>
      <c r="AD271" s="383"/>
      <c r="AE271" s="304"/>
      <c r="AF271" s="304"/>
      <c r="AG271" s="304"/>
      <c r="AH271" s="304"/>
      <c r="AI271" s="304"/>
      <c r="AJ271" s="304"/>
      <c r="AK271" s="304"/>
      <c r="AL271" s="304"/>
      <c r="AM271" s="304"/>
      <c r="AN271" s="304"/>
      <c r="AO271" s="304"/>
      <c r="AP271" s="304"/>
      <c r="AQ271" s="304"/>
      <c r="AR271" s="304"/>
      <c r="AS271" s="304"/>
    </row>
    <row r="272" spans="1:45">
      <c r="B272" s="1274" t="s">
        <v>721</v>
      </c>
      <c r="C272" s="1275"/>
      <c r="D272" s="1275"/>
      <c r="E272" s="1275"/>
      <c r="F272" s="1276"/>
      <c r="G272" s="346"/>
      <c r="H272" s="384">
        <f>G272</f>
        <v>0</v>
      </c>
      <c r="I272" s="364"/>
      <c r="J272" s="385">
        <f>I272</f>
        <v>0</v>
      </c>
      <c r="L272" s="403"/>
      <c r="M272" s="403"/>
      <c r="N272" s="403"/>
      <c r="O272" s="403"/>
      <c r="P272" s="403"/>
      <c r="Q272" s="403"/>
      <c r="R272" s="403"/>
      <c r="S272" s="403"/>
      <c r="T272" s="403"/>
      <c r="U272" s="403"/>
      <c r="V272" s="403"/>
      <c r="W272" s="403"/>
      <c r="X272" s="403"/>
      <c r="Y272" s="403"/>
      <c r="Z272" s="367"/>
      <c r="AA272" s="304"/>
      <c r="AB272" s="304"/>
      <c r="AC272" s="304"/>
      <c r="AD272" s="304"/>
      <c r="AE272" s="304"/>
      <c r="AF272" s="304"/>
      <c r="AG272" s="304"/>
      <c r="AH272" s="304"/>
      <c r="AI272" s="304"/>
      <c r="AJ272" s="304"/>
      <c r="AK272" s="304"/>
      <c r="AL272" s="304"/>
      <c r="AM272" s="304"/>
      <c r="AN272" s="304"/>
      <c r="AO272" s="304"/>
      <c r="AP272" s="304"/>
      <c r="AQ272" s="304"/>
      <c r="AR272" s="304"/>
      <c r="AS272" s="304"/>
    </row>
    <row r="273" spans="2:45">
      <c r="B273" s="1246" t="s">
        <v>722</v>
      </c>
      <c r="C273" s="1247"/>
      <c r="D273" s="1247"/>
      <c r="E273" s="1247"/>
      <c r="F273" s="1247"/>
      <c r="G273" s="377"/>
      <c r="H273" s="381"/>
      <c r="I273" s="386"/>
      <c r="J273" s="382"/>
      <c r="L273" s="403"/>
      <c r="M273" s="403"/>
      <c r="N273" s="403"/>
      <c r="O273" s="403"/>
      <c r="P273" s="403"/>
      <c r="Q273" s="403"/>
      <c r="R273" s="403"/>
      <c r="S273" s="403"/>
      <c r="T273" s="403"/>
      <c r="U273" s="403"/>
      <c r="V273" s="403"/>
      <c r="W273" s="403"/>
      <c r="X273" s="403"/>
      <c r="Y273" s="403"/>
      <c r="Z273" s="367"/>
      <c r="AA273" s="304"/>
      <c r="AB273" s="304"/>
      <c r="AC273" s="304"/>
      <c r="AD273" s="304"/>
      <c r="AE273" s="304"/>
      <c r="AF273" s="304"/>
      <c r="AG273" s="304"/>
      <c r="AH273" s="304"/>
      <c r="AI273" s="304"/>
      <c r="AJ273" s="304"/>
      <c r="AK273" s="304"/>
      <c r="AL273" s="304"/>
      <c r="AM273" s="304"/>
      <c r="AN273" s="304"/>
      <c r="AO273" s="304"/>
      <c r="AP273" s="304"/>
      <c r="AQ273" s="304"/>
      <c r="AR273" s="304"/>
      <c r="AS273" s="304"/>
    </row>
    <row r="274" spans="2:45">
      <c r="B274" s="1248" t="s">
        <v>723</v>
      </c>
      <c r="C274" s="1249"/>
      <c r="D274" s="1249"/>
      <c r="E274" s="1249"/>
      <c r="F274" s="1250"/>
      <c r="G274" s="346"/>
      <c r="H274" s="387" t="str">
        <f>AC270</f>
        <v>Year End Profit %</v>
      </c>
      <c r="I274" s="346"/>
      <c r="J274" s="388" t="str">
        <f>AC271</f>
        <v>Year End Profit %</v>
      </c>
      <c r="L274" s="403"/>
      <c r="M274" s="403"/>
      <c r="N274" s="403"/>
      <c r="O274" s="403"/>
      <c r="P274" s="403"/>
      <c r="Q274" s="403"/>
      <c r="R274" s="403"/>
      <c r="S274" s="403"/>
      <c r="T274" s="403"/>
      <c r="U274" s="403"/>
      <c r="V274" s="403"/>
      <c r="W274" s="403"/>
      <c r="X274" s="403"/>
      <c r="Y274" s="403"/>
      <c r="Z274" s="367"/>
      <c r="AA274" s="304"/>
      <c r="AB274" s="304"/>
      <c r="AC274" s="304"/>
      <c r="AD274" s="304"/>
      <c r="AE274" s="304"/>
      <c r="AF274" s="304"/>
      <c r="AG274" s="304"/>
      <c r="AH274" s="304"/>
      <c r="AI274" s="304"/>
      <c r="AJ274" s="304"/>
      <c r="AK274" s="304"/>
      <c r="AL274" s="304"/>
      <c r="AM274" s="304"/>
      <c r="AN274" s="304"/>
      <c r="AO274" s="304"/>
      <c r="AP274" s="304"/>
      <c r="AQ274" s="304"/>
      <c r="AR274" s="304"/>
      <c r="AS274" s="304"/>
    </row>
    <row r="275" spans="2:45">
      <c r="B275" s="1251" t="s">
        <v>724</v>
      </c>
      <c r="C275" s="1252"/>
      <c r="D275" s="1252"/>
      <c r="E275" s="1252"/>
      <c r="F275" s="1253"/>
      <c r="G275" s="346"/>
      <c r="H275" s="389"/>
      <c r="I275" s="346"/>
      <c r="J275" s="390"/>
      <c r="L275" s="403"/>
      <c r="M275" s="403"/>
      <c r="N275" s="403"/>
      <c r="O275" s="403"/>
      <c r="P275" s="403"/>
      <c r="Q275" s="403"/>
      <c r="R275" s="403"/>
      <c r="S275" s="403"/>
      <c r="T275" s="403"/>
      <c r="U275" s="403"/>
      <c r="V275" s="403"/>
      <c r="W275" s="403"/>
      <c r="X275" s="403"/>
      <c r="Y275" s="403"/>
      <c r="Z275" s="367"/>
      <c r="AA275" s="304"/>
      <c r="AB275" s="304"/>
      <c r="AC275" s="304"/>
      <c r="AD275" s="304"/>
      <c r="AE275" s="304"/>
      <c r="AF275" s="304"/>
      <c r="AG275" s="304"/>
      <c r="AH275" s="304"/>
      <c r="AI275" s="304"/>
      <c r="AJ275" s="304"/>
      <c r="AK275" s="304"/>
      <c r="AL275" s="304"/>
      <c r="AM275" s="304"/>
      <c r="AN275" s="304"/>
      <c r="AO275" s="304"/>
      <c r="AP275" s="304"/>
      <c r="AQ275" s="304"/>
      <c r="AR275" s="304"/>
      <c r="AS275" s="304"/>
    </row>
    <row r="276" spans="2:45">
      <c r="B276" s="1254" t="s">
        <v>725</v>
      </c>
      <c r="C276" s="1255"/>
      <c r="D276" s="1255"/>
      <c r="E276" s="1255"/>
      <c r="F276" s="1256"/>
      <c r="G276" s="346"/>
      <c r="H276" s="389"/>
      <c r="I276" s="346"/>
      <c r="J276" s="390"/>
      <c r="L276" s="403"/>
      <c r="M276" s="403"/>
      <c r="N276" s="403"/>
      <c r="O276" s="403"/>
      <c r="P276" s="403"/>
      <c r="Q276" s="403"/>
      <c r="R276" s="403"/>
      <c r="S276" s="403"/>
      <c r="T276" s="403"/>
      <c r="U276" s="403"/>
      <c r="V276" s="403"/>
      <c r="W276" s="403"/>
      <c r="X276" s="403"/>
      <c r="Y276" s="403"/>
      <c r="Z276" s="367"/>
      <c r="AA276" s="304"/>
      <c r="AB276" s="304"/>
      <c r="AC276" s="304"/>
      <c r="AD276" s="304"/>
      <c r="AE276" s="304"/>
      <c r="AF276" s="304"/>
      <c r="AG276" s="304"/>
      <c r="AH276" s="304"/>
      <c r="AI276" s="304"/>
      <c r="AJ276" s="304"/>
      <c r="AK276" s="304"/>
      <c r="AL276" s="304"/>
      <c r="AM276" s="304"/>
      <c r="AN276" s="304"/>
      <c r="AO276" s="304"/>
      <c r="AP276" s="304"/>
      <c r="AQ276" s="304"/>
      <c r="AR276" s="304"/>
      <c r="AS276" s="304"/>
    </row>
    <row r="277" spans="2:45">
      <c r="B277" s="1257" t="s">
        <v>726</v>
      </c>
      <c r="C277" s="1258"/>
      <c r="D277" s="1258"/>
      <c r="E277" s="1258"/>
      <c r="F277" s="1258"/>
      <c r="G277" s="391"/>
      <c r="H277" s="392"/>
      <c r="I277" s="391"/>
      <c r="J277" s="393"/>
      <c r="L277" s="403"/>
      <c r="M277" s="403"/>
      <c r="N277" s="403"/>
      <c r="O277" s="403"/>
      <c r="P277" s="403"/>
      <c r="Q277" s="403"/>
      <c r="R277" s="403"/>
      <c r="S277" s="403"/>
      <c r="T277" s="403"/>
      <c r="U277" s="403"/>
      <c r="V277" s="403"/>
      <c r="W277" s="403"/>
      <c r="X277" s="403"/>
      <c r="Y277" s="403"/>
      <c r="Z277" s="367"/>
      <c r="AA277" s="304"/>
      <c r="AB277" s="304"/>
      <c r="AC277" s="304"/>
      <c r="AD277" s="304"/>
      <c r="AE277" s="304"/>
      <c r="AF277" s="304"/>
      <c r="AG277" s="304"/>
      <c r="AH277" s="304"/>
      <c r="AI277" s="304"/>
      <c r="AJ277" s="304"/>
      <c r="AK277" s="304"/>
      <c r="AL277" s="304"/>
      <c r="AM277" s="304"/>
      <c r="AN277" s="304"/>
      <c r="AO277" s="304"/>
      <c r="AP277" s="304"/>
      <c r="AQ277" s="304"/>
      <c r="AR277" s="304"/>
      <c r="AS277" s="304"/>
    </row>
    <row r="278" spans="2:45">
      <c r="B278" s="1259" t="s">
        <v>727</v>
      </c>
      <c r="C278" s="1260"/>
      <c r="D278" s="1260"/>
      <c r="E278" s="1260"/>
      <c r="F278" s="1261"/>
      <c r="G278" s="394"/>
      <c r="H278" s="395">
        <f>(G278*H268)*-1</f>
        <v>0</v>
      </c>
      <c r="I278" s="394"/>
      <c r="J278" s="396">
        <f>(I278*J268)*-1</f>
        <v>0</v>
      </c>
      <c r="L278" s="403"/>
      <c r="M278" s="403"/>
      <c r="N278" s="403"/>
      <c r="O278" s="403"/>
      <c r="P278" s="403"/>
      <c r="Q278" s="403"/>
      <c r="R278" s="403"/>
      <c r="S278" s="403"/>
      <c r="T278" s="403"/>
      <c r="U278" s="403"/>
      <c r="V278" s="403"/>
      <c r="W278" s="403"/>
      <c r="X278" s="403"/>
      <c r="Y278" s="403"/>
      <c r="Z278" s="367"/>
      <c r="AA278" s="304"/>
      <c r="AB278" s="304"/>
      <c r="AC278" s="304"/>
      <c r="AD278" s="304"/>
      <c r="AE278" s="304"/>
      <c r="AF278" s="304"/>
      <c r="AG278" s="304"/>
      <c r="AH278" s="304"/>
      <c r="AI278" s="304"/>
      <c r="AJ278" s="304"/>
      <c r="AK278" s="304"/>
      <c r="AL278" s="304"/>
      <c r="AM278" s="304"/>
      <c r="AN278" s="304"/>
      <c r="AO278" s="304"/>
      <c r="AP278" s="304"/>
      <c r="AQ278" s="304"/>
      <c r="AR278" s="304"/>
      <c r="AS278" s="304"/>
    </row>
    <row r="279" spans="2:45">
      <c r="B279" s="1237" t="s">
        <v>728</v>
      </c>
      <c r="C279" s="1238"/>
      <c r="D279" s="1238"/>
      <c r="E279" s="1238"/>
      <c r="F279" s="1239"/>
      <c r="G279" s="394"/>
      <c r="H279" s="395">
        <f>(G279*H268)*-1</f>
        <v>0</v>
      </c>
      <c r="I279" s="394"/>
      <c r="J279" s="396">
        <f>(I279*J268)*-1</f>
        <v>0</v>
      </c>
      <c r="L279" s="403"/>
      <c r="M279" s="403"/>
      <c r="N279" s="403"/>
      <c r="O279" s="403"/>
      <c r="P279" s="403"/>
      <c r="Q279" s="403"/>
      <c r="R279" s="403"/>
      <c r="S279" s="403"/>
      <c r="T279" s="403"/>
      <c r="U279" s="403"/>
      <c r="V279" s="403"/>
      <c r="W279" s="403"/>
      <c r="X279" s="403"/>
      <c r="Y279" s="403"/>
      <c r="Z279" s="367"/>
      <c r="AA279" s="304"/>
      <c r="AB279" s="304"/>
      <c r="AC279" s="304"/>
      <c r="AD279" s="304"/>
      <c r="AE279" s="304"/>
      <c r="AF279" s="304"/>
      <c r="AG279" s="304"/>
      <c r="AH279" s="304"/>
      <c r="AI279" s="304"/>
      <c r="AJ279" s="304"/>
      <c r="AK279" s="304"/>
      <c r="AL279" s="304"/>
      <c r="AM279" s="304"/>
      <c r="AN279" s="304"/>
      <c r="AO279" s="304"/>
      <c r="AP279" s="304"/>
      <c r="AQ279" s="304"/>
      <c r="AR279" s="304"/>
      <c r="AS279" s="304"/>
    </row>
    <row r="280" spans="2:45">
      <c r="B280" s="1237" t="s">
        <v>729</v>
      </c>
      <c r="C280" s="1238"/>
      <c r="D280" s="1238"/>
      <c r="E280" s="1238"/>
      <c r="F280" s="1239"/>
      <c r="G280" s="394"/>
      <c r="H280" s="395">
        <f>(G280*H268)*-1</f>
        <v>0</v>
      </c>
      <c r="I280" s="394"/>
      <c r="J280" s="396">
        <f>(I280*J268)*-1</f>
        <v>0</v>
      </c>
      <c r="L280" s="403"/>
      <c r="M280" s="403"/>
      <c r="N280" s="403"/>
      <c r="O280" s="403"/>
      <c r="P280" s="403"/>
      <c r="Q280" s="403"/>
      <c r="R280" s="403"/>
      <c r="S280" s="403"/>
      <c r="T280" s="403"/>
      <c r="U280" s="403"/>
      <c r="V280" s="403"/>
      <c r="W280" s="403"/>
      <c r="X280" s="403"/>
      <c r="Y280" s="403"/>
      <c r="Z280" s="367"/>
      <c r="AA280" s="304"/>
      <c r="AB280" s="304"/>
      <c r="AC280" s="304"/>
      <c r="AD280" s="304"/>
      <c r="AE280" s="304"/>
      <c r="AF280" s="304"/>
      <c r="AG280" s="304"/>
      <c r="AH280" s="304"/>
      <c r="AI280" s="304"/>
      <c r="AJ280" s="304"/>
      <c r="AK280" s="304"/>
      <c r="AL280" s="304"/>
      <c r="AM280" s="304"/>
      <c r="AN280" s="304"/>
      <c r="AO280" s="304"/>
      <c r="AP280" s="304"/>
      <c r="AQ280" s="304"/>
      <c r="AR280" s="304"/>
      <c r="AS280" s="304"/>
    </row>
    <row r="281" spans="2:45">
      <c r="B281" s="1240" t="s">
        <v>730</v>
      </c>
      <c r="C281" s="1241"/>
      <c r="D281" s="1241"/>
      <c r="E281" s="1241"/>
      <c r="F281" s="1242"/>
      <c r="G281" s="394"/>
      <c r="H281" s="395">
        <f>(G281*H268)*-1</f>
        <v>0</v>
      </c>
      <c r="I281" s="394"/>
      <c r="J281" s="396">
        <f>(I281*J268)*-1</f>
        <v>0</v>
      </c>
      <c r="L281" s="403"/>
      <c r="M281" s="403"/>
      <c r="N281" s="403"/>
      <c r="O281" s="403"/>
      <c r="P281" s="403"/>
      <c r="Q281" s="403"/>
      <c r="R281" s="403"/>
      <c r="S281" s="403"/>
      <c r="T281" s="403"/>
      <c r="U281" s="403"/>
      <c r="V281" s="403"/>
      <c r="W281" s="403"/>
      <c r="X281" s="403"/>
      <c r="Y281" s="403"/>
      <c r="Z281" s="367"/>
      <c r="AA281" s="304"/>
      <c r="AB281" s="304"/>
      <c r="AC281" s="304"/>
      <c r="AD281" s="304"/>
      <c r="AE281" s="304"/>
      <c r="AF281" s="304"/>
      <c r="AG281" s="304"/>
      <c r="AH281" s="304"/>
      <c r="AI281" s="304"/>
      <c r="AJ281" s="304"/>
      <c r="AK281" s="304"/>
      <c r="AL281" s="304"/>
      <c r="AM281" s="304"/>
      <c r="AN281" s="304"/>
      <c r="AO281" s="304"/>
      <c r="AP281" s="304"/>
      <c r="AQ281" s="304"/>
      <c r="AR281" s="304"/>
      <c r="AS281" s="304"/>
    </row>
    <row r="282" spans="2:45">
      <c r="B282" s="1229" t="s">
        <v>731</v>
      </c>
      <c r="C282" s="1230"/>
      <c r="D282" s="1230"/>
      <c r="E282" s="1230"/>
      <c r="F282" s="1230"/>
      <c r="G282" s="350"/>
      <c r="H282" s="351"/>
      <c r="I282" s="350"/>
      <c r="J282" s="352"/>
      <c r="L282" s="403"/>
      <c r="M282" s="403"/>
      <c r="N282" s="403"/>
      <c r="O282" s="403"/>
      <c r="P282" s="403"/>
      <c r="Q282" s="403"/>
      <c r="R282" s="403"/>
      <c r="S282" s="403"/>
      <c r="T282" s="403"/>
      <c r="U282" s="403"/>
      <c r="V282" s="403"/>
      <c r="W282" s="403"/>
      <c r="X282" s="403"/>
      <c r="Y282" s="403"/>
      <c r="Z282" s="367"/>
      <c r="AA282" s="304"/>
      <c r="AB282" s="304"/>
      <c r="AC282" s="304"/>
      <c r="AD282" s="304"/>
      <c r="AE282" s="304"/>
      <c r="AF282" s="304"/>
      <c r="AG282" s="304"/>
      <c r="AH282" s="304"/>
      <c r="AI282" s="304"/>
      <c r="AJ282" s="304"/>
      <c r="AK282" s="304"/>
      <c r="AL282" s="304"/>
      <c r="AM282" s="304"/>
      <c r="AN282" s="304"/>
      <c r="AO282" s="304"/>
      <c r="AP282" s="304"/>
      <c r="AQ282" s="304"/>
      <c r="AR282" s="304"/>
      <c r="AS282" s="304"/>
    </row>
    <row r="283" spans="2:45">
      <c r="B283" s="1243" t="s">
        <v>732</v>
      </c>
      <c r="C283" s="1244"/>
      <c r="D283" s="1244"/>
      <c r="E283" s="1244"/>
      <c r="F283" s="1245"/>
      <c r="G283" s="346"/>
      <c r="H283" s="384">
        <f>G283*H268</f>
        <v>0</v>
      </c>
      <c r="I283" s="346"/>
      <c r="J283" s="385">
        <f>I283*J268</f>
        <v>0</v>
      </c>
      <c r="L283" s="403"/>
      <c r="M283" s="403"/>
      <c r="N283" s="403"/>
      <c r="O283" s="403"/>
      <c r="P283" s="403"/>
      <c r="Q283" s="403"/>
      <c r="R283" s="403"/>
      <c r="S283" s="403"/>
      <c r="T283" s="403"/>
      <c r="U283" s="403"/>
      <c r="V283" s="403"/>
      <c r="W283" s="403"/>
      <c r="X283" s="403"/>
      <c r="Y283" s="403"/>
      <c r="Z283" s="367"/>
      <c r="AA283" s="304"/>
      <c r="AB283" s="304"/>
      <c r="AC283" s="304"/>
      <c r="AD283" s="304"/>
      <c r="AE283" s="304"/>
      <c r="AF283" s="304"/>
      <c r="AG283" s="304"/>
      <c r="AH283" s="304"/>
      <c r="AI283" s="304"/>
      <c r="AJ283" s="304"/>
      <c r="AK283" s="304"/>
      <c r="AL283" s="304"/>
      <c r="AM283" s="304"/>
      <c r="AN283" s="304"/>
      <c r="AO283" s="304"/>
      <c r="AP283" s="304"/>
      <c r="AQ283" s="304"/>
      <c r="AR283" s="304"/>
      <c r="AS283" s="304"/>
    </row>
    <row r="284" spans="2:45">
      <c r="B284" s="1223" t="s">
        <v>733</v>
      </c>
      <c r="C284" s="1224"/>
      <c r="D284" s="1224"/>
      <c r="E284" s="1224"/>
      <c r="F284" s="1225"/>
      <c r="G284" s="346"/>
      <c r="H284" s="384">
        <f>G284*H268</f>
        <v>0</v>
      </c>
      <c r="I284" s="346"/>
      <c r="J284" s="385">
        <f>I284*J268</f>
        <v>0</v>
      </c>
      <c r="L284" s="403"/>
      <c r="M284" s="403"/>
      <c r="N284" s="403"/>
      <c r="O284" s="403"/>
      <c r="P284" s="403"/>
      <c r="Q284" s="403"/>
      <c r="R284" s="403"/>
      <c r="S284" s="403"/>
      <c r="T284" s="403"/>
      <c r="U284" s="403"/>
      <c r="V284" s="403"/>
      <c r="W284" s="403"/>
      <c r="X284" s="403"/>
      <c r="Y284" s="403"/>
      <c r="Z284" s="367"/>
      <c r="AA284" s="304"/>
      <c r="AB284" s="304"/>
      <c r="AC284" s="304"/>
      <c r="AD284" s="304"/>
      <c r="AE284" s="304"/>
      <c r="AF284" s="304"/>
      <c r="AG284" s="304"/>
      <c r="AH284" s="304"/>
      <c r="AI284" s="304"/>
      <c r="AJ284" s="304"/>
      <c r="AK284" s="304"/>
      <c r="AL284" s="304"/>
      <c r="AM284" s="304"/>
      <c r="AN284" s="304"/>
      <c r="AO284" s="304"/>
      <c r="AP284" s="304"/>
      <c r="AQ284" s="304"/>
      <c r="AR284" s="304"/>
      <c r="AS284" s="304"/>
    </row>
    <row r="285" spans="2:45">
      <c r="B285" s="1223" t="s">
        <v>734</v>
      </c>
      <c r="C285" s="1224"/>
      <c r="D285" s="1224"/>
      <c r="E285" s="1224"/>
      <c r="F285" s="1225"/>
      <c r="G285" s="346"/>
      <c r="H285" s="384">
        <f>G285*H268</f>
        <v>0</v>
      </c>
      <c r="I285" s="346"/>
      <c r="J285" s="385">
        <f>I285*J268</f>
        <v>0</v>
      </c>
      <c r="L285" s="403"/>
      <c r="M285" s="403"/>
      <c r="N285" s="403"/>
      <c r="O285" s="403"/>
      <c r="P285" s="403"/>
      <c r="Q285" s="403"/>
      <c r="R285" s="403"/>
      <c r="S285" s="403"/>
      <c r="T285" s="403"/>
      <c r="U285" s="403"/>
      <c r="V285" s="403"/>
      <c r="W285" s="403"/>
      <c r="X285" s="403"/>
      <c r="Y285" s="403"/>
      <c r="Z285" s="367"/>
      <c r="AA285" s="304"/>
      <c r="AB285" s="304"/>
      <c r="AC285" s="304"/>
      <c r="AD285" s="304"/>
      <c r="AE285" s="304"/>
      <c r="AF285" s="304"/>
      <c r="AG285" s="304"/>
      <c r="AH285" s="304"/>
      <c r="AI285" s="304"/>
      <c r="AJ285" s="304"/>
      <c r="AK285" s="304"/>
      <c r="AL285" s="304"/>
      <c r="AM285" s="304"/>
      <c r="AN285" s="304"/>
      <c r="AO285" s="304"/>
      <c r="AP285" s="304"/>
      <c r="AQ285" s="304"/>
      <c r="AR285" s="304"/>
      <c r="AS285" s="304"/>
    </row>
    <row r="286" spans="2:45">
      <c r="B286" s="1172" t="s">
        <v>735</v>
      </c>
      <c r="C286" s="1173"/>
      <c r="D286" s="1173"/>
      <c r="E286" s="1173"/>
      <c r="F286" s="1173"/>
      <c r="G286" s="351"/>
      <c r="H286" s="397"/>
      <c r="I286" s="351"/>
      <c r="J286" s="398"/>
      <c r="L286" s="403"/>
      <c r="M286" s="403"/>
      <c r="N286" s="403"/>
      <c r="O286" s="403"/>
      <c r="P286" s="403"/>
      <c r="Q286" s="403"/>
      <c r="R286" s="403"/>
      <c r="S286" s="403"/>
      <c r="T286" s="403"/>
      <c r="U286" s="403"/>
      <c r="V286" s="403"/>
      <c r="W286" s="403"/>
      <c r="X286" s="403"/>
      <c r="Y286" s="403"/>
      <c r="Z286" s="367"/>
      <c r="AA286" s="304"/>
      <c r="AB286" s="304"/>
      <c r="AC286" s="304"/>
      <c r="AD286" s="304"/>
      <c r="AE286" s="304"/>
      <c r="AF286" s="304"/>
      <c r="AG286" s="304"/>
      <c r="AH286" s="304"/>
      <c r="AI286" s="304"/>
      <c r="AJ286" s="304"/>
      <c r="AK286" s="304"/>
      <c r="AL286" s="304"/>
      <c r="AM286" s="304"/>
      <c r="AN286" s="304"/>
      <c r="AO286" s="304"/>
      <c r="AP286" s="304"/>
      <c r="AQ286" s="304"/>
      <c r="AR286" s="304"/>
      <c r="AS286" s="304"/>
    </row>
    <row r="287" spans="2:45">
      <c r="B287" s="1226" t="s">
        <v>736</v>
      </c>
      <c r="C287" s="1227"/>
      <c r="D287" s="1227"/>
      <c r="E287" s="1227"/>
      <c r="F287" s="1228"/>
      <c r="G287" s="346"/>
      <c r="H287" s="384">
        <f>G287*H268</f>
        <v>0</v>
      </c>
      <c r="I287" s="346"/>
      <c r="J287" s="385">
        <f>I287*J268</f>
        <v>0</v>
      </c>
      <c r="L287" s="403"/>
      <c r="M287" s="403"/>
      <c r="N287" s="403"/>
      <c r="O287" s="403"/>
      <c r="P287" s="403"/>
      <c r="Q287" s="403"/>
      <c r="R287" s="403"/>
      <c r="S287" s="403"/>
      <c r="T287" s="403"/>
      <c r="U287" s="403"/>
      <c r="V287" s="403"/>
      <c r="W287" s="403"/>
      <c r="X287" s="403"/>
      <c r="Y287" s="403"/>
      <c r="Z287" s="367"/>
      <c r="AA287" s="304"/>
      <c r="AB287" s="304"/>
      <c r="AC287" s="304"/>
      <c r="AD287" s="304"/>
      <c r="AE287" s="304"/>
      <c r="AF287" s="304"/>
      <c r="AG287" s="304"/>
      <c r="AH287" s="304"/>
      <c r="AI287" s="304"/>
      <c r="AJ287" s="304"/>
      <c r="AK287" s="304"/>
      <c r="AL287" s="304"/>
      <c r="AM287" s="304"/>
      <c r="AN287" s="304"/>
      <c r="AO287" s="304"/>
      <c r="AP287" s="304"/>
      <c r="AQ287" s="304"/>
      <c r="AR287" s="304"/>
      <c r="AS287" s="304"/>
    </row>
    <row r="288" spans="2:45">
      <c r="B288" s="1229" t="s">
        <v>737</v>
      </c>
      <c r="C288" s="1230"/>
      <c r="D288" s="1230"/>
      <c r="E288" s="1230"/>
      <c r="F288" s="1230"/>
      <c r="G288" s="350"/>
      <c r="H288" s="351"/>
      <c r="I288" s="350"/>
      <c r="J288" s="352"/>
      <c r="L288" s="403"/>
      <c r="M288" s="403"/>
      <c r="N288" s="403"/>
      <c r="O288" s="403"/>
      <c r="P288" s="403"/>
      <c r="Q288" s="403"/>
      <c r="R288" s="403"/>
      <c r="S288" s="403"/>
      <c r="T288" s="403"/>
      <c r="U288" s="403"/>
      <c r="V288" s="403"/>
      <c r="W288" s="403"/>
      <c r="X288" s="403"/>
      <c r="Y288" s="403"/>
      <c r="Z288" s="367"/>
      <c r="AA288" s="304"/>
      <c r="AB288" s="304"/>
      <c r="AC288" s="304"/>
      <c r="AD288" s="304"/>
      <c r="AE288" s="304"/>
      <c r="AF288" s="304"/>
      <c r="AG288" s="304"/>
      <c r="AH288" s="304"/>
      <c r="AI288" s="304"/>
      <c r="AJ288" s="304"/>
      <c r="AK288" s="304"/>
      <c r="AL288" s="304"/>
      <c r="AM288" s="304"/>
      <c r="AN288" s="304"/>
      <c r="AO288" s="304"/>
      <c r="AP288" s="304"/>
      <c r="AQ288" s="304"/>
      <c r="AR288" s="304"/>
      <c r="AS288" s="304"/>
    </row>
    <row r="289" spans="1:45" ht="29.1" customHeight="1">
      <c r="B289" s="1231" t="s">
        <v>738</v>
      </c>
      <c r="C289" s="1232"/>
      <c r="D289" s="1232"/>
      <c r="E289" s="1232"/>
      <c r="F289" s="1233"/>
      <c r="G289" s="399"/>
      <c r="H289" s="359">
        <f>H268*G289*-1</f>
        <v>0</v>
      </c>
      <c r="I289" s="399"/>
      <c r="J289" s="400">
        <f>(J268*I289)*-1</f>
        <v>0</v>
      </c>
      <c r="L289" s="403"/>
      <c r="M289" s="403"/>
      <c r="N289" s="403"/>
      <c r="O289" s="403"/>
      <c r="P289" s="403"/>
      <c r="Q289" s="403"/>
      <c r="R289" s="403"/>
      <c r="S289" s="403"/>
      <c r="T289" s="403"/>
      <c r="U289" s="403"/>
      <c r="V289" s="403"/>
      <c r="W289" s="403"/>
      <c r="X289" s="403"/>
      <c r="Y289" s="403"/>
      <c r="Z289" s="367"/>
      <c r="AA289" s="304"/>
      <c r="AB289" s="304"/>
      <c r="AC289" s="304"/>
      <c r="AD289" s="304"/>
      <c r="AE289" s="304"/>
      <c r="AF289" s="304"/>
      <c r="AG289" s="304"/>
      <c r="AH289" s="304"/>
      <c r="AI289" s="304"/>
      <c r="AJ289" s="304"/>
      <c r="AK289" s="304"/>
      <c r="AL289" s="304"/>
      <c r="AM289" s="304"/>
      <c r="AN289" s="304"/>
      <c r="AO289" s="304"/>
      <c r="AP289" s="304"/>
      <c r="AQ289" s="304"/>
      <c r="AR289" s="304"/>
      <c r="AS289" s="304"/>
    </row>
    <row r="290" spans="1:45" ht="29.1" customHeight="1">
      <c r="B290" s="1234" t="s">
        <v>739</v>
      </c>
      <c r="C290" s="1235"/>
      <c r="D290" s="1235"/>
      <c r="E290" s="1235"/>
      <c r="F290" s="1236"/>
      <c r="G290" s="346"/>
      <c r="H290" s="401">
        <f>(H268*G290)*-1</f>
        <v>0</v>
      </c>
      <c r="I290" s="346"/>
      <c r="J290" s="402">
        <f>(J268*I290)*-1</f>
        <v>0</v>
      </c>
      <c r="L290" s="403"/>
      <c r="M290" s="403"/>
      <c r="N290" s="403"/>
      <c r="O290" s="403"/>
      <c r="P290" s="403"/>
      <c r="Q290" s="403"/>
      <c r="R290" s="403"/>
      <c r="S290" s="403"/>
      <c r="T290" s="403"/>
      <c r="U290" s="403"/>
      <c r="V290" s="403"/>
      <c r="W290" s="403"/>
      <c r="X290" s="403"/>
      <c r="Y290" s="403"/>
      <c r="Z290" s="367"/>
      <c r="AA290" s="304"/>
      <c r="AB290" s="304"/>
      <c r="AC290" s="304"/>
      <c r="AD290" s="304"/>
      <c r="AE290" s="304"/>
      <c r="AF290" s="304"/>
      <c r="AG290" s="304"/>
      <c r="AH290" s="304"/>
      <c r="AI290" s="304"/>
      <c r="AJ290" s="304"/>
      <c r="AK290" s="304"/>
      <c r="AL290" s="304"/>
      <c r="AM290" s="304"/>
      <c r="AN290" s="304"/>
      <c r="AO290" s="304"/>
      <c r="AP290" s="304"/>
      <c r="AQ290" s="304"/>
      <c r="AR290" s="304"/>
      <c r="AS290" s="304"/>
    </row>
    <row r="291" spans="1:45">
      <c r="B291" s="1211" t="s">
        <v>740</v>
      </c>
      <c r="C291" s="1212"/>
      <c r="D291" s="1212"/>
      <c r="E291" s="1212"/>
      <c r="F291" s="1213"/>
      <c r="G291" s="1214">
        <f>SUM(H272:H290)</f>
        <v>0</v>
      </c>
      <c r="H291" s="1215"/>
      <c r="I291" s="1214">
        <f>SUM(J274:J290)+J272</f>
        <v>0</v>
      </c>
      <c r="J291" s="1216"/>
      <c r="L291" s="403"/>
      <c r="M291" s="403"/>
      <c r="N291" s="403"/>
      <c r="O291" s="403"/>
      <c r="P291" s="403"/>
      <c r="Q291" s="403"/>
      <c r="R291" s="403"/>
      <c r="S291" s="403"/>
      <c r="T291" s="403"/>
      <c r="U291" s="403"/>
      <c r="V291" s="403"/>
      <c r="W291" s="403"/>
      <c r="X291" s="403"/>
      <c r="Y291" s="403"/>
      <c r="Z291" s="367"/>
      <c r="AA291" s="304"/>
      <c r="AB291" s="304"/>
      <c r="AC291" s="304"/>
      <c r="AD291" s="304"/>
      <c r="AE291" s="304"/>
      <c r="AF291" s="304"/>
      <c r="AG291" s="304"/>
      <c r="AH291" s="304"/>
      <c r="AI291" s="304"/>
      <c r="AJ291" s="304"/>
      <c r="AK291" s="304"/>
      <c r="AL291" s="304"/>
      <c r="AM291" s="304"/>
      <c r="AN291" s="304"/>
      <c r="AO291" s="304"/>
      <c r="AP291" s="304"/>
      <c r="AQ291" s="304"/>
      <c r="AR291" s="304"/>
      <c r="AS291" s="304"/>
    </row>
    <row r="292" spans="1:45" ht="18.75">
      <c r="B292" s="1217" t="s">
        <v>696</v>
      </c>
      <c r="C292" s="1218"/>
      <c r="D292" s="1218"/>
      <c r="E292" s="1218"/>
      <c r="F292" s="1219"/>
      <c r="G292" s="1161" t="str">
        <f>IF(OR(AC265=0, I291=0), "12 Month Average", "24 Month Average")</f>
        <v>12 Month Average</v>
      </c>
      <c r="H292" s="1162"/>
      <c r="I292" s="1162"/>
      <c r="J292" s="1163"/>
      <c r="L292" s="403"/>
      <c r="M292" s="403"/>
      <c r="N292" s="403"/>
      <c r="O292" s="403"/>
      <c r="P292" s="403"/>
      <c r="Q292" s="403"/>
      <c r="R292" s="403"/>
      <c r="S292" s="403"/>
      <c r="T292" s="403"/>
      <c r="U292" s="403"/>
      <c r="V292" s="403"/>
      <c r="W292" s="403"/>
      <c r="X292" s="403"/>
      <c r="Y292" s="403"/>
      <c r="Z292" s="367"/>
      <c r="AA292" s="304"/>
      <c r="AB292" s="304"/>
      <c r="AC292" s="304"/>
      <c r="AD292" s="304"/>
      <c r="AE292" s="304"/>
      <c r="AF292" s="304"/>
      <c r="AG292" s="304"/>
      <c r="AH292" s="304"/>
      <c r="AI292" s="304"/>
      <c r="AJ292" s="304"/>
      <c r="AK292" s="304"/>
      <c r="AL292" s="304"/>
      <c r="AM292" s="304"/>
      <c r="AN292" s="304"/>
      <c r="AO292" s="304"/>
      <c r="AP292" s="304"/>
      <c r="AQ292" s="304"/>
      <c r="AR292" s="304"/>
      <c r="AS292" s="304"/>
    </row>
    <row r="293" spans="1:45" ht="34.5" thickBot="1">
      <c r="B293" s="1220" t="s">
        <v>697</v>
      </c>
      <c r="C293" s="1221"/>
      <c r="D293" s="1221"/>
      <c r="E293" s="1221"/>
      <c r="F293" s="1222"/>
      <c r="G293" s="1167">
        <f>IF(OR(AC265=0, I291=0), AC267, AC268)</f>
        <v>0</v>
      </c>
      <c r="H293" s="1168"/>
      <c r="I293" s="1168"/>
      <c r="J293" s="1169"/>
      <c r="L293" s="403"/>
      <c r="M293" s="403"/>
      <c r="N293" s="403"/>
      <c r="O293" s="403"/>
      <c r="P293" s="403"/>
      <c r="Q293" s="403"/>
      <c r="R293" s="403"/>
      <c r="S293" s="403"/>
      <c r="T293" s="403"/>
      <c r="U293" s="403"/>
      <c r="V293" s="403"/>
      <c r="W293" s="403"/>
      <c r="X293" s="403"/>
      <c r="Y293" s="403"/>
      <c r="Z293" s="367"/>
      <c r="AA293" s="304"/>
      <c r="AB293" s="304"/>
      <c r="AC293" s="304"/>
      <c r="AD293" s="304"/>
    </row>
    <row r="294" spans="1:45" ht="9" customHeight="1" thickBot="1">
      <c r="H294" s="330"/>
      <c r="I294" s="330"/>
      <c r="L294" s="403"/>
      <c r="M294" s="403"/>
      <c r="N294" s="403"/>
      <c r="O294" s="403"/>
      <c r="P294" s="403"/>
      <c r="Q294" s="403"/>
      <c r="R294" s="403"/>
      <c r="S294" s="403"/>
      <c r="T294" s="403"/>
      <c r="U294" s="403"/>
      <c r="V294" s="403"/>
      <c r="W294" s="403"/>
      <c r="X294" s="403"/>
      <c r="Y294" s="403"/>
      <c r="Z294" s="367"/>
      <c r="AA294" s="304"/>
      <c r="AB294" s="304"/>
      <c r="AC294" s="304"/>
      <c r="AD294" s="304"/>
    </row>
    <row r="295" spans="1:45" ht="105" customHeight="1" thickBot="1">
      <c r="B295" s="1208" t="s">
        <v>645</v>
      </c>
      <c r="C295" s="1209"/>
      <c r="D295" s="1209"/>
      <c r="E295" s="1209"/>
      <c r="F295" s="1209"/>
      <c r="G295" s="1209"/>
      <c r="H295" s="1209"/>
      <c r="I295" s="1209"/>
      <c r="J295" s="1210"/>
      <c r="L295" s="367"/>
      <c r="M295" s="367"/>
      <c r="N295" s="367"/>
      <c r="O295" s="367"/>
      <c r="P295" s="367"/>
      <c r="Q295" s="367"/>
      <c r="R295" s="367"/>
      <c r="S295" s="367"/>
      <c r="T295" s="367"/>
      <c r="U295" s="367"/>
      <c r="V295" s="367"/>
      <c r="W295" s="367"/>
      <c r="X295" s="367"/>
      <c r="Y295" s="367"/>
      <c r="Z295" s="367"/>
      <c r="AA295" s="304"/>
      <c r="AB295" s="304"/>
      <c r="AC295" s="304"/>
      <c r="AD295" s="304"/>
    </row>
    <row r="296" spans="1:45">
      <c r="A296" s="304"/>
      <c r="B296" s="304"/>
      <c r="C296" s="304"/>
      <c r="D296" s="304"/>
      <c r="E296" s="304"/>
      <c r="F296" s="304"/>
      <c r="G296" s="304"/>
      <c r="H296" s="304"/>
      <c r="I296" s="304"/>
      <c r="J296" s="304"/>
      <c r="K296" s="304"/>
      <c r="L296" s="367"/>
      <c r="M296" s="367"/>
      <c r="N296" s="367"/>
      <c r="O296" s="367"/>
      <c r="P296" s="367"/>
      <c r="Q296" s="367"/>
      <c r="R296" s="367"/>
      <c r="S296" s="367"/>
      <c r="T296" s="367"/>
      <c r="U296" s="367"/>
      <c r="V296" s="367"/>
      <c r="W296" s="367"/>
      <c r="X296" s="367"/>
      <c r="Y296" s="367"/>
      <c r="Z296" s="367"/>
      <c r="AA296" s="304"/>
      <c r="AB296" s="304"/>
      <c r="AC296" s="304"/>
      <c r="AD296" s="304"/>
    </row>
    <row r="297" spans="1:45" ht="13.5" customHeight="1" thickBot="1">
      <c r="L297" s="304"/>
      <c r="M297" s="304"/>
      <c r="N297" s="304"/>
      <c r="O297" s="304"/>
      <c r="P297" s="304"/>
      <c r="Q297" s="304"/>
      <c r="R297" s="304"/>
      <c r="S297" s="304"/>
      <c r="T297" s="304"/>
      <c r="U297" s="304"/>
    </row>
    <row r="298" spans="1:45" ht="69" customHeight="1">
      <c r="B298" s="1187" t="s">
        <v>708</v>
      </c>
      <c r="C298" s="1188"/>
      <c r="D298" s="1188"/>
      <c r="E298" s="1188"/>
      <c r="F298" s="1188"/>
      <c r="G298" s="1188"/>
      <c r="H298" s="1188"/>
      <c r="I298" s="1188"/>
      <c r="J298" s="331" t="str">
        <f>'[3]Reference Sheet'!$B$2</f>
        <v>Rev. 4.12.2016</v>
      </c>
      <c r="L298" s="403"/>
      <c r="M298" s="403"/>
      <c r="N298" s="403"/>
      <c r="O298" s="403"/>
      <c r="P298" s="403"/>
      <c r="Q298" s="403"/>
      <c r="R298" s="403"/>
      <c r="S298" s="403"/>
      <c r="T298" s="403"/>
      <c r="U298" s="403"/>
      <c r="V298" s="403"/>
      <c r="W298" s="403"/>
      <c r="X298" s="403"/>
      <c r="Y298" s="403"/>
      <c r="Z298" s="367"/>
      <c r="AA298" s="304"/>
      <c r="AB298" s="304"/>
      <c r="AC298" s="304"/>
      <c r="AD298" s="304"/>
      <c r="AE298" s="304"/>
      <c r="AF298" s="304"/>
      <c r="AG298" s="304"/>
      <c r="AH298" s="304"/>
      <c r="AI298" s="304"/>
      <c r="AJ298" s="304"/>
      <c r="AK298" s="304"/>
      <c r="AL298" s="304"/>
      <c r="AM298" s="304"/>
      <c r="AN298" s="304"/>
      <c r="AO298" s="304"/>
      <c r="AP298" s="304"/>
      <c r="AQ298" s="304"/>
      <c r="AR298" s="304"/>
      <c r="AS298" s="304"/>
    </row>
    <row r="299" spans="1:45" ht="3.75" customHeight="1">
      <c r="B299" s="332"/>
      <c r="C299" s="333"/>
      <c r="D299" s="333"/>
      <c r="E299" s="333"/>
      <c r="F299" s="333"/>
      <c r="G299" s="333"/>
      <c r="H299" s="333"/>
      <c r="I299" s="333"/>
      <c r="J299" s="334"/>
      <c r="L299" s="403"/>
      <c r="M299" s="403"/>
      <c r="N299" s="403"/>
      <c r="O299" s="403"/>
      <c r="P299" s="403"/>
      <c r="Q299" s="403"/>
      <c r="R299" s="403"/>
      <c r="S299" s="403"/>
      <c r="T299" s="403"/>
      <c r="U299" s="403"/>
      <c r="V299" s="403"/>
      <c r="W299" s="403"/>
      <c r="X299" s="403"/>
      <c r="Y299" s="403"/>
      <c r="Z299" s="367"/>
      <c r="AA299" s="304"/>
      <c r="AB299" s="304"/>
      <c r="AC299" s="304"/>
      <c r="AD299" s="304"/>
      <c r="AE299" s="304"/>
      <c r="AF299" s="304"/>
      <c r="AG299" s="304"/>
      <c r="AH299" s="304"/>
      <c r="AI299" s="304"/>
      <c r="AJ299" s="304"/>
      <c r="AK299" s="304"/>
      <c r="AL299" s="304"/>
      <c r="AM299" s="304"/>
      <c r="AN299" s="304"/>
      <c r="AO299" s="304"/>
      <c r="AP299" s="304"/>
      <c r="AQ299" s="304"/>
      <c r="AR299" s="304"/>
      <c r="AS299" s="304"/>
    </row>
    <row r="300" spans="1:45" ht="18" customHeight="1" thickBot="1">
      <c r="B300" s="332"/>
      <c r="C300" s="368" t="s">
        <v>710</v>
      </c>
      <c r="D300" s="1189"/>
      <c r="E300" s="1190"/>
      <c r="F300" s="1190"/>
      <c r="G300" s="1190"/>
      <c r="H300" s="333"/>
      <c r="I300" s="333"/>
      <c r="J300" s="334"/>
      <c r="L300" s="403"/>
      <c r="M300" s="403"/>
      <c r="N300" s="403"/>
      <c r="O300" s="403"/>
      <c r="P300" s="403"/>
      <c r="Q300" s="403"/>
      <c r="R300" s="403"/>
      <c r="S300" s="403"/>
      <c r="T300" s="403"/>
      <c r="U300" s="403"/>
      <c r="V300" s="403"/>
      <c r="W300" s="403"/>
      <c r="X300" s="403"/>
      <c r="Y300" s="403"/>
      <c r="Z300" s="367"/>
      <c r="AA300" s="304"/>
      <c r="AB300" s="304" t="s">
        <v>680</v>
      </c>
      <c r="AC300" s="304">
        <f>IF(AND(J305=0, J309=0, J311=0, J320=0, J321=0, J322=0, J324=0, J326=0, J327=0, I328=0), 0, 1)</f>
        <v>1</v>
      </c>
      <c r="AD300" s="304"/>
      <c r="AE300" s="304"/>
      <c r="AF300" s="366" t="s">
        <v>596</v>
      </c>
      <c r="AG300" s="304"/>
      <c r="AH300" s="304"/>
      <c r="AI300" s="304"/>
      <c r="AJ300" s="304"/>
      <c r="AK300" s="304"/>
      <c r="AL300" s="304"/>
      <c r="AM300" s="304"/>
      <c r="AN300" s="304"/>
      <c r="AO300" s="304"/>
      <c r="AP300" s="304"/>
      <c r="AQ300" s="304"/>
      <c r="AR300" s="304"/>
      <c r="AS300" s="304"/>
    </row>
    <row r="301" spans="1:45" ht="18" customHeight="1" thickBot="1">
      <c r="B301" s="332"/>
      <c r="C301" s="368" t="s">
        <v>711</v>
      </c>
      <c r="D301" s="1277"/>
      <c r="E301" s="1278"/>
      <c r="F301" s="1278"/>
      <c r="G301" s="1278"/>
      <c r="H301" s="368" t="s">
        <v>712</v>
      </c>
      <c r="I301" s="1189"/>
      <c r="J301" s="1279"/>
      <c r="L301" s="403"/>
      <c r="M301" s="403"/>
      <c r="N301" s="403"/>
      <c r="O301" s="403"/>
      <c r="P301" s="403"/>
      <c r="Q301" s="403"/>
      <c r="R301" s="403"/>
      <c r="S301" s="403"/>
      <c r="T301" s="403"/>
      <c r="U301" s="403"/>
      <c r="V301" s="403"/>
      <c r="W301" s="403"/>
      <c r="X301" s="403"/>
      <c r="Y301" s="403"/>
      <c r="Z301" s="367"/>
      <c r="AA301" s="304"/>
      <c r="AB301" s="304" t="s">
        <v>682</v>
      </c>
      <c r="AC301" s="304">
        <f>IF(AND(G328&lt;=I328, I328&lt;&gt;0), 0, 1)</f>
        <v>1</v>
      </c>
      <c r="AD301" s="304"/>
      <c r="AE301" s="304"/>
      <c r="AF301" s="366" t="s">
        <v>683</v>
      </c>
      <c r="AG301" s="304"/>
      <c r="AH301" s="304"/>
      <c r="AI301" s="304"/>
      <c r="AJ301" s="304"/>
      <c r="AK301" s="304"/>
      <c r="AL301" s="304"/>
      <c r="AM301" s="304"/>
      <c r="AN301" s="304"/>
      <c r="AO301" s="304"/>
      <c r="AP301" s="304"/>
      <c r="AQ301" s="304"/>
      <c r="AR301" s="304"/>
      <c r="AS301" s="304"/>
    </row>
    <row r="302" spans="1:45" ht="18" customHeight="1" thickBot="1">
      <c r="B302" s="1176" t="s">
        <v>671</v>
      </c>
      <c r="C302" s="1177"/>
      <c r="D302" s="1280"/>
      <c r="E302" s="1281"/>
      <c r="F302" s="1281"/>
      <c r="G302" s="1281"/>
      <c r="H302" s="336" t="s">
        <v>673</v>
      </c>
      <c r="I302" s="369"/>
      <c r="J302" s="370"/>
      <c r="L302" s="403"/>
      <c r="M302" s="403"/>
      <c r="N302" s="403"/>
      <c r="O302" s="403"/>
      <c r="P302" s="403"/>
      <c r="Q302" s="403"/>
      <c r="R302" s="403"/>
      <c r="S302" s="403"/>
      <c r="T302" s="403"/>
      <c r="U302" s="403"/>
      <c r="V302" s="403"/>
      <c r="W302" s="403"/>
      <c r="X302" s="403"/>
      <c r="Y302" s="403"/>
      <c r="Z302" s="367"/>
      <c r="AA302" s="304"/>
      <c r="AB302" s="304" t="s">
        <v>685</v>
      </c>
      <c r="AC302" s="304">
        <f>IF(AND(AC301=0, AC300=1), 0, 1)</f>
        <v>1</v>
      </c>
      <c r="AD302" s="304"/>
      <c r="AE302" s="304"/>
      <c r="AF302" s="366" t="s">
        <v>599</v>
      </c>
      <c r="AG302" s="304"/>
      <c r="AH302" s="304"/>
      <c r="AI302" s="304"/>
      <c r="AJ302" s="304"/>
      <c r="AK302" s="304"/>
      <c r="AL302" s="304"/>
      <c r="AM302" s="304"/>
      <c r="AN302" s="304"/>
      <c r="AO302" s="304"/>
      <c r="AP302" s="304"/>
      <c r="AQ302" s="304"/>
      <c r="AR302" s="304"/>
      <c r="AS302" s="304"/>
    </row>
    <row r="303" spans="1:45" ht="18" customHeight="1" thickBot="1">
      <c r="B303" s="1176" t="s">
        <v>674</v>
      </c>
      <c r="C303" s="1177"/>
      <c r="D303" s="1262"/>
      <c r="E303" s="1263"/>
      <c r="F303" s="1263"/>
      <c r="G303" s="1263"/>
      <c r="H303" s="1263"/>
      <c r="I303" s="1263"/>
      <c r="J303" s="1264"/>
      <c r="L303" s="403"/>
      <c r="M303" s="403"/>
      <c r="N303" s="403"/>
      <c r="O303" s="403"/>
      <c r="P303" s="403"/>
      <c r="Q303" s="403"/>
      <c r="R303" s="403"/>
      <c r="S303" s="403"/>
      <c r="T303" s="403"/>
      <c r="U303" s="403"/>
      <c r="V303" s="403"/>
      <c r="W303" s="403"/>
      <c r="X303" s="403"/>
      <c r="Y303" s="403"/>
      <c r="Z303" s="367"/>
      <c r="AA303" s="304"/>
      <c r="AB303" s="304"/>
      <c r="AC303" s="304"/>
      <c r="AD303" s="304"/>
      <c r="AE303" s="304"/>
      <c r="AF303" s="366" t="s">
        <v>603</v>
      </c>
      <c r="AG303" s="304"/>
      <c r="AH303" s="304"/>
      <c r="AI303" s="304"/>
      <c r="AJ303" s="304"/>
      <c r="AK303" s="304"/>
      <c r="AL303" s="304"/>
      <c r="AM303" s="304"/>
      <c r="AN303" s="304"/>
      <c r="AO303" s="304"/>
      <c r="AP303" s="304"/>
      <c r="AQ303" s="304"/>
      <c r="AR303" s="304"/>
      <c r="AS303" s="304"/>
    </row>
    <row r="304" spans="1:45">
      <c r="B304" s="1265"/>
      <c r="C304" s="1266"/>
      <c r="D304" s="1266"/>
      <c r="E304" s="1266"/>
      <c r="F304" s="1267"/>
      <c r="G304" s="371" t="s">
        <v>713</v>
      </c>
      <c r="H304" s="372" t="s">
        <v>676</v>
      </c>
      <c r="I304" s="342"/>
      <c r="J304" s="373" t="s">
        <v>677</v>
      </c>
      <c r="L304" s="403"/>
      <c r="M304" s="403"/>
      <c r="N304" s="403"/>
      <c r="O304" s="403"/>
      <c r="P304" s="403"/>
      <c r="Q304" s="403"/>
      <c r="R304" s="403"/>
      <c r="S304" s="403"/>
      <c r="T304" s="403"/>
      <c r="U304" s="403"/>
      <c r="V304" s="403"/>
      <c r="W304" s="403"/>
      <c r="X304" s="403"/>
      <c r="Y304" s="403"/>
      <c r="Z304" s="367"/>
      <c r="AA304" s="304"/>
      <c r="AB304" s="304" t="s">
        <v>689</v>
      </c>
      <c r="AC304" s="374">
        <f>G328/12</f>
        <v>0</v>
      </c>
      <c r="AD304" s="304"/>
      <c r="AE304" s="304"/>
      <c r="AF304" s="366" t="s">
        <v>605</v>
      </c>
      <c r="AG304" s="304"/>
      <c r="AH304" s="304"/>
      <c r="AI304" s="304"/>
      <c r="AJ304" s="304"/>
      <c r="AK304" s="304"/>
      <c r="AL304" s="304"/>
      <c r="AM304" s="304"/>
      <c r="AN304" s="304"/>
      <c r="AO304" s="304"/>
      <c r="AP304" s="304"/>
      <c r="AQ304" s="304"/>
      <c r="AR304" s="304"/>
      <c r="AS304" s="304"/>
    </row>
    <row r="305" spans="2:45">
      <c r="B305" s="1268"/>
      <c r="C305" s="1266"/>
      <c r="D305" s="1266"/>
      <c r="E305" s="1266"/>
      <c r="F305" s="1267"/>
      <c r="G305" s="375" t="s">
        <v>714</v>
      </c>
      <c r="H305" s="376"/>
      <c r="I305" s="1272"/>
      <c r="J305" s="378"/>
      <c r="L305" s="403"/>
      <c r="M305" s="403"/>
      <c r="N305" s="403"/>
      <c r="O305" s="403"/>
      <c r="P305" s="403"/>
      <c r="Q305" s="403"/>
      <c r="R305" s="403"/>
      <c r="S305" s="403"/>
      <c r="T305" s="403"/>
      <c r="U305" s="403"/>
      <c r="V305" s="403"/>
      <c r="W305" s="403"/>
      <c r="X305" s="403"/>
      <c r="Y305" s="403"/>
      <c r="Z305" s="367"/>
      <c r="AA305" s="304"/>
      <c r="AB305" s="304" t="s">
        <v>691</v>
      </c>
      <c r="AC305" s="374">
        <f>(G328+I328)/24</f>
        <v>0</v>
      </c>
      <c r="AD305" s="304"/>
      <c r="AE305" s="304"/>
      <c r="AF305" s="304"/>
      <c r="AG305" s="304"/>
      <c r="AH305" s="304"/>
      <c r="AI305" s="304"/>
      <c r="AJ305" s="304"/>
      <c r="AK305" s="304"/>
      <c r="AL305" s="304"/>
      <c r="AM305" s="304"/>
      <c r="AN305" s="304"/>
      <c r="AO305" s="304"/>
      <c r="AP305" s="304"/>
      <c r="AQ305" s="304"/>
      <c r="AR305" s="304"/>
      <c r="AS305" s="304"/>
    </row>
    <row r="306" spans="2:45">
      <c r="B306" s="1268"/>
      <c r="C306" s="1266"/>
      <c r="D306" s="1266"/>
      <c r="E306" s="1266"/>
      <c r="F306" s="1267"/>
      <c r="G306" s="379" t="s">
        <v>715</v>
      </c>
      <c r="H306" s="380"/>
      <c r="I306" s="1272"/>
      <c r="J306" s="378"/>
      <c r="L306" s="403"/>
      <c r="M306" s="403"/>
      <c r="N306" s="403"/>
      <c r="O306" s="403"/>
      <c r="P306" s="403"/>
      <c r="Q306" s="403"/>
      <c r="R306" s="403"/>
      <c r="S306" s="403"/>
      <c r="T306" s="403"/>
      <c r="U306" s="403"/>
      <c r="V306" s="403"/>
      <c r="W306" s="403"/>
      <c r="X306" s="403"/>
      <c r="Y306" s="403"/>
      <c r="Z306" s="367"/>
      <c r="AA306" s="304"/>
      <c r="AB306" s="304"/>
      <c r="AC306" s="304"/>
      <c r="AD306" s="304"/>
      <c r="AE306" s="304"/>
      <c r="AF306" s="304"/>
      <c r="AG306" s="304"/>
      <c r="AH306" s="304"/>
      <c r="AI306" s="304"/>
      <c r="AJ306" s="304"/>
      <c r="AK306" s="304"/>
      <c r="AL306" s="304"/>
      <c r="AM306" s="304"/>
      <c r="AN306" s="304"/>
      <c r="AO306" s="304"/>
      <c r="AP306" s="304"/>
      <c r="AQ306" s="304"/>
      <c r="AR306" s="304"/>
      <c r="AS306" s="304"/>
    </row>
    <row r="307" spans="2:45" ht="15.75" thickBot="1">
      <c r="B307" s="1269"/>
      <c r="C307" s="1270"/>
      <c r="D307" s="1270"/>
      <c r="E307" s="1270"/>
      <c r="F307" s="1271"/>
      <c r="G307" s="379" t="s">
        <v>716</v>
      </c>
      <c r="H307" s="376"/>
      <c r="I307" s="1272"/>
      <c r="J307" s="378"/>
      <c r="L307" s="403"/>
      <c r="M307" s="403"/>
      <c r="N307" s="403"/>
      <c r="O307" s="403"/>
      <c r="P307" s="403"/>
      <c r="Q307" s="403"/>
      <c r="R307" s="403"/>
      <c r="S307" s="403"/>
      <c r="T307" s="403"/>
      <c r="U307" s="403"/>
      <c r="V307" s="403"/>
      <c r="W307" s="403"/>
      <c r="X307" s="403"/>
      <c r="Y307" s="403"/>
      <c r="Z307" s="367"/>
      <c r="AA307" s="304"/>
      <c r="AB307" s="304" t="s">
        <v>717</v>
      </c>
      <c r="AC307" s="304" t="str">
        <f>IF(OR(H305=0, H305&gt;100%), "Year End Profit %", (G311+G312+G313))</f>
        <v>Year End Profit %</v>
      </c>
      <c r="AD307" s="304"/>
      <c r="AE307" s="304"/>
      <c r="AF307" s="304"/>
      <c r="AG307" s="304"/>
      <c r="AH307" s="304"/>
      <c r="AI307" s="304"/>
      <c r="AJ307" s="304"/>
      <c r="AK307" s="304"/>
      <c r="AL307" s="304"/>
      <c r="AM307" s="304"/>
      <c r="AN307" s="304"/>
      <c r="AO307" s="304"/>
      <c r="AP307" s="304"/>
      <c r="AQ307" s="304"/>
      <c r="AR307" s="304"/>
      <c r="AS307" s="304"/>
    </row>
    <row r="308" spans="2:45" ht="18.75">
      <c r="B308" s="1229" t="s">
        <v>718</v>
      </c>
      <c r="C308" s="1273"/>
      <c r="D308" s="1273"/>
      <c r="E308" s="1273"/>
      <c r="F308" s="1273"/>
      <c r="G308" s="377" t="s">
        <v>719</v>
      </c>
      <c r="H308" s="381"/>
      <c r="I308" s="377" t="s">
        <v>719</v>
      </c>
      <c r="J308" s="382"/>
      <c r="L308" s="403"/>
      <c r="M308" s="403"/>
      <c r="N308" s="403"/>
      <c r="O308" s="403"/>
      <c r="P308" s="403"/>
      <c r="Q308" s="403"/>
      <c r="R308" s="403"/>
      <c r="S308" s="403"/>
      <c r="T308" s="403"/>
      <c r="U308" s="403"/>
      <c r="V308" s="403"/>
      <c r="W308" s="403"/>
      <c r="X308" s="403"/>
      <c r="Y308" s="403"/>
      <c r="Z308" s="367"/>
      <c r="AA308" s="304"/>
      <c r="AB308" s="304" t="s">
        <v>720</v>
      </c>
      <c r="AC308" s="304" t="str">
        <f>IF(OR(J305&gt;100%, J305=0), "Year End Profit %", (I311+I312+I313))</f>
        <v>Year End Profit %</v>
      </c>
      <c r="AD308" s="383"/>
      <c r="AE308" s="304"/>
      <c r="AF308" s="304"/>
      <c r="AG308" s="304"/>
      <c r="AH308" s="304"/>
      <c r="AI308" s="304"/>
      <c r="AJ308" s="304"/>
      <c r="AK308" s="304"/>
      <c r="AL308" s="304"/>
      <c r="AM308" s="304"/>
      <c r="AN308" s="304"/>
      <c r="AO308" s="304"/>
      <c r="AP308" s="304"/>
      <c r="AQ308" s="304"/>
      <c r="AR308" s="304"/>
      <c r="AS308" s="304"/>
    </row>
    <row r="309" spans="2:45">
      <c r="B309" s="1274" t="s">
        <v>721</v>
      </c>
      <c r="C309" s="1275"/>
      <c r="D309" s="1275"/>
      <c r="E309" s="1275"/>
      <c r="F309" s="1276"/>
      <c r="G309" s="346"/>
      <c r="H309" s="384">
        <f>G309</f>
        <v>0</v>
      </c>
      <c r="I309" s="364"/>
      <c r="J309" s="385">
        <f>I309</f>
        <v>0</v>
      </c>
      <c r="L309" s="403"/>
      <c r="M309" s="403"/>
      <c r="N309" s="403"/>
      <c r="O309" s="403"/>
      <c r="P309" s="403"/>
      <c r="Q309" s="403"/>
      <c r="R309" s="403"/>
      <c r="S309" s="403"/>
      <c r="T309" s="403"/>
      <c r="U309" s="403"/>
      <c r="V309" s="403"/>
      <c r="W309" s="403"/>
      <c r="X309" s="403"/>
      <c r="Y309" s="403"/>
      <c r="Z309" s="367"/>
      <c r="AA309" s="304"/>
      <c r="AB309" s="304"/>
      <c r="AC309" s="304"/>
      <c r="AD309" s="304"/>
      <c r="AE309" s="304"/>
      <c r="AF309" s="304"/>
      <c r="AG309" s="304"/>
      <c r="AH309" s="304"/>
      <c r="AI309" s="304"/>
      <c r="AJ309" s="304"/>
      <c r="AK309" s="304"/>
      <c r="AL309" s="304"/>
      <c r="AM309" s="304"/>
      <c r="AN309" s="304"/>
      <c r="AO309" s="304"/>
      <c r="AP309" s="304"/>
      <c r="AQ309" s="304"/>
      <c r="AR309" s="304"/>
      <c r="AS309" s="304"/>
    </row>
    <row r="310" spans="2:45">
      <c r="B310" s="1246" t="s">
        <v>722</v>
      </c>
      <c r="C310" s="1247"/>
      <c r="D310" s="1247"/>
      <c r="E310" s="1247"/>
      <c r="F310" s="1247"/>
      <c r="G310" s="377"/>
      <c r="H310" s="381"/>
      <c r="I310" s="386"/>
      <c r="J310" s="382"/>
      <c r="L310" s="403"/>
      <c r="M310" s="403"/>
      <c r="N310" s="403"/>
      <c r="O310" s="403"/>
      <c r="P310" s="403"/>
      <c r="Q310" s="403"/>
      <c r="R310" s="403"/>
      <c r="S310" s="403"/>
      <c r="T310" s="403"/>
      <c r="U310" s="403"/>
      <c r="V310" s="403"/>
      <c r="W310" s="403"/>
      <c r="X310" s="403"/>
      <c r="Y310" s="403"/>
      <c r="Z310" s="367"/>
      <c r="AA310" s="304"/>
      <c r="AB310" s="304"/>
      <c r="AC310" s="304"/>
      <c r="AD310" s="304"/>
      <c r="AE310" s="304"/>
      <c r="AF310" s="304"/>
      <c r="AG310" s="304"/>
      <c r="AH310" s="304"/>
      <c r="AI310" s="304"/>
      <c r="AJ310" s="304"/>
      <c r="AK310" s="304"/>
      <c r="AL310" s="304"/>
      <c r="AM310" s="304"/>
      <c r="AN310" s="304"/>
      <c r="AO310" s="304"/>
      <c r="AP310" s="304"/>
      <c r="AQ310" s="304"/>
      <c r="AR310" s="304"/>
      <c r="AS310" s="304"/>
    </row>
    <row r="311" spans="2:45">
      <c r="B311" s="1248" t="s">
        <v>723</v>
      </c>
      <c r="C311" s="1249"/>
      <c r="D311" s="1249"/>
      <c r="E311" s="1249"/>
      <c r="F311" s="1250"/>
      <c r="G311" s="346"/>
      <c r="H311" s="387" t="str">
        <f>AC307</f>
        <v>Year End Profit %</v>
      </c>
      <c r="I311" s="346"/>
      <c r="J311" s="388" t="str">
        <f>AC308</f>
        <v>Year End Profit %</v>
      </c>
      <c r="L311" s="403"/>
      <c r="M311" s="403"/>
      <c r="N311" s="403"/>
      <c r="O311" s="403"/>
      <c r="P311" s="403"/>
      <c r="Q311" s="403"/>
      <c r="R311" s="403"/>
      <c r="S311" s="403"/>
      <c r="T311" s="403"/>
      <c r="U311" s="403"/>
      <c r="V311" s="403"/>
      <c r="W311" s="403"/>
      <c r="X311" s="403"/>
      <c r="Y311" s="403"/>
      <c r="Z311" s="367"/>
      <c r="AA311" s="304"/>
      <c r="AB311" s="304"/>
      <c r="AC311" s="304"/>
      <c r="AD311" s="304"/>
      <c r="AE311" s="304"/>
      <c r="AF311" s="304"/>
      <c r="AG311" s="304"/>
      <c r="AH311" s="304"/>
      <c r="AI311" s="304"/>
      <c r="AJ311" s="304"/>
      <c r="AK311" s="304"/>
      <c r="AL311" s="304"/>
      <c r="AM311" s="304"/>
      <c r="AN311" s="304"/>
      <c r="AO311" s="304"/>
      <c r="AP311" s="304"/>
      <c r="AQ311" s="304"/>
      <c r="AR311" s="304"/>
      <c r="AS311" s="304"/>
    </row>
    <row r="312" spans="2:45">
      <c r="B312" s="1251" t="s">
        <v>724</v>
      </c>
      <c r="C312" s="1252"/>
      <c r="D312" s="1252"/>
      <c r="E312" s="1252"/>
      <c r="F312" s="1253"/>
      <c r="G312" s="346"/>
      <c r="H312" s="389"/>
      <c r="I312" s="346"/>
      <c r="J312" s="390"/>
      <c r="L312" s="403"/>
      <c r="M312" s="403"/>
      <c r="N312" s="403"/>
      <c r="O312" s="403"/>
      <c r="P312" s="403"/>
      <c r="Q312" s="403"/>
      <c r="R312" s="403"/>
      <c r="S312" s="403"/>
      <c r="T312" s="403"/>
      <c r="U312" s="403"/>
      <c r="V312" s="403"/>
      <c r="W312" s="403"/>
      <c r="X312" s="403"/>
      <c r="Y312" s="403"/>
      <c r="Z312" s="367"/>
      <c r="AA312" s="304"/>
      <c r="AB312" s="304"/>
      <c r="AC312" s="304"/>
      <c r="AD312" s="304"/>
      <c r="AE312" s="304"/>
      <c r="AF312" s="304"/>
      <c r="AG312" s="304"/>
      <c r="AH312" s="304"/>
      <c r="AI312" s="304"/>
      <c r="AJ312" s="304"/>
      <c r="AK312" s="304"/>
      <c r="AL312" s="304"/>
      <c r="AM312" s="304"/>
      <c r="AN312" s="304"/>
      <c r="AO312" s="304"/>
      <c r="AP312" s="304"/>
      <c r="AQ312" s="304"/>
      <c r="AR312" s="304"/>
      <c r="AS312" s="304"/>
    </row>
    <row r="313" spans="2:45">
      <c r="B313" s="1254" t="s">
        <v>725</v>
      </c>
      <c r="C313" s="1255"/>
      <c r="D313" s="1255"/>
      <c r="E313" s="1255"/>
      <c r="F313" s="1256"/>
      <c r="G313" s="346"/>
      <c r="H313" s="389"/>
      <c r="I313" s="346"/>
      <c r="J313" s="390"/>
      <c r="L313" s="403"/>
      <c r="M313" s="403"/>
      <c r="N313" s="403"/>
      <c r="O313" s="403"/>
      <c r="P313" s="403"/>
      <c r="Q313" s="403"/>
      <c r="R313" s="403"/>
      <c r="S313" s="403"/>
      <c r="T313" s="403"/>
      <c r="U313" s="403"/>
      <c r="V313" s="403"/>
      <c r="W313" s="403"/>
      <c r="X313" s="403"/>
      <c r="Y313" s="403"/>
      <c r="Z313" s="367"/>
      <c r="AA313" s="304"/>
      <c r="AB313" s="304"/>
      <c r="AC313" s="304"/>
      <c r="AD313" s="304"/>
      <c r="AE313" s="304"/>
      <c r="AF313" s="304"/>
      <c r="AG313" s="304"/>
      <c r="AH313" s="304"/>
      <c r="AI313" s="304"/>
      <c r="AJ313" s="304"/>
      <c r="AK313" s="304"/>
      <c r="AL313" s="304"/>
      <c r="AM313" s="304"/>
      <c r="AN313" s="304"/>
      <c r="AO313" s="304"/>
      <c r="AP313" s="304"/>
      <c r="AQ313" s="304"/>
      <c r="AR313" s="304"/>
      <c r="AS313" s="304"/>
    </row>
    <row r="314" spans="2:45">
      <c r="B314" s="1257" t="s">
        <v>726</v>
      </c>
      <c r="C314" s="1258"/>
      <c r="D314" s="1258"/>
      <c r="E314" s="1258"/>
      <c r="F314" s="1258"/>
      <c r="G314" s="391"/>
      <c r="H314" s="392"/>
      <c r="I314" s="391"/>
      <c r="J314" s="393"/>
      <c r="L314" s="403"/>
      <c r="M314" s="403"/>
      <c r="N314" s="403"/>
      <c r="O314" s="403"/>
      <c r="P314" s="403"/>
      <c r="Q314" s="403"/>
      <c r="R314" s="403"/>
      <c r="S314" s="403"/>
      <c r="T314" s="403"/>
      <c r="U314" s="403"/>
      <c r="V314" s="403"/>
      <c r="W314" s="403"/>
      <c r="X314" s="403"/>
      <c r="Y314" s="403"/>
      <c r="Z314" s="367"/>
      <c r="AA314" s="304"/>
      <c r="AB314" s="304"/>
      <c r="AC314" s="304"/>
      <c r="AD314" s="304"/>
      <c r="AE314" s="304"/>
      <c r="AF314" s="304"/>
      <c r="AG314" s="304"/>
      <c r="AH314" s="304"/>
      <c r="AI314" s="304"/>
      <c r="AJ314" s="304"/>
      <c r="AK314" s="304"/>
      <c r="AL314" s="304"/>
      <c r="AM314" s="304"/>
      <c r="AN314" s="304"/>
      <c r="AO314" s="304"/>
      <c r="AP314" s="304"/>
      <c r="AQ314" s="304"/>
      <c r="AR314" s="304"/>
      <c r="AS314" s="304"/>
    </row>
    <row r="315" spans="2:45">
      <c r="B315" s="1259" t="s">
        <v>727</v>
      </c>
      <c r="C315" s="1260"/>
      <c r="D315" s="1260"/>
      <c r="E315" s="1260"/>
      <c r="F315" s="1261"/>
      <c r="G315" s="394"/>
      <c r="H315" s="395">
        <f>(G315*H305)*-1</f>
        <v>0</v>
      </c>
      <c r="I315" s="394"/>
      <c r="J315" s="396">
        <f>(I315*J305)*-1</f>
        <v>0</v>
      </c>
      <c r="L315" s="403"/>
      <c r="M315" s="403"/>
      <c r="N315" s="403"/>
      <c r="O315" s="403"/>
      <c r="P315" s="403"/>
      <c r="Q315" s="403"/>
      <c r="R315" s="403"/>
      <c r="S315" s="403"/>
      <c r="T315" s="403"/>
      <c r="U315" s="403"/>
      <c r="V315" s="403"/>
      <c r="W315" s="403"/>
      <c r="X315" s="403"/>
      <c r="Y315" s="403"/>
      <c r="Z315" s="367"/>
      <c r="AA315" s="304"/>
      <c r="AB315" s="304"/>
      <c r="AC315" s="304"/>
      <c r="AD315" s="304"/>
      <c r="AE315" s="304"/>
      <c r="AF315" s="304"/>
      <c r="AG315" s="304"/>
      <c r="AH315" s="304"/>
      <c r="AI315" s="304"/>
      <c r="AJ315" s="304"/>
      <c r="AK315" s="304"/>
      <c r="AL315" s="304"/>
      <c r="AM315" s="304"/>
      <c r="AN315" s="304"/>
      <c r="AO315" s="304"/>
      <c r="AP315" s="304"/>
      <c r="AQ315" s="304"/>
      <c r="AR315" s="304"/>
      <c r="AS315" s="304"/>
    </row>
    <row r="316" spans="2:45">
      <c r="B316" s="1237" t="s">
        <v>728</v>
      </c>
      <c r="C316" s="1238"/>
      <c r="D316" s="1238"/>
      <c r="E316" s="1238"/>
      <c r="F316" s="1239"/>
      <c r="G316" s="394"/>
      <c r="H316" s="395">
        <f>(G316*H305)*-1</f>
        <v>0</v>
      </c>
      <c r="I316" s="394"/>
      <c r="J316" s="396">
        <f>(I316*J305)*-1</f>
        <v>0</v>
      </c>
      <c r="L316" s="403"/>
      <c r="M316" s="403"/>
      <c r="N316" s="403"/>
      <c r="O316" s="403"/>
      <c r="P316" s="403"/>
      <c r="Q316" s="403"/>
      <c r="R316" s="403"/>
      <c r="S316" s="403"/>
      <c r="T316" s="403"/>
      <c r="U316" s="403"/>
      <c r="V316" s="403"/>
      <c r="W316" s="403"/>
      <c r="X316" s="403"/>
      <c r="Y316" s="403"/>
      <c r="Z316" s="367"/>
      <c r="AA316" s="304"/>
      <c r="AB316" s="304"/>
      <c r="AC316" s="304"/>
      <c r="AD316" s="304"/>
      <c r="AE316" s="304"/>
      <c r="AF316" s="304"/>
      <c r="AG316" s="304"/>
      <c r="AH316" s="304"/>
      <c r="AI316" s="304"/>
      <c r="AJ316" s="304"/>
      <c r="AK316" s="304"/>
      <c r="AL316" s="304"/>
      <c r="AM316" s="304"/>
      <c r="AN316" s="304"/>
      <c r="AO316" s="304"/>
      <c r="AP316" s="304"/>
      <c r="AQ316" s="304"/>
      <c r="AR316" s="304"/>
      <c r="AS316" s="304"/>
    </row>
    <row r="317" spans="2:45">
      <c r="B317" s="1237" t="s">
        <v>729</v>
      </c>
      <c r="C317" s="1238"/>
      <c r="D317" s="1238"/>
      <c r="E317" s="1238"/>
      <c r="F317" s="1239"/>
      <c r="G317" s="394"/>
      <c r="H317" s="395">
        <f>(G317*H305)*-1</f>
        <v>0</v>
      </c>
      <c r="I317" s="394"/>
      <c r="J317" s="396">
        <f>(I317*J305)*-1</f>
        <v>0</v>
      </c>
      <c r="L317" s="403"/>
      <c r="M317" s="403"/>
      <c r="N317" s="403"/>
      <c r="O317" s="403"/>
      <c r="P317" s="403"/>
      <c r="Q317" s="403"/>
      <c r="R317" s="403"/>
      <c r="S317" s="403"/>
      <c r="T317" s="403"/>
      <c r="U317" s="403"/>
      <c r="V317" s="403"/>
      <c r="W317" s="403"/>
      <c r="X317" s="403"/>
      <c r="Y317" s="403"/>
      <c r="Z317" s="367"/>
      <c r="AA317" s="304"/>
      <c r="AB317" s="304"/>
      <c r="AC317" s="304"/>
      <c r="AD317" s="304"/>
      <c r="AE317" s="304"/>
      <c r="AF317" s="304"/>
      <c r="AG317" s="304"/>
      <c r="AH317" s="304"/>
      <c r="AI317" s="304"/>
      <c r="AJ317" s="304"/>
      <c r="AK317" s="304"/>
      <c r="AL317" s="304"/>
      <c r="AM317" s="304"/>
      <c r="AN317" s="304"/>
      <c r="AO317" s="304"/>
      <c r="AP317" s="304"/>
      <c r="AQ317" s="304"/>
      <c r="AR317" s="304"/>
      <c r="AS317" s="304"/>
    </row>
    <row r="318" spans="2:45">
      <c r="B318" s="1240" t="s">
        <v>730</v>
      </c>
      <c r="C318" s="1241"/>
      <c r="D318" s="1241"/>
      <c r="E318" s="1241"/>
      <c r="F318" s="1242"/>
      <c r="G318" s="394"/>
      <c r="H318" s="395">
        <f>(G318*H305)*-1</f>
        <v>0</v>
      </c>
      <c r="I318" s="394"/>
      <c r="J318" s="396">
        <f>(I318*J305)*-1</f>
        <v>0</v>
      </c>
      <c r="L318" s="403"/>
      <c r="M318" s="403"/>
      <c r="N318" s="403"/>
      <c r="O318" s="403"/>
      <c r="P318" s="403"/>
      <c r="Q318" s="403"/>
      <c r="R318" s="403"/>
      <c r="S318" s="403"/>
      <c r="T318" s="403"/>
      <c r="U318" s="403"/>
      <c r="V318" s="403"/>
      <c r="W318" s="403"/>
      <c r="X318" s="403"/>
      <c r="Y318" s="403"/>
      <c r="Z318" s="367"/>
      <c r="AA318" s="304"/>
      <c r="AB318" s="304"/>
      <c r="AC318" s="304"/>
      <c r="AD318" s="304"/>
      <c r="AE318" s="304"/>
      <c r="AF318" s="304"/>
      <c r="AG318" s="304"/>
      <c r="AH318" s="304"/>
      <c r="AI318" s="304"/>
      <c r="AJ318" s="304"/>
      <c r="AK318" s="304"/>
      <c r="AL318" s="304"/>
      <c r="AM318" s="304"/>
      <c r="AN318" s="304"/>
      <c r="AO318" s="304"/>
      <c r="AP318" s="304"/>
      <c r="AQ318" s="304"/>
      <c r="AR318" s="304"/>
      <c r="AS318" s="304"/>
    </row>
    <row r="319" spans="2:45">
      <c r="B319" s="1229" t="s">
        <v>731</v>
      </c>
      <c r="C319" s="1230"/>
      <c r="D319" s="1230"/>
      <c r="E319" s="1230"/>
      <c r="F319" s="1230"/>
      <c r="G319" s="350"/>
      <c r="H319" s="351"/>
      <c r="I319" s="350"/>
      <c r="J319" s="352"/>
      <c r="L319" s="403"/>
      <c r="M319" s="403"/>
      <c r="N319" s="403"/>
      <c r="O319" s="403"/>
      <c r="P319" s="403"/>
      <c r="Q319" s="403"/>
      <c r="R319" s="403"/>
      <c r="S319" s="403"/>
      <c r="T319" s="403"/>
      <c r="U319" s="403"/>
      <c r="V319" s="403"/>
      <c r="W319" s="403"/>
      <c r="X319" s="403"/>
      <c r="Y319" s="403"/>
      <c r="Z319" s="367"/>
      <c r="AA319" s="304"/>
      <c r="AB319" s="304"/>
      <c r="AC319" s="304"/>
      <c r="AD319" s="304"/>
      <c r="AE319" s="304"/>
      <c r="AF319" s="304"/>
      <c r="AG319" s="304"/>
      <c r="AH319" s="304"/>
      <c r="AI319" s="304"/>
      <c r="AJ319" s="304"/>
      <c r="AK319" s="304"/>
      <c r="AL319" s="304"/>
      <c r="AM319" s="304"/>
      <c r="AN319" s="304"/>
      <c r="AO319" s="304"/>
      <c r="AP319" s="304"/>
      <c r="AQ319" s="304"/>
      <c r="AR319" s="304"/>
      <c r="AS319" s="304"/>
    </row>
    <row r="320" spans="2:45">
      <c r="B320" s="1243" t="s">
        <v>732</v>
      </c>
      <c r="C320" s="1244"/>
      <c r="D320" s="1244"/>
      <c r="E320" s="1244"/>
      <c r="F320" s="1245"/>
      <c r="G320" s="346"/>
      <c r="H320" s="384">
        <f>G320*H305</f>
        <v>0</v>
      </c>
      <c r="I320" s="346"/>
      <c r="J320" s="385">
        <f>I320*J305</f>
        <v>0</v>
      </c>
      <c r="L320" s="403"/>
      <c r="M320" s="403"/>
      <c r="N320" s="403"/>
      <c r="O320" s="403"/>
      <c r="P320" s="403"/>
      <c r="Q320" s="403"/>
      <c r="R320" s="403"/>
      <c r="S320" s="403"/>
      <c r="T320" s="403"/>
      <c r="U320" s="403"/>
      <c r="V320" s="403"/>
      <c r="W320" s="403"/>
      <c r="X320" s="403"/>
      <c r="Y320" s="403"/>
      <c r="Z320" s="367"/>
      <c r="AA320" s="304"/>
      <c r="AB320" s="304"/>
      <c r="AC320" s="304"/>
      <c r="AD320" s="304"/>
      <c r="AE320" s="304"/>
      <c r="AF320" s="304"/>
      <c r="AG320" s="304"/>
      <c r="AH320" s="304"/>
      <c r="AI320" s="304"/>
      <c r="AJ320" s="304"/>
      <c r="AK320" s="304"/>
      <c r="AL320" s="304"/>
      <c r="AM320" s="304"/>
      <c r="AN320" s="304"/>
      <c r="AO320" s="304"/>
      <c r="AP320" s="304"/>
      <c r="AQ320" s="304"/>
      <c r="AR320" s="304"/>
      <c r="AS320" s="304"/>
    </row>
    <row r="321" spans="1:45">
      <c r="B321" s="1223" t="s">
        <v>733</v>
      </c>
      <c r="C321" s="1224"/>
      <c r="D321" s="1224"/>
      <c r="E321" s="1224"/>
      <c r="F321" s="1225"/>
      <c r="G321" s="346"/>
      <c r="H321" s="384">
        <f>G321*H305</f>
        <v>0</v>
      </c>
      <c r="I321" s="346"/>
      <c r="J321" s="385">
        <f>I321*J305</f>
        <v>0</v>
      </c>
      <c r="L321" s="403"/>
      <c r="M321" s="403"/>
      <c r="N321" s="403"/>
      <c r="O321" s="403"/>
      <c r="P321" s="403"/>
      <c r="Q321" s="403"/>
      <c r="R321" s="403"/>
      <c r="S321" s="403"/>
      <c r="T321" s="403"/>
      <c r="U321" s="403"/>
      <c r="V321" s="403"/>
      <c r="W321" s="403"/>
      <c r="X321" s="403"/>
      <c r="Y321" s="403"/>
      <c r="Z321" s="367"/>
      <c r="AA321" s="304"/>
      <c r="AB321" s="304"/>
      <c r="AC321" s="304"/>
      <c r="AD321" s="304"/>
      <c r="AE321" s="304"/>
      <c r="AF321" s="304"/>
      <c r="AG321" s="304"/>
      <c r="AH321" s="304"/>
      <c r="AI321" s="304"/>
      <c r="AJ321" s="304"/>
      <c r="AK321" s="304"/>
      <c r="AL321" s="304"/>
      <c r="AM321" s="304"/>
      <c r="AN321" s="304"/>
      <c r="AO321" s="304"/>
      <c r="AP321" s="304"/>
      <c r="AQ321" s="304"/>
      <c r="AR321" s="304"/>
      <c r="AS321" s="304"/>
    </row>
    <row r="322" spans="1:45">
      <c r="B322" s="1223" t="s">
        <v>734</v>
      </c>
      <c r="C322" s="1224"/>
      <c r="D322" s="1224"/>
      <c r="E322" s="1224"/>
      <c r="F322" s="1225"/>
      <c r="G322" s="346"/>
      <c r="H322" s="384">
        <f>G322*H305</f>
        <v>0</v>
      </c>
      <c r="I322" s="346"/>
      <c r="J322" s="385">
        <f>I322*J305</f>
        <v>0</v>
      </c>
      <c r="L322" s="403"/>
      <c r="M322" s="403"/>
      <c r="N322" s="403"/>
      <c r="O322" s="403"/>
      <c r="P322" s="403"/>
      <c r="Q322" s="403"/>
      <c r="R322" s="403"/>
      <c r="S322" s="403"/>
      <c r="T322" s="403"/>
      <c r="U322" s="403"/>
      <c r="V322" s="403"/>
      <c r="W322" s="403"/>
      <c r="X322" s="403"/>
      <c r="Y322" s="403"/>
      <c r="Z322" s="367"/>
      <c r="AA322" s="304"/>
      <c r="AB322" s="304"/>
      <c r="AC322" s="304"/>
      <c r="AD322" s="304"/>
      <c r="AE322" s="304"/>
      <c r="AF322" s="304"/>
      <c r="AG322" s="304"/>
      <c r="AH322" s="304"/>
      <c r="AI322" s="304"/>
      <c r="AJ322" s="304"/>
      <c r="AK322" s="304"/>
      <c r="AL322" s="304"/>
      <c r="AM322" s="304"/>
      <c r="AN322" s="304"/>
      <c r="AO322" s="304"/>
      <c r="AP322" s="304"/>
      <c r="AQ322" s="304"/>
      <c r="AR322" s="304"/>
      <c r="AS322" s="304"/>
    </row>
    <row r="323" spans="1:45">
      <c r="B323" s="1172" t="s">
        <v>735</v>
      </c>
      <c r="C323" s="1173"/>
      <c r="D323" s="1173"/>
      <c r="E323" s="1173"/>
      <c r="F323" s="1173"/>
      <c r="G323" s="351"/>
      <c r="H323" s="397"/>
      <c r="I323" s="351"/>
      <c r="J323" s="398"/>
      <c r="L323" s="403"/>
      <c r="M323" s="403"/>
      <c r="N323" s="403"/>
      <c r="O323" s="403"/>
      <c r="P323" s="403"/>
      <c r="Q323" s="403"/>
      <c r="R323" s="403"/>
      <c r="S323" s="403"/>
      <c r="T323" s="403"/>
      <c r="U323" s="403"/>
      <c r="V323" s="403"/>
      <c r="W323" s="403"/>
      <c r="X323" s="403"/>
      <c r="Y323" s="403"/>
      <c r="Z323" s="367"/>
      <c r="AA323" s="304"/>
      <c r="AB323" s="304"/>
      <c r="AC323" s="304"/>
      <c r="AD323" s="304"/>
      <c r="AE323" s="304"/>
      <c r="AF323" s="304"/>
      <c r="AG323" s="304"/>
      <c r="AH323" s="304"/>
      <c r="AI323" s="304"/>
      <c r="AJ323" s="304"/>
      <c r="AK323" s="304"/>
      <c r="AL323" s="304"/>
      <c r="AM323" s="304"/>
      <c r="AN323" s="304"/>
      <c r="AO323" s="304"/>
      <c r="AP323" s="304"/>
      <c r="AQ323" s="304"/>
      <c r="AR323" s="304"/>
      <c r="AS323" s="304"/>
    </row>
    <row r="324" spans="1:45">
      <c r="B324" s="1226" t="s">
        <v>736</v>
      </c>
      <c r="C324" s="1227"/>
      <c r="D324" s="1227"/>
      <c r="E324" s="1227"/>
      <c r="F324" s="1228"/>
      <c r="G324" s="346"/>
      <c r="H324" s="384">
        <f>G324*H305</f>
        <v>0</v>
      </c>
      <c r="I324" s="346"/>
      <c r="J324" s="385">
        <f>I324*J305</f>
        <v>0</v>
      </c>
      <c r="L324" s="403"/>
      <c r="M324" s="403"/>
      <c r="N324" s="403"/>
      <c r="O324" s="403"/>
      <c r="P324" s="403"/>
      <c r="Q324" s="403"/>
      <c r="R324" s="403"/>
      <c r="S324" s="403"/>
      <c r="T324" s="403"/>
      <c r="U324" s="403"/>
      <c r="V324" s="403"/>
      <c r="W324" s="403"/>
      <c r="X324" s="403"/>
      <c r="Y324" s="403"/>
      <c r="Z324" s="367"/>
      <c r="AA324" s="304"/>
      <c r="AB324" s="304"/>
      <c r="AC324" s="304"/>
      <c r="AD324" s="304"/>
      <c r="AE324" s="304"/>
      <c r="AF324" s="304"/>
      <c r="AG324" s="304"/>
      <c r="AH324" s="304"/>
      <c r="AI324" s="304"/>
      <c r="AJ324" s="304"/>
      <c r="AK324" s="304"/>
      <c r="AL324" s="304"/>
      <c r="AM324" s="304"/>
      <c r="AN324" s="304"/>
      <c r="AO324" s="304"/>
      <c r="AP324" s="304"/>
      <c r="AQ324" s="304"/>
      <c r="AR324" s="304"/>
      <c r="AS324" s="304"/>
    </row>
    <row r="325" spans="1:45">
      <c r="B325" s="1229" t="s">
        <v>737</v>
      </c>
      <c r="C325" s="1230"/>
      <c r="D325" s="1230"/>
      <c r="E325" s="1230"/>
      <c r="F325" s="1230"/>
      <c r="G325" s="350"/>
      <c r="H325" s="351"/>
      <c r="I325" s="350"/>
      <c r="J325" s="352"/>
      <c r="L325" s="403"/>
      <c r="M325" s="403"/>
      <c r="N325" s="403"/>
      <c r="O325" s="403"/>
      <c r="P325" s="403"/>
      <c r="Q325" s="403"/>
      <c r="R325" s="403"/>
      <c r="S325" s="403"/>
      <c r="T325" s="403"/>
      <c r="U325" s="403"/>
      <c r="V325" s="403"/>
      <c r="W325" s="403"/>
      <c r="X325" s="403"/>
      <c r="Y325" s="403"/>
      <c r="Z325" s="367"/>
      <c r="AA325" s="304"/>
      <c r="AB325" s="304"/>
      <c r="AC325" s="304"/>
      <c r="AD325" s="304"/>
      <c r="AE325" s="304"/>
      <c r="AF325" s="304"/>
      <c r="AG325" s="304"/>
      <c r="AH325" s="304"/>
      <c r="AI325" s="304"/>
      <c r="AJ325" s="304"/>
      <c r="AK325" s="304"/>
      <c r="AL325" s="304"/>
      <c r="AM325" s="304"/>
      <c r="AN325" s="304"/>
      <c r="AO325" s="304"/>
      <c r="AP325" s="304"/>
      <c r="AQ325" s="304"/>
      <c r="AR325" s="304"/>
      <c r="AS325" s="304"/>
    </row>
    <row r="326" spans="1:45" ht="29.1" customHeight="1">
      <c r="B326" s="1231" t="s">
        <v>738</v>
      </c>
      <c r="C326" s="1232"/>
      <c r="D326" s="1232"/>
      <c r="E326" s="1232"/>
      <c r="F326" s="1233"/>
      <c r="G326" s="399"/>
      <c r="H326" s="359">
        <f>H305*G326*-1</f>
        <v>0</v>
      </c>
      <c r="I326" s="399"/>
      <c r="J326" s="400">
        <f>(J305*I326)*-1</f>
        <v>0</v>
      </c>
      <c r="L326" s="403"/>
      <c r="M326" s="403"/>
      <c r="N326" s="403"/>
      <c r="O326" s="403"/>
      <c r="P326" s="403"/>
      <c r="Q326" s="403"/>
      <c r="R326" s="403"/>
      <c r="S326" s="403"/>
      <c r="T326" s="403"/>
      <c r="U326" s="403"/>
      <c r="V326" s="403"/>
      <c r="W326" s="403"/>
      <c r="X326" s="403"/>
      <c r="Y326" s="403"/>
      <c r="Z326" s="367"/>
      <c r="AA326" s="304"/>
      <c r="AB326" s="304"/>
      <c r="AC326" s="304"/>
      <c r="AD326" s="304"/>
      <c r="AE326" s="304"/>
      <c r="AF326" s="304"/>
      <c r="AG326" s="304"/>
      <c r="AH326" s="304"/>
      <c r="AI326" s="304"/>
      <c r="AJ326" s="304"/>
      <c r="AK326" s="304"/>
      <c r="AL326" s="304"/>
      <c r="AM326" s="304"/>
      <c r="AN326" s="304"/>
      <c r="AO326" s="304"/>
      <c r="AP326" s="304"/>
      <c r="AQ326" s="304"/>
      <c r="AR326" s="304"/>
      <c r="AS326" s="304"/>
    </row>
    <row r="327" spans="1:45" ht="29.1" customHeight="1">
      <c r="B327" s="1234" t="s">
        <v>739</v>
      </c>
      <c r="C327" s="1235"/>
      <c r="D327" s="1235"/>
      <c r="E327" s="1235"/>
      <c r="F327" s="1236"/>
      <c r="G327" s="346"/>
      <c r="H327" s="401">
        <f>(H305*G327)*-1</f>
        <v>0</v>
      </c>
      <c r="I327" s="346"/>
      <c r="J327" s="402">
        <f>(J305*I327)*-1</f>
        <v>0</v>
      </c>
      <c r="L327" s="403"/>
      <c r="M327" s="403"/>
      <c r="N327" s="403"/>
      <c r="O327" s="403"/>
      <c r="P327" s="403"/>
      <c r="Q327" s="403"/>
      <c r="R327" s="403"/>
      <c r="S327" s="403"/>
      <c r="T327" s="403"/>
      <c r="U327" s="403"/>
      <c r="V327" s="403"/>
      <c r="W327" s="403"/>
      <c r="X327" s="403"/>
      <c r="Y327" s="403"/>
      <c r="Z327" s="367"/>
      <c r="AA327" s="304"/>
      <c r="AB327" s="304"/>
      <c r="AC327" s="304"/>
      <c r="AD327" s="304"/>
      <c r="AE327" s="304"/>
      <c r="AF327" s="304"/>
      <c r="AG327" s="304"/>
      <c r="AH327" s="304"/>
      <c r="AI327" s="304"/>
      <c r="AJ327" s="304"/>
      <c r="AK327" s="304"/>
      <c r="AL327" s="304"/>
      <c r="AM327" s="304"/>
      <c r="AN327" s="304"/>
      <c r="AO327" s="304"/>
      <c r="AP327" s="304"/>
      <c r="AQ327" s="304"/>
      <c r="AR327" s="304"/>
      <c r="AS327" s="304"/>
    </row>
    <row r="328" spans="1:45">
      <c r="B328" s="1211" t="s">
        <v>740</v>
      </c>
      <c r="C328" s="1212"/>
      <c r="D328" s="1212"/>
      <c r="E328" s="1212"/>
      <c r="F328" s="1213"/>
      <c r="G328" s="1214">
        <f>SUM(H309:H327)</f>
        <v>0</v>
      </c>
      <c r="H328" s="1215"/>
      <c r="I328" s="1214">
        <f>SUM(J311:J327)+J309</f>
        <v>0</v>
      </c>
      <c r="J328" s="1216"/>
      <c r="L328" s="403"/>
      <c r="M328" s="403"/>
      <c r="N328" s="403"/>
      <c r="O328" s="403"/>
      <c r="P328" s="403"/>
      <c r="Q328" s="403"/>
      <c r="R328" s="403"/>
      <c r="S328" s="403"/>
      <c r="T328" s="403"/>
      <c r="U328" s="403"/>
      <c r="V328" s="403"/>
      <c r="W328" s="403"/>
      <c r="X328" s="403"/>
      <c r="Y328" s="403"/>
      <c r="Z328" s="367"/>
      <c r="AA328" s="304"/>
      <c r="AB328" s="304"/>
      <c r="AC328" s="304"/>
      <c r="AD328" s="304"/>
      <c r="AE328" s="304"/>
      <c r="AF328" s="304"/>
      <c r="AG328" s="304"/>
      <c r="AH328" s="304"/>
      <c r="AI328" s="304"/>
      <c r="AJ328" s="304"/>
      <c r="AK328" s="304"/>
      <c r="AL328" s="304"/>
      <c r="AM328" s="304"/>
      <c r="AN328" s="304"/>
      <c r="AO328" s="304"/>
      <c r="AP328" s="304"/>
      <c r="AQ328" s="304"/>
      <c r="AR328" s="304"/>
      <c r="AS328" s="304"/>
    </row>
    <row r="329" spans="1:45" ht="18.75">
      <c r="B329" s="1217" t="s">
        <v>696</v>
      </c>
      <c r="C329" s="1218"/>
      <c r="D329" s="1218"/>
      <c r="E329" s="1218"/>
      <c r="F329" s="1219"/>
      <c r="G329" s="1161" t="str">
        <f>IF(OR(AC302=0, I328=0), "12 Month Average", "24 Month Average")</f>
        <v>12 Month Average</v>
      </c>
      <c r="H329" s="1162"/>
      <c r="I329" s="1162"/>
      <c r="J329" s="1163"/>
      <c r="L329" s="403"/>
      <c r="M329" s="403"/>
      <c r="N329" s="403"/>
      <c r="O329" s="403"/>
      <c r="P329" s="403"/>
      <c r="Q329" s="403"/>
      <c r="R329" s="403"/>
      <c r="S329" s="403"/>
      <c r="T329" s="403"/>
      <c r="U329" s="403"/>
      <c r="V329" s="403"/>
      <c r="W329" s="403"/>
      <c r="X329" s="403"/>
      <c r="Y329" s="403"/>
      <c r="Z329" s="367"/>
      <c r="AA329" s="304"/>
      <c r="AB329" s="304"/>
      <c r="AC329" s="304"/>
      <c r="AD329" s="304"/>
      <c r="AE329" s="304"/>
      <c r="AF329" s="304"/>
      <c r="AG329" s="304"/>
      <c r="AH329" s="304"/>
      <c r="AI329" s="304"/>
      <c r="AJ329" s="304"/>
      <c r="AK329" s="304"/>
      <c r="AL329" s="304"/>
      <c r="AM329" s="304"/>
      <c r="AN329" s="304"/>
      <c r="AO329" s="304"/>
      <c r="AP329" s="304"/>
      <c r="AQ329" s="304"/>
      <c r="AR329" s="304"/>
      <c r="AS329" s="304"/>
    </row>
    <row r="330" spans="1:45" ht="34.5" thickBot="1">
      <c r="B330" s="1220" t="s">
        <v>697</v>
      </c>
      <c r="C330" s="1221"/>
      <c r="D330" s="1221"/>
      <c r="E330" s="1221"/>
      <c r="F330" s="1222"/>
      <c r="G330" s="1167">
        <f>IF(OR(AC302=0, I328=0), AC304, AC305)</f>
        <v>0</v>
      </c>
      <c r="H330" s="1168"/>
      <c r="I330" s="1168"/>
      <c r="J330" s="1169"/>
      <c r="L330" s="403"/>
      <c r="M330" s="403"/>
      <c r="N330" s="403"/>
      <c r="O330" s="403"/>
      <c r="P330" s="403"/>
      <c r="Q330" s="403"/>
      <c r="R330" s="403"/>
      <c r="S330" s="403"/>
      <c r="T330" s="403"/>
      <c r="U330" s="403"/>
      <c r="V330" s="403"/>
      <c r="W330" s="403"/>
      <c r="X330" s="403"/>
      <c r="Y330" s="403"/>
      <c r="Z330" s="367"/>
      <c r="AA330" s="304"/>
      <c r="AB330" s="304"/>
      <c r="AC330" s="304"/>
      <c r="AD330" s="304"/>
    </row>
    <row r="331" spans="1:45" ht="9" customHeight="1" thickBot="1">
      <c r="H331" s="330"/>
      <c r="I331" s="330"/>
      <c r="L331" s="403"/>
      <c r="M331" s="403"/>
      <c r="N331" s="403"/>
      <c r="O331" s="403"/>
      <c r="P331" s="403"/>
      <c r="Q331" s="403"/>
      <c r="R331" s="403"/>
      <c r="S331" s="403"/>
      <c r="T331" s="403"/>
      <c r="U331" s="403"/>
      <c r="V331" s="403"/>
      <c r="W331" s="403"/>
      <c r="X331" s="403"/>
      <c r="Y331" s="403"/>
      <c r="Z331" s="367"/>
      <c r="AA331" s="304"/>
      <c r="AB331" s="304"/>
      <c r="AC331" s="304"/>
      <c r="AD331" s="304"/>
    </row>
    <row r="332" spans="1:45" ht="105" customHeight="1" thickBot="1">
      <c r="B332" s="1208" t="s">
        <v>645</v>
      </c>
      <c r="C332" s="1209"/>
      <c r="D332" s="1209"/>
      <c r="E332" s="1209"/>
      <c r="F332" s="1209"/>
      <c r="G332" s="1209"/>
      <c r="H332" s="1209"/>
      <c r="I332" s="1209"/>
      <c r="J332" s="1210"/>
      <c r="L332" s="367"/>
      <c r="M332" s="367"/>
      <c r="N332" s="367"/>
      <c r="O332" s="367"/>
      <c r="P332" s="367"/>
      <c r="Q332" s="367"/>
      <c r="R332" s="367"/>
      <c r="S332" s="367"/>
      <c r="T332" s="367"/>
      <c r="U332" s="367"/>
      <c r="V332" s="367"/>
      <c r="W332" s="367"/>
      <c r="X332" s="367"/>
      <c r="Y332" s="367"/>
      <c r="Z332" s="367"/>
      <c r="AA332" s="304"/>
      <c r="AB332" s="304"/>
      <c r="AC332" s="304"/>
      <c r="AD332" s="304"/>
    </row>
    <row r="333" spans="1:45">
      <c r="A333" s="304"/>
      <c r="B333" s="304"/>
      <c r="C333" s="304"/>
      <c r="D333" s="304"/>
      <c r="E333" s="304"/>
      <c r="F333" s="304"/>
      <c r="G333" s="304"/>
      <c r="H333" s="304"/>
      <c r="I333" s="304"/>
      <c r="J333" s="304"/>
      <c r="K333" s="304"/>
      <c r="L333" s="367"/>
      <c r="M333" s="367"/>
      <c r="N333" s="367"/>
      <c r="O333" s="367"/>
      <c r="P333" s="367"/>
      <c r="Q333" s="367"/>
      <c r="R333" s="367"/>
      <c r="S333" s="367"/>
      <c r="T333" s="367"/>
      <c r="U333" s="367"/>
      <c r="V333" s="367"/>
      <c r="W333" s="367"/>
      <c r="X333" s="367"/>
      <c r="Y333" s="367"/>
      <c r="Z333" s="367"/>
      <c r="AA333" s="304"/>
      <c r="AB333" s="304"/>
      <c r="AC333" s="304"/>
      <c r="AD333" s="304"/>
    </row>
    <row r="334" spans="1:45" ht="13.5" customHeight="1" thickBot="1">
      <c r="L334" s="304"/>
      <c r="M334" s="304"/>
      <c r="N334" s="304"/>
      <c r="O334" s="304"/>
      <c r="P334" s="304"/>
      <c r="Q334" s="304"/>
      <c r="R334" s="304"/>
      <c r="S334" s="304"/>
      <c r="T334" s="304"/>
      <c r="U334" s="304"/>
    </row>
    <row r="335" spans="1:45" ht="69" customHeight="1">
      <c r="B335" s="1187" t="s">
        <v>708</v>
      </c>
      <c r="C335" s="1188"/>
      <c r="D335" s="1188"/>
      <c r="E335" s="1188"/>
      <c r="F335" s="1188"/>
      <c r="G335" s="1188"/>
      <c r="H335" s="1188"/>
      <c r="I335" s="1188"/>
      <c r="J335" s="331" t="str">
        <f>'[3]Reference Sheet'!$B$2</f>
        <v>Rev. 4.12.2016</v>
      </c>
      <c r="L335" s="403"/>
      <c r="M335" s="403"/>
      <c r="N335" s="403"/>
      <c r="O335" s="403"/>
      <c r="P335" s="403"/>
      <c r="Q335" s="403"/>
      <c r="R335" s="403"/>
      <c r="S335" s="403"/>
      <c r="T335" s="403"/>
      <c r="U335" s="403"/>
      <c r="V335" s="403"/>
      <c r="W335" s="403"/>
      <c r="X335" s="403"/>
      <c r="Y335" s="403"/>
      <c r="Z335" s="367"/>
      <c r="AA335" s="304"/>
      <c r="AB335" s="304"/>
      <c r="AC335" s="304"/>
      <c r="AD335" s="304"/>
      <c r="AE335" s="304"/>
      <c r="AF335" s="304"/>
      <c r="AG335" s="304"/>
      <c r="AH335" s="304"/>
      <c r="AI335" s="304"/>
      <c r="AJ335" s="304"/>
      <c r="AK335" s="304"/>
      <c r="AL335" s="304"/>
      <c r="AM335" s="304"/>
      <c r="AN335" s="304"/>
      <c r="AO335" s="304"/>
      <c r="AP335" s="304"/>
      <c r="AQ335" s="304"/>
      <c r="AR335" s="304"/>
      <c r="AS335" s="304"/>
    </row>
    <row r="336" spans="1:45" ht="3.75" customHeight="1">
      <c r="B336" s="332"/>
      <c r="C336" s="333"/>
      <c r="D336" s="333"/>
      <c r="E336" s="333"/>
      <c r="F336" s="333"/>
      <c r="G336" s="333"/>
      <c r="H336" s="333"/>
      <c r="I336" s="333"/>
      <c r="J336" s="334"/>
      <c r="L336" s="403"/>
      <c r="M336" s="403"/>
      <c r="N336" s="403"/>
      <c r="O336" s="403"/>
      <c r="P336" s="403"/>
      <c r="Q336" s="403"/>
      <c r="R336" s="403"/>
      <c r="S336" s="403"/>
      <c r="T336" s="403"/>
      <c r="U336" s="403"/>
      <c r="V336" s="403"/>
      <c r="W336" s="403"/>
      <c r="X336" s="403"/>
      <c r="Y336" s="403"/>
      <c r="Z336" s="367"/>
      <c r="AA336" s="304"/>
      <c r="AB336" s="304"/>
      <c r="AC336" s="304"/>
      <c r="AD336" s="304"/>
      <c r="AE336" s="304"/>
      <c r="AF336" s="304"/>
      <c r="AG336" s="304"/>
      <c r="AH336" s="304"/>
      <c r="AI336" s="304"/>
      <c r="AJ336" s="304"/>
      <c r="AK336" s="304"/>
      <c r="AL336" s="304"/>
      <c r="AM336" s="304"/>
      <c r="AN336" s="304"/>
      <c r="AO336" s="304"/>
      <c r="AP336" s="304"/>
      <c r="AQ336" s="304"/>
      <c r="AR336" s="304"/>
      <c r="AS336" s="304"/>
    </row>
    <row r="337" spans="2:45" ht="18" customHeight="1" thickBot="1">
      <c r="B337" s="332"/>
      <c r="C337" s="368" t="s">
        <v>710</v>
      </c>
      <c r="D337" s="1189"/>
      <c r="E337" s="1190"/>
      <c r="F337" s="1190"/>
      <c r="G337" s="1190"/>
      <c r="H337" s="333"/>
      <c r="I337" s="333"/>
      <c r="J337" s="334"/>
      <c r="L337" s="403"/>
      <c r="M337" s="403"/>
      <c r="N337" s="403"/>
      <c r="O337" s="403"/>
      <c r="P337" s="403"/>
      <c r="Q337" s="403"/>
      <c r="R337" s="403"/>
      <c r="S337" s="403"/>
      <c r="T337" s="403"/>
      <c r="U337" s="403"/>
      <c r="V337" s="403"/>
      <c r="W337" s="403"/>
      <c r="X337" s="403"/>
      <c r="Y337" s="403"/>
      <c r="Z337" s="367"/>
      <c r="AA337" s="304"/>
      <c r="AB337" s="304" t="s">
        <v>680</v>
      </c>
      <c r="AC337" s="304">
        <f>IF(AND(J342=0, J346=0, J348=0, J357=0, J358=0, J359=0, J361=0, J363=0, J364=0, I365=0), 0, 1)</f>
        <v>1</v>
      </c>
      <c r="AD337" s="304"/>
      <c r="AE337" s="304"/>
      <c r="AF337" s="366" t="s">
        <v>596</v>
      </c>
      <c r="AG337" s="304"/>
      <c r="AH337" s="304"/>
      <c r="AI337" s="304"/>
      <c r="AJ337" s="304"/>
      <c r="AK337" s="304"/>
      <c r="AL337" s="304"/>
      <c r="AM337" s="304"/>
      <c r="AN337" s="304"/>
      <c r="AO337" s="304"/>
      <c r="AP337" s="304"/>
      <c r="AQ337" s="304"/>
      <c r="AR337" s="304"/>
      <c r="AS337" s="304"/>
    </row>
    <row r="338" spans="2:45" ht="18" customHeight="1" thickBot="1">
      <c r="B338" s="332"/>
      <c r="C338" s="368" t="s">
        <v>711</v>
      </c>
      <c r="D338" s="1277"/>
      <c r="E338" s="1278"/>
      <c r="F338" s="1278"/>
      <c r="G338" s="1278"/>
      <c r="H338" s="368" t="s">
        <v>712</v>
      </c>
      <c r="I338" s="1189"/>
      <c r="J338" s="1279"/>
      <c r="L338" s="403"/>
      <c r="M338" s="403"/>
      <c r="N338" s="403"/>
      <c r="O338" s="403"/>
      <c r="P338" s="403"/>
      <c r="Q338" s="403"/>
      <c r="R338" s="403"/>
      <c r="S338" s="403"/>
      <c r="T338" s="403"/>
      <c r="U338" s="403"/>
      <c r="V338" s="403"/>
      <c r="W338" s="403"/>
      <c r="X338" s="403"/>
      <c r="Y338" s="403"/>
      <c r="Z338" s="367"/>
      <c r="AA338" s="304"/>
      <c r="AB338" s="304" t="s">
        <v>682</v>
      </c>
      <c r="AC338" s="304">
        <f>IF(AND(G365&lt;=I365, I365&lt;&gt;0), 0, 1)</f>
        <v>1</v>
      </c>
      <c r="AD338" s="304"/>
      <c r="AE338" s="304"/>
      <c r="AF338" s="366" t="s">
        <v>683</v>
      </c>
      <c r="AG338" s="304"/>
      <c r="AH338" s="304"/>
      <c r="AI338" s="304"/>
      <c r="AJ338" s="304"/>
      <c r="AK338" s="304"/>
      <c r="AL338" s="304"/>
      <c r="AM338" s="304"/>
      <c r="AN338" s="304"/>
      <c r="AO338" s="304"/>
      <c r="AP338" s="304"/>
      <c r="AQ338" s="304"/>
      <c r="AR338" s="304"/>
      <c r="AS338" s="304"/>
    </row>
    <row r="339" spans="2:45" ht="18" customHeight="1" thickBot="1">
      <c r="B339" s="1176" t="s">
        <v>671</v>
      </c>
      <c r="C339" s="1177"/>
      <c r="D339" s="1280"/>
      <c r="E339" s="1281"/>
      <c r="F339" s="1281"/>
      <c r="G339" s="1281"/>
      <c r="H339" s="336" t="s">
        <v>673</v>
      </c>
      <c r="I339" s="369"/>
      <c r="J339" s="370"/>
      <c r="L339" s="403"/>
      <c r="M339" s="403"/>
      <c r="N339" s="403"/>
      <c r="O339" s="403"/>
      <c r="P339" s="403"/>
      <c r="Q339" s="403"/>
      <c r="R339" s="403"/>
      <c r="S339" s="403"/>
      <c r="T339" s="403"/>
      <c r="U339" s="403"/>
      <c r="V339" s="403"/>
      <c r="W339" s="403"/>
      <c r="X339" s="403"/>
      <c r="Y339" s="403"/>
      <c r="Z339" s="367"/>
      <c r="AA339" s="304"/>
      <c r="AB339" s="304" t="s">
        <v>685</v>
      </c>
      <c r="AC339" s="304">
        <f>IF(AND(AC338=0, AC337=1), 0, 1)</f>
        <v>1</v>
      </c>
      <c r="AD339" s="304"/>
      <c r="AE339" s="304"/>
      <c r="AF339" s="366" t="s">
        <v>599</v>
      </c>
      <c r="AG339" s="304"/>
      <c r="AH339" s="304"/>
      <c r="AI339" s="304"/>
      <c r="AJ339" s="304"/>
      <c r="AK339" s="304"/>
      <c r="AL339" s="304"/>
      <c r="AM339" s="304"/>
      <c r="AN339" s="304"/>
      <c r="AO339" s="304"/>
      <c r="AP339" s="304"/>
      <c r="AQ339" s="304"/>
      <c r="AR339" s="304"/>
      <c r="AS339" s="304"/>
    </row>
    <row r="340" spans="2:45" ht="18" customHeight="1" thickBot="1">
      <c r="B340" s="1176" t="s">
        <v>674</v>
      </c>
      <c r="C340" s="1177"/>
      <c r="D340" s="1262"/>
      <c r="E340" s="1263"/>
      <c r="F340" s="1263"/>
      <c r="G340" s="1263"/>
      <c r="H340" s="1263"/>
      <c r="I340" s="1263"/>
      <c r="J340" s="1264"/>
      <c r="L340" s="403"/>
      <c r="M340" s="403"/>
      <c r="N340" s="403"/>
      <c r="O340" s="403"/>
      <c r="P340" s="403"/>
      <c r="Q340" s="403"/>
      <c r="R340" s="403"/>
      <c r="S340" s="403"/>
      <c r="T340" s="403"/>
      <c r="U340" s="403"/>
      <c r="V340" s="403"/>
      <c r="W340" s="403"/>
      <c r="X340" s="403"/>
      <c r="Y340" s="403"/>
      <c r="Z340" s="367"/>
      <c r="AA340" s="304"/>
      <c r="AB340" s="304"/>
      <c r="AC340" s="304"/>
      <c r="AD340" s="304"/>
      <c r="AE340" s="304"/>
      <c r="AF340" s="366" t="s">
        <v>603</v>
      </c>
      <c r="AG340" s="304"/>
      <c r="AH340" s="304"/>
      <c r="AI340" s="304"/>
      <c r="AJ340" s="304"/>
      <c r="AK340" s="304"/>
      <c r="AL340" s="304"/>
      <c r="AM340" s="304"/>
      <c r="AN340" s="304"/>
      <c r="AO340" s="304"/>
      <c r="AP340" s="304"/>
      <c r="AQ340" s="304"/>
      <c r="AR340" s="304"/>
      <c r="AS340" s="304"/>
    </row>
    <row r="341" spans="2:45">
      <c r="B341" s="1265"/>
      <c r="C341" s="1266"/>
      <c r="D341" s="1266"/>
      <c r="E341" s="1266"/>
      <c r="F341" s="1267"/>
      <c r="G341" s="371" t="s">
        <v>713</v>
      </c>
      <c r="H341" s="372" t="s">
        <v>676</v>
      </c>
      <c r="I341" s="342"/>
      <c r="J341" s="373" t="s">
        <v>677</v>
      </c>
      <c r="L341" s="403"/>
      <c r="M341" s="403"/>
      <c r="N341" s="403"/>
      <c r="O341" s="403"/>
      <c r="P341" s="403"/>
      <c r="Q341" s="403"/>
      <c r="R341" s="403"/>
      <c r="S341" s="403"/>
      <c r="T341" s="403"/>
      <c r="U341" s="403"/>
      <c r="V341" s="403"/>
      <c r="W341" s="403"/>
      <c r="X341" s="403"/>
      <c r="Y341" s="403"/>
      <c r="Z341" s="367"/>
      <c r="AA341" s="304"/>
      <c r="AB341" s="304" t="s">
        <v>689</v>
      </c>
      <c r="AC341" s="374">
        <f>G365/12</f>
        <v>0</v>
      </c>
      <c r="AD341" s="304"/>
      <c r="AE341" s="304"/>
      <c r="AF341" s="366" t="s">
        <v>605</v>
      </c>
      <c r="AG341" s="304"/>
      <c r="AH341" s="304"/>
      <c r="AI341" s="304"/>
      <c r="AJ341" s="304"/>
      <c r="AK341" s="304"/>
      <c r="AL341" s="304"/>
      <c r="AM341" s="304"/>
      <c r="AN341" s="304"/>
      <c r="AO341" s="304"/>
      <c r="AP341" s="304"/>
      <c r="AQ341" s="304"/>
      <c r="AR341" s="304"/>
      <c r="AS341" s="304"/>
    </row>
    <row r="342" spans="2:45">
      <c r="B342" s="1268"/>
      <c r="C342" s="1266"/>
      <c r="D342" s="1266"/>
      <c r="E342" s="1266"/>
      <c r="F342" s="1267"/>
      <c r="G342" s="375" t="s">
        <v>714</v>
      </c>
      <c r="H342" s="376"/>
      <c r="I342" s="1272"/>
      <c r="J342" s="378"/>
      <c r="L342" s="403"/>
      <c r="M342" s="403"/>
      <c r="N342" s="403"/>
      <c r="O342" s="403"/>
      <c r="P342" s="403"/>
      <c r="Q342" s="403"/>
      <c r="R342" s="403"/>
      <c r="S342" s="403"/>
      <c r="T342" s="403"/>
      <c r="U342" s="403"/>
      <c r="V342" s="403"/>
      <c r="W342" s="403"/>
      <c r="X342" s="403"/>
      <c r="Y342" s="403"/>
      <c r="Z342" s="367"/>
      <c r="AA342" s="304"/>
      <c r="AB342" s="304" t="s">
        <v>691</v>
      </c>
      <c r="AC342" s="374">
        <f>(G365+I365)/24</f>
        <v>0</v>
      </c>
      <c r="AD342" s="304"/>
      <c r="AE342" s="304"/>
      <c r="AF342" s="304"/>
      <c r="AG342" s="304"/>
      <c r="AH342" s="304"/>
      <c r="AI342" s="304"/>
      <c r="AJ342" s="304"/>
      <c r="AK342" s="304"/>
      <c r="AL342" s="304"/>
      <c r="AM342" s="304"/>
      <c r="AN342" s="304"/>
      <c r="AO342" s="304"/>
      <c r="AP342" s="304"/>
      <c r="AQ342" s="304"/>
      <c r="AR342" s="304"/>
      <c r="AS342" s="304"/>
    </row>
    <row r="343" spans="2:45">
      <c r="B343" s="1268"/>
      <c r="C343" s="1266"/>
      <c r="D343" s="1266"/>
      <c r="E343" s="1266"/>
      <c r="F343" s="1267"/>
      <c r="G343" s="379" t="s">
        <v>715</v>
      </c>
      <c r="H343" s="380"/>
      <c r="I343" s="1272"/>
      <c r="J343" s="378"/>
      <c r="L343" s="403"/>
      <c r="M343" s="403"/>
      <c r="N343" s="403"/>
      <c r="O343" s="403"/>
      <c r="P343" s="403"/>
      <c r="Q343" s="403"/>
      <c r="R343" s="403"/>
      <c r="S343" s="403"/>
      <c r="T343" s="403"/>
      <c r="U343" s="403"/>
      <c r="V343" s="403"/>
      <c r="W343" s="403"/>
      <c r="X343" s="403"/>
      <c r="Y343" s="403"/>
      <c r="Z343" s="367"/>
      <c r="AA343" s="304"/>
      <c r="AB343" s="304"/>
      <c r="AC343" s="304"/>
      <c r="AD343" s="304"/>
      <c r="AE343" s="304"/>
      <c r="AF343" s="304"/>
      <c r="AG343" s="304"/>
      <c r="AH343" s="304"/>
      <c r="AI343" s="304"/>
      <c r="AJ343" s="304"/>
      <c r="AK343" s="304"/>
      <c r="AL343" s="304"/>
      <c r="AM343" s="304"/>
      <c r="AN343" s="304"/>
      <c r="AO343" s="304"/>
      <c r="AP343" s="304"/>
      <c r="AQ343" s="304"/>
      <c r="AR343" s="304"/>
      <c r="AS343" s="304"/>
    </row>
    <row r="344" spans="2:45" ht="15.75" thickBot="1">
      <c r="B344" s="1269"/>
      <c r="C344" s="1270"/>
      <c r="D344" s="1270"/>
      <c r="E344" s="1270"/>
      <c r="F344" s="1271"/>
      <c r="G344" s="379" t="s">
        <v>716</v>
      </c>
      <c r="H344" s="376"/>
      <c r="I344" s="1272"/>
      <c r="J344" s="378"/>
      <c r="L344" s="403"/>
      <c r="M344" s="403"/>
      <c r="N344" s="403"/>
      <c r="O344" s="403"/>
      <c r="P344" s="403"/>
      <c r="Q344" s="403"/>
      <c r="R344" s="403"/>
      <c r="S344" s="403"/>
      <c r="T344" s="403"/>
      <c r="U344" s="403"/>
      <c r="V344" s="403"/>
      <c r="W344" s="403"/>
      <c r="X344" s="403"/>
      <c r="Y344" s="403"/>
      <c r="Z344" s="367"/>
      <c r="AA344" s="304"/>
      <c r="AB344" s="304" t="s">
        <v>717</v>
      </c>
      <c r="AC344" s="304" t="str">
        <f>IF(OR(H342=0, H342&gt;100%), "Year End Profit %", (G348+G349+G350))</f>
        <v>Year End Profit %</v>
      </c>
      <c r="AD344" s="304"/>
      <c r="AE344" s="304"/>
      <c r="AF344" s="304"/>
      <c r="AG344" s="304"/>
      <c r="AH344" s="304"/>
      <c r="AI344" s="304"/>
      <c r="AJ344" s="304"/>
      <c r="AK344" s="304"/>
      <c r="AL344" s="304"/>
      <c r="AM344" s="304"/>
      <c r="AN344" s="304"/>
      <c r="AO344" s="304"/>
      <c r="AP344" s="304"/>
      <c r="AQ344" s="304"/>
      <c r="AR344" s="304"/>
      <c r="AS344" s="304"/>
    </row>
    <row r="345" spans="2:45" ht="18.75">
      <c r="B345" s="1229" t="s">
        <v>718</v>
      </c>
      <c r="C345" s="1273"/>
      <c r="D345" s="1273"/>
      <c r="E345" s="1273"/>
      <c r="F345" s="1273"/>
      <c r="G345" s="377" t="s">
        <v>719</v>
      </c>
      <c r="H345" s="381"/>
      <c r="I345" s="377" t="s">
        <v>719</v>
      </c>
      <c r="J345" s="382"/>
      <c r="L345" s="403"/>
      <c r="M345" s="403"/>
      <c r="N345" s="403"/>
      <c r="O345" s="403"/>
      <c r="P345" s="403"/>
      <c r="Q345" s="403"/>
      <c r="R345" s="403"/>
      <c r="S345" s="403"/>
      <c r="T345" s="403"/>
      <c r="U345" s="403"/>
      <c r="V345" s="403"/>
      <c r="W345" s="403"/>
      <c r="X345" s="403"/>
      <c r="Y345" s="403"/>
      <c r="Z345" s="367"/>
      <c r="AA345" s="304"/>
      <c r="AB345" s="304" t="s">
        <v>720</v>
      </c>
      <c r="AC345" s="304" t="str">
        <f>IF(OR(J342&gt;100%, J342=0), "Year End Profit %", (I348+I349+I350))</f>
        <v>Year End Profit %</v>
      </c>
      <c r="AD345" s="383"/>
      <c r="AE345" s="304"/>
      <c r="AF345" s="304"/>
      <c r="AG345" s="304"/>
      <c r="AH345" s="304"/>
      <c r="AI345" s="304"/>
      <c r="AJ345" s="304"/>
      <c r="AK345" s="304"/>
      <c r="AL345" s="304"/>
      <c r="AM345" s="304"/>
      <c r="AN345" s="304"/>
      <c r="AO345" s="304"/>
      <c r="AP345" s="304"/>
      <c r="AQ345" s="304"/>
      <c r="AR345" s="304"/>
      <c r="AS345" s="304"/>
    </row>
    <row r="346" spans="2:45">
      <c r="B346" s="1274" t="s">
        <v>721</v>
      </c>
      <c r="C346" s="1275"/>
      <c r="D346" s="1275"/>
      <c r="E346" s="1275"/>
      <c r="F346" s="1276"/>
      <c r="G346" s="346"/>
      <c r="H346" s="384">
        <f>G346</f>
        <v>0</v>
      </c>
      <c r="I346" s="364"/>
      <c r="J346" s="385">
        <f>I346</f>
        <v>0</v>
      </c>
      <c r="L346" s="403"/>
      <c r="M346" s="403"/>
      <c r="N346" s="403"/>
      <c r="O346" s="403"/>
      <c r="P346" s="403"/>
      <c r="Q346" s="403"/>
      <c r="R346" s="403"/>
      <c r="S346" s="403"/>
      <c r="T346" s="403"/>
      <c r="U346" s="403"/>
      <c r="V346" s="403"/>
      <c r="W346" s="403"/>
      <c r="X346" s="403"/>
      <c r="Y346" s="403"/>
      <c r="Z346" s="367"/>
      <c r="AA346" s="304"/>
      <c r="AB346" s="304"/>
      <c r="AC346" s="304"/>
      <c r="AD346" s="304"/>
      <c r="AE346" s="304"/>
      <c r="AF346" s="304"/>
      <c r="AG346" s="304"/>
      <c r="AH346" s="304"/>
      <c r="AI346" s="304"/>
      <c r="AJ346" s="304"/>
      <c r="AK346" s="304"/>
      <c r="AL346" s="304"/>
      <c r="AM346" s="304"/>
      <c r="AN346" s="304"/>
      <c r="AO346" s="304"/>
      <c r="AP346" s="304"/>
      <c r="AQ346" s="304"/>
      <c r="AR346" s="304"/>
      <c r="AS346" s="304"/>
    </row>
    <row r="347" spans="2:45">
      <c r="B347" s="1246" t="s">
        <v>722</v>
      </c>
      <c r="C347" s="1247"/>
      <c r="D347" s="1247"/>
      <c r="E347" s="1247"/>
      <c r="F347" s="1247"/>
      <c r="G347" s="377"/>
      <c r="H347" s="381"/>
      <c r="I347" s="386"/>
      <c r="J347" s="382"/>
      <c r="L347" s="403"/>
      <c r="M347" s="403"/>
      <c r="N347" s="403"/>
      <c r="O347" s="403"/>
      <c r="P347" s="403"/>
      <c r="Q347" s="403"/>
      <c r="R347" s="403"/>
      <c r="S347" s="403"/>
      <c r="T347" s="403"/>
      <c r="U347" s="403"/>
      <c r="V347" s="403"/>
      <c r="W347" s="403"/>
      <c r="X347" s="403"/>
      <c r="Y347" s="403"/>
      <c r="Z347" s="367"/>
      <c r="AA347" s="304"/>
      <c r="AB347" s="304"/>
      <c r="AC347" s="304"/>
      <c r="AD347" s="304"/>
      <c r="AE347" s="304"/>
      <c r="AF347" s="304"/>
      <c r="AG347" s="304"/>
      <c r="AH347" s="304"/>
      <c r="AI347" s="304"/>
      <c r="AJ347" s="304"/>
      <c r="AK347" s="304"/>
      <c r="AL347" s="304"/>
      <c r="AM347" s="304"/>
      <c r="AN347" s="304"/>
      <c r="AO347" s="304"/>
      <c r="AP347" s="304"/>
      <c r="AQ347" s="304"/>
      <c r="AR347" s="304"/>
      <c r="AS347" s="304"/>
    </row>
    <row r="348" spans="2:45">
      <c r="B348" s="1248" t="s">
        <v>723</v>
      </c>
      <c r="C348" s="1249"/>
      <c r="D348" s="1249"/>
      <c r="E348" s="1249"/>
      <c r="F348" s="1250"/>
      <c r="G348" s="346"/>
      <c r="H348" s="387" t="str">
        <f>AC344</f>
        <v>Year End Profit %</v>
      </c>
      <c r="I348" s="346"/>
      <c r="J348" s="388" t="str">
        <f>AC345</f>
        <v>Year End Profit %</v>
      </c>
      <c r="L348" s="403"/>
      <c r="M348" s="403"/>
      <c r="N348" s="403"/>
      <c r="O348" s="403"/>
      <c r="P348" s="403"/>
      <c r="Q348" s="403"/>
      <c r="R348" s="403"/>
      <c r="S348" s="403"/>
      <c r="T348" s="403"/>
      <c r="U348" s="403"/>
      <c r="V348" s="403"/>
      <c r="W348" s="403"/>
      <c r="X348" s="403"/>
      <c r="Y348" s="403"/>
      <c r="Z348" s="367"/>
      <c r="AA348" s="304"/>
      <c r="AB348" s="304"/>
      <c r="AC348" s="304"/>
      <c r="AD348" s="304"/>
      <c r="AE348" s="304"/>
      <c r="AF348" s="304"/>
      <c r="AG348" s="304"/>
      <c r="AH348" s="304"/>
      <c r="AI348" s="304"/>
      <c r="AJ348" s="304"/>
      <c r="AK348" s="304"/>
      <c r="AL348" s="304"/>
      <c r="AM348" s="304"/>
      <c r="AN348" s="304"/>
      <c r="AO348" s="304"/>
      <c r="AP348" s="304"/>
      <c r="AQ348" s="304"/>
      <c r="AR348" s="304"/>
      <c r="AS348" s="304"/>
    </row>
    <row r="349" spans="2:45">
      <c r="B349" s="1251" t="s">
        <v>724</v>
      </c>
      <c r="C349" s="1252"/>
      <c r="D349" s="1252"/>
      <c r="E349" s="1252"/>
      <c r="F349" s="1253"/>
      <c r="G349" s="346"/>
      <c r="H349" s="389"/>
      <c r="I349" s="346"/>
      <c r="J349" s="390"/>
      <c r="L349" s="403"/>
      <c r="M349" s="403"/>
      <c r="N349" s="403"/>
      <c r="O349" s="403"/>
      <c r="P349" s="403"/>
      <c r="Q349" s="403"/>
      <c r="R349" s="403"/>
      <c r="S349" s="403"/>
      <c r="T349" s="403"/>
      <c r="U349" s="403"/>
      <c r="V349" s="403"/>
      <c r="W349" s="403"/>
      <c r="X349" s="403"/>
      <c r="Y349" s="403"/>
      <c r="Z349" s="367"/>
      <c r="AA349" s="304"/>
      <c r="AB349" s="304"/>
      <c r="AC349" s="304"/>
      <c r="AD349" s="304"/>
      <c r="AE349" s="304"/>
      <c r="AF349" s="304"/>
      <c r="AG349" s="304"/>
      <c r="AH349" s="304"/>
      <c r="AI349" s="304"/>
      <c r="AJ349" s="304"/>
      <c r="AK349" s="304"/>
      <c r="AL349" s="304"/>
      <c r="AM349" s="304"/>
      <c r="AN349" s="304"/>
      <c r="AO349" s="304"/>
      <c r="AP349" s="304"/>
      <c r="AQ349" s="304"/>
      <c r="AR349" s="304"/>
      <c r="AS349" s="304"/>
    </row>
    <row r="350" spans="2:45">
      <c r="B350" s="1254" t="s">
        <v>725</v>
      </c>
      <c r="C350" s="1255"/>
      <c r="D350" s="1255"/>
      <c r="E350" s="1255"/>
      <c r="F350" s="1256"/>
      <c r="G350" s="346"/>
      <c r="H350" s="389"/>
      <c r="I350" s="346"/>
      <c r="J350" s="390"/>
      <c r="L350" s="403"/>
      <c r="M350" s="403"/>
      <c r="N350" s="403"/>
      <c r="O350" s="403"/>
      <c r="P350" s="403"/>
      <c r="Q350" s="403"/>
      <c r="R350" s="403"/>
      <c r="S350" s="403"/>
      <c r="T350" s="403"/>
      <c r="U350" s="403"/>
      <c r="V350" s="403"/>
      <c r="W350" s="403"/>
      <c r="X350" s="403"/>
      <c r="Y350" s="403"/>
      <c r="Z350" s="367"/>
      <c r="AA350" s="304"/>
      <c r="AB350" s="304"/>
      <c r="AC350" s="304"/>
      <c r="AD350" s="304"/>
      <c r="AE350" s="304"/>
      <c r="AF350" s="304"/>
      <c r="AG350" s="304"/>
      <c r="AH350" s="304"/>
      <c r="AI350" s="304"/>
      <c r="AJ350" s="304"/>
      <c r="AK350" s="304"/>
      <c r="AL350" s="304"/>
      <c r="AM350" s="304"/>
      <c r="AN350" s="304"/>
      <c r="AO350" s="304"/>
      <c r="AP350" s="304"/>
      <c r="AQ350" s="304"/>
      <c r="AR350" s="304"/>
      <c r="AS350" s="304"/>
    </row>
    <row r="351" spans="2:45">
      <c r="B351" s="1257" t="s">
        <v>726</v>
      </c>
      <c r="C351" s="1258"/>
      <c r="D351" s="1258"/>
      <c r="E351" s="1258"/>
      <c r="F351" s="1258"/>
      <c r="G351" s="391"/>
      <c r="H351" s="392"/>
      <c r="I351" s="391"/>
      <c r="J351" s="393"/>
      <c r="L351" s="403"/>
      <c r="M351" s="403"/>
      <c r="N351" s="403"/>
      <c r="O351" s="403"/>
      <c r="P351" s="403"/>
      <c r="Q351" s="403"/>
      <c r="R351" s="403"/>
      <c r="S351" s="403"/>
      <c r="T351" s="403"/>
      <c r="U351" s="403"/>
      <c r="V351" s="403"/>
      <c r="W351" s="403"/>
      <c r="X351" s="403"/>
      <c r="Y351" s="403"/>
      <c r="Z351" s="367"/>
      <c r="AA351" s="304"/>
      <c r="AB351" s="304"/>
      <c r="AC351" s="304"/>
      <c r="AD351" s="304"/>
      <c r="AE351" s="304"/>
      <c r="AF351" s="304"/>
      <c r="AG351" s="304"/>
      <c r="AH351" s="304"/>
      <c r="AI351" s="304"/>
      <c r="AJ351" s="304"/>
      <c r="AK351" s="304"/>
      <c r="AL351" s="304"/>
      <c r="AM351" s="304"/>
      <c r="AN351" s="304"/>
      <c r="AO351" s="304"/>
      <c r="AP351" s="304"/>
      <c r="AQ351" s="304"/>
      <c r="AR351" s="304"/>
      <c r="AS351" s="304"/>
    </row>
    <row r="352" spans="2:45">
      <c r="B352" s="1259" t="s">
        <v>727</v>
      </c>
      <c r="C352" s="1260"/>
      <c r="D352" s="1260"/>
      <c r="E352" s="1260"/>
      <c r="F352" s="1261"/>
      <c r="G352" s="394"/>
      <c r="H352" s="395">
        <f>(G352*H342)*-1</f>
        <v>0</v>
      </c>
      <c r="I352" s="394"/>
      <c r="J352" s="396">
        <f>(I352*J342)*-1</f>
        <v>0</v>
      </c>
      <c r="L352" s="403"/>
      <c r="M352" s="403"/>
      <c r="N352" s="403"/>
      <c r="O352" s="403"/>
      <c r="P352" s="403"/>
      <c r="Q352" s="403"/>
      <c r="R352" s="403"/>
      <c r="S352" s="403"/>
      <c r="T352" s="403"/>
      <c r="U352" s="403"/>
      <c r="V352" s="403"/>
      <c r="W352" s="403"/>
      <c r="X352" s="403"/>
      <c r="Y352" s="403"/>
      <c r="Z352" s="367"/>
      <c r="AA352" s="304"/>
      <c r="AB352" s="304"/>
      <c r="AC352" s="304"/>
      <c r="AD352" s="304"/>
      <c r="AE352" s="304"/>
      <c r="AF352" s="304"/>
      <c r="AG352" s="304"/>
      <c r="AH352" s="304"/>
      <c r="AI352" s="304"/>
      <c r="AJ352" s="304"/>
      <c r="AK352" s="304"/>
      <c r="AL352" s="304"/>
      <c r="AM352" s="304"/>
      <c r="AN352" s="304"/>
      <c r="AO352" s="304"/>
      <c r="AP352" s="304"/>
      <c r="AQ352" s="304"/>
      <c r="AR352" s="304"/>
      <c r="AS352" s="304"/>
    </row>
    <row r="353" spans="2:45">
      <c r="B353" s="1237" t="s">
        <v>728</v>
      </c>
      <c r="C353" s="1238"/>
      <c r="D353" s="1238"/>
      <c r="E353" s="1238"/>
      <c r="F353" s="1239"/>
      <c r="G353" s="394"/>
      <c r="H353" s="395">
        <f>(G353*H342)*-1</f>
        <v>0</v>
      </c>
      <c r="I353" s="394"/>
      <c r="J353" s="396">
        <f>(I353*J342)*-1</f>
        <v>0</v>
      </c>
      <c r="L353" s="403"/>
      <c r="M353" s="403"/>
      <c r="N353" s="403"/>
      <c r="O353" s="403"/>
      <c r="P353" s="403"/>
      <c r="Q353" s="403"/>
      <c r="R353" s="403"/>
      <c r="S353" s="403"/>
      <c r="T353" s="403"/>
      <c r="U353" s="403"/>
      <c r="V353" s="403"/>
      <c r="W353" s="403"/>
      <c r="X353" s="403"/>
      <c r="Y353" s="403"/>
      <c r="Z353" s="367"/>
      <c r="AA353" s="304"/>
      <c r="AB353" s="304"/>
      <c r="AC353" s="304"/>
      <c r="AD353" s="304"/>
      <c r="AE353" s="304"/>
      <c r="AF353" s="304"/>
      <c r="AG353" s="304"/>
      <c r="AH353" s="304"/>
      <c r="AI353" s="304"/>
      <c r="AJ353" s="304"/>
      <c r="AK353" s="304"/>
      <c r="AL353" s="304"/>
      <c r="AM353" s="304"/>
      <c r="AN353" s="304"/>
      <c r="AO353" s="304"/>
      <c r="AP353" s="304"/>
      <c r="AQ353" s="304"/>
      <c r="AR353" s="304"/>
      <c r="AS353" s="304"/>
    </row>
    <row r="354" spans="2:45">
      <c r="B354" s="1237" t="s">
        <v>729</v>
      </c>
      <c r="C354" s="1238"/>
      <c r="D354" s="1238"/>
      <c r="E354" s="1238"/>
      <c r="F354" s="1239"/>
      <c r="G354" s="394"/>
      <c r="H354" s="395">
        <f>(G354*H342)*-1</f>
        <v>0</v>
      </c>
      <c r="I354" s="394"/>
      <c r="J354" s="396">
        <f>(I354*J342)*-1</f>
        <v>0</v>
      </c>
      <c r="L354" s="403"/>
      <c r="M354" s="403"/>
      <c r="N354" s="403"/>
      <c r="O354" s="403"/>
      <c r="P354" s="403"/>
      <c r="Q354" s="403"/>
      <c r="R354" s="403"/>
      <c r="S354" s="403"/>
      <c r="T354" s="403"/>
      <c r="U354" s="403"/>
      <c r="V354" s="403"/>
      <c r="W354" s="403"/>
      <c r="X354" s="403"/>
      <c r="Y354" s="403"/>
      <c r="Z354" s="367"/>
      <c r="AA354" s="304"/>
      <c r="AB354" s="304"/>
      <c r="AC354" s="304"/>
      <c r="AD354" s="304"/>
      <c r="AE354" s="304"/>
      <c r="AF354" s="304"/>
      <c r="AG354" s="304"/>
      <c r="AH354" s="304"/>
      <c r="AI354" s="304"/>
      <c r="AJ354" s="304"/>
      <c r="AK354" s="304"/>
      <c r="AL354" s="304"/>
      <c r="AM354" s="304"/>
      <c r="AN354" s="304"/>
      <c r="AO354" s="304"/>
      <c r="AP354" s="304"/>
      <c r="AQ354" s="304"/>
      <c r="AR354" s="304"/>
      <c r="AS354" s="304"/>
    </row>
    <row r="355" spans="2:45">
      <c r="B355" s="1240" t="s">
        <v>730</v>
      </c>
      <c r="C355" s="1241"/>
      <c r="D355" s="1241"/>
      <c r="E355" s="1241"/>
      <c r="F355" s="1242"/>
      <c r="G355" s="394"/>
      <c r="H355" s="395">
        <f>(G355*H342)*-1</f>
        <v>0</v>
      </c>
      <c r="I355" s="394"/>
      <c r="J355" s="396">
        <f>(I355*J342)*-1</f>
        <v>0</v>
      </c>
      <c r="L355" s="403"/>
      <c r="M355" s="403"/>
      <c r="N355" s="403"/>
      <c r="O355" s="403"/>
      <c r="P355" s="403"/>
      <c r="Q355" s="403"/>
      <c r="R355" s="403"/>
      <c r="S355" s="403"/>
      <c r="T355" s="403"/>
      <c r="U355" s="403"/>
      <c r="V355" s="403"/>
      <c r="W355" s="403"/>
      <c r="X355" s="403"/>
      <c r="Y355" s="403"/>
      <c r="Z355" s="367"/>
      <c r="AA355" s="304"/>
      <c r="AB355" s="304"/>
      <c r="AC355" s="304"/>
      <c r="AD355" s="304"/>
      <c r="AE355" s="304"/>
      <c r="AF355" s="304"/>
      <c r="AG355" s="304"/>
      <c r="AH355" s="304"/>
      <c r="AI355" s="304"/>
      <c r="AJ355" s="304"/>
      <c r="AK355" s="304"/>
      <c r="AL355" s="304"/>
      <c r="AM355" s="304"/>
      <c r="AN355" s="304"/>
      <c r="AO355" s="304"/>
      <c r="AP355" s="304"/>
      <c r="AQ355" s="304"/>
      <c r="AR355" s="304"/>
      <c r="AS355" s="304"/>
    </row>
    <row r="356" spans="2:45">
      <c r="B356" s="1229" t="s">
        <v>731</v>
      </c>
      <c r="C356" s="1230"/>
      <c r="D356" s="1230"/>
      <c r="E356" s="1230"/>
      <c r="F356" s="1230"/>
      <c r="G356" s="350"/>
      <c r="H356" s="351"/>
      <c r="I356" s="350"/>
      <c r="J356" s="352"/>
      <c r="L356" s="403"/>
      <c r="M356" s="403"/>
      <c r="N356" s="403"/>
      <c r="O356" s="403"/>
      <c r="P356" s="403"/>
      <c r="Q356" s="403"/>
      <c r="R356" s="403"/>
      <c r="S356" s="403"/>
      <c r="T356" s="403"/>
      <c r="U356" s="403"/>
      <c r="V356" s="403"/>
      <c r="W356" s="403"/>
      <c r="X356" s="403"/>
      <c r="Y356" s="403"/>
      <c r="Z356" s="367"/>
      <c r="AA356" s="304"/>
      <c r="AB356" s="304"/>
      <c r="AC356" s="304"/>
      <c r="AD356" s="304"/>
      <c r="AE356" s="304"/>
      <c r="AF356" s="304"/>
      <c r="AG356" s="304"/>
      <c r="AH356" s="304"/>
      <c r="AI356" s="304"/>
      <c r="AJ356" s="304"/>
      <c r="AK356" s="304"/>
      <c r="AL356" s="304"/>
      <c r="AM356" s="304"/>
      <c r="AN356" s="304"/>
      <c r="AO356" s="304"/>
      <c r="AP356" s="304"/>
      <c r="AQ356" s="304"/>
      <c r="AR356" s="304"/>
      <c r="AS356" s="304"/>
    </row>
    <row r="357" spans="2:45">
      <c r="B357" s="1243" t="s">
        <v>732</v>
      </c>
      <c r="C357" s="1244"/>
      <c r="D357" s="1244"/>
      <c r="E357" s="1244"/>
      <c r="F357" s="1245"/>
      <c r="G357" s="346"/>
      <c r="H357" s="384">
        <f>G357*H342</f>
        <v>0</v>
      </c>
      <c r="I357" s="346"/>
      <c r="J357" s="385">
        <f>I357*J342</f>
        <v>0</v>
      </c>
      <c r="L357" s="403"/>
      <c r="M357" s="403"/>
      <c r="N357" s="403"/>
      <c r="O357" s="403"/>
      <c r="P357" s="403"/>
      <c r="Q357" s="403"/>
      <c r="R357" s="403"/>
      <c r="S357" s="403"/>
      <c r="T357" s="403"/>
      <c r="U357" s="403"/>
      <c r="V357" s="403"/>
      <c r="W357" s="403"/>
      <c r="X357" s="403"/>
      <c r="Y357" s="403"/>
      <c r="Z357" s="367"/>
      <c r="AA357" s="304"/>
      <c r="AB357" s="304"/>
      <c r="AC357" s="304"/>
      <c r="AD357" s="304"/>
      <c r="AE357" s="304"/>
      <c r="AF357" s="304"/>
      <c r="AG357" s="304"/>
      <c r="AH357" s="304"/>
      <c r="AI357" s="304"/>
      <c r="AJ357" s="304"/>
      <c r="AK357" s="304"/>
      <c r="AL357" s="304"/>
      <c r="AM357" s="304"/>
      <c r="AN357" s="304"/>
      <c r="AO357" s="304"/>
      <c r="AP357" s="304"/>
      <c r="AQ357" s="304"/>
      <c r="AR357" s="304"/>
      <c r="AS357" s="304"/>
    </row>
    <row r="358" spans="2:45">
      <c r="B358" s="1223" t="s">
        <v>733</v>
      </c>
      <c r="C358" s="1224"/>
      <c r="D358" s="1224"/>
      <c r="E358" s="1224"/>
      <c r="F358" s="1225"/>
      <c r="G358" s="346"/>
      <c r="H358" s="384">
        <f>G358*H342</f>
        <v>0</v>
      </c>
      <c r="I358" s="346"/>
      <c r="J358" s="385">
        <f>I358*J342</f>
        <v>0</v>
      </c>
      <c r="L358" s="403"/>
      <c r="M358" s="403"/>
      <c r="N358" s="403"/>
      <c r="O358" s="403"/>
      <c r="P358" s="403"/>
      <c r="Q358" s="403"/>
      <c r="R358" s="403"/>
      <c r="S358" s="403"/>
      <c r="T358" s="403"/>
      <c r="U358" s="403"/>
      <c r="V358" s="403"/>
      <c r="W358" s="403"/>
      <c r="X358" s="403"/>
      <c r="Y358" s="403"/>
      <c r="Z358" s="367"/>
      <c r="AA358" s="304"/>
      <c r="AB358" s="304"/>
      <c r="AC358" s="304"/>
      <c r="AD358" s="304"/>
      <c r="AE358" s="304"/>
      <c r="AF358" s="304"/>
      <c r="AG358" s="304"/>
      <c r="AH358" s="304"/>
      <c r="AI358" s="304"/>
      <c r="AJ358" s="304"/>
      <c r="AK358" s="304"/>
      <c r="AL358" s="304"/>
      <c r="AM358" s="304"/>
      <c r="AN358" s="304"/>
      <c r="AO358" s="304"/>
      <c r="AP358" s="304"/>
      <c r="AQ358" s="304"/>
      <c r="AR358" s="304"/>
      <c r="AS358" s="304"/>
    </row>
    <row r="359" spans="2:45">
      <c r="B359" s="1223" t="s">
        <v>734</v>
      </c>
      <c r="C359" s="1224"/>
      <c r="D359" s="1224"/>
      <c r="E359" s="1224"/>
      <c r="F359" s="1225"/>
      <c r="G359" s="346"/>
      <c r="H359" s="384">
        <f>G359*H342</f>
        <v>0</v>
      </c>
      <c r="I359" s="346"/>
      <c r="J359" s="385">
        <f>I359*J342</f>
        <v>0</v>
      </c>
      <c r="L359" s="403"/>
      <c r="M359" s="403"/>
      <c r="N359" s="403"/>
      <c r="O359" s="403"/>
      <c r="P359" s="403"/>
      <c r="Q359" s="403"/>
      <c r="R359" s="403"/>
      <c r="S359" s="403"/>
      <c r="T359" s="403"/>
      <c r="U359" s="403"/>
      <c r="V359" s="403"/>
      <c r="W359" s="403"/>
      <c r="X359" s="403"/>
      <c r="Y359" s="403"/>
      <c r="Z359" s="367"/>
      <c r="AA359" s="304"/>
      <c r="AB359" s="304"/>
      <c r="AC359" s="304"/>
      <c r="AD359" s="304"/>
      <c r="AE359" s="304"/>
      <c r="AF359" s="304"/>
      <c r="AG359" s="304"/>
      <c r="AH359" s="304"/>
      <c r="AI359" s="304"/>
      <c r="AJ359" s="304"/>
      <c r="AK359" s="304"/>
      <c r="AL359" s="304"/>
      <c r="AM359" s="304"/>
      <c r="AN359" s="304"/>
      <c r="AO359" s="304"/>
      <c r="AP359" s="304"/>
      <c r="AQ359" s="304"/>
      <c r="AR359" s="304"/>
      <c r="AS359" s="304"/>
    </row>
    <row r="360" spans="2:45">
      <c r="B360" s="1172" t="s">
        <v>735</v>
      </c>
      <c r="C360" s="1173"/>
      <c r="D360" s="1173"/>
      <c r="E360" s="1173"/>
      <c r="F360" s="1173"/>
      <c r="G360" s="351"/>
      <c r="H360" s="397"/>
      <c r="I360" s="351"/>
      <c r="J360" s="398"/>
      <c r="L360" s="403"/>
      <c r="M360" s="403"/>
      <c r="N360" s="403"/>
      <c r="O360" s="403"/>
      <c r="P360" s="403"/>
      <c r="Q360" s="403"/>
      <c r="R360" s="403"/>
      <c r="S360" s="403"/>
      <c r="T360" s="403"/>
      <c r="U360" s="403"/>
      <c r="V360" s="403"/>
      <c r="W360" s="403"/>
      <c r="X360" s="403"/>
      <c r="Y360" s="403"/>
      <c r="Z360" s="367"/>
      <c r="AA360" s="304"/>
      <c r="AB360" s="304"/>
      <c r="AC360" s="304"/>
      <c r="AD360" s="304"/>
      <c r="AE360" s="304"/>
      <c r="AF360" s="304"/>
      <c r="AG360" s="304"/>
      <c r="AH360" s="304"/>
      <c r="AI360" s="304"/>
      <c r="AJ360" s="304"/>
      <c r="AK360" s="304"/>
      <c r="AL360" s="304"/>
      <c r="AM360" s="304"/>
      <c r="AN360" s="304"/>
      <c r="AO360" s="304"/>
      <c r="AP360" s="304"/>
      <c r="AQ360" s="304"/>
      <c r="AR360" s="304"/>
      <c r="AS360" s="304"/>
    </row>
    <row r="361" spans="2:45">
      <c r="B361" s="1226" t="s">
        <v>736</v>
      </c>
      <c r="C361" s="1227"/>
      <c r="D361" s="1227"/>
      <c r="E361" s="1227"/>
      <c r="F361" s="1228"/>
      <c r="G361" s="346"/>
      <c r="H361" s="384">
        <f>G361*H342</f>
        <v>0</v>
      </c>
      <c r="I361" s="346"/>
      <c r="J361" s="385">
        <f>I361*J342</f>
        <v>0</v>
      </c>
      <c r="L361" s="403"/>
      <c r="M361" s="403"/>
      <c r="N361" s="403"/>
      <c r="O361" s="403"/>
      <c r="P361" s="403"/>
      <c r="Q361" s="403"/>
      <c r="R361" s="403"/>
      <c r="S361" s="403"/>
      <c r="T361" s="403"/>
      <c r="U361" s="403"/>
      <c r="V361" s="403"/>
      <c r="W361" s="403"/>
      <c r="X361" s="403"/>
      <c r="Y361" s="403"/>
      <c r="Z361" s="367"/>
      <c r="AA361" s="304"/>
      <c r="AB361" s="304"/>
      <c r="AC361" s="304"/>
      <c r="AD361" s="304"/>
      <c r="AE361" s="304"/>
      <c r="AF361" s="304"/>
      <c r="AG361" s="304"/>
      <c r="AH361" s="304"/>
      <c r="AI361" s="304"/>
      <c r="AJ361" s="304"/>
      <c r="AK361" s="304"/>
      <c r="AL361" s="304"/>
      <c r="AM361" s="304"/>
      <c r="AN361" s="304"/>
      <c r="AO361" s="304"/>
      <c r="AP361" s="304"/>
      <c r="AQ361" s="304"/>
      <c r="AR361" s="304"/>
      <c r="AS361" s="304"/>
    </row>
    <row r="362" spans="2:45">
      <c r="B362" s="1229" t="s">
        <v>737</v>
      </c>
      <c r="C362" s="1230"/>
      <c r="D362" s="1230"/>
      <c r="E362" s="1230"/>
      <c r="F362" s="1230"/>
      <c r="G362" s="350"/>
      <c r="H362" s="351"/>
      <c r="I362" s="350"/>
      <c r="J362" s="352"/>
      <c r="L362" s="403"/>
      <c r="M362" s="403"/>
      <c r="N362" s="403"/>
      <c r="O362" s="403"/>
      <c r="P362" s="403"/>
      <c r="Q362" s="403"/>
      <c r="R362" s="403"/>
      <c r="S362" s="403"/>
      <c r="T362" s="403"/>
      <c r="U362" s="403"/>
      <c r="V362" s="403"/>
      <c r="W362" s="403"/>
      <c r="X362" s="403"/>
      <c r="Y362" s="403"/>
      <c r="Z362" s="367"/>
      <c r="AA362" s="304"/>
      <c r="AB362" s="304"/>
      <c r="AC362" s="304"/>
      <c r="AD362" s="304"/>
      <c r="AE362" s="304"/>
      <c r="AF362" s="304"/>
      <c r="AG362" s="304"/>
      <c r="AH362" s="304"/>
      <c r="AI362" s="304"/>
      <c r="AJ362" s="304"/>
      <c r="AK362" s="304"/>
      <c r="AL362" s="304"/>
      <c r="AM362" s="304"/>
      <c r="AN362" s="304"/>
      <c r="AO362" s="304"/>
      <c r="AP362" s="304"/>
      <c r="AQ362" s="304"/>
      <c r="AR362" s="304"/>
      <c r="AS362" s="304"/>
    </row>
    <row r="363" spans="2:45" ht="29.1" customHeight="1">
      <c r="B363" s="1231" t="s">
        <v>738</v>
      </c>
      <c r="C363" s="1232"/>
      <c r="D363" s="1232"/>
      <c r="E363" s="1232"/>
      <c r="F363" s="1233"/>
      <c r="G363" s="399"/>
      <c r="H363" s="359">
        <f>H342*G363*-1</f>
        <v>0</v>
      </c>
      <c r="I363" s="399"/>
      <c r="J363" s="400">
        <f>(J342*I363)*-1</f>
        <v>0</v>
      </c>
      <c r="L363" s="403"/>
      <c r="M363" s="403"/>
      <c r="N363" s="403"/>
      <c r="O363" s="403"/>
      <c r="P363" s="403"/>
      <c r="Q363" s="403"/>
      <c r="R363" s="403"/>
      <c r="S363" s="403"/>
      <c r="T363" s="403"/>
      <c r="U363" s="403"/>
      <c r="V363" s="403"/>
      <c r="W363" s="403"/>
      <c r="X363" s="403"/>
      <c r="Y363" s="403"/>
      <c r="Z363" s="367"/>
      <c r="AA363" s="304"/>
      <c r="AB363" s="304"/>
      <c r="AC363" s="304"/>
      <c r="AD363" s="304"/>
      <c r="AE363" s="304"/>
      <c r="AF363" s="304"/>
      <c r="AG363" s="304"/>
      <c r="AH363" s="304"/>
      <c r="AI363" s="304"/>
      <c r="AJ363" s="304"/>
      <c r="AK363" s="304"/>
      <c r="AL363" s="304"/>
      <c r="AM363" s="304"/>
      <c r="AN363" s="304"/>
      <c r="AO363" s="304"/>
      <c r="AP363" s="304"/>
      <c r="AQ363" s="304"/>
      <c r="AR363" s="304"/>
      <c r="AS363" s="304"/>
    </row>
    <row r="364" spans="2:45" ht="29.1" customHeight="1">
      <c r="B364" s="1234" t="s">
        <v>739</v>
      </c>
      <c r="C364" s="1235"/>
      <c r="D364" s="1235"/>
      <c r="E364" s="1235"/>
      <c r="F364" s="1236"/>
      <c r="G364" s="346"/>
      <c r="H364" s="401">
        <f>(H342*G364)*-1</f>
        <v>0</v>
      </c>
      <c r="I364" s="346"/>
      <c r="J364" s="402">
        <f>(J342*I364)*-1</f>
        <v>0</v>
      </c>
      <c r="L364" s="403"/>
      <c r="M364" s="403"/>
      <c r="N364" s="403"/>
      <c r="O364" s="403"/>
      <c r="P364" s="403"/>
      <c r="Q364" s="403"/>
      <c r="R364" s="403"/>
      <c r="S364" s="403"/>
      <c r="T364" s="403"/>
      <c r="U364" s="403"/>
      <c r="V364" s="403"/>
      <c r="W364" s="403"/>
      <c r="X364" s="403"/>
      <c r="Y364" s="403"/>
      <c r="Z364" s="367"/>
      <c r="AA364" s="304"/>
      <c r="AB364" s="304"/>
      <c r="AC364" s="304"/>
      <c r="AD364" s="304"/>
      <c r="AE364" s="304"/>
      <c r="AF364" s="304"/>
      <c r="AG364" s="304"/>
      <c r="AH364" s="304"/>
      <c r="AI364" s="304"/>
      <c r="AJ364" s="304"/>
      <c r="AK364" s="304"/>
      <c r="AL364" s="304"/>
      <c r="AM364" s="304"/>
      <c r="AN364" s="304"/>
      <c r="AO364" s="304"/>
      <c r="AP364" s="304"/>
      <c r="AQ364" s="304"/>
      <c r="AR364" s="304"/>
      <c r="AS364" s="304"/>
    </row>
    <row r="365" spans="2:45">
      <c r="B365" s="1211" t="s">
        <v>740</v>
      </c>
      <c r="C365" s="1212"/>
      <c r="D365" s="1212"/>
      <c r="E365" s="1212"/>
      <c r="F365" s="1213"/>
      <c r="G365" s="1214">
        <f>SUM(H346:H364)</f>
        <v>0</v>
      </c>
      <c r="H365" s="1215"/>
      <c r="I365" s="1214">
        <f>SUM(J348:J364)+J346</f>
        <v>0</v>
      </c>
      <c r="J365" s="1216"/>
      <c r="L365" s="403"/>
      <c r="M365" s="403"/>
      <c r="N365" s="403"/>
      <c r="O365" s="403"/>
      <c r="P365" s="403"/>
      <c r="Q365" s="403"/>
      <c r="R365" s="403"/>
      <c r="S365" s="403"/>
      <c r="T365" s="403"/>
      <c r="U365" s="403"/>
      <c r="V365" s="403"/>
      <c r="W365" s="403"/>
      <c r="X365" s="403"/>
      <c r="Y365" s="403"/>
      <c r="Z365" s="367"/>
      <c r="AA365" s="304"/>
      <c r="AB365" s="304"/>
      <c r="AC365" s="304"/>
      <c r="AD365" s="304"/>
      <c r="AE365" s="304"/>
      <c r="AF365" s="304"/>
      <c r="AG365" s="304"/>
      <c r="AH365" s="304"/>
      <c r="AI365" s="304"/>
      <c r="AJ365" s="304"/>
      <c r="AK365" s="304"/>
      <c r="AL365" s="304"/>
      <c r="AM365" s="304"/>
      <c r="AN365" s="304"/>
      <c r="AO365" s="304"/>
      <c r="AP365" s="304"/>
      <c r="AQ365" s="304"/>
      <c r="AR365" s="304"/>
      <c r="AS365" s="304"/>
    </row>
    <row r="366" spans="2:45" ht="18.75">
      <c r="B366" s="1217" t="s">
        <v>696</v>
      </c>
      <c r="C366" s="1218"/>
      <c r="D366" s="1218"/>
      <c r="E366" s="1218"/>
      <c r="F366" s="1219"/>
      <c r="G366" s="1161" t="str">
        <f>IF(OR(AC339=0, I365=0), "12 Month Average", "24 Month Average")</f>
        <v>12 Month Average</v>
      </c>
      <c r="H366" s="1162"/>
      <c r="I366" s="1162"/>
      <c r="J366" s="1163"/>
      <c r="L366" s="403"/>
      <c r="M366" s="403"/>
      <c r="N366" s="403"/>
      <c r="O366" s="403"/>
      <c r="P366" s="403"/>
      <c r="Q366" s="403"/>
      <c r="R366" s="403"/>
      <c r="S366" s="403"/>
      <c r="T366" s="403"/>
      <c r="U366" s="403"/>
      <c r="V366" s="403"/>
      <c r="W366" s="403"/>
      <c r="X366" s="403"/>
      <c r="Y366" s="403"/>
      <c r="Z366" s="367"/>
      <c r="AA366" s="304"/>
      <c r="AB366" s="304"/>
      <c r="AC366" s="304"/>
      <c r="AD366" s="304"/>
      <c r="AE366" s="304"/>
      <c r="AF366" s="304"/>
      <c r="AG366" s="304"/>
      <c r="AH366" s="304"/>
      <c r="AI366" s="304"/>
      <c r="AJ366" s="304"/>
      <c r="AK366" s="304"/>
      <c r="AL366" s="304"/>
      <c r="AM366" s="304"/>
      <c r="AN366" s="304"/>
      <c r="AO366" s="304"/>
      <c r="AP366" s="304"/>
      <c r="AQ366" s="304"/>
      <c r="AR366" s="304"/>
      <c r="AS366" s="304"/>
    </row>
    <row r="367" spans="2:45" ht="34.5" thickBot="1">
      <c r="B367" s="1220" t="s">
        <v>697</v>
      </c>
      <c r="C367" s="1221"/>
      <c r="D367" s="1221"/>
      <c r="E367" s="1221"/>
      <c r="F367" s="1222"/>
      <c r="G367" s="1167">
        <f>IF(OR(AC339=0, I365=0), AC341, AC342)</f>
        <v>0</v>
      </c>
      <c r="H367" s="1168"/>
      <c r="I367" s="1168"/>
      <c r="J367" s="1169"/>
      <c r="L367" s="403"/>
      <c r="M367" s="403"/>
      <c r="N367" s="403"/>
      <c r="O367" s="403"/>
      <c r="P367" s="403"/>
      <c r="Q367" s="403"/>
      <c r="R367" s="403"/>
      <c r="S367" s="403"/>
      <c r="T367" s="403"/>
      <c r="U367" s="403"/>
      <c r="V367" s="403"/>
      <c r="W367" s="403"/>
      <c r="X367" s="403"/>
      <c r="Y367" s="403"/>
      <c r="Z367" s="367"/>
      <c r="AA367" s="304"/>
      <c r="AB367" s="304"/>
      <c r="AC367" s="304"/>
      <c r="AD367" s="304"/>
    </row>
    <row r="368" spans="2:45" ht="9" customHeight="1" thickBot="1">
      <c r="H368" s="330"/>
      <c r="I368" s="330"/>
      <c r="L368" s="403"/>
      <c r="M368" s="403"/>
      <c r="N368" s="403"/>
      <c r="O368" s="403"/>
      <c r="P368" s="403"/>
      <c r="Q368" s="403"/>
      <c r="R368" s="403"/>
      <c r="S368" s="403"/>
      <c r="T368" s="403"/>
      <c r="U368" s="403"/>
      <c r="V368" s="403"/>
      <c r="W368" s="403"/>
      <c r="X368" s="403"/>
      <c r="Y368" s="403"/>
      <c r="Z368" s="367"/>
      <c r="AA368" s="304"/>
      <c r="AB368" s="304"/>
      <c r="AC368" s="304"/>
      <c r="AD368" s="304"/>
    </row>
    <row r="369" spans="1:45" ht="105" customHeight="1" thickBot="1">
      <c r="B369" s="1208" t="s">
        <v>645</v>
      </c>
      <c r="C369" s="1209"/>
      <c r="D369" s="1209"/>
      <c r="E369" s="1209"/>
      <c r="F369" s="1209"/>
      <c r="G369" s="1209"/>
      <c r="H369" s="1209"/>
      <c r="I369" s="1209"/>
      <c r="J369" s="1210"/>
      <c r="L369" s="367"/>
      <c r="M369" s="367"/>
      <c r="N369" s="367"/>
      <c r="O369" s="367"/>
      <c r="P369" s="367"/>
      <c r="Q369" s="367"/>
      <c r="R369" s="367"/>
      <c r="S369" s="367"/>
      <c r="T369" s="367"/>
      <c r="U369" s="367"/>
      <c r="V369" s="367"/>
      <c r="W369" s="367"/>
      <c r="X369" s="367"/>
      <c r="Y369" s="367"/>
      <c r="Z369" s="367"/>
      <c r="AA369" s="304"/>
      <c r="AB369" s="304"/>
      <c r="AC369" s="304"/>
      <c r="AD369" s="304"/>
    </row>
    <row r="370" spans="1:45">
      <c r="A370" s="304"/>
      <c r="B370" s="304"/>
      <c r="C370" s="304"/>
      <c r="D370" s="304"/>
      <c r="E370" s="304"/>
      <c r="F370" s="304"/>
      <c r="G370" s="304"/>
      <c r="H370" s="304"/>
      <c r="I370" s="304"/>
      <c r="J370" s="304"/>
      <c r="K370" s="304"/>
      <c r="L370" s="367"/>
      <c r="M370" s="367"/>
      <c r="N370" s="367"/>
      <c r="O370" s="367"/>
      <c r="P370" s="367"/>
      <c r="Q370" s="367"/>
      <c r="R370" s="367"/>
      <c r="S370" s="367"/>
      <c r="T370" s="367"/>
      <c r="U370" s="367"/>
      <c r="V370" s="367"/>
      <c r="W370" s="367"/>
      <c r="X370" s="367"/>
      <c r="Y370" s="367"/>
      <c r="Z370" s="367"/>
      <c r="AA370" s="304"/>
      <c r="AB370" s="304"/>
      <c r="AC370" s="304"/>
      <c r="AD370" s="304"/>
    </row>
    <row r="371" spans="1:45" ht="13.5" customHeight="1" thickBot="1">
      <c r="L371" s="304"/>
      <c r="M371" s="304"/>
      <c r="N371" s="304"/>
      <c r="O371" s="304"/>
      <c r="P371" s="304"/>
      <c r="Q371" s="304"/>
      <c r="R371" s="304"/>
      <c r="S371" s="304"/>
      <c r="T371" s="304"/>
      <c r="U371" s="304"/>
    </row>
    <row r="372" spans="1:45" ht="69" customHeight="1">
      <c r="B372" s="1187" t="s">
        <v>708</v>
      </c>
      <c r="C372" s="1188"/>
      <c r="D372" s="1188"/>
      <c r="E372" s="1188"/>
      <c r="F372" s="1188"/>
      <c r="G372" s="1188"/>
      <c r="H372" s="1188"/>
      <c r="I372" s="1188"/>
      <c r="J372" s="331" t="str">
        <f>'[3]Reference Sheet'!$B$2</f>
        <v>Rev. 4.12.2016</v>
      </c>
      <c r="L372" s="403"/>
      <c r="M372" s="403"/>
      <c r="N372" s="403"/>
      <c r="O372" s="403"/>
      <c r="P372" s="403"/>
      <c r="Q372" s="403"/>
      <c r="R372" s="403"/>
      <c r="S372" s="403"/>
      <c r="T372" s="403"/>
      <c r="U372" s="403"/>
      <c r="V372" s="403"/>
      <c r="W372" s="403"/>
      <c r="X372" s="403"/>
      <c r="Y372" s="403"/>
      <c r="Z372" s="367"/>
      <c r="AA372" s="304"/>
      <c r="AB372" s="304"/>
      <c r="AC372" s="304"/>
      <c r="AD372" s="304"/>
      <c r="AE372" s="304"/>
      <c r="AF372" s="304"/>
      <c r="AG372" s="304"/>
      <c r="AH372" s="304"/>
      <c r="AI372" s="304"/>
      <c r="AJ372" s="304"/>
      <c r="AK372" s="304"/>
      <c r="AL372" s="304"/>
      <c r="AM372" s="304"/>
      <c r="AN372" s="304"/>
      <c r="AO372" s="304"/>
      <c r="AP372" s="304"/>
      <c r="AQ372" s="304"/>
      <c r="AR372" s="304"/>
      <c r="AS372" s="304"/>
    </row>
    <row r="373" spans="1:45" ht="3.75" customHeight="1">
      <c r="B373" s="332"/>
      <c r="C373" s="333"/>
      <c r="D373" s="333"/>
      <c r="E373" s="333"/>
      <c r="F373" s="333"/>
      <c r="G373" s="333"/>
      <c r="H373" s="333"/>
      <c r="I373" s="333"/>
      <c r="J373" s="334"/>
      <c r="L373" s="403"/>
      <c r="M373" s="403"/>
      <c r="N373" s="403"/>
      <c r="O373" s="403"/>
      <c r="P373" s="403"/>
      <c r="Q373" s="403"/>
      <c r="R373" s="403"/>
      <c r="S373" s="403"/>
      <c r="T373" s="403"/>
      <c r="U373" s="403"/>
      <c r="V373" s="403"/>
      <c r="W373" s="403"/>
      <c r="X373" s="403"/>
      <c r="Y373" s="403"/>
      <c r="Z373" s="367"/>
      <c r="AA373" s="304"/>
      <c r="AB373" s="304"/>
      <c r="AC373" s="304"/>
      <c r="AD373" s="304"/>
      <c r="AE373" s="304"/>
      <c r="AF373" s="304"/>
      <c r="AG373" s="304"/>
      <c r="AH373" s="304"/>
      <c r="AI373" s="304"/>
      <c r="AJ373" s="304"/>
      <c r="AK373" s="304"/>
      <c r="AL373" s="304"/>
      <c r="AM373" s="304"/>
      <c r="AN373" s="304"/>
      <c r="AO373" s="304"/>
      <c r="AP373" s="304"/>
      <c r="AQ373" s="304"/>
      <c r="AR373" s="304"/>
      <c r="AS373" s="304"/>
    </row>
    <row r="374" spans="1:45" ht="18" customHeight="1" thickBot="1">
      <c r="B374" s="332"/>
      <c r="C374" s="368" t="s">
        <v>710</v>
      </c>
      <c r="D374" s="1189"/>
      <c r="E374" s="1190"/>
      <c r="F374" s="1190"/>
      <c r="G374" s="1190"/>
      <c r="H374" s="333"/>
      <c r="I374" s="333"/>
      <c r="J374" s="334"/>
      <c r="L374" s="403"/>
      <c r="M374" s="403"/>
      <c r="N374" s="403"/>
      <c r="O374" s="403"/>
      <c r="P374" s="403"/>
      <c r="Q374" s="403"/>
      <c r="R374" s="403"/>
      <c r="S374" s="403"/>
      <c r="T374" s="403"/>
      <c r="U374" s="403"/>
      <c r="V374" s="403"/>
      <c r="W374" s="403"/>
      <c r="X374" s="403"/>
      <c r="Y374" s="403"/>
      <c r="Z374" s="367"/>
      <c r="AA374" s="304"/>
      <c r="AB374" s="304" t="s">
        <v>680</v>
      </c>
      <c r="AC374" s="304">
        <f>IF(AND(J379=0, J383=0, J385=0, J394=0, J395=0, J396=0, J398=0, J400=0, J401=0, I402=0), 0, 1)</f>
        <v>1</v>
      </c>
      <c r="AD374" s="304"/>
      <c r="AE374" s="304"/>
      <c r="AF374" s="366" t="s">
        <v>596</v>
      </c>
      <c r="AG374" s="304"/>
      <c r="AH374" s="304"/>
      <c r="AI374" s="304"/>
      <c r="AJ374" s="304"/>
      <c r="AK374" s="304"/>
      <c r="AL374" s="304"/>
      <c r="AM374" s="304"/>
      <c r="AN374" s="304"/>
      <c r="AO374" s="304"/>
      <c r="AP374" s="304"/>
      <c r="AQ374" s="304"/>
      <c r="AR374" s="304"/>
      <c r="AS374" s="304"/>
    </row>
    <row r="375" spans="1:45" ht="18" customHeight="1" thickBot="1">
      <c r="B375" s="332"/>
      <c r="C375" s="368" t="s">
        <v>711</v>
      </c>
      <c r="D375" s="1277"/>
      <c r="E375" s="1278"/>
      <c r="F375" s="1278"/>
      <c r="G375" s="1278"/>
      <c r="H375" s="368" t="s">
        <v>712</v>
      </c>
      <c r="I375" s="1189"/>
      <c r="J375" s="1279"/>
      <c r="L375" s="403"/>
      <c r="M375" s="403"/>
      <c r="N375" s="403"/>
      <c r="O375" s="403"/>
      <c r="P375" s="403"/>
      <c r="Q375" s="403"/>
      <c r="R375" s="403"/>
      <c r="S375" s="403"/>
      <c r="T375" s="403"/>
      <c r="U375" s="403"/>
      <c r="V375" s="403"/>
      <c r="W375" s="403"/>
      <c r="X375" s="403"/>
      <c r="Y375" s="403"/>
      <c r="Z375" s="367"/>
      <c r="AA375" s="304"/>
      <c r="AB375" s="304" t="s">
        <v>682</v>
      </c>
      <c r="AC375" s="304">
        <f>IF(AND(G402&lt;=I402, I402&lt;&gt;0), 0, 1)</f>
        <v>1</v>
      </c>
      <c r="AD375" s="304"/>
      <c r="AE375" s="304"/>
      <c r="AF375" s="366" t="s">
        <v>683</v>
      </c>
      <c r="AG375" s="304"/>
      <c r="AH375" s="304"/>
      <c r="AI375" s="304"/>
      <c r="AJ375" s="304"/>
      <c r="AK375" s="304"/>
      <c r="AL375" s="304"/>
      <c r="AM375" s="304"/>
      <c r="AN375" s="304"/>
      <c r="AO375" s="304"/>
      <c r="AP375" s="304"/>
      <c r="AQ375" s="304"/>
      <c r="AR375" s="304"/>
      <c r="AS375" s="304"/>
    </row>
    <row r="376" spans="1:45" ht="18" customHeight="1" thickBot="1">
      <c r="B376" s="1176" t="s">
        <v>671</v>
      </c>
      <c r="C376" s="1177"/>
      <c r="D376" s="1280"/>
      <c r="E376" s="1281"/>
      <c r="F376" s="1281"/>
      <c r="G376" s="1281"/>
      <c r="H376" s="336" t="s">
        <v>673</v>
      </c>
      <c r="I376" s="369"/>
      <c r="J376" s="370"/>
      <c r="L376" s="403"/>
      <c r="M376" s="403"/>
      <c r="N376" s="403"/>
      <c r="O376" s="403"/>
      <c r="P376" s="403"/>
      <c r="Q376" s="403"/>
      <c r="R376" s="403"/>
      <c r="S376" s="403"/>
      <c r="T376" s="403"/>
      <c r="U376" s="403"/>
      <c r="V376" s="403"/>
      <c r="W376" s="403"/>
      <c r="X376" s="403"/>
      <c r="Y376" s="403"/>
      <c r="Z376" s="367"/>
      <c r="AA376" s="304"/>
      <c r="AB376" s="304" t="s">
        <v>685</v>
      </c>
      <c r="AC376" s="304">
        <f>IF(AND(AC375=0, AC374=1), 0, 1)</f>
        <v>1</v>
      </c>
      <c r="AD376" s="304"/>
      <c r="AE376" s="304"/>
      <c r="AF376" s="366" t="s">
        <v>599</v>
      </c>
      <c r="AG376" s="304"/>
      <c r="AH376" s="304"/>
      <c r="AI376" s="304"/>
      <c r="AJ376" s="304"/>
      <c r="AK376" s="304"/>
      <c r="AL376" s="304"/>
      <c r="AM376" s="304"/>
      <c r="AN376" s="304"/>
      <c r="AO376" s="304"/>
      <c r="AP376" s="304"/>
      <c r="AQ376" s="304"/>
      <c r="AR376" s="304"/>
      <c r="AS376" s="304"/>
    </row>
    <row r="377" spans="1:45" ht="18" customHeight="1" thickBot="1">
      <c r="B377" s="1176" t="s">
        <v>674</v>
      </c>
      <c r="C377" s="1177"/>
      <c r="D377" s="1262"/>
      <c r="E377" s="1263"/>
      <c r="F377" s="1263"/>
      <c r="G377" s="1263"/>
      <c r="H377" s="1263"/>
      <c r="I377" s="1263"/>
      <c r="J377" s="1264"/>
      <c r="L377" s="403"/>
      <c r="M377" s="403"/>
      <c r="N377" s="403"/>
      <c r="O377" s="403"/>
      <c r="P377" s="403"/>
      <c r="Q377" s="403"/>
      <c r="R377" s="403"/>
      <c r="S377" s="403"/>
      <c r="T377" s="403"/>
      <c r="U377" s="403"/>
      <c r="V377" s="403"/>
      <c r="W377" s="403"/>
      <c r="X377" s="403"/>
      <c r="Y377" s="403"/>
      <c r="Z377" s="367"/>
      <c r="AA377" s="304"/>
      <c r="AB377" s="304"/>
      <c r="AC377" s="304"/>
      <c r="AD377" s="304"/>
      <c r="AE377" s="304"/>
      <c r="AF377" s="366" t="s">
        <v>603</v>
      </c>
      <c r="AG377" s="304"/>
      <c r="AH377" s="304"/>
      <c r="AI377" s="304"/>
      <c r="AJ377" s="304"/>
      <c r="AK377" s="304"/>
      <c r="AL377" s="304"/>
      <c r="AM377" s="304"/>
      <c r="AN377" s="304"/>
      <c r="AO377" s="304"/>
      <c r="AP377" s="304"/>
      <c r="AQ377" s="304"/>
      <c r="AR377" s="304"/>
      <c r="AS377" s="304"/>
    </row>
    <row r="378" spans="1:45">
      <c r="B378" s="1265"/>
      <c r="C378" s="1266"/>
      <c r="D378" s="1266"/>
      <c r="E378" s="1266"/>
      <c r="F378" s="1267"/>
      <c r="G378" s="371" t="s">
        <v>713</v>
      </c>
      <c r="H378" s="372" t="s">
        <v>676</v>
      </c>
      <c r="I378" s="342"/>
      <c r="J378" s="373" t="s">
        <v>677</v>
      </c>
      <c r="L378" s="403"/>
      <c r="M378" s="403"/>
      <c r="N378" s="403"/>
      <c r="O378" s="403"/>
      <c r="P378" s="403"/>
      <c r="Q378" s="403"/>
      <c r="R378" s="403"/>
      <c r="S378" s="403"/>
      <c r="T378" s="403"/>
      <c r="U378" s="403"/>
      <c r="V378" s="403"/>
      <c r="W378" s="403"/>
      <c r="X378" s="403"/>
      <c r="Y378" s="403"/>
      <c r="Z378" s="367"/>
      <c r="AA378" s="304"/>
      <c r="AB378" s="304" t="s">
        <v>689</v>
      </c>
      <c r="AC378" s="374">
        <f>G402/12</f>
        <v>0</v>
      </c>
      <c r="AD378" s="304"/>
      <c r="AE378" s="304"/>
      <c r="AF378" s="366" t="s">
        <v>605</v>
      </c>
      <c r="AG378" s="304"/>
      <c r="AH378" s="304"/>
      <c r="AI378" s="304"/>
      <c r="AJ378" s="304"/>
      <c r="AK378" s="304"/>
      <c r="AL378" s="304"/>
      <c r="AM378" s="304"/>
      <c r="AN378" s="304"/>
      <c r="AO378" s="304"/>
      <c r="AP378" s="304"/>
      <c r="AQ378" s="304"/>
      <c r="AR378" s="304"/>
      <c r="AS378" s="304"/>
    </row>
    <row r="379" spans="1:45">
      <c r="B379" s="1268"/>
      <c r="C379" s="1266"/>
      <c r="D379" s="1266"/>
      <c r="E379" s="1266"/>
      <c r="F379" s="1267"/>
      <c r="G379" s="375" t="s">
        <v>714</v>
      </c>
      <c r="H379" s="376"/>
      <c r="I379" s="1272"/>
      <c r="J379" s="378"/>
      <c r="L379" s="403"/>
      <c r="M379" s="403"/>
      <c r="N379" s="403"/>
      <c r="O379" s="403"/>
      <c r="P379" s="403"/>
      <c r="Q379" s="403"/>
      <c r="R379" s="403"/>
      <c r="S379" s="403"/>
      <c r="T379" s="403"/>
      <c r="U379" s="403"/>
      <c r="V379" s="403"/>
      <c r="W379" s="403"/>
      <c r="X379" s="403"/>
      <c r="Y379" s="403"/>
      <c r="Z379" s="367"/>
      <c r="AA379" s="304"/>
      <c r="AB379" s="304" t="s">
        <v>691</v>
      </c>
      <c r="AC379" s="374">
        <f>(G402+I402)/24</f>
        <v>0</v>
      </c>
      <c r="AD379" s="304"/>
      <c r="AE379" s="304"/>
      <c r="AF379" s="304"/>
      <c r="AG379" s="304"/>
      <c r="AH379" s="304"/>
      <c r="AI379" s="304"/>
      <c r="AJ379" s="304"/>
      <c r="AK379" s="304"/>
      <c r="AL379" s="304"/>
      <c r="AM379" s="304"/>
      <c r="AN379" s="304"/>
      <c r="AO379" s="304"/>
      <c r="AP379" s="304"/>
      <c r="AQ379" s="304"/>
      <c r="AR379" s="304"/>
      <c r="AS379" s="304"/>
    </row>
    <row r="380" spans="1:45">
      <c r="B380" s="1268"/>
      <c r="C380" s="1266"/>
      <c r="D380" s="1266"/>
      <c r="E380" s="1266"/>
      <c r="F380" s="1267"/>
      <c r="G380" s="379" t="s">
        <v>715</v>
      </c>
      <c r="H380" s="380"/>
      <c r="I380" s="1272"/>
      <c r="J380" s="378"/>
      <c r="L380" s="403"/>
      <c r="M380" s="403"/>
      <c r="N380" s="403"/>
      <c r="O380" s="403"/>
      <c r="P380" s="403"/>
      <c r="Q380" s="403"/>
      <c r="R380" s="403"/>
      <c r="S380" s="403"/>
      <c r="T380" s="403"/>
      <c r="U380" s="403"/>
      <c r="V380" s="403"/>
      <c r="W380" s="403"/>
      <c r="X380" s="403"/>
      <c r="Y380" s="403"/>
      <c r="Z380" s="367"/>
      <c r="AA380" s="304"/>
      <c r="AB380" s="304"/>
      <c r="AC380" s="304"/>
      <c r="AD380" s="304"/>
      <c r="AE380" s="304"/>
      <c r="AF380" s="304"/>
      <c r="AG380" s="304"/>
      <c r="AH380" s="304"/>
      <c r="AI380" s="304"/>
      <c r="AJ380" s="304"/>
      <c r="AK380" s="304"/>
      <c r="AL380" s="304"/>
      <c r="AM380" s="304"/>
      <c r="AN380" s="304"/>
      <c r="AO380" s="304"/>
      <c r="AP380" s="304"/>
      <c r="AQ380" s="304"/>
      <c r="AR380" s="304"/>
      <c r="AS380" s="304"/>
    </row>
    <row r="381" spans="1:45" ht="15.75" thickBot="1">
      <c r="B381" s="1269"/>
      <c r="C381" s="1270"/>
      <c r="D381" s="1270"/>
      <c r="E381" s="1270"/>
      <c r="F381" s="1271"/>
      <c r="G381" s="379" t="s">
        <v>716</v>
      </c>
      <c r="H381" s="376"/>
      <c r="I381" s="1272"/>
      <c r="J381" s="378"/>
      <c r="L381" s="403"/>
      <c r="M381" s="403"/>
      <c r="N381" s="403"/>
      <c r="O381" s="403"/>
      <c r="P381" s="403"/>
      <c r="Q381" s="403"/>
      <c r="R381" s="403"/>
      <c r="S381" s="403"/>
      <c r="T381" s="403"/>
      <c r="U381" s="403"/>
      <c r="V381" s="403"/>
      <c r="W381" s="403"/>
      <c r="X381" s="403"/>
      <c r="Y381" s="403"/>
      <c r="Z381" s="367"/>
      <c r="AA381" s="304"/>
      <c r="AB381" s="304" t="s">
        <v>717</v>
      </c>
      <c r="AC381" s="304" t="str">
        <f>IF(OR(H379=0, H379&gt;100%), "Year End Profit %", (G385+G386+G387))</f>
        <v>Year End Profit %</v>
      </c>
      <c r="AD381" s="304"/>
      <c r="AE381" s="304"/>
      <c r="AF381" s="304"/>
      <c r="AG381" s="304"/>
      <c r="AH381" s="304"/>
      <c r="AI381" s="304"/>
      <c r="AJ381" s="304"/>
      <c r="AK381" s="304"/>
      <c r="AL381" s="304"/>
      <c r="AM381" s="304"/>
      <c r="AN381" s="304"/>
      <c r="AO381" s="304"/>
      <c r="AP381" s="304"/>
      <c r="AQ381" s="304"/>
      <c r="AR381" s="304"/>
      <c r="AS381" s="304"/>
    </row>
    <row r="382" spans="1:45" ht="18.75">
      <c r="B382" s="1229" t="s">
        <v>718</v>
      </c>
      <c r="C382" s="1273"/>
      <c r="D382" s="1273"/>
      <c r="E382" s="1273"/>
      <c r="F382" s="1273"/>
      <c r="G382" s="377" t="s">
        <v>719</v>
      </c>
      <c r="H382" s="381"/>
      <c r="I382" s="377" t="s">
        <v>719</v>
      </c>
      <c r="J382" s="382"/>
      <c r="L382" s="403"/>
      <c r="M382" s="403"/>
      <c r="N382" s="403"/>
      <c r="O382" s="403"/>
      <c r="P382" s="403"/>
      <c r="Q382" s="403"/>
      <c r="R382" s="403"/>
      <c r="S382" s="403"/>
      <c r="T382" s="403"/>
      <c r="U382" s="403"/>
      <c r="V382" s="403"/>
      <c r="W382" s="403"/>
      <c r="X382" s="403"/>
      <c r="Y382" s="403"/>
      <c r="Z382" s="367"/>
      <c r="AA382" s="304"/>
      <c r="AB382" s="304" t="s">
        <v>720</v>
      </c>
      <c r="AC382" s="304" t="str">
        <f>IF(OR(J379&gt;100%, J379=0), "Year End Profit %", (I385+I386+I387))</f>
        <v>Year End Profit %</v>
      </c>
      <c r="AD382" s="383"/>
      <c r="AE382" s="304"/>
      <c r="AF382" s="304"/>
      <c r="AG382" s="304"/>
      <c r="AH382" s="304"/>
      <c r="AI382" s="304"/>
      <c r="AJ382" s="304"/>
      <c r="AK382" s="304"/>
      <c r="AL382" s="304"/>
      <c r="AM382" s="304"/>
      <c r="AN382" s="304"/>
      <c r="AO382" s="304"/>
      <c r="AP382" s="304"/>
      <c r="AQ382" s="304"/>
      <c r="AR382" s="304"/>
      <c r="AS382" s="304"/>
    </row>
    <row r="383" spans="1:45">
      <c r="B383" s="1274" t="s">
        <v>721</v>
      </c>
      <c r="C383" s="1275"/>
      <c r="D383" s="1275"/>
      <c r="E383" s="1275"/>
      <c r="F383" s="1276"/>
      <c r="G383" s="346"/>
      <c r="H383" s="384">
        <f>G383</f>
        <v>0</v>
      </c>
      <c r="I383" s="364"/>
      <c r="J383" s="385">
        <f>I383</f>
        <v>0</v>
      </c>
      <c r="L383" s="403"/>
      <c r="M383" s="403"/>
      <c r="N383" s="403"/>
      <c r="O383" s="403"/>
      <c r="P383" s="403"/>
      <c r="Q383" s="403"/>
      <c r="R383" s="403"/>
      <c r="S383" s="403"/>
      <c r="T383" s="403"/>
      <c r="U383" s="403"/>
      <c r="V383" s="403"/>
      <c r="W383" s="403"/>
      <c r="X383" s="403"/>
      <c r="Y383" s="403"/>
      <c r="Z383" s="367"/>
      <c r="AA383" s="304"/>
      <c r="AB383" s="304"/>
      <c r="AC383" s="304"/>
      <c r="AD383" s="304"/>
      <c r="AE383" s="304"/>
      <c r="AF383" s="304"/>
      <c r="AG383" s="304"/>
      <c r="AH383" s="304"/>
      <c r="AI383" s="304"/>
      <c r="AJ383" s="304"/>
      <c r="AK383" s="304"/>
      <c r="AL383" s="304"/>
      <c r="AM383" s="304"/>
      <c r="AN383" s="304"/>
      <c r="AO383" s="304"/>
      <c r="AP383" s="304"/>
      <c r="AQ383" s="304"/>
      <c r="AR383" s="304"/>
      <c r="AS383" s="304"/>
    </row>
    <row r="384" spans="1:45">
      <c r="B384" s="1246" t="s">
        <v>722</v>
      </c>
      <c r="C384" s="1247"/>
      <c r="D384" s="1247"/>
      <c r="E384" s="1247"/>
      <c r="F384" s="1247"/>
      <c r="G384" s="377"/>
      <c r="H384" s="381"/>
      <c r="I384" s="386"/>
      <c r="J384" s="382"/>
      <c r="L384" s="403"/>
      <c r="M384" s="403"/>
      <c r="N384" s="403"/>
      <c r="O384" s="403"/>
      <c r="P384" s="403"/>
      <c r="Q384" s="403"/>
      <c r="R384" s="403"/>
      <c r="S384" s="403"/>
      <c r="T384" s="403"/>
      <c r="U384" s="403"/>
      <c r="V384" s="403"/>
      <c r="W384" s="403"/>
      <c r="X384" s="403"/>
      <c r="Y384" s="403"/>
      <c r="Z384" s="367"/>
      <c r="AA384" s="304"/>
      <c r="AB384" s="304"/>
      <c r="AC384" s="304"/>
      <c r="AD384" s="304"/>
      <c r="AE384" s="304"/>
      <c r="AF384" s="304"/>
      <c r="AG384" s="304"/>
      <c r="AH384" s="304"/>
      <c r="AI384" s="304"/>
      <c r="AJ384" s="304"/>
      <c r="AK384" s="304"/>
      <c r="AL384" s="304"/>
      <c r="AM384" s="304"/>
      <c r="AN384" s="304"/>
      <c r="AO384" s="304"/>
      <c r="AP384" s="304"/>
      <c r="AQ384" s="304"/>
      <c r="AR384" s="304"/>
      <c r="AS384" s="304"/>
    </row>
    <row r="385" spans="2:45">
      <c r="B385" s="1248" t="s">
        <v>723</v>
      </c>
      <c r="C385" s="1249"/>
      <c r="D385" s="1249"/>
      <c r="E385" s="1249"/>
      <c r="F385" s="1250"/>
      <c r="G385" s="346"/>
      <c r="H385" s="387" t="str">
        <f>AC381</f>
        <v>Year End Profit %</v>
      </c>
      <c r="I385" s="346"/>
      <c r="J385" s="388" t="str">
        <f>AC382</f>
        <v>Year End Profit %</v>
      </c>
      <c r="L385" s="403"/>
      <c r="M385" s="403"/>
      <c r="N385" s="403"/>
      <c r="O385" s="403"/>
      <c r="P385" s="403"/>
      <c r="Q385" s="403"/>
      <c r="R385" s="403"/>
      <c r="S385" s="403"/>
      <c r="T385" s="403"/>
      <c r="U385" s="403"/>
      <c r="V385" s="403"/>
      <c r="W385" s="403"/>
      <c r="X385" s="403"/>
      <c r="Y385" s="403"/>
      <c r="Z385" s="367"/>
      <c r="AA385" s="304"/>
      <c r="AB385" s="304"/>
      <c r="AC385" s="304"/>
      <c r="AD385" s="304"/>
      <c r="AE385" s="304"/>
      <c r="AF385" s="304"/>
      <c r="AG385" s="304"/>
      <c r="AH385" s="304"/>
      <c r="AI385" s="304"/>
      <c r="AJ385" s="304"/>
      <c r="AK385" s="304"/>
      <c r="AL385" s="304"/>
      <c r="AM385" s="304"/>
      <c r="AN385" s="304"/>
      <c r="AO385" s="304"/>
      <c r="AP385" s="304"/>
      <c r="AQ385" s="304"/>
      <c r="AR385" s="304"/>
      <c r="AS385" s="304"/>
    </row>
    <row r="386" spans="2:45">
      <c r="B386" s="1251" t="s">
        <v>724</v>
      </c>
      <c r="C386" s="1252"/>
      <c r="D386" s="1252"/>
      <c r="E386" s="1252"/>
      <c r="F386" s="1253"/>
      <c r="G386" s="346"/>
      <c r="H386" s="389"/>
      <c r="I386" s="346"/>
      <c r="J386" s="390"/>
      <c r="L386" s="403"/>
      <c r="M386" s="403"/>
      <c r="N386" s="403"/>
      <c r="O386" s="403"/>
      <c r="P386" s="403"/>
      <c r="Q386" s="403"/>
      <c r="R386" s="403"/>
      <c r="S386" s="403"/>
      <c r="T386" s="403"/>
      <c r="U386" s="403"/>
      <c r="V386" s="403"/>
      <c r="W386" s="403"/>
      <c r="X386" s="403"/>
      <c r="Y386" s="403"/>
      <c r="Z386" s="367"/>
      <c r="AA386" s="304"/>
      <c r="AB386" s="304"/>
      <c r="AC386" s="304"/>
      <c r="AD386" s="304"/>
      <c r="AE386" s="304"/>
      <c r="AF386" s="304"/>
      <c r="AG386" s="304"/>
      <c r="AH386" s="304"/>
      <c r="AI386" s="304"/>
      <c r="AJ386" s="304"/>
      <c r="AK386" s="304"/>
      <c r="AL386" s="304"/>
      <c r="AM386" s="304"/>
      <c r="AN386" s="304"/>
      <c r="AO386" s="304"/>
      <c r="AP386" s="304"/>
      <c r="AQ386" s="304"/>
      <c r="AR386" s="304"/>
      <c r="AS386" s="304"/>
    </row>
    <row r="387" spans="2:45">
      <c r="B387" s="1254" t="s">
        <v>725</v>
      </c>
      <c r="C387" s="1255"/>
      <c r="D387" s="1255"/>
      <c r="E387" s="1255"/>
      <c r="F387" s="1256"/>
      <c r="G387" s="346"/>
      <c r="H387" s="389"/>
      <c r="I387" s="346"/>
      <c r="J387" s="390"/>
      <c r="L387" s="403"/>
      <c r="M387" s="403"/>
      <c r="N387" s="403"/>
      <c r="O387" s="403"/>
      <c r="P387" s="403"/>
      <c r="Q387" s="403"/>
      <c r="R387" s="403"/>
      <c r="S387" s="403"/>
      <c r="T387" s="403"/>
      <c r="U387" s="403"/>
      <c r="V387" s="403"/>
      <c r="W387" s="403"/>
      <c r="X387" s="403"/>
      <c r="Y387" s="403"/>
      <c r="Z387" s="367"/>
      <c r="AA387" s="304"/>
      <c r="AB387" s="304"/>
      <c r="AC387" s="304"/>
      <c r="AD387" s="304"/>
      <c r="AE387" s="304"/>
      <c r="AF387" s="304"/>
      <c r="AG387" s="304"/>
      <c r="AH387" s="304"/>
      <c r="AI387" s="304"/>
      <c r="AJ387" s="304"/>
      <c r="AK387" s="304"/>
      <c r="AL387" s="304"/>
      <c r="AM387" s="304"/>
      <c r="AN387" s="304"/>
      <c r="AO387" s="304"/>
      <c r="AP387" s="304"/>
      <c r="AQ387" s="304"/>
      <c r="AR387" s="304"/>
      <c r="AS387" s="304"/>
    </row>
    <row r="388" spans="2:45">
      <c r="B388" s="1257" t="s">
        <v>726</v>
      </c>
      <c r="C388" s="1258"/>
      <c r="D388" s="1258"/>
      <c r="E388" s="1258"/>
      <c r="F388" s="1258"/>
      <c r="G388" s="391"/>
      <c r="H388" s="392"/>
      <c r="I388" s="391"/>
      <c r="J388" s="393"/>
      <c r="L388" s="403"/>
      <c r="M388" s="403"/>
      <c r="N388" s="403"/>
      <c r="O388" s="403"/>
      <c r="P388" s="403"/>
      <c r="Q388" s="403"/>
      <c r="R388" s="403"/>
      <c r="S388" s="403"/>
      <c r="T388" s="403"/>
      <c r="U388" s="403"/>
      <c r="V388" s="403"/>
      <c r="W388" s="403"/>
      <c r="X388" s="403"/>
      <c r="Y388" s="403"/>
      <c r="Z388" s="367"/>
      <c r="AA388" s="304"/>
      <c r="AB388" s="304"/>
      <c r="AC388" s="304"/>
      <c r="AD388" s="304"/>
      <c r="AE388" s="304"/>
      <c r="AF388" s="304"/>
      <c r="AG388" s="304"/>
      <c r="AH388" s="304"/>
      <c r="AI388" s="304"/>
      <c r="AJ388" s="304"/>
      <c r="AK388" s="304"/>
      <c r="AL388" s="304"/>
      <c r="AM388" s="304"/>
      <c r="AN388" s="304"/>
      <c r="AO388" s="304"/>
      <c r="AP388" s="304"/>
      <c r="AQ388" s="304"/>
      <c r="AR388" s="304"/>
      <c r="AS388" s="304"/>
    </row>
    <row r="389" spans="2:45">
      <c r="B389" s="1259" t="s">
        <v>727</v>
      </c>
      <c r="C389" s="1260"/>
      <c r="D389" s="1260"/>
      <c r="E389" s="1260"/>
      <c r="F389" s="1261"/>
      <c r="G389" s="394"/>
      <c r="H389" s="395">
        <f>(G389*H379)*-1</f>
        <v>0</v>
      </c>
      <c r="I389" s="394"/>
      <c r="J389" s="396">
        <f>(I389*J379)*-1</f>
        <v>0</v>
      </c>
      <c r="L389" s="403"/>
      <c r="M389" s="403"/>
      <c r="N389" s="403"/>
      <c r="O389" s="403"/>
      <c r="P389" s="403"/>
      <c r="Q389" s="403"/>
      <c r="R389" s="403"/>
      <c r="S389" s="403"/>
      <c r="T389" s="403"/>
      <c r="U389" s="403"/>
      <c r="V389" s="403"/>
      <c r="W389" s="403"/>
      <c r="X389" s="403"/>
      <c r="Y389" s="403"/>
      <c r="Z389" s="367"/>
      <c r="AA389" s="304"/>
      <c r="AB389" s="304"/>
      <c r="AC389" s="304"/>
      <c r="AD389" s="304"/>
      <c r="AE389" s="304"/>
      <c r="AF389" s="304"/>
      <c r="AG389" s="304"/>
      <c r="AH389" s="304"/>
      <c r="AI389" s="304"/>
      <c r="AJ389" s="304"/>
      <c r="AK389" s="304"/>
      <c r="AL389" s="304"/>
      <c r="AM389" s="304"/>
      <c r="AN389" s="304"/>
      <c r="AO389" s="304"/>
      <c r="AP389" s="304"/>
      <c r="AQ389" s="304"/>
      <c r="AR389" s="304"/>
      <c r="AS389" s="304"/>
    </row>
    <row r="390" spans="2:45">
      <c r="B390" s="1237" t="s">
        <v>728</v>
      </c>
      <c r="C390" s="1238"/>
      <c r="D390" s="1238"/>
      <c r="E390" s="1238"/>
      <c r="F390" s="1239"/>
      <c r="G390" s="394"/>
      <c r="H390" s="395">
        <f>(G390*H379)*-1</f>
        <v>0</v>
      </c>
      <c r="I390" s="394"/>
      <c r="J390" s="396">
        <f>(I390*J379)*-1</f>
        <v>0</v>
      </c>
      <c r="L390" s="403"/>
      <c r="M390" s="403"/>
      <c r="N390" s="403"/>
      <c r="O390" s="403"/>
      <c r="P390" s="403"/>
      <c r="Q390" s="403"/>
      <c r="R390" s="403"/>
      <c r="S390" s="403"/>
      <c r="T390" s="403"/>
      <c r="U390" s="403"/>
      <c r="V390" s="403"/>
      <c r="W390" s="403"/>
      <c r="X390" s="403"/>
      <c r="Y390" s="403"/>
      <c r="Z390" s="367"/>
      <c r="AA390" s="304"/>
      <c r="AB390" s="304"/>
      <c r="AC390" s="304"/>
      <c r="AD390" s="304"/>
      <c r="AE390" s="304"/>
      <c r="AF390" s="304"/>
      <c r="AG390" s="304"/>
      <c r="AH390" s="304"/>
      <c r="AI390" s="304"/>
      <c r="AJ390" s="304"/>
      <c r="AK390" s="304"/>
      <c r="AL390" s="304"/>
      <c r="AM390" s="304"/>
      <c r="AN390" s="304"/>
      <c r="AO390" s="304"/>
      <c r="AP390" s="304"/>
      <c r="AQ390" s="304"/>
      <c r="AR390" s="304"/>
      <c r="AS390" s="304"/>
    </row>
    <row r="391" spans="2:45">
      <c r="B391" s="1237" t="s">
        <v>729</v>
      </c>
      <c r="C391" s="1238"/>
      <c r="D391" s="1238"/>
      <c r="E391" s="1238"/>
      <c r="F391" s="1239"/>
      <c r="G391" s="394"/>
      <c r="H391" s="395">
        <f>(G391*H379)*-1</f>
        <v>0</v>
      </c>
      <c r="I391" s="394"/>
      <c r="J391" s="396">
        <f>(I391*J379)*-1</f>
        <v>0</v>
      </c>
      <c r="L391" s="403"/>
      <c r="M391" s="403"/>
      <c r="N391" s="403"/>
      <c r="O391" s="403"/>
      <c r="P391" s="403"/>
      <c r="Q391" s="403"/>
      <c r="R391" s="403"/>
      <c r="S391" s="403"/>
      <c r="T391" s="403"/>
      <c r="U391" s="403"/>
      <c r="V391" s="403"/>
      <c r="W391" s="403"/>
      <c r="X391" s="403"/>
      <c r="Y391" s="403"/>
      <c r="Z391" s="367"/>
      <c r="AA391" s="304"/>
      <c r="AB391" s="304"/>
      <c r="AC391" s="304"/>
      <c r="AD391" s="304"/>
      <c r="AE391" s="304"/>
      <c r="AF391" s="304"/>
      <c r="AG391" s="304"/>
      <c r="AH391" s="304"/>
      <c r="AI391" s="304"/>
      <c r="AJ391" s="304"/>
      <c r="AK391" s="304"/>
      <c r="AL391" s="304"/>
      <c r="AM391" s="304"/>
      <c r="AN391" s="304"/>
      <c r="AO391" s="304"/>
      <c r="AP391" s="304"/>
      <c r="AQ391" s="304"/>
      <c r="AR391" s="304"/>
      <c r="AS391" s="304"/>
    </row>
    <row r="392" spans="2:45">
      <c r="B392" s="1240" t="s">
        <v>730</v>
      </c>
      <c r="C392" s="1241"/>
      <c r="D392" s="1241"/>
      <c r="E392" s="1241"/>
      <c r="F392" s="1242"/>
      <c r="G392" s="394"/>
      <c r="H392" s="395">
        <f>(G392*H379)*-1</f>
        <v>0</v>
      </c>
      <c r="I392" s="394"/>
      <c r="J392" s="396">
        <f>(I392*J379)*-1</f>
        <v>0</v>
      </c>
      <c r="L392" s="403"/>
      <c r="M392" s="403"/>
      <c r="N392" s="403"/>
      <c r="O392" s="403"/>
      <c r="P392" s="403"/>
      <c r="Q392" s="403"/>
      <c r="R392" s="403"/>
      <c r="S392" s="403"/>
      <c r="T392" s="403"/>
      <c r="U392" s="403"/>
      <c r="V392" s="403"/>
      <c r="W392" s="403"/>
      <c r="X392" s="403"/>
      <c r="Y392" s="403"/>
      <c r="Z392" s="367"/>
      <c r="AA392" s="304"/>
      <c r="AB392" s="304"/>
      <c r="AC392" s="304"/>
      <c r="AD392" s="304"/>
      <c r="AE392" s="304"/>
      <c r="AF392" s="304"/>
      <c r="AG392" s="304"/>
      <c r="AH392" s="304"/>
      <c r="AI392" s="304"/>
      <c r="AJ392" s="304"/>
      <c r="AK392" s="304"/>
      <c r="AL392" s="304"/>
      <c r="AM392" s="304"/>
      <c r="AN392" s="304"/>
      <c r="AO392" s="304"/>
      <c r="AP392" s="304"/>
      <c r="AQ392" s="304"/>
      <c r="AR392" s="304"/>
      <c r="AS392" s="304"/>
    </row>
    <row r="393" spans="2:45">
      <c r="B393" s="1229" t="s">
        <v>731</v>
      </c>
      <c r="C393" s="1230"/>
      <c r="D393" s="1230"/>
      <c r="E393" s="1230"/>
      <c r="F393" s="1230"/>
      <c r="G393" s="350"/>
      <c r="H393" s="351"/>
      <c r="I393" s="350"/>
      <c r="J393" s="352"/>
      <c r="L393" s="403"/>
      <c r="M393" s="403"/>
      <c r="N393" s="403"/>
      <c r="O393" s="403"/>
      <c r="P393" s="403"/>
      <c r="Q393" s="403"/>
      <c r="R393" s="403"/>
      <c r="S393" s="403"/>
      <c r="T393" s="403"/>
      <c r="U393" s="403"/>
      <c r="V393" s="403"/>
      <c r="W393" s="403"/>
      <c r="X393" s="403"/>
      <c r="Y393" s="403"/>
      <c r="Z393" s="367"/>
      <c r="AA393" s="304"/>
      <c r="AB393" s="304"/>
      <c r="AC393" s="304"/>
      <c r="AD393" s="304"/>
      <c r="AE393" s="304"/>
      <c r="AF393" s="304"/>
      <c r="AG393" s="304"/>
      <c r="AH393" s="304"/>
      <c r="AI393" s="304"/>
      <c r="AJ393" s="304"/>
      <c r="AK393" s="304"/>
      <c r="AL393" s="304"/>
      <c r="AM393" s="304"/>
      <c r="AN393" s="304"/>
      <c r="AO393" s="304"/>
      <c r="AP393" s="304"/>
      <c r="AQ393" s="304"/>
      <c r="AR393" s="304"/>
      <c r="AS393" s="304"/>
    </row>
    <row r="394" spans="2:45">
      <c r="B394" s="1243" t="s">
        <v>732</v>
      </c>
      <c r="C394" s="1244"/>
      <c r="D394" s="1244"/>
      <c r="E394" s="1244"/>
      <c r="F394" s="1245"/>
      <c r="G394" s="346"/>
      <c r="H394" s="384">
        <f>G394*H379</f>
        <v>0</v>
      </c>
      <c r="I394" s="346"/>
      <c r="J394" s="385">
        <f>I394*J379</f>
        <v>0</v>
      </c>
      <c r="L394" s="403"/>
      <c r="M394" s="403"/>
      <c r="N394" s="403"/>
      <c r="O394" s="403"/>
      <c r="P394" s="403"/>
      <c r="Q394" s="403"/>
      <c r="R394" s="403"/>
      <c r="S394" s="403"/>
      <c r="T394" s="403"/>
      <c r="U394" s="403"/>
      <c r="V394" s="403"/>
      <c r="W394" s="403"/>
      <c r="X394" s="403"/>
      <c r="Y394" s="403"/>
      <c r="Z394" s="367"/>
      <c r="AA394" s="304"/>
      <c r="AB394" s="304"/>
      <c r="AC394" s="304"/>
      <c r="AD394" s="304"/>
      <c r="AE394" s="304"/>
      <c r="AF394" s="304"/>
      <c r="AG394" s="304"/>
      <c r="AH394" s="304"/>
      <c r="AI394" s="304"/>
      <c r="AJ394" s="304"/>
      <c r="AK394" s="304"/>
      <c r="AL394" s="304"/>
      <c r="AM394" s="304"/>
      <c r="AN394" s="304"/>
      <c r="AO394" s="304"/>
      <c r="AP394" s="304"/>
      <c r="AQ394" s="304"/>
      <c r="AR394" s="304"/>
      <c r="AS394" s="304"/>
    </row>
    <row r="395" spans="2:45">
      <c r="B395" s="1223" t="s">
        <v>733</v>
      </c>
      <c r="C395" s="1224"/>
      <c r="D395" s="1224"/>
      <c r="E395" s="1224"/>
      <c r="F395" s="1225"/>
      <c r="G395" s="346"/>
      <c r="H395" s="384">
        <f>G395*H379</f>
        <v>0</v>
      </c>
      <c r="I395" s="346"/>
      <c r="J395" s="385">
        <f>I395*J379</f>
        <v>0</v>
      </c>
      <c r="L395" s="403"/>
      <c r="M395" s="403"/>
      <c r="N395" s="403"/>
      <c r="O395" s="403"/>
      <c r="P395" s="403"/>
      <c r="Q395" s="403"/>
      <c r="R395" s="403"/>
      <c r="S395" s="403"/>
      <c r="T395" s="403"/>
      <c r="U395" s="403"/>
      <c r="V395" s="403"/>
      <c r="W395" s="403"/>
      <c r="X395" s="403"/>
      <c r="Y395" s="403"/>
      <c r="Z395" s="367"/>
      <c r="AA395" s="304"/>
      <c r="AB395" s="304"/>
      <c r="AC395" s="304"/>
      <c r="AD395" s="304"/>
      <c r="AE395" s="304"/>
      <c r="AF395" s="304"/>
      <c r="AG395" s="304"/>
      <c r="AH395" s="304"/>
      <c r="AI395" s="304"/>
      <c r="AJ395" s="304"/>
      <c r="AK395" s="304"/>
      <c r="AL395" s="304"/>
      <c r="AM395" s="304"/>
      <c r="AN395" s="304"/>
      <c r="AO395" s="304"/>
      <c r="AP395" s="304"/>
      <c r="AQ395" s="304"/>
      <c r="AR395" s="304"/>
      <c r="AS395" s="304"/>
    </row>
    <row r="396" spans="2:45">
      <c r="B396" s="1223" t="s">
        <v>734</v>
      </c>
      <c r="C396" s="1224"/>
      <c r="D396" s="1224"/>
      <c r="E396" s="1224"/>
      <c r="F396" s="1225"/>
      <c r="G396" s="346"/>
      <c r="H396" s="384">
        <f>G396*H379</f>
        <v>0</v>
      </c>
      <c r="I396" s="346"/>
      <c r="J396" s="385">
        <f>I396*J379</f>
        <v>0</v>
      </c>
      <c r="L396" s="403"/>
      <c r="M396" s="403"/>
      <c r="N396" s="403"/>
      <c r="O396" s="403"/>
      <c r="P396" s="403"/>
      <c r="Q396" s="403"/>
      <c r="R396" s="403"/>
      <c r="S396" s="403"/>
      <c r="T396" s="403"/>
      <c r="U396" s="403"/>
      <c r="V396" s="403"/>
      <c r="W396" s="403"/>
      <c r="X396" s="403"/>
      <c r="Y396" s="403"/>
      <c r="Z396" s="367"/>
      <c r="AA396" s="304"/>
      <c r="AB396" s="304"/>
      <c r="AC396" s="304"/>
      <c r="AD396" s="304"/>
      <c r="AE396" s="304"/>
      <c r="AF396" s="304"/>
      <c r="AG396" s="304"/>
      <c r="AH396" s="304"/>
      <c r="AI396" s="304"/>
      <c r="AJ396" s="304"/>
      <c r="AK396" s="304"/>
      <c r="AL396" s="304"/>
      <c r="AM396" s="304"/>
      <c r="AN396" s="304"/>
      <c r="AO396" s="304"/>
      <c r="AP396" s="304"/>
      <c r="AQ396" s="304"/>
      <c r="AR396" s="304"/>
      <c r="AS396" s="304"/>
    </row>
    <row r="397" spans="2:45">
      <c r="B397" s="1172" t="s">
        <v>735</v>
      </c>
      <c r="C397" s="1173"/>
      <c r="D397" s="1173"/>
      <c r="E397" s="1173"/>
      <c r="F397" s="1173"/>
      <c r="G397" s="351"/>
      <c r="H397" s="397"/>
      <c r="I397" s="351"/>
      <c r="J397" s="398"/>
      <c r="L397" s="403"/>
      <c r="M397" s="403"/>
      <c r="N397" s="403"/>
      <c r="O397" s="403"/>
      <c r="P397" s="403"/>
      <c r="Q397" s="403"/>
      <c r="R397" s="403"/>
      <c r="S397" s="403"/>
      <c r="T397" s="403"/>
      <c r="U397" s="403"/>
      <c r="V397" s="403"/>
      <c r="W397" s="403"/>
      <c r="X397" s="403"/>
      <c r="Y397" s="403"/>
      <c r="Z397" s="367"/>
      <c r="AA397" s="304"/>
      <c r="AB397" s="304"/>
      <c r="AC397" s="304"/>
      <c r="AD397" s="304"/>
      <c r="AE397" s="304"/>
      <c r="AF397" s="304"/>
      <c r="AG397" s="304"/>
      <c r="AH397" s="304"/>
      <c r="AI397" s="304"/>
      <c r="AJ397" s="304"/>
      <c r="AK397" s="304"/>
      <c r="AL397" s="304"/>
      <c r="AM397" s="304"/>
      <c r="AN397" s="304"/>
      <c r="AO397" s="304"/>
      <c r="AP397" s="304"/>
      <c r="AQ397" s="304"/>
      <c r="AR397" s="304"/>
      <c r="AS397" s="304"/>
    </row>
    <row r="398" spans="2:45">
      <c r="B398" s="1226" t="s">
        <v>736</v>
      </c>
      <c r="C398" s="1227"/>
      <c r="D398" s="1227"/>
      <c r="E398" s="1227"/>
      <c r="F398" s="1228"/>
      <c r="G398" s="346"/>
      <c r="H398" s="384">
        <f>G398*H379</f>
        <v>0</v>
      </c>
      <c r="I398" s="346"/>
      <c r="J398" s="385">
        <f>I398*J379</f>
        <v>0</v>
      </c>
      <c r="L398" s="403"/>
      <c r="M398" s="403"/>
      <c r="N398" s="403"/>
      <c r="O398" s="403"/>
      <c r="P398" s="403"/>
      <c r="Q398" s="403"/>
      <c r="R398" s="403"/>
      <c r="S398" s="403"/>
      <c r="T398" s="403"/>
      <c r="U398" s="403"/>
      <c r="V398" s="403"/>
      <c r="W398" s="403"/>
      <c r="X398" s="403"/>
      <c r="Y398" s="403"/>
      <c r="Z398" s="367"/>
      <c r="AA398" s="304"/>
      <c r="AB398" s="304"/>
      <c r="AC398" s="304"/>
      <c r="AD398" s="304"/>
      <c r="AE398" s="304"/>
      <c r="AF398" s="304"/>
      <c r="AG398" s="304"/>
      <c r="AH398" s="304"/>
      <c r="AI398" s="304"/>
      <c r="AJ398" s="304"/>
      <c r="AK398" s="304"/>
      <c r="AL398" s="304"/>
      <c r="AM398" s="304"/>
      <c r="AN398" s="304"/>
      <c r="AO398" s="304"/>
      <c r="AP398" s="304"/>
      <c r="AQ398" s="304"/>
      <c r="AR398" s="304"/>
      <c r="AS398" s="304"/>
    </row>
    <row r="399" spans="2:45">
      <c r="B399" s="1229" t="s">
        <v>737</v>
      </c>
      <c r="C399" s="1230"/>
      <c r="D399" s="1230"/>
      <c r="E399" s="1230"/>
      <c r="F399" s="1230"/>
      <c r="G399" s="350"/>
      <c r="H399" s="351"/>
      <c r="I399" s="350"/>
      <c r="J399" s="352"/>
      <c r="L399" s="403"/>
      <c r="M399" s="403"/>
      <c r="N399" s="403"/>
      <c r="O399" s="403"/>
      <c r="P399" s="403"/>
      <c r="Q399" s="403"/>
      <c r="R399" s="403"/>
      <c r="S399" s="403"/>
      <c r="T399" s="403"/>
      <c r="U399" s="403"/>
      <c r="V399" s="403"/>
      <c r="W399" s="403"/>
      <c r="X399" s="403"/>
      <c r="Y399" s="403"/>
      <c r="Z399" s="367"/>
      <c r="AA399" s="304"/>
      <c r="AB399" s="304"/>
      <c r="AC399" s="304"/>
      <c r="AD399" s="304"/>
      <c r="AE399" s="304"/>
      <c r="AF399" s="304"/>
      <c r="AG399" s="304"/>
      <c r="AH399" s="304"/>
      <c r="AI399" s="304"/>
      <c r="AJ399" s="304"/>
      <c r="AK399" s="304"/>
      <c r="AL399" s="304"/>
      <c r="AM399" s="304"/>
      <c r="AN399" s="304"/>
      <c r="AO399" s="304"/>
      <c r="AP399" s="304"/>
      <c r="AQ399" s="304"/>
      <c r="AR399" s="304"/>
      <c r="AS399" s="304"/>
    </row>
    <row r="400" spans="2:45" ht="29.1" customHeight="1">
      <c r="B400" s="1231" t="s">
        <v>738</v>
      </c>
      <c r="C400" s="1232"/>
      <c r="D400" s="1232"/>
      <c r="E400" s="1232"/>
      <c r="F400" s="1233"/>
      <c r="G400" s="399"/>
      <c r="H400" s="359">
        <f>H379*G400*-1</f>
        <v>0</v>
      </c>
      <c r="I400" s="399"/>
      <c r="J400" s="400">
        <f>(J379*I400)*-1</f>
        <v>0</v>
      </c>
      <c r="L400" s="403"/>
      <c r="M400" s="403"/>
      <c r="N400" s="403"/>
      <c r="O400" s="403"/>
      <c r="P400" s="403"/>
      <c r="Q400" s="403"/>
      <c r="R400" s="403"/>
      <c r="S400" s="403"/>
      <c r="T400" s="403"/>
      <c r="U400" s="403"/>
      <c r="V400" s="403"/>
      <c r="W400" s="403"/>
      <c r="X400" s="403"/>
      <c r="Y400" s="403"/>
      <c r="Z400" s="367"/>
      <c r="AA400" s="304"/>
      <c r="AB400" s="304"/>
      <c r="AC400" s="304"/>
      <c r="AD400" s="304"/>
      <c r="AE400" s="304"/>
      <c r="AF400" s="304"/>
      <c r="AG400" s="304"/>
      <c r="AH400" s="304"/>
      <c r="AI400" s="304"/>
      <c r="AJ400" s="304"/>
      <c r="AK400" s="304"/>
      <c r="AL400" s="304"/>
      <c r="AM400" s="304"/>
      <c r="AN400" s="304"/>
      <c r="AO400" s="304"/>
      <c r="AP400" s="304"/>
      <c r="AQ400" s="304"/>
      <c r="AR400" s="304"/>
      <c r="AS400" s="304"/>
    </row>
    <row r="401" spans="1:45" ht="29.1" customHeight="1">
      <c r="B401" s="1234" t="s">
        <v>739</v>
      </c>
      <c r="C401" s="1235"/>
      <c r="D401" s="1235"/>
      <c r="E401" s="1235"/>
      <c r="F401" s="1236"/>
      <c r="G401" s="346"/>
      <c r="H401" s="401">
        <f>(H379*G401)*-1</f>
        <v>0</v>
      </c>
      <c r="I401" s="346"/>
      <c r="J401" s="402">
        <f>(J379*I401)*-1</f>
        <v>0</v>
      </c>
      <c r="L401" s="403"/>
      <c r="M401" s="403"/>
      <c r="N401" s="403"/>
      <c r="O401" s="403"/>
      <c r="P401" s="403"/>
      <c r="Q401" s="403"/>
      <c r="R401" s="403"/>
      <c r="S401" s="403"/>
      <c r="T401" s="403"/>
      <c r="U401" s="403"/>
      <c r="V401" s="403"/>
      <c r="W401" s="403"/>
      <c r="X401" s="403"/>
      <c r="Y401" s="403"/>
      <c r="Z401" s="367"/>
      <c r="AA401" s="304"/>
      <c r="AB401" s="304"/>
      <c r="AC401" s="304"/>
      <c r="AD401" s="304"/>
      <c r="AE401" s="304"/>
      <c r="AF401" s="304"/>
      <c r="AG401" s="304"/>
      <c r="AH401" s="304"/>
      <c r="AI401" s="304"/>
      <c r="AJ401" s="304"/>
      <c r="AK401" s="304"/>
      <c r="AL401" s="304"/>
      <c r="AM401" s="304"/>
      <c r="AN401" s="304"/>
      <c r="AO401" s="304"/>
      <c r="AP401" s="304"/>
      <c r="AQ401" s="304"/>
      <c r="AR401" s="304"/>
      <c r="AS401" s="304"/>
    </row>
    <row r="402" spans="1:45">
      <c r="B402" s="1211" t="s">
        <v>740</v>
      </c>
      <c r="C402" s="1212"/>
      <c r="D402" s="1212"/>
      <c r="E402" s="1212"/>
      <c r="F402" s="1213"/>
      <c r="G402" s="1214">
        <f>SUM(H383:H401)</f>
        <v>0</v>
      </c>
      <c r="H402" s="1215"/>
      <c r="I402" s="1214">
        <f>SUM(J385:J401)+J383</f>
        <v>0</v>
      </c>
      <c r="J402" s="1216"/>
      <c r="L402" s="403"/>
      <c r="M402" s="403"/>
      <c r="N402" s="403"/>
      <c r="O402" s="403"/>
      <c r="P402" s="403"/>
      <c r="Q402" s="403"/>
      <c r="R402" s="403"/>
      <c r="S402" s="403"/>
      <c r="T402" s="403"/>
      <c r="U402" s="403"/>
      <c r="V402" s="403"/>
      <c r="W402" s="403"/>
      <c r="X402" s="403"/>
      <c r="Y402" s="403"/>
      <c r="Z402" s="367"/>
      <c r="AA402" s="304"/>
      <c r="AB402" s="304"/>
      <c r="AC402" s="304"/>
      <c r="AD402" s="304"/>
      <c r="AE402" s="304"/>
      <c r="AF402" s="304"/>
      <c r="AG402" s="304"/>
      <c r="AH402" s="304"/>
      <c r="AI402" s="304"/>
      <c r="AJ402" s="304"/>
      <c r="AK402" s="304"/>
      <c r="AL402" s="304"/>
      <c r="AM402" s="304"/>
      <c r="AN402" s="304"/>
      <c r="AO402" s="304"/>
      <c r="AP402" s="304"/>
      <c r="AQ402" s="304"/>
      <c r="AR402" s="304"/>
      <c r="AS402" s="304"/>
    </row>
    <row r="403" spans="1:45" ht="18.75">
      <c r="B403" s="1217" t="s">
        <v>696</v>
      </c>
      <c r="C403" s="1218"/>
      <c r="D403" s="1218"/>
      <c r="E403" s="1218"/>
      <c r="F403" s="1219"/>
      <c r="G403" s="1161" t="str">
        <f>IF(OR(AC376=0, I402=0), "12 Month Average", "24 Month Average")</f>
        <v>12 Month Average</v>
      </c>
      <c r="H403" s="1162"/>
      <c r="I403" s="1162"/>
      <c r="J403" s="1163"/>
      <c r="L403" s="403"/>
      <c r="M403" s="403"/>
      <c r="N403" s="403"/>
      <c r="O403" s="403"/>
      <c r="P403" s="403"/>
      <c r="Q403" s="403"/>
      <c r="R403" s="403"/>
      <c r="S403" s="403"/>
      <c r="T403" s="403"/>
      <c r="U403" s="403"/>
      <c r="V403" s="403"/>
      <c r="W403" s="403"/>
      <c r="X403" s="403"/>
      <c r="Y403" s="403"/>
      <c r="Z403" s="367"/>
      <c r="AA403" s="304"/>
      <c r="AB403" s="304"/>
      <c r="AC403" s="304"/>
      <c r="AD403" s="304"/>
      <c r="AE403" s="304"/>
      <c r="AF403" s="304"/>
      <c r="AG403" s="304"/>
      <c r="AH403" s="304"/>
      <c r="AI403" s="304"/>
      <c r="AJ403" s="304"/>
      <c r="AK403" s="304"/>
      <c r="AL403" s="304"/>
      <c r="AM403" s="304"/>
      <c r="AN403" s="304"/>
      <c r="AO403" s="304"/>
      <c r="AP403" s="304"/>
      <c r="AQ403" s="304"/>
      <c r="AR403" s="304"/>
      <c r="AS403" s="304"/>
    </row>
    <row r="404" spans="1:45" ht="34.5" thickBot="1">
      <c r="B404" s="1220" t="s">
        <v>697</v>
      </c>
      <c r="C404" s="1221"/>
      <c r="D404" s="1221"/>
      <c r="E404" s="1221"/>
      <c r="F404" s="1222"/>
      <c r="G404" s="1167">
        <f>IF(OR(AC376=0, I402=0), AC378, AC379)</f>
        <v>0</v>
      </c>
      <c r="H404" s="1168"/>
      <c r="I404" s="1168"/>
      <c r="J404" s="1169"/>
      <c r="L404" s="403"/>
      <c r="M404" s="403"/>
      <c r="N404" s="403"/>
      <c r="O404" s="403"/>
      <c r="P404" s="403"/>
      <c r="Q404" s="403"/>
      <c r="R404" s="403"/>
      <c r="S404" s="403"/>
      <c r="T404" s="403"/>
      <c r="U404" s="403"/>
      <c r="V404" s="403"/>
      <c r="W404" s="403"/>
      <c r="X404" s="403"/>
      <c r="Y404" s="403"/>
      <c r="Z404" s="367"/>
      <c r="AA404" s="304"/>
      <c r="AB404" s="304"/>
      <c r="AC404" s="304"/>
      <c r="AD404" s="304"/>
    </row>
    <row r="405" spans="1:45" ht="9" customHeight="1" thickBot="1">
      <c r="H405" s="330"/>
      <c r="I405" s="330"/>
      <c r="L405" s="403"/>
      <c r="M405" s="403"/>
      <c r="N405" s="403"/>
      <c r="O405" s="403"/>
      <c r="P405" s="403"/>
      <c r="Q405" s="403"/>
      <c r="R405" s="403"/>
      <c r="S405" s="403"/>
      <c r="T405" s="403"/>
      <c r="U405" s="403"/>
      <c r="V405" s="403"/>
      <c r="W405" s="403"/>
      <c r="X405" s="403"/>
      <c r="Y405" s="403"/>
      <c r="Z405" s="367"/>
      <c r="AA405" s="304"/>
      <c r="AB405" s="304"/>
      <c r="AC405" s="304"/>
      <c r="AD405" s="304"/>
    </row>
    <row r="406" spans="1:45" ht="105" customHeight="1" thickBot="1">
      <c r="B406" s="1208" t="s">
        <v>645</v>
      </c>
      <c r="C406" s="1209"/>
      <c r="D406" s="1209"/>
      <c r="E406" s="1209"/>
      <c r="F406" s="1209"/>
      <c r="G406" s="1209"/>
      <c r="H406" s="1209"/>
      <c r="I406" s="1209"/>
      <c r="J406" s="1210"/>
      <c r="L406" s="367"/>
      <c r="M406" s="367"/>
      <c r="N406" s="367"/>
      <c r="O406" s="367"/>
      <c r="P406" s="367"/>
      <c r="Q406" s="367"/>
      <c r="R406" s="367"/>
      <c r="S406" s="367"/>
      <c r="T406" s="367"/>
      <c r="U406" s="367"/>
      <c r="V406" s="367"/>
      <c r="W406" s="367"/>
      <c r="X406" s="367"/>
      <c r="Y406" s="367"/>
      <c r="Z406" s="367"/>
      <c r="AA406" s="304"/>
      <c r="AB406" s="304"/>
      <c r="AC406" s="304"/>
      <c r="AD406" s="304"/>
    </row>
    <row r="407" spans="1:45">
      <c r="A407" s="304"/>
      <c r="B407" s="304"/>
      <c r="C407" s="304"/>
      <c r="D407" s="304"/>
      <c r="E407" s="304"/>
      <c r="F407" s="304"/>
      <c r="G407" s="304"/>
      <c r="H407" s="304"/>
      <c r="I407" s="304"/>
      <c r="J407" s="304"/>
      <c r="K407" s="304"/>
      <c r="L407" s="367"/>
      <c r="M407" s="367"/>
      <c r="N407" s="367"/>
      <c r="O407" s="367"/>
      <c r="P407" s="367"/>
      <c r="Q407" s="367"/>
      <c r="R407" s="367"/>
      <c r="S407" s="367"/>
      <c r="T407" s="367"/>
      <c r="U407" s="367"/>
      <c r="V407" s="367"/>
      <c r="W407" s="367"/>
      <c r="X407" s="367"/>
      <c r="Y407" s="367"/>
      <c r="Z407" s="367"/>
      <c r="AA407" s="304"/>
      <c r="AB407" s="304"/>
      <c r="AC407" s="304"/>
      <c r="AD407" s="304"/>
    </row>
    <row r="408" spans="1:45" ht="13.5" customHeight="1" thickBot="1">
      <c r="L408" s="304"/>
      <c r="M408" s="304"/>
      <c r="N408" s="304"/>
      <c r="O408" s="304"/>
      <c r="P408" s="304"/>
      <c r="Q408" s="304"/>
      <c r="R408" s="304"/>
      <c r="S408" s="304"/>
      <c r="T408" s="304"/>
      <c r="U408" s="304"/>
    </row>
    <row r="409" spans="1:45" ht="69" customHeight="1">
      <c r="B409" s="1187" t="s">
        <v>708</v>
      </c>
      <c r="C409" s="1188"/>
      <c r="D409" s="1188"/>
      <c r="E409" s="1188"/>
      <c r="F409" s="1188"/>
      <c r="G409" s="1188"/>
      <c r="H409" s="1188"/>
      <c r="I409" s="1188"/>
      <c r="J409" s="331" t="str">
        <f>'[3]Reference Sheet'!$B$2</f>
        <v>Rev. 4.12.2016</v>
      </c>
      <c r="L409" s="403"/>
      <c r="M409" s="403"/>
      <c r="N409" s="403"/>
      <c r="O409" s="403"/>
      <c r="P409" s="403"/>
      <c r="Q409" s="403"/>
      <c r="R409" s="403"/>
      <c r="S409" s="403"/>
      <c r="T409" s="403"/>
      <c r="U409" s="403"/>
      <c r="V409" s="403"/>
      <c r="W409" s="403"/>
      <c r="X409" s="403"/>
      <c r="Y409" s="403"/>
      <c r="Z409" s="367"/>
      <c r="AA409" s="304"/>
      <c r="AB409" s="304"/>
      <c r="AC409" s="304"/>
      <c r="AD409" s="304"/>
      <c r="AE409" s="304"/>
      <c r="AF409" s="304"/>
      <c r="AG409" s="304"/>
      <c r="AH409" s="304"/>
      <c r="AI409" s="304"/>
      <c r="AJ409" s="304"/>
      <c r="AK409" s="304"/>
      <c r="AL409" s="304"/>
      <c r="AM409" s="304"/>
      <c r="AN409" s="304"/>
      <c r="AO409" s="304"/>
      <c r="AP409" s="304"/>
      <c r="AQ409" s="304"/>
      <c r="AR409" s="304"/>
      <c r="AS409" s="304"/>
    </row>
    <row r="410" spans="1:45" ht="3.75" customHeight="1">
      <c r="B410" s="332"/>
      <c r="C410" s="333"/>
      <c r="D410" s="333"/>
      <c r="E410" s="333"/>
      <c r="F410" s="333"/>
      <c r="G410" s="333"/>
      <c r="H410" s="333"/>
      <c r="I410" s="333"/>
      <c r="J410" s="334"/>
      <c r="L410" s="403"/>
      <c r="M410" s="403"/>
      <c r="N410" s="403"/>
      <c r="O410" s="403"/>
      <c r="P410" s="403"/>
      <c r="Q410" s="403"/>
      <c r="R410" s="403"/>
      <c r="S410" s="403"/>
      <c r="T410" s="403"/>
      <c r="U410" s="403"/>
      <c r="V410" s="403"/>
      <c r="W410" s="403"/>
      <c r="X410" s="403"/>
      <c r="Y410" s="403"/>
      <c r="Z410" s="367"/>
      <c r="AA410" s="304"/>
      <c r="AB410" s="304"/>
      <c r="AC410" s="304"/>
      <c r="AD410" s="304"/>
      <c r="AE410" s="304"/>
      <c r="AF410" s="304"/>
      <c r="AG410" s="304"/>
      <c r="AH410" s="304"/>
      <c r="AI410" s="304"/>
      <c r="AJ410" s="304"/>
      <c r="AK410" s="304"/>
      <c r="AL410" s="304"/>
      <c r="AM410" s="304"/>
      <c r="AN410" s="304"/>
      <c r="AO410" s="304"/>
      <c r="AP410" s="304"/>
      <c r="AQ410" s="304"/>
      <c r="AR410" s="304"/>
      <c r="AS410" s="304"/>
    </row>
    <row r="411" spans="1:45" ht="18" customHeight="1" thickBot="1">
      <c r="B411" s="332"/>
      <c r="C411" s="368" t="s">
        <v>710</v>
      </c>
      <c r="D411" s="1189"/>
      <c r="E411" s="1190"/>
      <c r="F411" s="1190"/>
      <c r="G411" s="1190"/>
      <c r="H411" s="333"/>
      <c r="I411" s="333"/>
      <c r="J411" s="334"/>
      <c r="L411" s="403"/>
      <c r="M411" s="403"/>
      <c r="N411" s="403"/>
      <c r="O411" s="403"/>
      <c r="P411" s="403"/>
      <c r="Q411" s="403"/>
      <c r="R411" s="403"/>
      <c r="S411" s="403"/>
      <c r="T411" s="403"/>
      <c r="U411" s="403"/>
      <c r="V411" s="403"/>
      <c r="W411" s="403"/>
      <c r="X411" s="403"/>
      <c r="Y411" s="403"/>
      <c r="Z411" s="367"/>
      <c r="AA411" s="304"/>
      <c r="AB411" s="304" t="s">
        <v>680</v>
      </c>
      <c r="AC411" s="304">
        <f>IF(AND(J416=0, J420=0, J422=0, J431=0, J432=0, J433=0, J435=0, J437=0, J438=0, I439=0), 0, 1)</f>
        <v>1</v>
      </c>
      <c r="AD411" s="304"/>
      <c r="AE411" s="304"/>
      <c r="AF411" s="366" t="s">
        <v>596</v>
      </c>
      <c r="AG411" s="304"/>
      <c r="AH411" s="304"/>
      <c r="AI411" s="304"/>
      <c r="AJ411" s="304"/>
      <c r="AK411" s="304"/>
      <c r="AL411" s="304"/>
      <c r="AM411" s="304"/>
      <c r="AN411" s="304"/>
      <c r="AO411" s="304"/>
      <c r="AP411" s="304"/>
      <c r="AQ411" s="304"/>
      <c r="AR411" s="304"/>
      <c r="AS411" s="304"/>
    </row>
    <row r="412" spans="1:45" ht="18" customHeight="1" thickBot="1">
      <c r="B412" s="332"/>
      <c r="C412" s="368" t="s">
        <v>711</v>
      </c>
      <c r="D412" s="1277"/>
      <c r="E412" s="1278"/>
      <c r="F412" s="1278"/>
      <c r="G412" s="1278"/>
      <c r="H412" s="368" t="s">
        <v>712</v>
      </c>
      <c r="I412" s="1189"/>
      <c r="J412" s="1279"/>
      <c r="L412" s="403"/>
      <c r="M412" s="403"/>
      <c r="N412" s="403"/>
      <c r="O412" s="403"/>
      <c r="P412" s="403"/>
      <c r="Q412" s="403"/>
      <c r="R412" s="403"/>
      <c r="S412" s="403"/>
      <c r="T412" s="403"/>
      <c r="U412" s="403"/>
      <c r="V412" s="403"/>
      <c r="W412" s="403"/>
      <c r="X412" s="403"/>
      <c r="Y412" s="403"/>
      <c r="Z412" s="367"/>
      <c r="AA412" s="304"/>
      <c r="AB412" s="304" t="s">
        <v>682</v>
      </c>
      <c r="AC412" s="304">
        <f>IF(AND(G439&lt;=I439, I439&lt;&gt;0), 0, 1)</f>
        <v>1</v>
      </c>
      <c r="AD412" s="304"/>
      <c r="AE412" s="304"/>
      <c r="AF412" s="366" t="s">
        <v>683</v>
      </c>
      <c r="AG412" s="304"/>
      <c r="AH412" s="304"/>
      <c r="AI412" s="304"/>
      <c r="AJ412" s="304"/>
      <c r="AK412" s="304"/>
      <c r="AL412" s="304"/>
      <c r="AM412" s="304"/>
      <c r="AN412" s="304"/>
      <c r="AO412" s="304"/>
      <c r="AP412" s="304"/>
      <c r="AQ412" s="304"/>
      <c r="AR412" s="304"/>
      <c r="AS412" s="304"/>
    </row>
    <row r="413" spans="1:45" ht="18" customHeight="1" thickBot="1">
      <c r="B413" s="1176" t="s">
        <v>671</v>
      </c>
      <c r="C413" s="1177"/>
      <c r="D413" s="1280"/>
      <c r="E413" s="1281"/>
      <c r="F413" s="1281"/>
      <c r="G413" s="1281"/>
      <c r="H413" s="336" t="s">
        <v>673</v>
      </c>
      <c r="I413" s="369"/>
      <c r="J413" s="370"/>
      <c r="L413" s="403"/>
      <c r="M413" s="403"/>
      <c r="N413" s="403"/>
      <c r="O413" s="403"/>
      <c r="P413" s="403"/>
      <c r="Q413" s="403"/>
      <c r="R413" s="403"/>
      <c r="S413" s="403"/>
      <c r="T413" s="403"/>
      <c r="U413" s="403"/>
      <c r="V413" s="403"/>
      <c r="W413" s="403"/>
      <c r="X413" s="403"/>
      <c r="Y413" s="403"/>
      <c r="Z413" s="367"/>
      <c r="AA413" s="304"/>
      <c r="AB413" s="304" t="s">
        <v>685</v>
      </c>
      <c r="AC413" s="304">
        <f>IF(AND(AC412=0, AC411=1), 0, 1)</f>
        <v>1</v>
      </c>
      <c r="AD413" s="304"/>
      <c r="AE413" s="304"/>
      <c r="AF413" s="366" t="s">
        <v>599</v>
      </c>
      <c r="AG413" s="304"/>
      <c r="AH413" s="304"/>
      <c r="AI413" s="304"/>
      <c r="AJ413" s="304"/>
      <c r="AK413" s="304"/>
      <c r="AL413" s="304"/>
      <c r="AM413" s="304"/>
      <c r="AN413" s="304"/>
      <c r="AO413" s="304"/>
      <c r="AP413" s="304"/>
      <c r="AQ413" s="304"/>
      <c r="AR413" s="304"/>
      <c r="AS413" s="304"/>
    </row>
    <row r="414" spans="1:45" ht="18" customHeight="1" thickBot="1">
      <c r="B414" s="1176" t="s">
        <v>674</v>
      </c>
      <c r="C414" s="1177"/>
      <c r="D414" s="1262"/>
      <c r="E414" s="1263"/>
      <c r="F414" s="1263"/>
      <c r="G414" s="1263"/>
      <c r="H414" s="1263"/>
      <c r="I414" s="1263"/>
      <c r="J414" s="1264"/>
      <c r="L414" s="403"/>
      <c r="M414" s="403"/>
      <c r="N414" s="403"/>
      <c r="O414" s="403"/>
      <c r="P414" s="403"/>
      <c r="Q414" s="403"/>
      <c r="R414" s="403"/>
      <c r="S414" s="403"/>
      <c r="T414" s="403"/>
      <c r="U414" s="403"/>
      <c r="V414" s="403"/>
      <c r="W414" s="403"/>
      <c r="X414" s="403"/>
      <c r="Y414" s="403"/>
      <c r="Z414" s="367"/>
      <c r="AA414" s="304"/>
      <c r="AB414" s="304"/>
      <c r="AC414" s="304"/>
      <c r="AD414" s="304"/>
      <c r="AE414" s="304"/>
      <c r="AF414" s="366" t="s">
        <v>603</v>
      </c>
      <c r="AG414" s="304"/>
      <c r="AH414" s="304"/>
      <c r="AI414" s="304"/>
      <c r="AJ414" s="304"/>
      <c r="AK414" s="304"/>
      <c r="AL414" s="304"/>
      <c r="AM414" s="304"/>
      <c r="AN414" s="304"/>
      <c r="AO414" s="304"/>
      <c r="AP414" s="304"/>
      <c r="AQ414" s="304"/>
      <c r="AR414" s="304"/>
      <c r="AS414" s="304"/>
    </row>
    <row r="415" spans="1:45">
      <c r="B415" s="1265"/>
      <c r="C415" s="1266"/>
      <c r="D415" s="1266"/>
      <c r="E415" s="1266"/>
      <c r="F415" s="1267"/>
      <c r="G415" s="371" t="s">
        <v>713</v>
      </c>
      <c r="H415" s="372" t="s">
        <v>676</v>
      </c>
      <c r="I415" s="342"/>
      <c r="J415" s="373" t="s">
        <v>677</v>
      </c>
      <c r="L415" s="403"/>
      <c r="M415" s="403"/>
      <c r="N415" s="403"/>
      <c r="O415" s="403"/>
      <c r="P415" s="403"/>
      <c r="Q415" s="403"/>
      <c r="R415" s="403"/>
      <c r="S415" s="403"/>
      <c r="T415" s="403"/>
      <c r="U415" s="403"/>
      <c r="V415" s="403"/>
      <c r="W415" s="403"/>
      <c r="X415" s="403"/>
      <c r="Y415" s="403"/>
      <c r="Z415" s="367"/>
      <c r="AA415" s="304"/>
      <c r="AB415" s="304" t="s">
        <v>689</v>
      </c>
      <c r="AC415" s="374">
        <f>G439/12</f>
        <v>0</v>
      </c>
      <c r="AD415" s="304"/>
      <c r="AE415" s="304"/>
      <c r="AF415" s="366" t="s">
        <v>605</v>
      </c>
      <c r="AG415" s="304"/>
      <c r="AH415" s="304"/>
      <c r="AI415" s="304"/>
      <c r="AJ415" s="304"/>
      <c r="AK415" s="304"/>
      <c r="AL415" s="304"/>
      <c r="AM415" s="304"/>
      <c r="AN415" s="304"/>
      <c r="AO415" s="304"/>
      <c r="AP415" s="304"/>
      <c r="AQ415" s="304"/>
      <c r="AR415" s="304"/>
      <c r="AS415" s="304"/>
    </row>
    <row r="416" spans="1:45">
      <c r="B416" s="1268"/>
      <c r="C416" s="1266"/>
      <c r="D416" s="1266"/>
      <c r="E416" s="1266"/>
      <c r="F416" s="1267"/>
      <c r="G416" s="375" t="s">
        <v>714</v>
      </c>
      <c r="H416" s="376"/>
      <c r="I416" s="1272"/>
      <c r="J416" s="378"/>
      <c r="L416" s="403"/>
      <c r="M416" s="403"/>
      <c r="N416" s="403"/>
      <c r="O416" s="403"/>
      <c r="P416" s="403"/>
      <c r="Q416" s="403"/>
      <c r="R416" s="403"/>
      <c r="S416" s="403"/>
      <c r="T416" s="403"/>
      <c r="U416" s="403"/>
      <c r="V416" s="403"/>
      <c r="W416" s="403"/>
      <c r="X416" s="403"/>
      <c r="Y416" s="403"/>
      <c r="Z416" s="367"/>
      <c r="AA416" s="304"/>
      <c r="AB416" s="304" t="s">
        <v>691</v>
      </c>
      <c r="AC416" s="374">
        <f>(G439+I439)/24</f>
        <v>0</v>
      </c>
      <c r="AD416" s="304"/>
      <c r="AE416" s="304"/>
      <c r="AF416" s="304"/>
      <c r="AG416" s="304"/>
      <c r="AH416" s="304"/>
      <c r="AI416" s="304"/>
      <c r="AJ416" s="304"/>
      <c r="AK416" s="304"/>
      <c r="AL416" s="304"/>
      <c r="AM416" s="304"/>
      <c r="AN416" s="304"/>
      <c r="AO416" s="304"/>
      <c r="AP416" s="304"/>
      <c r="AQ416" s="304"/>
      <c r="AR416" s="304"/>
      <c r="AS416" s="304"/>
    </row>
    <row r="417" spans="2:45">
      <c r="B417" s="1268"/>
      <c r="C417" s="1266"/>
      <c r="D417" s="1266"/>
      <c r="E417" s="1266"/>
      <c r="F417" s="1267"/>
      <c r="G417" s="379" t="s">
        <v>715</v>
      </c>
      <c r="H417" s="380"/>
      <c r="I417" s="1272"/>
      <c r="J417" s="378"/>
      <c r="L417" s="403"/>
      <c r="M417" s="403"/>
      <c r="N417" s="403"/>
      <c r="O417" s="403"/>
      <c r="P417" s="403"/>
      <c r="Q417" s="403"/>
      <c r="R417" s="403"/>
      <c r="S417" s="403"/>
      <c r="T417" s="403"/>
      <c r="U417" s="403"/>
      <c r="V417" s="403"/>
      <c r="W417" s="403"/>
      <c r="X417" s="403"/>
      <c r="Y417" s="403"/>
      <c r="Z417" s="367"/>
      <c r="AA417" s="304"/>
      <c r="AB417" s="304"/>
      <c r="AC417" s="304"/>
      <c r="AD417" s="304"/>
      <c r="AE417" s="304"/>
      <c r="AF417" s="304"/>
      <c r="AG417" s="304"/>
      <c r="AH417" s="304"/>
      <c r="AI417" s="304"/>
      <c r="AJ417" s="304"/>
      <c r="AK417" s="304"/>
      <c r="AL417" s="304"/>
      <c r="AM417" s="304"/>
      <c r="AN417" s="304"/>
      <c r="AO417" s="304"/>
      <c r="AP417" s="304"/>
      <c r="AQ417" s="304"/>
      <c r="AR417" s="304"/>
      <c r="AS417" s="304"/>
    </row>
    <row r="418" spans="2:45" ht="15.75" thickBot="1">
      <c r="B418" s="1269"/>
      <c r="C418" s="1270"/>
      <c r="D418" s="1270"/>
      <c r="E418" s="1270"/>
      <c r="F418" s="1271"/>
      <c r="G418" s="379" t="s">
        <v>716</v>
      </c>
      <c r="H418" s="376"/>
      <c r="I418" s="1272"/>
      <c r="J418" s="378"/>
      <c r="L418" s="403"/>
      <c r="M418" s="403"/>
      <c r="N418" s="403"/>
      <c r="O418" s="403"/>
      <c r="P418" s="403"/>
      <c r="Q418" s="403"/>
      <c r="R418" s="403"/>
      <c r="S418" s="403"/>
      <c r="T418" s="403"/>
      <c r="U418" s="403"/>
      <c r="V418" s="403"/>
      <c r="W418" s="403"/>
      <c r="X418" s="403"/>
      <c r="Y418" s="403"/>
      <c r="Z418" s="367"/>
      <c r="AA418" s="304"/>
      <c r="AB418" s="304" t="s">
        <v>717</v>
      </c>
      <c r="AC418" s="304" t="str">
        <f>IF(OR(H416=0, H416&gt;100%), "Year End Profit %", (G422+G423+G424))</f>
        <v>Year End Profit %</v>
      </c>
      <c r="AD418" s="304"/>
      <c r="AE418" s="304"/>
      <c r="AF418" s="304"/>
      <c r="AG418" s="304"/>
      <c r="AH418" s="304"/>
      <c r="AI418" s="304"/>
      <c r="AJ418" s="304"/>
      <c r="AK418" s="304"/>
      <c r="AL418" s="304"/>
      <c r="AM418" s="304"/>
      <c r="AN418" s="304"/>
      <c r="AO418" s="304"/>
      <c r="AP418" s="304"/>
      <c r="AQ418" s="304"/>
      <c r="AR418" s="304"/>
      <c r="AS418" s="304"/>
    </row>
    <row r="419" spans="2:45" ht="18.75">
      <c r="B419" s="1229" t="s">
        <v>718</v>
      </c>
      <c r="C419" s="1273"/>
      <c r="D419" s="1273"/>
      <c r="E419" s="1273"/>
      <c r="F419" s="1273"/>
      <c r="G419" s="377" t="s">
        <v>719</v>
      </c>
      <c r="H419" s="381"/>
      <c r="I419" s="377" t="s">
        <v>719</v>
      </c>
      <c r="J419" s="382"/>
      <c r="L419" s="403"/>
      <c r="M419" s="403"/>
      <c r="N419" s="403"/>
      <c r="O419" s="403"/>
      <c r="P419" s="403"/>
      <c r="Q419" s="403"/>
      <c r="R419" s="403"/>
      <c r="S419" s="403"/>
      <c r="T419" s="403"/>
      <c r="U419" s="403"/>
      <c r="V419" s="403"/>
      <c r="W419" s="403"/>
      <c r="X419" s="403"/>
      <c r="Y419" s="403"/>
      <c r="Z419" s="367"/>
      <c r="AA419" s="304"/>
      <c r="AB419" s="304" t="s">
        <v>720</v>
      </c>
      <c r="AC419" s="304" t="str">
        <f>IF(OR(J416&gt;100%, J416=0), "Year End Profit %", (I422+I423+I424))</f>
        <v>Year End Profit %</v>
      </c>
      <c r="AD419" s="383"/>
      <c r="AE419" s="304"/>
      <c r="AF419" s="304"/>
      <c r="AG419" s="304"/>
      <c r="AH419" s="304"/>
      <c r="AI419" s="304"/>
      <c r="AJ419" s="304"/>
      <c r="AK419" s="304"/>
      <c r="AL419" s="304"/>
      <c r="AM419" s="304"/>
      <c r="AN419" s="304"/>
      <c r="AO419" s="304"/>
      <c r="AP419" s="304"/>
      <c r="AQ419" s="304"/>
      <c r="AR419" s="304"/>
      <c r="AS419" s="304"/>
    </row>
    <row r="420" spans="2:45">
      <c r="B420" s="1274" t="s">
        <v>721</v>
      </c>
      <c r="C420" s="1275"/>
      <c r="D420" s="1275"/>
      <c r="E420" s="1275"/>
      <c r="F420" s="1276"/>
      <c r="G420" s="346"/>
      <c r="H420" s="384">
        <f>G420</f>
        <v>0</v>
      </c>
      <c r="I420" s="364"/>
      <c r="J420" s="385">
        <f>I420</f>
        <v>0</v>
      </c>
      <c r="L420" s="403"/>
      <c r="M420" s="403"/>
      <c r="N420" s="403"/>
      <c r="O420" s="403"/>
      <c r="P420" s="403"/>
      <c r="Q420" s="403"/>
      <c r="R420" s="403"/>
      <c r="S420" s="403"/>
      <c r="T420" s="403"/>
      <c r="U420" s="403"/>
      <c r="V420" s="403"/>
      <c r="W420" s="403"/>
      <c r="X420" s="403"/>
      <c r="Y420" s="403"/>
      <c r="Z420" s="367"/>
      <c r="AA420" s="304"/>
      <c r="AB420" s="304"/>
      <c r="AC420" s="304"/>
      <c r="AD420" s="304"/>
      <c r="AE420" s="304"/>
      <c r="AF420" s="304"/>
      <c r="AG420" s="304"/>
      <c r="AH420" s="304"/>
      <c r="AI420" s="304"/>
      <c r="AJ420" s="304"/>
      <c r="AK420" s="304"/>
      <c r="AL420" s="304"/>
      <c r="AM420" s="304"/>
      <c r="AN420" s="304"/>
      <c r="AO420" s="304"/>
      <c r="AP420" s="304"/>
      <c r="AQ420" s="304"/>
      <c r="AR420" s="304"/>
      <c r="AS420" s="304"/>
    </row>
    <row r="421" spans="2:45">
      <c r="B421" s="1246" t="s">
        <v>722</v>
      </c>
      <c r="C421" s="1247"/>
      <c r="D421" s="1247"/>
      <c r="E421" s="1247"/>
      <c r="F421" s="1247"/>
      <c r="G421" s="377"/>
      <c r="H421" s="381"/>
      <c r="I421" s="386"/>
      <c r="J421" s="382"/>
      <c r="L421" s="403"/>
      <c r="M421" s="403"/>
      <c r="N421" s="403"/>
      <c r="O421" s="403"/>
      <c r="P421" s="403"/>
      <c r="Q421" s="403"/>
      <c r="R421" s="403"/>
      <c r="S421" s="403"/>
      <c r="T421" s="403"/>
      <c r="U421" s="403"/>
      <c r="V421" s="403"/>
      <c r="W421" s="403"/>
      <c r="X421" s="403"/>
      <c r="Y421" s="403"/>
      <c r="Z421" s="367"/>
      <c r="AA421" s="304"/>
      <c r="AB421" s="304"/>
      <c r="AC421" s="304"/>
      <c r="AD421" s="304"/>
      <c r="AE421" s="304"/>
      <c r="AF421" s="304"/>
      <c r="AG421" s="304"/>
      <c r="AH421" s="304"/>
      <c r="AI421" s="304"/>
      <c r="AJ421" s="304"/>
      <c r="AK421" s="304"/>
      <c r="AL421" s="304"/>
      <c r="AM421" s="304"/>
      <c r="AN421" s="304"/>
      <c r="AO421" s="304"/>
      <c r="AP421" s="304"/>
      <c r="AQ421" s="304"/>
      <c r="AR421" s="304"/>
      <c r="AS421" s="304"/>
    </row>
    <row r="422" spans="2:45">
      <c r="B422" s="1248" t="s">
        <v>723</v>
      </c>
      <c r="C422" s="1249"/>
      <c r="D422" s="1249"/>
      <c r="E422" s="1249"/>
      <c r="F422" s="1250"/>
      <c r="G422" s="346"/>
      <c r="H422" s="387" t="str">
        <f>AC418</f>
        <v>Year End Profit %</v>
      </c>
      <c r="I422" s="346"/>
      <c r="J422" s="388" t="str">
        <f>AC419</f>
        <v>Year End Profit %</v>
      </c>
      <c r="L422" s="403"/>
      <c r="M422" s="403"/>
      <c r="N422" s="403"/>
      <c r="O422" s="403"/>
      <c r="P422" s="403"/>
      <c r="Q422" s="403"/>
      <c r="R422" s="403"/>
      <c r="S422" s="403"/>
      <c r="T422" s="403"/>
      <c r="U422" s="403"/>
      <c r="V422" s="403"/>
      <c r="W422" s="403"/>
      <c r="X422" s="403"/>
      <c r="Y422" s="403"/>
      <c r="Z422" s="367"/>
      <c r="AA422" s="304"/>
      <c r="AB422" s="304"/>
      <c r="AC422" s="304"/>
      <c r="AD422" s="304"/>
      <c r="AE422" s="304"/>
      <c r="AF422" s="304"/>
      <c r="AG422" s="304"/>
      <c r="AH422" s="304"/>
      <c r="AI422" s="304"/>
      <c r="AJ422" s="304"/>
      <c r="AK422" s="304"/>
      <c r="AL422" s="304"/>
      <c r="AM422" s="304"/>
      <c r="AN422" s="304"/>
      <c r="AO422" s="304"/>
      <c r="AP422" s="304"/>
      <c r="AQ422" s="304"/>
      <c r="AR422" s="304"/>
      <c r="AS422" s="304"/>
    </row>
    <row r="423" spans="2:45">
      <c r="B423" s="1251" t="s">
        <v>724</v>
      </c>
      <c r="C423" s="1252"/>
      <c r="D423" s="1252"/>
      <c r="E423" s="1252"/>
      <c r="F423" s="1253"/>
      <c r="G423" s="346"/>
      <c r="H423" s="389"/>
      <c r="I423" s="346"/>
      <c r="J423" s="390"/>
      <c r="L423" s="403"/>
      <c r="M423" s="403"/>
      <c r="N423" s="403"/>
      <c r="O423" s="403"/>
      <c r="P423" s="403"/>
      <c r="Q423" s="403"/>
      <c r="R423" s="403"/>
      <c r="S423" s="403"/>
      <c r="T423" s="403"/>
      <c r="U423" s="403"/>
      <c r="V423" s="403"/>
      <c r="W423" s="403"/>
      <c r="X423" s="403"/>
      <c r="Y423" s="403"/>
      <c r="Z423" s="367"/>
      <c r="AA423" s="304"/>
      <c r="AB423" s="304"/>
      <c r="AC423" s="304"/>
      <c r="AD423" s="304"/>
      <c r="AE423" s="304"/>
      <c r="AF423" s="304"/>
      <c r="AG423" s="304"/>
      <c r="AH423" s="304"/>
      <c r="AI423" s="304"/>
      <c r="AJ423" s="304"/>
      <c r="AK423" s="304"/>
      <c r="AL423" s="304"/>
      <c r="AM423" s="304"/>
      <c r="AN423" s="304"/>
      <c r="AO423" s="304"/>
      <c r="AP423" s="304"/>
      <c r="AQ423" s="304"/>
      <c r="AR423" s="304"/>
      <c r="AS423" s="304"/>
    </row>
    <row r="424" spans="2:45">
      <c r="B424" s="1254" t="s">
        <v>725</v>
      </c>
      <c r="C424" s="1255"/>
      <c r="D424" s="1255"/>
      <c r="E424" s="1255"/>
      <c r="F424" s="1256"/>
      <c r="G424" s="346"/>
      <c r="H424" s="389"/>
      <c r="I424" s="346"/>
      <c r="J424" s="390"/>
      <c r="L424" s="403"/>
      <c r="M424" s="403"/>
      <c r="N424" s="403"/>
      <c r="O424" s="403"/>
      <c r="P424" s="403"/>
      <c r="Q424" s="403"/>
      <c r="R424" s="403"/>
      <c r="S424" s="403"/>
      <c r="T424" s="403"/>
      <c r="U424" s="403"/>
      <c r="V424" s="403"/>
      <c r="W424" s="403"/>
      <c r="X424" s="403"/>
      <c r="Y424" s="403"/>
      <c r="Z424" s="367"/>
      <c r="AA424" s="304"/>
      <c r="AB424" s="304"/>
      <c r="AC424" s="304"/>
      <c r="AD424" s="304"/>
      <c r="AE424" s="304"/>
      <c r="AF424" s="304"/>
      <c r="AG424" s="304"/>
      <c r="AH424" s="304"/>
      <c r="AI424" s="304"/>
      <c r="AJ424" s="304"/>
      <c r="AK424" s="304"/>
      <c r="AL424" s="304"/>
      <c r="AM424" s="304"/>
      <c r="AN424" s="304"/>
      <c r="AO424" s="304"/>
      <c r="AP424" s="304"/>
      <c r="AQ424" s="304"/>
      <c r="AR424" s="304"/>
      <c r="AS424" s="304"/>
    </row>
    <row r="425" spans="2:45">
      <c r="B425" s="1257" t="s">
        <v>726</v>
      </c>
      <c r="C425" s="1258"/>
      <c r="D425" s="1258"/>
      <c r="E425" s="1258"/>
      <c r="F425" s="1258"/>
      <c r="G425" s="391"/>
      <c r="H425" s="392"/>
      <c r="I425" s="391"/>
      <c r="J425" s="393"/>
      <c r="L425" s="403"/>
      <c r="M425" s="403"/>
      <c r="N425" s="403"/>
      <c r="O425" s="403"/>
      <c r="P425" s="403"/>
      <c r="Q425" s="403"/>
      <c r="R425" s="403"/>
      <c r="S425" s="403"/>
      <c r="T425" s="403"/>
      <c r="U425" s="403"/>
      <c r="V425" s="403"/>
      <c r="W425" s="403"/>
      <c r="X425" s="403"/>
      <c r="Y425" s="403"/>
      <c r="Z425" s="367"/>
      <c r="AA425" s="304"/>
      <c r="AB425" s="304"/>
      <c r="AC425" s="304"/>
      <c r="AD425" s="304"/>
      <c r="AE425" s="304"/>
      <c r="AF425" s="304"/>
      <c r="AG425" s="304"/>
      <c r="AH425" s="304"/>
      <c r="AI425" s="304"/>
      <c r="AJ425" s="304"/>
      <c r="AK425" s="304"/>
      <c r="AL425" s="304"/>
      <c r="AM425" s="304"/>
      <c r="AN425" s="304"/>
      <c r="AO425" s="304"/>
      <c r="AP425" s="304"/>
      <c r="AQ425" s="304"/>
      <c r="AR425" s="304"/>
      <c r="AS425" s="304"/>
    </row>
    <row r="426" spans="2:45">
      <c r="B426" s="1259" t="s">
        <v>727</v>
      </c>
      <c r="C426" s="1260"/>
      <c r="D426" s="1260"/>
      <c r="E426" s="1260"/>
      <c r="F426" s="1261"/>
      <c r="G426" s="394"/>
      <c r="H426" s="395">
        <f>(G426*H416)*-1</f>
        <v>0</v>
      </c>
      <c r="I426" s="394"/>
      <c r="J426" s="396">
        <f>(I426*J416)*-1</f>
        <v>0</v>
      </c>
      <c r="L426" s="403"/>
      <c r="M426" s="403"/>
      <c r="N426" s="403"/>
      <c r="O426" s="403"/>
      <c r="P426" s="403"/>
      <c r="Q426" s="403"/>
      <c r="R426" s="403"/>
      <c r="S426" s="403"/>
      <c r="T426" s="403"/>
      <c r="U426" s="403"/>
      <c r="V426" s="403"/>
      <c r="W426" s="403"/>
      <c r="X426" s="403"/>
      <c r="Y426" s="403"/>
      <c r="Z426" s="367"/>
      <c r="AA426" s="304"/>
      <c r="AB426" s="304"/>
      <c r="AC426" s="304"/>
      <c r="AD426" s="304"/>
      <c r="AE426" s="304"/>
      <c r="AF426" s="304"/>
      <c r="AG426" s="304"/>
      <c r="AH426" s="304"/>
      <c r="AI426" s="304"/>
      <c r="AJ426" s="304"/>
      <c r="AK426" s="304"/>
      <c r="AL426" s="304"/>
      <c r="AM426" s="304"/>
      <c r="AN426" s="304"/>
      <c r="AO426" s="304"/>
      <c r="AP426" s="304"/>
      <c r="AQ426" s="304"/>
      <c r="AR426" s="304"/>
      <c r="AS426" s="304"/>
    </row>
    <row r="427" spans="2:45">
      <c r="B427" s="1237" t="s">
        <v>728</v>
      </c>
      <c r="C427" s="1238"/>
      <c r="D427" s="1238"/>
      <c r="E427" s="1238"/>
      <c r="F427" s="1239"/>
      <c r="G427" s="394"/>
      <c r="H427" s="395">
        <f>(G427*H416)*-1</f>
        <v>0</v>
      </c>
      <c r="I427" s="394"/>
      <c r="J427" s="396">
        <f>(I427*J416)*-1</f>
        <v>0</v>
      </c>
      <c r="L427" s="403"/>
      <c r="M427" s="403"/>
      <c r="N427" s="403"/>
      <c r="O427" s="403"/>
      <c r="P427" s="403"/>
      <c r="Q427" s="403"/>
      <c r="R427" s="403"/>
      <c r="S427" s="403"/>
      <c r="T427" s="403"/>
      <c r="U427" s="403"/>
      <c r="V427" s="403"/>
      <c r="W427" s="403"/>
      <c r="X427" s="403"/>
      <c r="Y427" s="403"/>
      <c r="Z427" s="367"/>
      <c r="AA427" s="304"/>
      <c r="AB427" s="304"/>
      <c r="AC427" s="304"/>
      <c r="AD427" s="304"/>
      <c r="AE427" s="304"/>
      <c r="AF427" s="304"/>
      <c r="AG427" s="304"/>
      <c r="AH427" s="304"/>
      <c r="AI427" s="304"/>
      <c r="AJ427" s="304"/>
      <c r="AK427" s="304"/>
      <c r="AL427" s="304"/>
      <c r="AM427" s="304"/>
      <c r="AN427" s="304"/>
      <c r="AO427" s="304"/>
      <c r="AP427" s="304"/>
      <c r="AQ427" s="304"/>
      <c r="AR427" s="304"/>
      <c r="AS427" s="304"/>
    </row>
    <row r="428" spans="2:45">
      <c r="B428" s="1237" t="s">
        <v>729</v>
      </c>
      <c r="C428" s="1238"/>
      <c r="D428" s="1238"/>
      <c r="E428" s="1238"/>
      <c r="F428" s="1239"/>
      <c r="G428" s="394"/>
      <c r="H428" s="395">
        <f>(G428*H416)*-1</f>
        <v>0</v>
      </c>
      <c r="I428" s="394"/>
      <c r="J428" s="396">
        <f>(I428*J416)*-1</f>
        <v>0</v>
      </c>
      <c r="L428" s="403"/>
      <c r="M428" s="403"/>
      <c r="N428" s="403"/>
      <c r="O428" s="403"/>
      <c r="P428" s="403"/>
      <c r="Q428" s="403"/>
      <c r="R428" s="403"/>
      <c r="S428" s="403"/>
      <c r="T428" s="403"/>
      <c r="U428" s="403"/>
      <c r="V428" s="403"/>
      <c r="W428" s="403"/>
      <c r="X428" s="403"/>
      <c r="Y428" s="403"/>
      <c r="Z428" s="367"/>
      <c r="AA428" s="304"/>
      <c r="AB428" s="304"/>
      <c r="AC428" s="304"/>
      <c r="AD428" s="304"/>
      <c r="AE428" s="304"/>
      <c r="AF428" s="304"/>
      <c r="AG428" s="304"/>
      <c r="AH428" s="304"/>
      <c r="AI428" s="304"/>
      <c r="AJ428" s="304"/>
      <c r="AK428" s="304"/>
      <c r="AL428" s="304"/>
      <c r="AM428" s="304"/>
      <c r="AN428" s="304"/>
      <c r="AO428" s="304"/>
      <c r="AP428" s="304"/>
      <c r="AQ428" s="304"/>
      <c r="AR428" s="304"/>
      <c r="AS428" s="304"/>
    </row>
    <row r="429" spans="2:45">
      <c r="B429" s="1240" t="s">
        <v>730</v>
      </c>
      <c r="C429" s="1241"/>
      <c r="D429" s="1241"/>
      <c r="E429" s="1241"/>
      <c r="F429" s="1242"/>
      <c r="G429" s="394"/>
      <c r="H429" s="395">
        <f>(G429*H416)*-1</f>
        <v>0</v>
      </c>
      <c r="I429" s="394"/>
      <c r="J429" s="396">
        <f>(I429*J416)*-1</f>
        <v>0</v>
      </c>
      <c r="L429" s="403"/>
      <c r="M429" s="403"/>
      <c r="N429" s="403"/>
      <c r="O429" s="403"/>
      <c r="P429" s="403"/>
      <c r="Q429" s="403"/>
      <c r="R429" s="403"/>
      <c r="S429" s="403"/>
      <c r="T429" s="403"/>
      <c r="U429" s="403"/>
      <c r="V429" s="403"/>
      <c r="W429" s="403"/>
      <c r="X429" s="403"/>
      <c r="Y429" s="403"/>
      <c r="Z429" s="367"/>
      <c r="AA429" s="304"/>
      <c r="AB429" s="304"/>
      <c r="AC429" s="304"/>
      <c r="AD429" s="304"/>
      <c r="AE429" s="304"/>
      <c r="AF429" s="304"/>
      <c r="AG429" s="304"/>
      <c r="AH429" s="304"/>
      <c r="AI429" s="304"/>
      <c r="AJ429" s="304"/>
      <c r="AK429" s="304"/>
      <c r="AL429" s="304"/>
      <c r="AM429" s="304"/>
      <c r="AN429" s="304"/>
      <c r="AO429" s="304"/>
      <c r="AP429" s="304"/>
      <c r="AQ429" s="304"/>
      <c r="AR429" s="304"/>
      <c r="AS429" s="304"/>
    </row>
    <row r="430" spans="2:45">
      <c r="B430" s="1229" t="s">
        <v>731</v>
      </c>
      <c r="C430" s="1230"/>
      <c r="D430" s="1230"/>
      <c r="E430" s="1230"/>
      <c r="F430" s="1230"/>
      <c r="G430" s="350"/>
      <c r="H430" s="351"/>
      <c r="I430" s="350"/>
      <c r="J430" s="352"/>
      <c r="L430" s="403"/>
      <c r="M430" s="403"/>
      <c r="N430" s="403"/>
      <c r="O430" s="403"/>
      <c r="P430" s="403"/>
      <c r="Q430" s="403"/>
      <c r="R430" s="403"/>
      <c r="S430" s="403"/>
      <c r="T430" s="403"/>
      <c r="U430" s="403"/>
      <c r="V430" s="403"/>
      <c r="W430" s="403"/>
      <c r="X430" s="403"/>
      <c r="Y430" s="403"/>
      <c r="Z430" s="367"/>
      <c r="AA430" s="304"/>
      <c r="AB430" s="304"/>
      <c r="AC430" s="304"/>
      <c r="AD430" s="304"/>
      <c r="AE430" s="304"/>
      <c r="AF430" s="304"/>
      <c r="AG430" s="304"/>
      <c r="AH430" s="304"/>
      <c r="AI430" s="304"/>
      <c r="AJ430" s="304"/>
      <c r="AK430" s="304"/>
      <c r="AL430" s="304"/>
      <c r="AM430" s="304"/>
      <c r="AN430" s="304"/>
      <c r="AO430" s="304"/>
      <c r="AP430" s="304"/>
      <c r="AQ430" s="304"/>
      <c r="AR430" s="304"/>
      <c r="AS430" s="304"/>
    </row>
    <row r="431" spans="2:45">
      <c r="B431" s="1243" t="s">
        <v>732</v>
      </c>
      <c r="C431" s="1244"/>
      <c r="D431" s="1244"/>
      <c r="E431" s="1244"/>
      <c r="F431" s="1245"/>
      <c r="G431" s="346"/>
      <c r="H431" s="384">
        <f>G431*H416</f>
        <v>0</v>
      </c>
      <c r="I431" s="346"/>
      <c r="J431" s="385">
        <f>I431*J416</f>
        <v>0</v>
      </c>
      <c r="L431" s="403"/>
      <c r="M431" s="403"/>
      <c r="N431" s="403"/>
      <c r="O431" s="403"/>
      <c r="P431" s="403"/>
      <c r="Q431" s="403"/>
      <c r="R431" s="403"/>
      <c r="S431" s="403"/>
      <c r="T431" s="403"/>
      <c r="U431" s="403"/>
      <c r="V431" s="403"/>
      <c r="W431" s="403"/>
      <c r="X431" s="403"/>
      <c r="Y431" s="403"/>
      <c r="Z431" s="367"/>
      <c r="AA431" s="304"/>
      <c r="AB431" s="304"/>
      <c r="AC431" s="304"/>
      <c r="AD431" s="304"/>
      <c r="AE431" s="304"/>
      <c r="AF431" s="304"/>
      <c r="AG431" s="304"/>
      <c r="AH431" s="304"/>
      <c r="AI431" s="304"/>
      <c r="AJ431" s="304"/>
      <c r="AK431" s="304"/>
      <c r="AL431" s="304"/>
      <c r="AM431" s="304"/>
      <c r="AN431" s="304"/>
      <c r="AO431" s="304"/>
      <c r="AP431" s="304"/>
      <c r="AQ431" s="304"/>
      <c r="AR431" s="304"/>
      <c r="AS431" s="304"/>
    </row>
    <row r="432" spans="2:45">
      <c r="B432" s="1223" t="s">
        <v>733</v>
      </c>
      <c r="C432" s="1224"/>
      <c r="D432" s="1224"/>
      <c r="E432" s="1224"/>
      <c r="F432" s="1225"/>
      <c r="G432" s="346"/>
      <c r="H432" s="384">
        <f>G432*H416</f>
        <v>0</v>
      </c>
      <c r="I432" s="346"/>
      <c r="J432" s="385">
        <f>I432*J416</f>
        <v>0</v>
      </c>
      <c r="L432" s="403"/>
      <c r="M432" s="403"/>
      <c r="N432" s="403"/>
      <c r="O432" s="403"/>
      <c r="P432" s="403"/>
      <c r="Q432" s="403"/>
      <c r="R432" s="403"/>
      <c r="S432" s="403"/>
      <c r="T432" s="403"/>
      <c r="U432" s="403"/>
      <c r="V432" s="403"/>
      <c r="W432" s="403"/>
      <c r="X432" s="403"/>
      <c r="Y432" s="403"/>
      <c r="Z432" s="367"/>
      <c r="AA432" s="304"/>
      <c r="AB432" s="304"/>
      <c r="AC432" s="304"/>
      <c r="AD432" s="304"/>
      <c r="AE432" s="304"/>
      <c r="AF432" s="304"/>
      <c r="AG432" s="304"/>
      <c r="AH432" s="304"/>
      <c r="AI432" s="304"/>
      <c r="AJ432" s="304"/>
      <c r="AK432" s="304"/>
      <c r="AL432" s="304"/>
      <c r="AM432" s="304"/>
      <c r="AN432" s="304"/>
      <c r="AO432" s="304"/>
      <c r="AP432" s="304"/>
      <c r="AQ432" s="304"/>
      <c r="AR432" s="304"/>
      <c r="AS432" s="304"/>
    </row>
    <row r="433" spans="1:45">
      <c r="B433" s="1223" t="s">
        <v>734</v>
      </c>
      <c r="C433" s="1224"/>
      <c r="D433" s="1224"/>
      <c r="E433" s="1224"/>
      <c r="F433" s="1225"/>
      <c r="G433" s="346"/>
      <c r="H433" s="384">
        <f>G433*H416</f>
        <v>0</v>
      </c>
      <c r="I433" s="346"/>
      <c r="J433" s="385">
        <f>I433*J416</f>
        <v>0</v>
      </c>
      <c r="L433" s="403"/>
      <c r="M433" s="403"/>
      <c r="N433" s="403"/>
      <c r="O433" s="403"/>
      <c r="P433" s="403"/>
      <c r="Q433" s="403"/>
      <c r="R433" s="403"/>
      <c r="S433" s="403"/>
      <c r="T433" s="403"/>
      <c r="U433" s="403"/>
      <c r="V433" s="403"/>
      <c r="W433" s="403"/>
      <c r="X433" s="403"/>
      <c r="Y433" s="403"/>
      <c r="Z433" s="367"/>
      <c r="AA433" s="304"/>
      <c r="AB433" s="304"/>
      <c r="AC433" s="304"/>
      <c r="AD433" s="304"/>
      <c r="AE433" s="304"/>
      <c r="AF433" s="304"/>
      <c r="AG433" s="304"/>
      <c r="AH433" s="304"/>
      <c r="AI433" s="304"/>
      <c r="AJ433" s="304"/>
      <c r="AK433" s="304"/>
      <c r="AL433" s="304"/>
      <c r="AM433" s="304"/>
      <c r="AN433" s="304"/>
      <c r="AO433" s="304"/>
      <c r="AP433" s="304"/>
      <c r="AQ433" s="304"/>
      <c r="AR433" s="304"/>
      <c r="AS433" s="304"/>
    </row>
    <row r="434" spans="1:45">
      <c r="B434" s="1172" t="s">
        <v>735</v>
      </c>
      <c r="C434" s="1173"/>
      <c r="D434" s="1173"/>
      <c r="E434" s="1173"/>
      <c r="F434" s="1173"/>
      <c r="G434" s="351"/>
      <c r="H434" s="397"/>
      <c r="I434" s="351"/>
      <c r="J434" s="398"/>
      <c r="L434" s="403"/>
      <c r="M434" s="403"/>
      <c r="N434" s="403"/>
      <c r="O434" s="403"/>
      <c r="P434" s="403"/>
      <c r="Q434" s="403"/>
      <c r="R434" s="403"/>
      <c r="S434" s="403"/>
      <c r="T434" s="403"/>
      <c r="U434" s="403"/>
      <c r="V434" s="403"/>
      <c r="W434" s="403"/>
      <c r="X434" s="403"/>
      <c r="Y434" s="403"/>
      <c r="Z434" s="367"/>
      <c r="AA434" s="304"/>
      <c r="AB434" s="304"/>
      <c r="AC434" s="304"/>
      <c r="AD434" s="304"/>
      <c r="AE434" s="304"/>
      <c r="AF434" s="304"/>
      <c r="AG434" s="304"/>
      <c r="AH434" s="304"/>
      <c r="AI434" s="304"/>
      <c r="AJ434" s="304"/>
      <c r="AK434" s="304"/>
      <c r="AL434" s="304"/>
      <c r="AM434" s="304"/>
      <c r="AN434" s="304"/>
      <c r="AO434" s="304"/>
      <c r="AP434" s="304"/>
      <c r="AQ434" s="304"/>
      <c r="AR434" s="304"/>
      <c r="AS434" s="304"/>
    </row>
    <row r="435" spans="1:45">
      <c r="B435" s="1226" t="s">
        <v>736</v>
      </c>
      <c r="C435" s="1227"/>
      <c r="D435" s="1227"/>
      <c r="E435" s="1227"/>
      <c r="F435" s="1228"/>
      <c r="G435" s="346"/>
      <c r="H435" s="384">
        <f>G435*H416</f>
        <v>0</v>
      </c>
      <c r="I435" s="346"/>
      <c r="J435" s="385">
        <f>I435*J416</f>
        <v>0</v>
      </c>
      <c r="L435" s="403"/>
      <c r="M435" s="403"/>
      <c r="N435" s="403"/>
      <c r="O435" s="403"/>
      <c r="P435" s="403"/>
      <c r="Q435" s="403"/>
      <c r="R435" s="403"/>
      <c r="S435" s="403"/>
      <c r="T435" s="403"/>
      <c r="U435" s="403"/>
      <c r="V435" s="403"/>
      <c r="W435" s="403"/>
      <c r="X435" s="403"/>
      <c r="Y435" s="403"/>
      <c r="Z435" s="367"/>
      <c r="AA435" s="304"/>
      <c r="AB435" s="304"/>
      <c r="AC435" s="304"/>
      <c r="AD435" s="304"/>
      <c r="AE435" s="304"/>
      <c r="AF435" s="304"/>
      <c r="AG435" s="304"/>
      <c r="AH435" s="304"/>
      <c r="AI435" s="304"/>
      <c r="AJ435" s="304"/>
      <c r="AK435" s="304"/>
      <c r="AL435" s="304"/>
      <c r="AM435" s="304"/>
      <c r="AN435" s="304"/>
      <c r="AO435" s="304"/>
      <c r="AP435" s="304"/>
      <c r="AQ435" s="304"/>
      <c r="AR435" s="304"/>
      <c r="AS435" s="304"/>
    </row>
    <row r="436" spans="1:45">
      <c r="B436" s="1229" t="s">
        <v>737</v>
      </c>
      <c r="C436" s="1230"/>
      <c r="D436" s="1230"/>
      <c r="E436" s="1230"/>
      <c r="F436" s="1230"/>
      <c r="G436" s="350"/>
      <c r="H436" s="351"/>
      <c r="I436" s="350"/>
      <c r="J436" s="352"/>
      <c r="L436" s="403"/>
      <c r="M436" s="403"/>
      <c r="N436" s="403"/>
      <c r="O436" s="403"/>
      <c r="P436" s="403"/>
      <c r="Q436" s="403"/>
      <c r="R436" s="403"/>
      <c r="S436" s="403"/>
      <c r="T436" s="403"/>
      <c r="U436" s="403"/>
      <c r="V436" s="403"/>
      <c r="W436" s="403"/>
      <c r="X436" s="403"/>
      <c r="Y436" s="403"/>
      <c r="Z436" s="367"/>
      <c r="AA436" s="304"/>
      <c r="AB436" s="304"/>
      <c r="AC436" s="304"/>
      <c r="AD436" s="304"/>
      <c r="AE436" s="304"/>
      <c r="AF436" s="304"/>
      <c r="AG436" s="304"/>
      <c r="AH436" s="304"/>
      <c r="AI436" s="304"/>
      <c r="AJ436" s="304"/>
      <c r="AK436" s="304"/>
      <c r="AL436" s="304"/>
      <c r="AM436" s="304"/>
      <c r="AN436" s="304"/>
      <c r="AO436" s="304"/>
      <c r="AP436" s="304"/>
      <c r="AQ436" s="304"/>
      <c r="AR436" s="304"/>
      <c r="AS436" s="304"/>
    </row>
    <row r="437" spans="1:45" ht="29.1" customHeight="1">
      <c r="B437" s="1231" t="s">
        <v>738</v>
      </c>
      <c r="C437" s="1232"/>
      <c r="D437" s="1232"/>
      <c r="E437" s="1232"/>
      <c r="F437" s="1233"/>
      <c r="G437" s="399"/>
      <c r="H437" s="359">
        <f>H416*G437*-1</f>
        <v>0</v>
      </c>
      <c r="I437" s="399"/>
      <c r="J437" s="400">
        <f>(J416*I437)*-1</f>
        <v>0</v>
      </c>
      <c r="L437" s="403"/>
      <c r="M437" s="403"/>
      <c r="N437" s="403"/>
      <c r="O437" s="403"/>
      <c r="P437" s="403"/>
      <c r="Q437" s="403"/>
      <c r="R437" s="403"/>
      <c r="S437" s="403"/>
      <c r="T437" s="403"/>
      <c r="U437" s="403"/>
      <c r="V437" s="403"/>
      <c r="W437" s="403"/>
      <c r="X437" s="403"/>
      <c r="Y437" s="403"/>
      <c r="Z437" s="367"/>
      <c r="AA437" s="304"/>
      <c r="AB437" s="304"/>
      <c r="AC437" s="304"/>
      <c r="AD437" s="304"/>
      <c r="AE437" s="304"/>
      <c r="AF437" s="304"/>
      <c r="AG437" s="304"/>
      <c r="AH437" s="304"/>
      <c r="AI437" s="304"/>
      <c r="AJ437" s="304"/>
      <c r="AK437" s="304"/>
      <c r="AL437" s="304"/>
      <c r="AM437" s="304"/>
      <c r="AN437" s="304"/>
      <c r="AO437" s="304"/>
      <c r="AP437" s="304"/>
      <c r="AQ437" s="304"/>
      <c r="AR437" s="304"/>
      <c r="AS437" s="304"/>
    </row>
    <row r="438" spans="1:45" ht="29.1" customHeight="1">
      <c r="B438" s="1234" t="s">
        <v>739</v>
      </c>
      <c r="C438" s="1235"/>
      <c r="D438" s="1235"/>
      <c r="E438" s="1235"/>
      <c r="F438" s="1236"/>
      <c r="G438" s="346"/>
      <c r="H438" s="401">
        <f>(H416*G438)*-1</f>
        <v>0</v>
      </c>
      <c r="I438" s="346"/>
      <c r="J438" s="402">
        <f>(J416*I438)*-1</f>
        <v>0</v>
      </c>
      <c r="L438" s="403"/>
      <c r="M438" s="403"/>
      <c r="N438" s="403"/>
      <c r="O438" s="403"/>
      <c r="P438" s="403"/>
      <c r="Q438" s="403"/>
      <c r="R438" s="403"/>
      <c r="S438" s="403"/>
      <c r="T438" s="403"/>
      <c r="U438" s="403"/>
      <c r="V438" s="403"/>
      <c r="W438" s="403"/>
      <c r="X438" s="403"/>
      <c r="Y438" s="403"/>
      <c r="Z438" s="367"/>
      <c r="AA438" s="304"/>
      <c r="AB438" s="304"/>
      <c r="AC438" s="304"/>
      <c r="AD438" s="304"/>
      <c r="AE438" s="304"/>
      <c r="AF438" s="304"/>
      <c r="AG438" s="304"/>
      <c r="AH438" s="304"/>
      <c r="AI438" s="304"/>
      <c r="AJ438" s="304"/>
      <c r="AK438" s="304"/>
      <c r="AL438" s="304"/>
      <c r="AM438" s="304"/>
      <c r="AN438" s="304"/>
      <c r="AO438" s="304"/>
      <c r="AP438" s="304"/>
      <c r="AQ438" s="304"/>
      <c r="AR438" s="304"/>
      <c r="AS438" s="304"/>
    </row>
    <row r="439" spans="1:45">
      <c r="B439" s="1211" t="s">
        <v>740</v>
      </c>
      <c r="C439" s="1212"/>
      <c r="D439" s="1212"/>
      <c r="E439" s="1212"/>
      <c r="F439" s="1213"/>
      <c r="G439" s="1214">
        <f>SUM(H420:H438)</f>
        <v>0</v>
      </c>
      <c r="H439" s="1215"/>
      <c r="I439" s="1214">
        <f>SUM(J422:J438)+J420</f>
        <v>0</v>
      </c>
      <c r="J439" s="1216"/>
      <c r="L439" s="403"/>
      <c r="M439" s="403"/>
      <c r="N439" s="403"/>
      <c r="O439" s="403"/>
      <c r="P439" s="403"/>
      <c r="Q439" s="403"/>
      <c r="R439" s="403"/>
      <c r="S439" s="403"/>
      <c r="T439" s="403"/>
      <c r="U439" s="403"/>
      <c r="V439" s="403"/>
      <c r="W439" s="403"/>
      <c r="X439" s="403"/>
      <c r="Y439" s="403"/>
      <c r="Z439" s="367"/>
      <c r="AA439" s="304"/>
      <c r="AB439" s="304"/>
      <c r="AC439" s="304"/>
      <c r="AD439" s="304"/>
      <c r="AE439" s="304"/>
      <c r="AF439" s="304"/>
      <c r="AG439" s="304"/>
      <c r="AH439" s="304"/>
      <c r="AI439" s="304"/>
      <c r="AJ439" s="304"/>
      <c r="AK439" s="304"/>
      <c r="AL439" s="304"/>
      <c r="AM439" s="304"/>
      <c r="AN439" s="304"/>
      <c r="AO439" s="304"/>
      <c r="AP439" s="304"/>
      <c r="AQ439" s="304"/>
      <c r="AR439" s="304"/>
      <c r="AS439" s="304"/>
    </row>
    <row r="440" spans="1:45" ht="18.75">
      <c r="B440" s="1217" t="s">
        <v>696</v>
      </c>
      <c r="C440" s="1218"/>
      <c r="D440" s="1218"/>
      <c r="E440" s="1218"/>
      <c r="F440" s="1219"/>
      <c r="G440" s="1161" t="str">
        <f>IF(OR(AC413=0, I439=0), "12 Month Average", "24 Month Average")</f>
        <v>12 Month Average</v>
      </c>
      <c r="H440" s="1162"/>
      <c r="I440" s="1162"/>
      <c r="J440" s="1163"/>
      <c r="L440" s="403"/>
      <c r="M440" s="403"/>
      <c r="N440" s="403"/>
      <c r="O440" s="403"/>
      <c r="P440" s="403"/>
      <c r="Q440" s="403"/>
      <c r="R440" s="403"/>
      <c r="S440" s="403"/>
      <c r="T440" s="403"/>
      <c r="U440" s="403"/>
      <c r="V440" s="403"/>
      <c r="W440" s="403"/>
      <c r="X440" s="403"/>
      <c r="Y440" s="403"/>
      <c r="Z440" s="367"/>
      <c r="AA440" s="304"/>
      <c r="AB440" s="304"/>
      <c r="AC440" s="304"/>
      <c r="AD440" s="304"/>
      <c r="AE440" s="304"/>
      <c r="AF440" s="304"/>
      <c r="AG440" s="304"/>
      <c r="AH440" s="304"/>
      <c r="AI440" s="304"/>
      <c r="AJ440" s="304"/>
      <c r="AK440" s="304"/>
      <c r="AL440" s="304"/>
      <c r="AM440" s="304"/>
      <c r="AN440" s="304"/>
      <c r="AO440" s="304"/>
      <c r="AP440" s="304"/>
      <c r="AQ440" s="304"/>
      <c r="AR440" s="304"/>
      <c r="AS440" s="304"/>
    </row>
    <row r="441" spans="1:45" ht="34.5" thickBot="1">
      <c r="B441" s="1220" t="s">
        <v>697</v>
      </c>
      <c r="C441" s="1221"/>
      <c r="D441" s="1221"/>
      <c r="E441" s="1221"/>
      <c r="F441" s="1222"/>
      <c r="G441" s="1167">
        <f>IF(OR(AC413=0, I439=0), AC415, AC416)</f>
        <v>0</v>
      </c>
      <c r="H441" s="1168"/>
      <c r="I441" s="1168"/>
      <c r="J441" s="1169"/>
      <c r="L441" s="403"/>
      <c r="M441" s="403"/>
      <c r="N441" s="403"/>
      <c r="O441" s="403"/>
      <c r="P441" s="403"/>
      <c r="Q441" s="403"/>
      <c r="R441" s="403"/>
      <c r="S441" s="403"/>
      <c r="T441" s="403"/>
      <c r="U441" s="403"/>
      <c r="V441" s="403"/>
      <c r="W441" s="403"/>
      <c r="X441" s="403"/>
      <c r="Y441" s="403"/>
      <c r="Z441" s="367"/>
      <c r="AA441" s="304"/>
      <c r="AB441" s="304"/>
      <c r="AC441" s="304"/>
      <c r="AD441" s="304"/>
    </row>
    <row r="442" spans="1:45" ht="9" customHeight="1" thickBot="1">
      <c r="H442" s="330"/>
      <c r="I442" s="330"/>
      <c r="L442" s="403"/>
      <c r="M442" s="403"/>
      <c r="N442" s="403"/>
      <c r="O442" s="403"/>
      <c r="P442" s="403"/>
      <c r="Q442" s="403"/>
      <c r="R442" s="403"/>
      <c r="S442" s="403"/>
      <c r="T442" s="403"/>
      <c r="U442" s="403"/>
      <c r="V442" s="403"/>
      <c r="W442" s="403"/>
      <c r="X442" s="403"/>
      <c r="Y442" s="403"/>
      <c r="Z442" s="367"/>
      <c r="AA442" s="304"/>
      <c r="AB442" s="304"/>
      <c r="AC442" s="304"/>
      <c r="AD442" s="304"/>
    </row>
    <row r="443" spans="1:45" ht="105" customHeight="1" thickBot="1">
      <c r="B443" s="1208" t="s">
        <v>645</v>
      </c>
      <c r="C443" s="1209"/>
      <c r="D443" s="1209"/>
      <c r="E443" s="1209"/>
      <c r="F443" s="1209"/>
      <c r="G443" s="1209"/>
      <c r="H443" s="1209"/>
      <c r="I443" s="1209"/>
      <c r="J443" s="1210"/>
      <c r="L443" s="367"/>
      <c r="M443" s="367"/>
      <c r="N443" s="367"/>
      <c r="O443" s="367"/>
      <c r="P443" s="367"/>
      <c r="Q443" s="367"/>
      <c r="R443" s="367"/>
      <c r="S443" s="367"/>
      <c r="T443" s="367"/>
      <c r="U443" s="367"/>
      <c r="V443" s="367"/>
      <c r="W443" s="367"/>
      <c r="X443" s="367"/>
      <c r="Y443" s="367"/>
      <c r="Z443" s="367"/>
      <c r="AA443" s="304"/>
      <c r="AB443" s="304"/>
      <c r="AC443" s="304"/>
      <c r="AD443" s="304"/>
    </row>
    <row r="444" spans="1:45">
      <c r="A444" s="304"/>
      <c r="B444" s="304"/>
      <c r="C444" s="304"/>
      <c r="D444" s="304"/>
      <c r="E444" s="304"/>
      <c r="F444" s="304"/>
      <c r="G444" s="304"/>
      <c r="H444" s="304"/>
      <c r="I444" s="304"/>
      <c r="J444" s="304"/>
      <c r="K444" s="304"/>
      <c r="L444" s="367"/>
      <c r="M444" s="367"/>
      <c r="N444" s="367"/>
      <c r="O444" s="367"/>
      <c r="P444" s="367"/>
      <c r="Q444" s="367"/>
      <c r="R444" s="367"/>
      <c r="S444" s="367"/>
      <c r="T444" s="367"/>
      <c r="U444" s="367"/>
      <c r="V444" s="367"/>
      <c r="W444" s="367"/>
      <c r="X444" s="367"/>
      <c r="Y444" s="367"/>
      <c r="Z444" s="367"/>
      <c r="AA444" s="304"/>
      <c r="AB444" s="304"/>
      <c r="AC444" s="304"/>
      <c r="AD444" s="304"/>
    </row>
    <row r="445" spans="1:45" ht="13.5" customHeight="1" thickBot="1">
      <c r="L445" s="304"/>
      <c r="M445" s="304"/>
      <c r="N445" s="304"/>
      <c r="O445" s="304"/>
      <c r="P445" s="304"/>
      <c r="Q445" s="304"/>
      <c r="R445" s="304"/>
      <c r="S445" s="304"/>
      <c r="T445" s="304"/>
      <c r="U445" s="304"/>
    </row>
    <row r="446" spans="1:45" ht="69" customHeight="1">
      <c r="B446" s="1187" t="s">
        <v>708</v>
      </c>
      <c r="C446" s="1188"/>
      <c r="D446" s="1188"/>
      <c r="E446" s="1188"/>
      <c r="F446" s="1188"/>
      <c r="G446" s="1188"/>
      <c r="H446" s="1188"/>
      <c r="I446" s="1188"/>
      <c r="J446" s="331" t="str">
        <f>'[3]Reference Sheet'!$B$2</f>
        <v>Rev. 4.12.2016</v>
      </c>
      <c r="L446" s="403"/>
      <c r="M446" s="403"/>
      <c r="N446" s="403"/>
      <c r="O446" s="403"/>
      <c r="P446" s="403"/>
      <c r="Q446" s="403"/>
      <c r="R446" s="403"/>
      <c r="S446" s="403"/>
      <c r="T446" s="403"/>
      <c r="U446" s="403"/>
      <c r="V446" s="403"/>
      <c r="W446" s="403"/>
      <c r="X446" s="403"/>
      <c r="Y446" s="403"/>
      <c r="Z446" s="367"/>
      <c r="AA446" s="304"/>
      <c r="AB446" s="304"/>
      <c r="AC446" s="304"/>
      <c r="AD446" s="304"/>
      <c r="AE446" s="304"/>
      <c r="AF446" s="304"/>
      <c r="AG446" s="304"/>
      <c r="AH446" s="304"/>
      <c r="AI446" s="304"/>
      <c r="AJ446" s="304"/>
      <c r="AK446" s="304"/>
      <c r="AL446" s="304"/>
      <c r="AM446" s="304"/>
      <c r="AN446" s="304"/>
      <c r="AO446" s="304"/>
      <c r="AP446" s="304"/>
      <c r="AQ446" s="304"/>
      <c r="AR446" s="304"/>
      <c r="AS446" s="304"/>
    </row>
    <row r="447" spans="1:45" ht="3.75" customHeight="1">
      <c r="B447" s="332"/>
      <c r="C447" s="333"/>
      <c r="D447" s="333"/>
      <c r="E447" s="333"/>
      <c r="F447" s="333"/>
      <c r="G447" s="333"/>
      <c r="H447" s="333"/>
      <c r="I447" s="333"/>
      <c r="J447" s="334"/>
      <c r="L447" s="403"/>
      <c r="M447" s="403"/>
      <c r="N447" s="403"/>
      <c r="O447" s="403"/>
      <c r="P447" s="403"/>
      <c r="Q447" s="403"/>
      <c r="R447" s="403"/>
      <c r="S447" s="403"/>
      <c r="T447" s="403"/>
      <c r="U447" s="403"/>
      <c r="V447" s="403"/>
      <c r="W447" s="403"/>
      <c r="X447" s="403"/>
      <c r="Y447" s="403"/>
      <c r="Z447" s="367"/>
      <c r="AA447" s="304"/>
      <c r="AB447" s="304"/>
      <c r="AC447" s="304"/>
      <c r="AD447" s="304"/>
      <c r="AE447" s="304"/>
      <c r="AF447" s="304"/>
      <c r="AG447" s="304"/>
      <c r="AH447" s="304"/>
      <c r="AI447" s="304"/>
      <c r="AJ447" s="304"/>
      <c r="AK447" s="304"/>
      <c r="AL447" s="304"/>
      <c r="AM447" s="304"/>
      <c r="AN447" s="304"/>
      <c r="AO447" s="304"/>
      <c r="AP447" s="304"/>
      <c r="AQ447" s="304"/>
      <c r="AR447" s="304"/>
      <c r="AS447" s="304"/>
    </row>
    <row r="448" spans="1:45" ht="18" customHeight="1" thickBot="1">
      <c r="B448" s="332"/>
      <c r="C448" s="368" t="s">
        <v>710</v>
      </c>
      <c r="D448" s="1189"/>
      <c r="E448" s="1190"/>
      <c r="F448" s="1190"/>
      <c r="G448" s="1190"/>
      <c r="H448" s="333"/>
      <c r="I448" s="333"/>
      <c r="J448" s="334"/>
      <c r="L448" s="403"/>
      <c r="M448" s="403"/>
      <c r="N448" s="403"/>
      <c r="O448" s="403"/>
      <c r="P448" s="403"/>
      <c r="Q448" s="403"/>
      <c r="R448" s="403"/>
      <c r="S448" s="403"/>
      <c r="T448" s="403"/>
      <c r="U448" s="403"/>
      <c r="V448" s="403"/>
      <c r="W448" s="403"/>
      <c r="X448" s="403"/>
      <c r="Y448" s="403"/>
      <c r="Z448" s="367"/>
      <c r="AA448" s="304"/>
      <c r="AB448" s="304" t="s">
        <v>680</v>
      </c>
      <c r="AC448" s="304">
        <f>IF(AND(J453=0, J457=0, J459=0, J468=0, J469=0, J470=0, J472=0, J474=0, J475=0, I476=0), 0, 1)</f>
        <v>1</v>
      </c>
      <c r="AD448" s="304"/>
      <c r="AE448" s="304"/>
      <c r="AF448" s="366" t="s">
        <v>596</v>
      </c>
      <c r="AG448" s="304"/>
      <c r="AH448" s="304"/>
      <c r="AI448" s="304"/>
      <c r="AJ448" s="304"/>
      <c r="AK448" s="304"/>
      <c r="AL448" s="304"/>
      <c r="AM448" s="304"/>
      <c r="AN448" s="304"/>
      <c r="AO448" s="304"/>
      <c r="AP448" s="304"/>
      <c r="AQ448" s="304"/>
      <c r="AR448" s="304"/>
      <c r="AS448" s="304"/>
    </row>
    <row r="449" spans="2:45" ht="18" customHeight="1" thickBot="1">
      <c r="B449" s="332"/>
      <c r="C449" s="368" t="s">
        <v>711</v>
      </c>
      <c r="D449" s="1277"/>
      <c r="E449" s="1278"/>
      <c r="F449" s="1278"/>
      <c r="G449" s="1278"/>
      <c r="H449" s="368" t="s">
        <v>712</v>
      </c>
      <c r="I449" s="1189"/>
      <c r="J449" s="1279"/>
      <c r="L449" s="403"/>
      <c r="M449" s="403"/>
      <c r="N449" s="403"/>
      <c r="O449" s="403"/>
      <c r="P449" s="403"/>
      <c r="Q449" s="403"/>
      <c r="R449" s="403"/>
      <c r="S449" s="403"/>
      <c r="T449" s="403"/>
      <c r="U449" s="403"/>
      <c r="V449" s="403"/>
      <c r="W449" s="403"/>
      <c r="X449" s="403"/>
      <c r="Y449" s="403"/>
      <c r="Z449" s="367"/>
      <c r="AA449" s="304"/>
      <c r="AB449" s="304" t="s">
        <v>682</v>
      </c>
      <c r="AC449" s="304">
        <f>IF(AND(G476&lt;=I476, I476&lt;&gt;0), 0, 1)</f>
        <v>1</v>
      </c>
      <c r="AD449" s="304"/>
      <c r="AE449" s="304"/>
      <c r="AF449" s="366" t="s">
        <v>683</v>
      </c>
      <c r="AG449" s="304"/>
      <c r="AH449" s="304"/>
      <c r="AI449" s="304"/>
      <c r="AJ449" s="304"/>
      <c r="AK449" s="304"/>
      <c r="AL449" s="304"/>
      <c r="AM449" s="304"/>
      <c r="AN449" s="304"/>
      <c r="AO449" s="304"/>
      <c r="AP449" s="304"/>
      <c r="AQ449" s="304"/>
      <c r="AR449" s="304"/>
      <c r="AS449" s="304"/>
    </row>
    <row r="450" spans="2:45" ht="18" customHeight="1" thickBot="1">
      <c r="B450" s="1176" t="s">
        <v>671</v>
      </c>
      <c r="C450" s="1177"/>
      <c r="D450" s="1280"/>
      <c r="E450" s="1281"/>
      <c r="F450" s="1281"/>
      <c r="G450" s="1281"/>
      <c r="H450" s="336" t="s">
        <v>673</v>
      </c>
      <c r="I450" s="369"/>
      <c r="J450" s="370"/>
      <c r="L450" s="403"/>
      <c r="M450" s="403"/>
      <c r="N450" s="403"/>
      <c r="O450" s="403"/>
      <c r="P450" s="403"/>
      <c r="Q450" s="403"/>
      <c r="R450" s="403"/>
      <c r="S450" s="403"/>
      <c r="T450" s="403"/>
      <c r="U450" s="403"/>
      <c r="V450" s="403"/>
      <c r="W450" s="403"/>
      <c r="X450" s="403"/>
      <c r="Y450" s="403"/>
      <c r="Z450" s="367"/>
      <c r="AA450" s="304"/>
      <c r="AB450" s="304" t="s">
        <v>685</v>
      </c>
      <c r="AC450" s="304">
        <f>IF(AND(AC449=0, AC448=1), 0, 1)</f>
        <v>1</v>
      </c>
      <c r="AD450" s="304"/>
      <c r="AE450" s="304"/>
      <c r="AF450" s="366" t="s">
        <v>599</v>
      </c>
      <c r="AG450" s="304"/>
      <c r="AH450" s="304"/>
      <c r="AI450" s="304"/>
      <c r="AJ450" s="304"/>
      <c r="AK450" s="304"/>
      <c r="AL450" s="304"/>
      <c r="AM450" s="304"/>
      <c r="AN450" s="304"/>
      <c r="AO450" s="304"/>
      <c r="AP450" s="304"/>
      <c r="AQ450" s="304"/>
      <c r="AR450" s="304"/>
      <c r="AS450" s="304"/>
    </row>
    <row r="451" spans="2:45" ht="18" customHeight="1" thickBot="1">
      <c r="B451" s="1176" t="s">
        <v>674</v>
      </c>
      <c r="C451" s="1177"/>
      <c r="D451" s="1262"/>
      <c r="E451" s="1263"/>
      <c r="F451" s="1263"/>
      <c r="G451" s="1263"/>
      <c r="H451" s="1263"/>
      <c r="I451" s="1263"/>
      <c r="J451" s="1264"/>
      <c r="L451" s="403"/>
      <c r="M451" s="403"/>
      <c r="N451" s="403"/>
      <c r="O451" s="403"/>
      <c r="P451" s="403"/>
      <c r="Q451" s="403"/>
      <c r="R451" s="403"/>
      <c r="S451" s="403"/>
      <c r="T451" s="403"/>
      <c r="U451" s="403"/>
      <c r="V451" s="403"/>
      <c r="W451" s="403"/>
      <c r="X451" s="403"/>
      <c r="Y451" s="403"/>
      <c r="Z451" s="367"/>
      <c r="AA451" s="304"/>
      <c r="AB451" s="304"/>
      <c r="AC451" s="304"/>
      <c r="AD451" s="304"/>
      <c r="AE451" s="304"/>
      <c r="AF451" s="366" t="s">
        <v>603</v>
      </c>
      <c r="AG451" s="304"/>
      <c r="AH451" s="304"/>
      <c r="AI451" s="304"/>
      <c r="AJ451" s="304"/>
      <c r="AK451" s="304"/>
      <c r="AL451" s="304"/>
      <c r="AM451" s="304"/>
      <c r="AN451" s="304"/>
      <c r="AO451" s="304"/>
      <c r="AP451" s="304"/>
      <c r="AQ451" s="304"/>
      <c r="AR451" s="304"/>
      <c r="AS451" s="304"/>
    </row>
    <row r="452" spans="2:45">
      <c r="B452" s="1265"/>
      <c r="C452" s="1266"/>
      <c r="D452" s="1266"/>
      <c r="E452" s="1266"/>
      <c r="F452" s="1267"/>
      <c r="G452" s="371" t="s">
        <v>713</v>
      </c>
      <c r="H452" s="372" t="s">
        <v>676</v>
      </c>
      <c r="I452" s="342"/>
      <c r="J452" s="373" t="s">
        <v>677</v>
      </c>
      <c r="L452" s="403"/>
      <c r="M452" s="403"/>
      <c r="N452" s="403"/>
      <c r="O452" s="403"/>
      <c r="P452" s="403"/>
      <c r="Q452" s="403"/>
      <c r="R452" s="403"/>
      <c r="S452" s="403"/>
      <c r="T452" s="403"/>
      <c r="U452" s="403"/>
      <c r="V452" s="403"/>
      <c r="W452" s="403"/>
      <c r="X452" s="403"/>
      <c r="Y452" s="403"/>
      <c r="Z452" s="367"/>
      <c r="AA452" s="304"/>
      <c r="AB452" s="304" t="s">
        <v>689</v>
      </c>
      <c r="AC452" s="374">
        <f>G476/12</f>
        <v>0</v>
      </c>
      <c r="AD452" s="304"/>
      <c r="AE452" s="304"/>
      <c r="AF452" s="366" t="s">
        <v>605</v>
      </c>
      <c r="AG452" s="304"/>
      <c r="AH452" s="304"/>
      <c r="AI452" s="304"/>
      <c r="AJ452" s="304"/>
      <c r="AK452" s="304"/>
      <c r="AL452" s="304"/>
      <c r="AM452" s="304"/>
      <c r="AN452" s="304"/>
      <c r="AO452" s="304"/>
      <c r="AP452" s="304"/>
      <c r="AQ452" s="304"/>
      <c r="AR452" s="304"/>
      <c r="AS452" s="304"/>
    </row>
    <row r="453" spans="2:45">
      <c r="B453" s="1268"/>
      <c r="C453" s="1266"/>
      <c r="D453" s="1266"/>
      <c r="E453" s="1266"/>
      <c r="F453" s="1267"/>
      <c r="G453" s="375" t="s">
        <v>714</v>
      </c>
      <c r="H453" s="376"/>
      <c r="I453" s="1272"/>
      <c r="J453" s="378"/>
      <c r="L453" s="403"/>
      <c r="M453" s="403"/>
      <c r="N453" s="403"/>
      <c r="O453" s="403"/>
      <c r="P453" s="403"/>
      <c r="Q453" s="403"/>
      <c r="R453" s="403"/>
      <c r="S453" s="403"/>
      <c r="T453" s="403"/>
      <c r="U453" s="403"/>
      <c r="V453" s="403"/>
      <c r="W453" s="403"/>
      <c r="X453" s="403"/>
      <c r="Y453" s="403"/>
      <c r="Z453" s="367"/>
      <c r="AA453" s="304"/>
      <c r="AB453" s="304" t="s">
        <v>691</v>
      </c>
      <c r="AC453" s="374">
        <f>(G476+I476)/24</f>
        <v>0</v>
      </c>
      <c r="AD453" s="304"/>
      <c r="AE453" s="304"/>
      <c r="AF453" s="304"/>
      <c r="AG453" s="304"/>
      <c r="AH453" s="304"/>
      <c r="AI453" s="304"/>
      <c r="AJ453" s="304"/>
      <c r="AK453" s="304"/>
      <c r="AL453" s="304"/>
      <c r="AM453" s="304"/>
      <c r="AN453" s="304"/>
      <c r="AO453" s="304"/>
      <c r="AP453" s="304"/>
      <c r="AQ453" s="304"/>
      <c r="AR453" s="304"/>
      <c r="AS453" s="304"/>
    </row>
    <row r="454" spans="2:45">
      <c r="B454" s="1268"/>
      <c r="C454" s="1266"/>
      <c r="D454" s="1266"/>
      <c r="E454" s="1266"/>
      <c r="F454" s="1267"/>
      <c r="G454" s="379" t="s">
        <v>715</v>
      </c>
      <c r="H454" s="380"/>
      <c r="I454" s="1272"/>
      <c r="J454" s="378"/>
      <c r="L454" s="403"/>
      <c r="M454" s="403"/>
      <c r="N454" s="403"/>
      <c r="O454" s="403"/>
      <c r="P454" s="403"/>
      <c r="Q454" s="403"/>
      <c r="R454" s="403"/>
      <c r="S454" s="403"/>
      <c r="T454" s="403"/>
      <c r="U454" s="403"/>
      <c r="V454" s="403"/>
      <c r="W454" s="403"/>
      <c r="X454" s="403"/>
      <c r="Y454" s="403"/>
      <c r="Z454" s="367"/>
      <c r="AA454" s="304"/>
      <c r="AB454" s="304"/>
      <c r="AC454" s="304"/>
      <c r="AD454" s="304"/>
      <c r="AE454" s="304"/>
      <c r="AF454" s="304"/>
      <c r="AG454" s="304"/>
      <c r="AH454" s="304"/>
      <c r="AI454" s="304"/>
      <c r="AJ454" s="304"/>
      <c r="AK454" s="304"/>
      <c r="AL454" s="304"/>
      <c r="AM454" s="304"/>
      <c r="AN454" s="304"/>
      <c r="AO454" s="304"/>
      <c r="AP454" s="304"/>
      <c r="AQ454" s="304"/>
      <c r="AR454" s="304"/>
      <c r="AS454" s="304"/>
    </row>
    <row r="455" spans="2:45" ht="15.75" thickBot="1">
      <c r="B455" s="1269"/>
      <c r="C455" s="1270"/>
      <c r="D455" s="1270"/>
      <c r="E455" s="1270"/>
      <c r="F455" s="1271"/>
      <c r="G455" s="379" t="s">
        <v>716</v>
      </c>
      <c r="H455" s="376"/>
      <c r="I455" s="1272"/>
      <c r="J455" s="378"/>
      <c r="L455" s="403"/>
      <c r="M455" s="403"/>
      <c r="N455" s="403"/>
      <c r="O455" s="403"/>
      <c r="P455" s="403"/>
      <c r="Q455" s="403"/>
      <c r="R455" s="403"/>
      <c r="S455" s="403"/>
      <c r="T455" s="403"/>
      <c r="U455" s="403"/>
      <c r="V455" s="403"/>
      <c r="W455" s="403"/>
      <c r="X455" s="403"/>
      <c r="Y455" s="403"/>
      <c r="Z455" s="367"/>
      <c r="AA455" s="304"/>
      <c r="AB455" s="304" t="s">
        <v>717</v>
      </c>
      <c r="AC455" s="304" t="str">
        <f>IF(OR(H453=0, H453&gt;100%), "Year End Profit %", (G459+G460+G461))</f>
        <v>Year End Profit %</v>
      </c>
      <c r="AD455" s="304"/>
      <c r="AE455" s="304"/>
      <c r="AF455" s="304"/>
      <c r="AG455" s="304"/>
      <c r="AH455" s="304"/>
      <c r="AI455" s="304"/>
      <c r="AJ455" s="304"/>
      <c r="AK455" s="304"/>
      <c r="AL455" s="304"/>
      <c r="AM455" s="304"/>
      <c r="AN455" s="304"/>
      <c r="AO455" s="304"/>
      <c r="AP455" s="304"/>
      <c r="AQ455" s="304"/>
      <c r="AR455" s="304"/>
      <c r="AS455" s="304"/>
    </row>
    <row r="456" spans="2:45" ht="18.75">
      <c r="B456" s="1229" t="s">
        <v>718</v>
      </c>
      <c r="C456" s="1273"/>
      <c r="D456" s="1273"/>
      <c r="E456" s="1273"/>
      <c r="F456" s="1273"/>
      <c r="G456" s="377" t="s">
        <v>719</v>
      </c>
      <c r="H456" s="381"/>
      <c r="I456" s="377" t="s">
        <v>719</v>
      </c>
      <c r="J456" s="382"/>
      <c r="L456" s="403"/>
      <c r="M456" s="403"/>
      <c r="N456" s="403"/>
      <c r="O456" s="403"/>
      <c r="P456" s="403"/>
      <c r="Q456" s="403"/>
      <c r="R456" s="403"/>
      <c r="S456" s="403"/>
      <c r="T456" s="403"/>
      <c r="U456" s="403"/>
      <c r="V456" s="403"/>
      <c r="W456" s="403"/>
      <c r="X456" s="403"/>
      <c r="Y456" s="403"/>
      <c r="Z456" s="367"/>
      <c r="AA456" s="304"/>
      <c r="AB456" s="304" t="s">
        <v>720</v>
      </c>
      <c r="AC456" s="304" t="str">
        <f>IF(OR(J453&gt;100%, J453=0), "Year End Profit %", (I459+I460+I461))</f>
        <v>Year End Profit %</v>
      </c>
      <c r="AD456" s="383"/>
      <c r="AE456" s="304"/>
      <c r="AF456" s="304"/>
      <c r="AG456" s="304"/>
      <c r="AH456" s="304"/>
      <c r="AI456" s="304"/>
      <c r="AJ456" s="304"/>
      <c r="AK456" s="304"/>
      <c r="AL456" s="304"/>
      <c r="AM456" s="304"/>
      <c r="AN456" s="304"/>
      <c r="AO456" s="304"/>
      <c r="AP456" s="304"/>
      <c r="AQ456" s="304"/>
      <c r="AR456" s="304"/>
      <c r="AS456" s="304"/>
    </row>
    <row r="457" spans="2:45">
      <c r="B457" s="1274" t="s">
        <v>721</v>
      </c>
      <c r="C457" s="1275"/>
      <c r="D457" s="1275"/>
      <c r="E457" s="1275"/>
      <c r="F457" s="1276"/>
      <c r="G457" s="346"/>
      <c r="H457" s="384">
        <f>G457</f>
        <v>0</v>
      </c>
      <c r="I457" s="364"/>
      <c r="J457" s="385">
        <f>I457</f>
        <v>0</v>
      </c>
      <c r="L457" s="403"/>
      <c r="M457" s="403"/>
      <c r="N457" s="403"/>
      <c r="O457" s="403"/>
      <c r="P457" s="403"/>
      <c r="Q457" s="403"/>
      <c r="R457" s="403"/>
      <c r="S457" s="403"/>
      <c r="T457" s="403"/>
      <c r="U457" s="403"/>
      <c r="V457" s="403"/>
      <c r="W457" s="403"/>
      <c r="X457" s="403"/>
      <c r="Y457" s="403"/>
      <c r="Z457" s="367"/>
      <c r="AA457" s="304"/>
      <c r="AB457" s="304"/>
      <c r="AC457" s="304"/>
      <c r="AD457" s="304"/>
      <c r="AE457" s="304"/>
      <c r="AF457" s="304"/>
      <c r="AG457" s="304"/>
      <c r="AH457" s="304"/>
      <c r="AI457" s="304"/>
      <c r="AJ457" s="304"/>
      <c r="AK457" s="304"/>
      <c r="AL457" s="304"/>
      <c r="AM457" s="304"/>
      <c r="AN457" s="304"/>
      <c r="AO457" s="304"/>
      <c r="AP457" s="304"/>
      <c r="AQ457" s="304"/>
      <c r="AR457" s="304"/>
      <c r="AS457" s="304"/>
    </row>
    <row r="458" spans="2:45">
      <c r="B458" s="1246" t="s">
        <v>722</v>
      </c>
      <c r="C458" s="1247"/>
      <c r="D458" s="1247"/>
      <c r="E458" s="1247"/>
      <c r="F458" s="1247"/>
      <c r="G458" s="377"/>
      <c r="H458" s="381"/>
      <c r="I458" s="386"/>
      <c r="J458" s="382"/>
      <c r="L458" s="403"/>
      <c r="M458" s="403"/>
      <c r="N458" s="403"/>
      <c r="O458" s="403"/>
      <c r="P458" s="403"/>
      <c r="Q458" s="403"/>
      <c r="R458" s="403"/>
      <c r="S458" s="403"/>
      <c r="T458" s="403"/>
      <c r="U458" s="403"/>
      <c r="V458" s="403"/>
      <c r="W458" s="403"/>
      <c r="X458" s="403"/>
      <c r="Y458" s="403"/>
      <c r="Z458" s="367"/>
      <c r="AA458" s="304"/>
      <c r="AB458" s="304"/>
      <c r="AC458" s="304"/>
      <c r="AD458" s="304"/>
      <c r="AE458" s="304"/>
      <c r="AF458" s="304"/>
      <c r="AG458" s="304"/>
      <c r="AH458" s="304"/>
      <c r="AI458" s="304"/>
      <c r="AJ458" s="304"/>
      <c r="AK458" s="304"/>
      <c r="AL458" s="304"/>
      <c r="AM458" s="304"/>
      <c r="AN458" s="304"/>
      <c r="AO458" s="304"/>
      <c r="AP458" s="304"/>
      <c r="AQ458" s="304"/>
      <c r="AR458" s="304"/>
      <c r="AS458" s="304"/>
    </row>
    <row r="459" spans="2:45">
      <c r="B459" s="1248" t="s">
        <v>723</v>
      </c>
      <c r="C459" s="1249"/>
      <c r="D459" s="1249"/>
      <c r="E459" s="1249"/>
      <c r="F459" s="1250"/>
      <c r="G459" s="346"/>
      <c r="H459" s="387" t="str">
        <f>AC455</f>
        <v>Year End Profit %</v>
      </c>
      <c r="I459" s="346"/>
      <c r="J459" s="388" t="str">
        <f>AC456</f>
        <v>Year End Profit %</v>
      </c>
      <c r="L459" s="403"/>
      <c r="M459" s="403"/>
      <c r="N459" s="403"/>
      <c r="O459" s="403"/>
      <c r="P459" s="403"/>
      <c r="Q459" s="403"/>
      <c r="R459" s="403"/>
      <c r="S459" s="403"/>
      <c r="T459" s="403"/>
      <c r="U459" s="403"/>
      <c r="V459" s="403"/>
      <c r="W459" s="403"/>
      <c r="X459" s="403"/>
      <c r="Y459" s="403"/>
      <c r="Z459" s="367"/>
      <c r="AA459" s="304"/>
      <c r="AB459" s="304"/>
      <c r="AC459" s="304"/>
      <c r="AD459" s="304"/>
      <c r="AE459" s="304"/>
      <c r="AF459" s="304"/>
      <c r="AG459" s="304"/>
      <c r="AH459" s="304"/>
      <c r="AI459" s="304"/>
      <c r="AJ459" s="304"/>
      <c r="AK459" s="304"/>
      <c r="AL459" s="304"/>
      <c r="AM459" s="304"/>
      <c r="AN459" s="304"/>
      <c r="AO459" s="304"/>
      <c r="AP459" s="304"/>
      <c r="AQ459" s="304"/>
      <c r="AR459" s="304"/>
      <c r="AS459" s="304"/>
    </row>
    <row r="460" spans="2:45">
      <c r="B460" s="1251" t="s">
        <v>724</v>
      </c>
      <c r="C460" s="1252"/>
      <c r="D460" s="1252"/>
      <c r="E460" s="1252"/>
      <c r="F460" s="1253"/>
      <c r="G460" s="346"/>
      <c r="H460" s="389"/>
      <c r="I460" s="346"/>
      <c r="J460" s="390"/>
      <c r="L460" s="403"/>
      <c r="M460" s="403"/>
      <c r="N460" s="403"/>
      <c r="O460" s="403"/>
      <c r="P460" s="403"/>
      <c r="Q460" s="403"/>
      <c r="R460" s="403"/>
      <c r="S460" s="403"/>
      <c r="T460" s="403"/>
      <c r="U460" s="403"/>
      <c r="V460" s="403"/>
      <c r="W460" s="403"/>
      <c r="X460" s="403"/>
      <c r="Y460" s="403"/>
      <c r="Z460" s="367"/>
      <c r="AA460" s="304"/>
      <c r="AB460" s="304"/>
      <c r="AC460" s="304"/>
      <c r="AD460" s="304"/>
      <c r="AE460" s="304"/>
      <c r="AF460" s="304"/>
      <c r="AG460" s="304"/>
      <c r="AH460" s="304"/>
      <c r="AI460" s="304"/>
      <c r="AJ460" s="304"/>
      <c r="AK460" s="304"/>
      <c r="AL460" s="304"/>
      <c r="AM460" s="304"/>
      <c r="AN460" s="304"/>
      <c r="AO460" s="304"/>
      <c r="AP460" s="304"/>
      <c r="AQ460" s="304"/>
      <c r="AR460" s="304"/>
      <c r="AS460" s="304"/>
    </row>
    <row r="461" spans="2:45">
      <c r="B461" s="1254" t="s">
        <v>725</v>
      </c>
      <c r="C461" s="1255"/>
      <c r="D461" s="1255"/>
      <c r="E461" s="1255"/>
      <c r="F461" s="1256"/>
      <c r="G461" s="346"/>
      <c r="H461" s="389"/>
      <c r="I461" s="346"/>
      <c r="J461" s="390"/>
      <c r="L461" s="403"/>
      <c r="M461" s="403"/>
      <c r="N461" s="403"/>
      <c r="O461" s="403"/>
      <c r="P461" s="403"/>
      <c r="Q461" s="403"/>
      <c r="R461" s="403"/>
      <c r="S461" s="403"/>
      <c r="T461" s="403"/>
      <c r="U461" s="403"/>
      <c r="V461" s="403"/>
      <c r="W461" s="403"/>
      <c r="X461" s="403"/>
      <c r="Y461" s="403"/>
      <c r="Z461" s="367"/>
      <c r="AA461" s="304"/>
      <c r="AB461" s="304"/>
      <c r="AC461" s="304"/>
      <c r="AD461" s="304"/>
      <c r="AE461" s="304"/>
      <c r="AF461" s="304"/>
      <c r="AG461" s="304"/>
      <c r="AH461" s="304"/>
      <c r="AI461" s="304"/>
      <c r="AJ461" s="304"/>
      <c r="AK461" s="304"/>
      <c r="AL461" s="304"/>
      <c r="AM461" s="304"/>
      <c r="AN461" s="304"/>
      <c r="AO461" s="304"/>
      <c r="AP461" s="304"/>
      <c r="AQ461" s="304"/>
      <c r="AR461" s="304"/>
      <c r="AS461" s="304"/>
    </row>
    <row r="462" spans="2:45">
      <c r="B462" s="1257" t="s">
        <v>726</v>
      </c>
      <c r="C462" s="1258"/>
      <c r="D462" s="1258"/>
      <c r="E462" s="1258"/>
      <c r="F462" s="1258"/>
      <c r="G462" s="391"/>
      <c r="H462" s="392"/>
      <c r="I462" s="391"/>
      <c r="J462" s="393"/>
      <c r="L462" s="403"/>
      <c r="M462" s="403"/>
      <c r="N462" s="403"/>
      <c r="O462" s="403"/>
      <c r="P462" s="403"/>
      <c r="Q462" s="403"/>
      <c r="R462" s="403"/>
      <c r="S462" s="403"/>
      <c r="T462" s="403"/>
      <c r="U462" s="403"/>
      <c r="V462" s="403"/>
      <c r="W462" s="403"/>
      <c r="X462" s="403"/>
      <c r="Y462" s="403"/>
      <c r="Z462" s="367"/>
      <c r="AA462" s="304"/>
      <c r="AB462" s="304"/>
      <c r="AC462" s="304"/>
      <c r="AD462" s="304"/>
      <c r="AE462" s="304"/>
      <c r="AF462" s="304"/>
      <c r="AG462" s="304"/>
      <c r="AH462" s="304"/>
      <c r="AI462" s="304"/>
      <c r="AJ462" s="304"/>
      <c r="AK462" s="304"/>
      <c r="AL462" s="304"/>
      <c r="AM462" s="304"/>
      <c r="AN462" s="304"/>
      <c r="AO462" s="304"/>
      <c r="AP462" s="304"/>
      <c r="AQ462" s="304"/>
      <c r="AR462" s="304"/>
      <c r="AS462" s="304"/>
    </row>
    <row r="463" spans="2:45">
      <c r="B463" s="1259" t="s">
        <v>727</v>
      </c>
      <c r="C463" s="1260"/>
      <c r="D463" s="1260"/>
      <c r="E463" s="1260"/>
      <c r="F463" s="1261"/>
      <c r="G463" s="394"/>
      <c r="H463" s="395">
        <f>(G463*H453)*-1</f>
        <v>0</v>
      </c>
      <c r="I463" s="394"/>
      <c r="J463" s="396">
        <f>(I463*J453)*-1</f>
        <v>0</v>
      </c>
      <c r="L463" s="403"/>
      <c r="M463" s="403"/>
      <c r="N463" s="403"/>
      <c r="O463" s="403"/>
      <c r="P463" s="403"/>
      <c r="Q463" s="403"/>
      <c r="R463" s="403"/>
      <c r="S463" s="403"/>
      <c r="T463" s="403"/>
      <c r="U463" s="403"/>
      <c r="V463" s="403"/>
      <c r="W463" s="403"/>
      <c r="X463" s="403"/>
      <c r="Y463" s="403"/>
      <c r="Z463" s="367"/>
      <c r="AA463" s="304"/>
      <c r="AB463" s="304"/>
      <c r="AC463" s="304"/>
      <c r="AD463" s="304"/>
      <c r="AE463" s="304"/>
      <c r="AF463" s="304"/>
      <c r="AG463" s="304"/>
      <c r="AH463" s="304"/>
      <c r="AI463" s="304"/>
      <c r="AJ463" s="304"/>
      <c r="AK463" s="304"/>
      <c r="AL463" s="304"/>
      <c r="AM463" s="304"/>
      <c r="AN463" s="304"/>
      <c r="AO463" s="304"/>
      <c r="AP463" s="304"/>
      <c r="AQ463" s="304"/>
      <c r="AR463" s="304"/>
      <c r="AS463" s="304"/>
    </row>
    <row r="464" spans="2:45">
      <c r="B464" s="1237" t="s">
        <v>728</v>
      </c>
      <c r="C464" s="1238"/>
      <c r="D464" s="1238"/>
      <c r="E464" s="1238"/>
      <c r="F464" s="1239"/>
      <c r="G464" s="394"/>
      <c r="H464" s="395">
        <f>(G464*H453)*-1</f>
        <v>0</v>
      </c>
      <c r="I464" s="394"/>
      <c r="J464" s="396">
        <f>(I464*J453)*-1</f>
        <v>0</v>
      </c>
      <c r="L464" s="403"/>
      <c r="M464" s="403"/>
      <c r="N464" s="403"/>
      <c r="O464" s="403"/>
      <c r="P464" s="403"/>
      <c r="Q464" s="403"/>
      <c r="R464" s="403"/>
      <c r="S464" s="403"/>
      <c r="T464" s="403"/>
      <c r="U464" s="403"/>
      <c r="V464" s="403"/>
      <c r="W464" s="403"/>
      <c r="X464" s="403"/>
      <c r="Y464" s="403"/>
      <c r="Z464" s="367"/>
      <c r="AA464" s="304"/>
      <c r="AB464" s="304"/>
      <c r="AC464" s="304"/>
      <c r="AD464" s="304"/>
      <c r="AE464" s="304"/>
      <c r="AF464" s="304"/>
      <c r="AG464" s="304"/>
      <c r="AH464" s="304"/>
      <c r="AI464" s="304"/>
      <c r="AJ464" s="304"/>
      <c r="AK464" s="304"/>
      <c r="AL464" s="304"/>
      <c r="AM464" s="304"/>
      <c r="AN464" s="304"/>
      <c r="AO464" s="304"/>
      <c r="AP464" s="304"/>
      <c r="AQ464" s="304"/>
      <c r="AR464" s="304"/>
      <c r="AS464" s="304"/>
    </row>
    <row r="465" spans="2:45">
      <c r="B465" s="1237" t="s">
        <v>729</v>
      </c>
      <c r="C465" s="1238"/>
      <c r="D465" s="1238"/>
      <c r="E465" s="1238"/>
      <c r="F465" s="1239"/>
      <c r="G465" s="394"/>
      <c r="H465" s="395">
        <f>(G465*H453)*-1</f>
        <v>0</v>
      </c>
      <c r="I465" s="394"/>
      <c r="J465" s="396">
        <f>(I465*J453)*-1</f>
        <v>0</v>
      </c>
      <c r="L465" s="403"/>
      <c r="M465" s="403"/>
      <c r="N465" s="403"/>
      <c r="O465" s="403"/>
      <c r="P465" s="403"/>
      <c r="Q465" s="403"/>
      <c r="R465" s="403"/>
      <c r="S465" s="403"/>
      <c r="T465" s="403"/>
      <c r="U465" s="403"/>
      <c r="V465" s="403"/>
      <c r="W465" s="403"/>
      <c r="X465" s="403"/>
      <c r="Y465" s="403"/>
      <c r="Z465" s="367"/>
      <c r="AA465" s="304"/>
      <c r="AB465" s="304"/>
      <c r="AC465" s="304"/>
      <c r="AD465" s="304"/>
      <c r="AE465" s="304"/>
      <c r="AF465" s="304"/>
      <c r="AG465" s="304"/>
      <c r="AH465" s="304"/>
      <c r="AI465" s="304"/>
      <c r="AJ465" s="304"/>
      <c r="AK465" s="304"/>
      <c r="AL465" s="304"/>
      <c r="AM465" s="304"/>
      <c r="AN465" s="304"/>
      <c r="AO465" s="304"/>
      <c r="AP465" s="304"/>
      <c r="AQ465" s="304"/>
      <c r="AR465" s="304"/>
      <c r="AS465" s="304"/>
    </row>
    <row r="466" spans="2:45">
      <c r="B466" s="1240" t="s">
        <v>730</v>
      </c>
      <c r="C466" s="1241"/>
      <c r="D466" s="1241"/>
      <c r="E466" s="1241"/>
      <c r="F466" s="1242"/>
      <c r="G466" s="394"/>
      <c r="H466" s="395">
        <f>(G466*H453)*-1</f>
        <v>0</v>
      </c>
      <c r="I466" s="394"/>
      <c r="J466" s="396">
        <f>(I466*J453)*-1</f>
        <v>0</v>
      </c>
      <c r="L466" s="403"/>
      <c r="M466" s="403"/>
      <c r="N466" s="403"/>
      <c r="O466" s="403"/>
      <c r="P466" s="403"/>
      <c r="Q466" s="403"/>
      <c r="R466" s="403"/>
      <c r="S466" s="403"/>
      <c r="T466" s="403"/>
      <c r="U466" s="403"/>
      <c r="V466" s="403"/>
      <c r="W466" s="403"/>
      <c r="X466" s="403"/>
      <c r="Y466" s="403"/>
      <c r="Z466" s="367"/>
      <c r="AA466" s="304"/>
      <c r="AB466" s="304"/>
      <c r="AC466" s="304"/>
      <c r="AD466" s="304"/>
      <c r="AE466" s="304"/>
      <c r="AF466" s="304"/>
      <c r="AG466" s="304"/>
      <c r="AH466" s="304"/>
      <c r="AI466" s="304"/>
      <c r="AJ466" s="304"/>
      <c r="AK466" s="304"/>
      <c r="AL466" s="304"/>
      <c r="AM466" s="304"/>
      <c r="AN466" s="304"/>
      <c r="AO466" s="304"/>
      <c r="AP466" s="304"/>
      <c r="AQ466" s="304"/>
      <c r="AR466" s="304"/>
      <c r="AS466" s="304"/>
    </row>
    <row r="467" spans="2:45">
      <c r="B467" s="1229" t="s">
        <v>731</v>
      </c>
      <c r="C467" s="1230"/>
      <c r="D467" s="1230"/>
      <c r="E467" s="1230"/>
      <c r="F467" s="1230"/>
      <c r="G467" s="350"/>
      <c r="H467" s="351"/>
      <c r="I467" s="350"/>
      <c r="J467" s="352"/>
      <c r="L467" s="403"/>
      <c r="M467" s="403"/>
      <c r="N467" s="403"/>
      <c r="O467" s="403"/>
      <c r="P467" s="403"/>
      <c r="Q467" s="403"/>
      <c r="R467" s="403"/>
      <c r="S467" s="403"/>
      <c r="T467" s="403"/>
      <c r="U467" s="403"/>
      <c r="V467" s="403"/>
      <c r="W467" s="403"/>
      <c r="X467" s="403"/>
      <c r="Y467" s="403"/>
      <c r="Z467" s="367"/>
      <c r="AA467" s="304"/>
      <c r="AB467" s="304"/>
      <c r="AC467" s="304"/>
      <c r="AD467" s="304"/>
      <c r="AE467" s="304"/>
      <c r="AF467" s="304"/>
      <c r="AG467" s="304"/>
      <c r="AH467" s="304"/>
      <c r="AI467" s="304"/>
      <c r="AJ467" s="304"/>
      <c r="AK467" s="304"/>
      <c r="AL467" s="304"/>
      <c r="AM467" s="304"/>
      <c r="AN467" s="304"/>
      <c r="AO467" s="304"/>
      <c r="AP467" s="304"/>
      <c r="AQ467" s="304"/>
      <c r="AR467" s="304"/>
      <c r="AS467" s="304"/>
    </row>
    <row r="468" spans="2:45">
      <c r="B468" s="1243" t="s">
        <v>732</v>
      </c>
      <c r="C468" s="1244"/>
      <c r="D468" s="1244"/>
      <c r="E468" s="1244"/>
      <c r="F468" s="1245"/>
      <c r="G468" s="346"/>
      <c r="H468" s="384">
        <f>G468*H453</f>
        <v>0</v>
      </c>
      <c r="I468" s="346"/>
      <c r="J468" s="385">
        <f>I468*J453</f>
        <v>0</v>
      </c>
      <c r="L468" s="403"/>
      <c r="M468" s="403"/>
      <c r="N468" s="403"/>
      <c r="O468" s="403"/>
      <c r="P468" s="403"/>
      <c r="Q468" s="403"/>
      <c r="R468" s="403"/>
      <c r="S468" s="403"/>
      <c r="T468" s="403"/>
      <c r="U468" s="403"/>
      <c r="V468" s="403"/>
      <c r="W468" s="403"/>
      <c r="X468" s="403"/>
      <c r="Y468" s="403"/>
      <c r="Z468" s="367"/>
      <c r="AA468" s="304"/>
      <c r="AB468" s="304"/>
      <c r="AC468" s="304"/>
      <c r="AD468" s="304"/>
      <c r="AE468" s="304"/>
      <c r="AF468" s="304"/>
      <c r="AG468" s="304"/>
      <c r="AH468" s="304"/>
      <c r="AI468" s="304"/>
      <c r="AJ468" s="304"/>
      <c r="AK468" s="304"/>
      <c r="AL468" s="304"/>
      <c r="AM468" s="304"/>
      <c r="AN468" s="304"/>
      <c r="AO468" s="304"/>
      <c r="AP468" s="304"/>
      <c r="AQ468" s="304"/>
      <c r="AR468" s="304"/>
      <c r="AS468" s="304"/>
    </row>
    <row r="469" spans="2:45">
      <c r="B469" s="1223" t="s">
        <v>733</v>
      </c>
      <c r="C469" s="1224"/>
      <c r="D469" s="1224"/>
      <c r="E469" s="1224"/>
      <c r="F469" s="1225"/>
      <c r="G469" s="346"/>
      <c r="H469" s="384">
        <f>G469*H453</f>
        <v>0</v>
      </c>
      <c r="I469" s="346"/>
      <c r="J469" s="385">
        <f>I469*J453</f>
        <v>0</v>
      </c>
      <c r="L469" s="403"/>
      <c r="M469" s="403"/>
      <c r="N469" s="403"/>
      <c r="O469" s="403"/>
      <c r="P469" s="403"/>
      <c r="Q469" s="403"/>
      <c r="R469" s="403"/>
      <c r="S469" s="403"/>
      <c r="T469" s="403"/>
      <c r="U469" s="403"/>
      <c r="V469" s="403"/>
      <c r="W469" s="403"/>
      <c r="X469" s="403"/>
      <c r="Y469" s="403"/>
      <c r="Z469" s="367"/>
      <c r="AA469" s="304"/>
      <c r="AB469" s="304"/>
      <c r="AC469" s="304"/>
      <c r="AD469" s="304"/>
      <c r="AE469" s="304"/>
      <c r="AF469" s="304"/>
      <c r="AG469" s="304"/>
      <c r="AH469" s="304"/>
      <c r="AI469" s="304"/>
      <c r="AJ469" s="304"/>
      <c r="AK469" s="304"/>
      <c r="AL469" s="304"/>
      <c r="AM469" s="304"/>
      <c r="AN469" s="304"/>
      <c r="AO469" s="304"/>
      <c r="AP469" s="304"/>
      <c r="AQ469" s="304"/>
      <c r="AR469" s="304"/>
      <c r="AS469" s="304"/>
    </row>
    <row r="470" spans="2:45">
      <c r="B470" s="1223" t="s">
        <v>734</v>
      </c>
      <c r="C470" s="1224"/>
      <c r="D470" s="1224"/>
      <c r="E470" s="1224"/>
      <c r="F470" s="1225"/>
      <c r="G470" s="346"/>
      <c r="H470" s="384">
        <f>G470*H453</f>
        <v>0</v>
      </c>
      <c r="I470" s="346"/>
      <c r="J470" s="385">
        <f>I470*J453</f>
        <v>0</v>
      </c>
      <c r="L470" s="403"/>
      <c r="M470" s="403"/>
      <c r="N470" s="403"/>
      <c r="O470" s="403"/>
      <c r="P470" s="403"/>
      <c r="Q470" s="403"/>
      <c r="R470" s="403"/>
      <c r="S470" s="403"/>
      <c r="T470" s="403"/>
      <c r="U470" s="403"/>
      <c r="V470" s="403"/>
      <c r="W470" s="403"/>
      <c r="X470" s="403"/>
      <c r="Y470" s="403"/>
      <c r="Z470" s="367"/>
      <c r="AA470" s="304"/>
      <c r="AB470" s="304"/>
      <c r="AC470" s="304"/>
      <c r="AD470" s="304"/>
      <c r="AE470" s="304"/>
      <c r="AF470" s="304"/>
      <c r="AG470" s="304"/>
      <c r="AH470" s="304"/>
      <c r="AI470" s="304"/>
      <c r="AJ470" s="304"/>
      <c r="AK470" s="304"/>
      <c r="AL470" s="304"/>
      <c r="AM470" s="304"/>
      <c r="AN470" s="304"/>
      <c r="AO470" s="304"/>
      <c r="AP470" s="304"/>
      <c r="AQ470" s="304"/>
      <c r="AR470" s="304"/>
      <c r="AS470" s="304"/>
    </row>
    <row r="471" spans="2:45">
      <c r="B471" s="1172" t="s">
        <v>735</v>
      </c>
      <c r="C471" s="1173"/>
      <c r="D471" s="1173"/>
      <c r="E471" s="1173"/>
      <c r="F471" s="1173"/>
      <c r="G471" s="351"/>
      <c r="H471" s="397"/>
      <c r="I471" s="351"/>
      <c r="J471" s="398"/>
      <c r="L471" s="403"/>
      <c r="M471" s="403"/>
      <c r="N471" s="403"/>
      <c r="O471" s="403"/>
      <c r="P471" s="403"/>
      <c r="Q471" s="403"/>
      <c r="R471" s="403"/>
      <c r="S471" s="403"/>
      <c r="T471" s="403"/>
      <c r="U471" s="403"/>
      <c r="V471" s="403"/>
      <c r="W471" s="403"/>
      <c r="X471" s="403"/>
      <c r="Y471" s="403"/>
      <c r="Z471" s="367"/>
      <c r="AA471" s="304"/>
      <c r="AB471" s="304"/>
      <c r="AC471" s="304"/>
      <c r="AD471" s="304"/>
      <c r="AE471" s="304"/>
      <c r="AF471" s="304"/>
      <c r="AG471" s="304"/>
      <c r="AH471" s="304"/>
      <c r="AI471" s="304"/>
      <c r="AJ471" s="304"/>
      <c r="AK471" s="304"/>
      <c r="AL471" s="304"/>
      <c r="AM471" s="304"/>
      <c r="AN471" s="304"/>
      <c r="AO471" s="304"/>
      <c r="AP471" s="304"/>
      <c r="AQ471" s="304"/>
      <c r="AR471" s="304"/>
      <c r="AS471" s="304"/>
    </row>
    <row r="472" spans="2:45">
      <c r="B472" s="1226" t="s">
        <v>736</v>
      </c>
      <c r="C472" s="1227"/>
      <c r="D472" s="1227"/>
      <c r="E472" s="1227"/>
      <c r="F472" s="1228"/>
      <c r="G472" s="346"/>
      <c r="H472" s="384">
        <f>G472*H453</f>
        <v>0</v>
      </c>
      <c r="I472" s="346"/>
      <c r="J472" s="385">
        <f>I472*J453</f>
        <v>0</v>
      </c>
      <c r="L472" s="403"/>
      <c r="M472" s="403"/>
      <c r="N472" s="403"/>
      <c r="O472" s="403"/>
      <c r="P472" s="403"/>
      <c r="Q472" s="403"/>
      <c r="R472" s="403"/>
      <c r="S472" s="403"/>
      <c r="T472" s="403"/>
      <c r="U472" s="403"/>
      <c r="V472" s="403"/>
      <c r="W472" s="403"/>
      <c r="X472" s="403"/>
      <c r="Y472" s="403"/>
      <c r="Z472" s="367"/>
      <c r="AA472" s="304"/>
      <c r="AB472" s="304"/>
      <c r="AC472" s="304"/>
      <c r="AD472" s="304"/>
      <c r="AE472" s="304"/>
      <c r="AF472" s="304"/>
      <c r="AG472" s="304"/>
      <c r="AH472" s="304"/>
      <c r="AI472" s="304"/>
      <c r="AJ472" s="304"/>
      <c r="AK472" s="304"/>
      <c r="AL472" s="304"/>
      <c r="AM472" s="304"/>
      <c r="AN472" s="304"/>
      <c r="AO472" s="304"/>
      <c r="AP472" s="304"/>
      <c r="AQ472" s="304"/>
      <c r="AR472" s="304"/>
      <c r="AS472" s="304"/>
    </row>
    <row r="473" spans="2:45">
      <c r="B473" s="1229" t="s">
        <v>737</v>
      </c>
      <c r="C473" s="1230"/>
      <c r="D473" s="1230"/>
      <c r="E473" s="1230"/>
      <c r="F473" s="1230"/>
      <c r="G473" s="350"/>
      <c r="H473" s="351"/>
      <c r="I473" s="350"/>
      <c r="J473" s="352"/>
      <c r="L473" s="403"/>
      <c r="M473" s="403"/>
      <c r="N473" s="403"/>
      <c r="O473" s="403"/>
      <c r="P473" s="403"/>
      <c r="Q473" s="403"/>
      <c r="R473" s="403"/>
      <c r="S473" s="403"/>
      <c r="T473" s="403"/>
      <c r="U473" s="403"/>
      <c r="V473" s="403"/>
      <c r="W473" s="403"/>
      <c r="X473" s="403"/>
      <c r="Y473" s="403"/>
      <c r="Z473" s="367"/>
      <c r="AA473" s="304"/>
      <c r="AB473" s="304"/>
      <c r="AC473" s="304"/>
      <c r="AD473" s="304"/>
      <c r="AE473" s="304"/>
      <c r="AF473" s="304"/>
      <c r="AG473" s="304"/>
      <c r="AH473" s="304"/>
      <c r="AI473" s="304"/>
      <c r="AJ473" s="304"/>
      <c r="AK473" s="304"/>
      <c r="AL473" s="304"/>
      <c r="AM473" s="304"/>
      <c r="AN473" s="304"/>
      <c r="AO473" s="304"/>
      <c r="AP473" s="304"/>
      <c r="AQ473" s="304"/>
      <c r="AR473" s="304"/>
      <c r="AS473" s="304"/>
    </row>
    <row r="474" spans="2:45" ht="29.1" customHeight="1">
      <c r="B474" s="1231" t="s">
        <v>738</v>
      </c>
      <c r="C474" s="1232"/>
      <c r="D474" s="1232"/>
      <c r="E474" s="1232"/>
      <c r="F474" s="1233"/>
      <c r="G474" s="399"/>
      <c r="H474" s="359">
        <f>H453*G474*-1</f>
        <v>0</v>
      </c>
      <c r="I474" s="399"/>
      <c r="J474" s="400">
        <f>(J453*I474)*-1</f>
        <v>0</v>
      </c>
      <c r="L474" s="403"/>
      <c r="M474" s="403"/>
      <c r="N474" s="403"/>
      <c r="O474" s="403"/>
      <c r="P474" s="403"/>
      <c r="Q474" s="403"/>
      <c r="R474" s="403"/>
      <c r="S474" s="403"/>
      <c r="T474" s="403"/>
      <c r="U474" s="403"/>
      <c r="V474" s="403"/>
      <c r="W474" s="403"/>
      <c r="X474" s="403"/>
      <c r="Y474" s="403"/>
      <c r="Z474" s="367"/>
      <c r="AA474" s="304"/>
      <c r="AB474" s="304"/>
      <c r="AC474" s="304"/>
      <c r="AD474" s="304"/>
      <c r="AE474" s="304"/>
      <c r="AF474" s="304"/>
      <c r="AG474" s="304"/>
      <c r="AH474" s="304"/>
      <c r="AI474" s="304"/>
      <c r="AJ474" s="304"/>
      <c r="AK474" s="304"/>
      <c r="AL474" s="304"/>
      <c r="AM474" s="304"/>
      <c r="AN474" s="304"/>
      <c r="AO474" s="304"/>
      <c r="AP474" s="304"/>
      <c r="AQ474" s="304"/>
      <c r="AR474" s="304"/>
      <c r="AS474" s="304"/>
    </row>
    <row r="475" spans="2:45" ht="29.1" customHeight="1">
      <c r="B475" s="1234" t="s">
        <v>739</v>
      </c>
      <c r="C475" s="1235"/>
      <c r="D475" s="1235"/>
      <c r="E475" s="1235"/>
      <c r="F475" s="1236"/>
      <c r="G475" s="346"/>
      <c r="H475" s="401">
        <f>(H453*G475)*-1</f>
        <v>0</v>
      </c>
      <c r="I475" s="346"/>
      <c r="J475" s="402">
        <f>(J453*I475)*-1</f>
        <v>0</v>
      </c>
      <c r="L475" s="403"/>
      <c r="M475" s="403"/>
      <c r="N475" s="403"/>
      <c r="O475" s="403"/>
      <c r="P475" s="403"/>
      <c r="Q475" s="403"/>
      <c r="R475" s="403"/>
      <c r="S475" s="403"/>
      <c r="T475" s="403"/>
      <c r="U475" s="403"/>
      <c r="V475" s="403"/>
      <c r="W475" s="403"/>
      <c r="X475" s="403"/>
      <c r="Y475" s="403"/>
      <c r="Z475" s="367"/>
      <c r="AA475" s="304"/>
      <c r="AB475" s="304"/>
      <c r="AC475" s="304"/>
      <c r="AD475" s="304"/>
      <c r="AE475" s="304"/>
      <c r="AF475" s="304"/>
      <c r="AG475" s="304"/>
      <c r="AH475" s="304"/>
      <c r="AI475" s="304"/>
      <c r="AJ475" s="304"/>
      <c r="AK475" s="304"/>
      <c r="AL475" s="304"/>
      <c r="AM475" s="304"/>
      <c r="AN475" s="304"/>
      <c r="AO475" s="304"/>
      <c r="AP475" s="304"/>
      <c r="AQ475" s="304"/>
      <c r="AR475" s="304"/>
      <c r="AS475" s="304"/>
    </row>
    <row r="476" spans="2:45">
      <c r="B476" s="1211" t="s">
        <v>740</v>
      </c>
      <c r="C476" s="1212"/>
      <c r="D476" s="1212"/>
      <c r="E476" s="1212"/>
      <c r="F476" s="1213"/>
      <c r="G476" s="1214">
        <f>SUM(H457:H475)</f>
        <v>0</v>
      </c>
      <c r="H476" s="1215"/>
      <c r="I476" s="1214">
        <f>SUM(J459:J475)+J457</f>
        <v>0</v>
      </c>
      <c r="J476" s="1216"/>
      <c r="L476" s="403"/>
      <c r="M476" s="403"/>
      <c r="N476" s="403"/>
      <c r="O476" s="403"/>
      <c r="P476" s="403"/>
      <c r="Q476" s="403"/>
      <c r="R476" s="403"/>
      <c r="S476" s="403"/>
      <c r="T476" s="403"/>
      <c r="U476" s="403"/>
      <c r="V476" s="403"/>
      <c r="W476" s="403"/>
      <c r="X476" s="403"/>
      <c r="Y476" s="403"/>
      <c r="Z476" s="367"/>
      <c r="AA476" s="304"/>
      <c r="AB476" s="304"/>
      <c r="AC476" s="304"/>
      <c r="AD476" s="304"/>
      <c r="AE476" s="304"/>
      <c r="AF476" s="304"/>
      <c r="AG476" s="304"/>
      <c r="AH476" s="304"/>
      <c r="AI476" s="304"/>
      <c r="AJ476" s="304"/>
      <c r="AK476" s="304"/>
      <c r="AL476" s="304"/>
      <c r="AM476" s="304"/>
      <c r="AN476" s="304"/>
      <c r="AO476" s="304"/>
      <c r="AP476" s="304"/>
      <c r="AQ476" s="304"/>
      <c r="AR476" s="304"/>
      <c r="AS476" s="304"/>
    </row>
    <row r="477" spans="2:45" ht="18.75">
      <c r="B477" s="1217" t="s">
        <v>696</v>
      </c>
      <c r="C477" s="1218"/>
      <c r="D477" s="1218"/>
      <c r="E477" s="1218"/>
      <c r="F477" s="1219"/>
      <c r="G477" s="1161" t="str">
        <f>IF(OR(AC450=0, I476=0), "12 Month Average", "24 Month Average")</f>
        <v>12 Month Average</v>
      </c>
      <c r="H477" s="1162"/>
      <c r="I477" s="1162"/>
      <c r="J477" s="1163"/>
      <c r="L477" s="403"/>
      <c r="M477" s="403"/>
      <c r="N477" s="403"/>
      <c r="O477" s="403"/>
      <c r="P477" s="403"/>
      <c r="Q477" s="403"/>
      <c r="R477" s="403"/>
      <c r="S477" s="403"/>
      <c r="T477" s="403"/>
      <c r="U477" s="403"/>
      <c r="V477" s="403"/>
      <c r="W477" s="403"/>
      <c r="X477" s="403"/>
      <c r="Y477" s="403"/>
      <c r="Z477" s="367"/>
      <c r="AA477" s="304"/>
      <c r="AB477" s="304"/>
      <c r="AC477" s="304"/>
      <c r="AD477" s="304"/>
      <c r="AE477" s="304"/>
      <c r="AF477" s="304"/>
      <c r="AG477" s="304"/>
      <c r="AH477" s="304"/>
      <c r="AI477" s="304"/>
      <c r="AJ477" s="304"/>
      <c r="AK477" s="304"/>
      <c r="AL477" s="304"/>
      <c r="AM477" s="304"/>
      <c r="AN477" s="304"/>
      <c r="AO477" s="304"/>
      <c r="AP477" s="304"/>
      <c r="AQ477" s="304"/>
      <c r="AR477" s="304"/>
      <c r="AS477" s="304"/>
    </row>
    <row r="478" spans="2:45" ht="34.5" thickBot="1">
      <c r="B478" s="1220" t="s">
        <v>697</v>
      </c>
      <c r="C478" s="1221"/>
      <c r="D478" s="1221"/>
      <c r="E478" s="1221"/>
      <c r="F478" s="1222"/>
      <c r="G478" s="1167">
        <f>IF(OR(AC450=0, I476=0), AC452, AC453)</f>
        <v>0</v>
      </c>
      <c r="H478" s="1168"/>
      <c r="I478" s="1168"/>
      <c r="J478" s="1169"/>
      <c r="L478" s="403"/>
      <c r="M478" s="403"/>
      <c r="N478" s="403"/>
      <c r="O478" s="403"/>
      <c r="P478" s="403"/>
      <c r="Q478" s="403"/>
      <c r="R478" s="403"/>
      <c r="S478" s="403"/>
      <c r="T478" s="403"/>
      <c r="U478" s="403"/>
      <c r="V478" s="403"/>
      <c r="W478" s="403"/>
      <c r="X478" s="403"/>
      <c r="Y478" s="403"/>
      <c r="Z478" s="367"/>
      <c r="AA478" s="304"/>
      <c r="AB478" s="304"/>
      <c r="AC478" s="304"/>
      <c r="AD478" s="304"/>
    </row>
    <row r="479" spans="2:45" ht="9" customHeight="1" thickBot="1">
      <c r="H479" s="330"/>
      <c r="I479" s="330"/>
      <c r="L479" s="403"/>
      <c r="M479" s="403"/>
      <c r="N479" s="403"/>
      <c r="O479" s="403"/>
      <c r="P479" s="403"/>
      <c r="Q479" s="403"/>
      <c r="R479" s="403"/>
      <c r="S479" s="403"/>
      <c r="T479" s="403"/>
      <c r="U479" s="403"/>
      <c r="V479" s="403"/>
      <c r="W479" s="403"/>
      <c r="X479" s="403"/>
      <c r="Y479" s="403"/>
      <c r="Z479" s="367"/>
      <c r="AA479" s="304"/>
      <c r="AB479" s="304"/>
      <c r="AC479" s="304"/>
      <c r="AD479" s="304"/>
    </row>
    <row r="480" spans="2:45" ht="105" customHeight="1" thickBot="1">
      <c r="B480" s="1208" t="s">
        <v>645</v>
      </c>
      <c r="C480" s="1209"/>
      <c r="D480" s="1209"/>
      <c r="E480" s="1209"/>
      <c r="F480" s="1209"/>
      <c r="G480" s="1209"/>
      <c r="H480" s="1209"/>
      <c r="I480" s="1209"/>
      <c r="J480" s="1210"/>
      <c r="L480" s="367"/>
      <c r="M480" s="367"/>
      <c r="N480" s="367"/>
      <c r="O480" s="367"/>
      <c r="P480" s="367"/>
      <c r="Q480" s="367"/>
      <c r="R480" s="367"/>
      <c r="S480" s="367"/>
      <c r="T480" s="367"/>
      <c r="U480" s="367"/>
      <c r="V480" s="367"/>
      <c r="W480" s="367"/>
      <c r="X480" s="367"/>
      <c r="Y480" s="367"/>
      <c r="Z480" s="367"/>
      <c r="AA480" s="304"/>
      <c r="AB480" s="304"/>
      <c r="AC480" s="304"/>
      <c r="AD480" s="304"/>
    </row>
    <row r="481" spans="1:45">
      <c r="A481" s="304"/>
      <c r="B481" s="304"/>
      <c r="C481" s="304"/>
      <c r="D481" s="304"/>
      <c r="E481" s="304"/>
      <c r="F481" s="304"/>
      <c r="G481" s="304"/>
      <c r="H481" s="304"/>
      <c r="I481" s="304"/>
      <c r="J481" s="304"/>
      <c r="K481" s="304"/>
      <c r="L481" s="367"/>
      <c r="M481" s="367"/>
      <c r="N481" s="367"/>
      <c r="O481" s="367"/>
      <c r="P481" s="367"/>
      <c r="Q481" s="367"/>
      <c r="R481" s="367"/>
      <c r="S481" s="367"/>
      <c r="T481" s="367"/>
      <c r="U481" s="367"/>
      <c r="V481" s="367"/>
      <c r="W481" s="367"/>
      <c r="X481" s="367"/>
      <c r="Y481" s="367"/>
      <c r="Z481" s="367"/>
      <c r="AA481" s="304"/>
      <c r="AB481" s="304"/>
      <c r="AC481" s="304"/>
      <c r="AD481" s="304"/>
    </row>
    <row r="482" spans="1:45" ht="13.5" customHeight="1" thickBot="1">
      <c r="L482" s="304"/>
      <c r="M482" s="304"/>
      <c r="N482" s="304"/>
      <c r="O482" s="304"/>
      <c r="P482" s="304"/>
      <c r="Q482" s="304"/>
      <c r="R482" s="304"/>
      <c r="S482" s="304"/>
      <c r="T482" s="304"/>
      <c r="U482" s="304"/>
    </row>
    <row r="483" spans="1:45" ht="69" customHeight="1">
      <c r="B483" s="1187" t="s">
        <v>708</v>
      </c>
      <c r="C483" s="1188"/>
      <c r="D483" s="1188"/>
      <c r="E483" s="1188"/>
      <c r="F483" s="1188"/>
      <c r="G483" s="1188"/>
      <c r="H483" s="1188"/>
      <c r="I483" s="1188"/>
      <c r="J483" s="331" t="str">
        <f>'[3]Reference Sheet'!$B$2</f>
        <v>Rev. 4.12.2016</v>
      </c>
      <c r="L483" s="403"/>
      <c r="M483" s="403"/>
      <c r="N483" s="403"/>
      <c r="O483" s="403"/>
      <c r="P483" s="403"/>
      <c r="Q483" s="403"/>
      <c r="R483" s="403"/>
      <c r="S483" s="403"/>
      <c r="T483" s="403"/>
      <c r="U483" s="403"/>
      <c r="V483" s="403"/>
      <c r="W483" s="403"/>
      <c r="X483" s="403"/>
      <c r="Y483" s="403"/>
      <c r="Z483" s="367"/>
      <c r="AA483" s="304"/>
      <c r="AB483" s="304"/>
      <c r="AC483" s="304"/>
      <c r="AD483" s="304"/>
      <c r="AE483" s="304"/>
      <c r="AF483" s="304"/>
      <c r="AG483" s="304"/>
      <c r="AH483" s="304"/>
      <c r="AI483" s="304"/>
      <c r="AJ483" s="304"/>
      <c r="AK483" s="304"/>
      <c r="AL483" s="304"/>
      <c r="AM483" s="304"/>
      <c r="AN483" s="304"/>
      <c r="AO483" s="304"/>
      <c r="AP483" s="304"/>
      <c r="AQ483" s="304"/>
      <c r="AR483" s="304"/>
      <c r="AS483" s="304"/>
    </row>
    <row r="484" spans="1:45" ht="3.75" customHeight="1">
      <c r="B484" s="332"/>
      <c r="C484" s="333"/>
      <c r="D484" s="333"/>
      <c r="E484" s="333"/>
      <c r="F484" s="333"/>
      <c r="G484" s="333"/>
      <c r="H484" s="333"/>
      <c r="I484" s="333"/>
      <c r="J484" s="334"/>
      <c r="L484" s="403"/>
      <c r="M484" s="403"/>
      <c r="N484" s="403"/>
      <c r="O484" s="403"/>
      <c r="P484" s="403"/>
      <c r="Q484" s="403"/>
      <c r="R484" s="403"/>
      <c r="S484" s="403"/>
      <c r="T484" s="403"/>
      <c r="U484" s="403"/>
      <c r="V484" s="403"/>
      <c r="W484" s="403"/>
      <c r="X484" s="403"/>
      <c r="Y484" s="403"/>
      <c r="Z484" s="367"/>
      <c r="AA484" s="304"/>
      <c r="AB484" s="304"/>
      <c r="AC484" s="304"/>
      <c r="AD484" s="304"/>
      <c r="AE484" s="304"/>
      <c r="AF484" s="304"/>
      <c r="AG484" s="304"/>
      <c r="AH484" s="304"/>
      <c r="AI484" s="304"/>
      <c r="AJ484" s="304"/>
      <c r="AK484" s="304"/>
      <c r="AL484" s="304"/>
      <c r="AM484" s="304"/>
      <c r="AN484" s="304"/>
      <c r="AO484" s="304"/>
      <c r="AP484" s="304"/>
      <c r="AQ484" s="304"/>
      <c r="AR484" s="304"/>
      <c r="AS484" s="304"/>
    </row>
    <row r="485" spans="1:45" ht="18" customHeight="1" thickBot="1">
      <c r="B485" s="332"/>
      <c r="C485" s="368" t="s">
        <v>710</v>
      </c>
      <c r="D485" s="1189"/>
      <c r="E485" s="1190"/>
      <c r="F485" s="1190"/>
      <c r="G485" s="1190"/>
      <c r="H485" s="333"/>
      <c r="I485" s="333"/>
      <c r="J485" s="334"/>
      <c r="L485" s="403"/>
      <c r="M485" s="403"/>
      <c r="N485" s="403"/>
      <c r="O485" s="403"/>
      <c r="P485" s="403"/>
      <c r="Q485" s="403"/>
      <c r="R485" s="403"/>
      <c r="S485" s="403"/>
      <c r="T485" s="403"/>
      <c r="U485" s="403"/>
      <c r="V485" s="403"/>
      <c r="W485" s="403"/>
      <c r="X485" s="403"/>
      <c r="Y485" s="403"/>
      <c r="Z485" s="367"/>
      <c r="AA485" s="304"/>
      <c r="AB485" s="304" t="s">
        <v>680</v>
      </c>
      <c r="AC485" s="304">
        <f>IF(AND(J490=0, J494=0, J496=0, J505=0, J506=0, J507=0, J509=0, J511=0, J512=0, I513=0), 0, 1)</f>
        <v>1</v>
      </c>
      <c r="AD485" s="304"/>
      <c r="AE485" s="304"/>
      <c r="AF485" s="366" t="s">
        <v>596</v>
      </c>
      <c r="AG485" s="304"/>
      <c r="AH485" s="304"/>
      <c r="AI485" s="304"/>
      <c r="AJ485" s="304"/>
      <c r="AK485" s="304"/>
      <c r="AL485" s="304"/>
      <c r="AM485" s="304"/>
      <c r="AN485" s="304"/>
      <c r="AO485" s="304"/>
      <c r="AP485" s="304"/>
      <c r="AQ485" s="304"/>
      <c r="AR485" s="304"/>
      <c r="AS485" s="304"/>
    </row>
    <row r="486" spans="1:45" ht="18" customHeight="1" thickBot="1">
      <c r="B486" s="332"/>
      <c r="C486" s="368" t="s">
        <v>711</v>
      </c>
      <c r="D486" s="1277"/>
      <c r="E486" s="1278"/>
      <c r="F486" s="1278"/>
      <c r="G486" s="1278"/>
      <c r="H486" s="368" t="s">
        <v>712</v>
      </c>
      <c r="I486" s="1189"/>
      <c r="J486" s="1279"/>
      <c r="L486" s="403"/>
      <c r="M486" s="403"/>
      <c r="N486" s="403"/>
      <c r="O486" s="403"/>
      <c r="P486" s="403"/>
      <c r="Q486" s="403"/>
      <c r="R486" s="403"/>
      <c r="S486" s="403"/>
      <c r="T486" s="403"/>
      <c r="U486" s="403"/>
      <c r="V486" s="403"/>
      <c r="W486" s="403"/>
      <c r="X486" s="403"/>
      <c r="Y486" s="403"/>
      <c r="Z486" s="367"/>
      <c r="AA486" s="304"/>
      <c r="AB486" s="304" t="s">
        <v>682</v>
      </c>
      <c r="AC486" s="304">
        <f>IF(AND(G513&lt;=I513, I513&lt;&gt;0), 0, 1)</f>
        <v>1</v>
      </c>
      <c r="AD486" s="304"/>
      <c r="AE486" s="304"/>
      <c r="AF486" s="366" t="s">
        <v>683</v>
      </c>
      <c r="AG486" s="304"/>
      <c r="AH486" s="304"/>
      <c r="AI486" s="304"/>
      <c r="AJ486" s="304"/>
      <c r="AK486" s="304"/>
      <c r="AL486" s="304"/>
      <c r="AM486" s="304"/>
      <c r="AN486" s="304"/>
      <c r="AO486" s="304"/>
      <c r="AP486" s="304"/>
      <c r="AQ486" s="304"/>
      <c r="AR486" s="304"/>
      <c r="AS486" s="304"/>
    </row>
    <row r="487" spans="1:45" ht="18" customHeight="1" thickBot="1">
      <c r="B487" s="1176" t="s">
        <v>671</v>
      </c>
      <c r="C487" s="1177"/>
      <c r="D487" s="1280"/>
      <c r="E487" s="1281"/>
      <c r="F487" s="1281"/>
      <c r="G487" s="1281"/>
      <c r="H487" s="336" t="s">
        <v>673</v>
      </c>
      <c r="I487" s="369"/>
      <c r="J487" s="370"/>
      <c r="L487" s="403"/>
      <c r="M487" s="403"/>
      <c r="N487" s="403"/>
      <c r="O487" s="403"/>
      <c r="P487" s="403"/>
      <c r="Q487" s="403"/>
      <c r="R487" s="403"/>
      <c r="S487" s="403"/>
      <c r="T487" s="403"/>
      <c r="U487" s="403"/>
      <c r="V487" s="403"/>
      <c r="W487" s="403"/>
      <c r="X487" s="403"/>
      <c r="Y487" s="403"/>
      <c r="Z487" s="367"/>
      <c r="AA487" s="304"/>
      <c r="AB487" s="304" t="s">
        <v>685</v>
      </c>
      <c r="AC487" s="304">
        <f>IF(AND(AC486=0, AC485=1), 0, 1)</f>
        <v>1</v>
      </c>
      <c r="AD487" s="304"/>
      <c r="AE487" s="304"/>
      <c r="AF487" s="366" t="s">
        <v>599</v>
      </c>
      <c r="AG487" s="304"/>
      <c r="AH487" s="304"/>
      <c r="AI487" s="304"/>
      <c r="AJ487" s="304"/>
      <c r="AK487" s="304"/>
      <c r="AL487" s="304"/>
      <c r="AM487" s="304"/>
      <c r="AN487" s="304"/>
      <c r="AO487" s="304"/>
      <c r="AP487" s="304"/>
      <c r="AQ487" s="304"/>
      <c r="AR487" s="304"/>
      <c r="AS487" s="304"/>
    </row>
    <row r="488" spans="1:45" ht="18" customHeight="1" thickBot="1">
      <c r="B488" s="1176" t="s">
        <v>674</v>
      </c>
      <c r="C488" s="1177"/>
      <c r="D488" s="1262"/>
      <c r="E488" s="1263"/>
      <c r="F488" s="1263"/>
      <c r="G488" s="1263"/>
      <c r="H488" s="1263"/>
      <c r="I488" s="1263"/>
      <c r="J488" s="1264"/>
      <c r="L488" s="403"/>
      <c r="M488" s="403"/>
      <c r="N488" s="403"/>
      <c r="O488" s="403"/>
      <c r="P488" s="403"/>
      <c r="Q488" s="403"/>
      <c r="R488" s="403"/>
      <c r="S488" s="403"/>
      <c r="T488" s="403"/>
      <c r="U488" s="403"/>
      <c r="V488" s="403"/>
      <c r="W488" s="403"/>
      <c r="X488" s="403"/>
      <c r="Y488" s="403"/>
      <c r="Z488" s="367"/>
      <c r="AA488" s="304"/>
      <c r="AB488" s="304"/>
      <c r="AC488" s="304"/>
      <c r="AD488" s="304"/>
      <c r="AE488" s="304"/>
      <c r="AF488" s="366" t="s">
        <v>603</v>
      </c>
      <c r="AG488" s="304"/>
      <c r="AH488" s="304"/>
      <c r="AI488" s="304"/>
      <c r="AJ488" s="304"/>
      <c r="AK488" s="304"/>
      <c r="AL488" s="304"/>
      <c r="AM488" s="304"/>
      <c r="AN488" s="304"/>
      <c r="AO488" s="304"/>
      <c r="AP488" s="304"/>
      <c r="AQ488" s="304"/>
      <c r="AR488" s="304"/>
      <c r="AS488" s="304"/>
    </row>
    <row r="489" spans="1:45">
      <c r="B489" s="1265"/>
      <c r="C489" s="1266"/>
      <c r="D489" s="1266"/>
      <c r="E489" s="1266"/>
      <c r="F489" s="1267"/>
      <c r="G489" s="371" t="s">
        <v>713</v>
      </c>
      <c r="H489" s="372" t="s">
        <v>676</v>
      </c>
      <c r="I489" s="342"/>
      <c r="J489" s="373" t="s">
        <v>677</v>
      </c>
      <c r="L489" s="403"/>
      <c r="M489" s="403"/>
      <c r="N489" s="403"/>
      <c r="O489" s="403"/>
      <c r="P489" s="403"/>
      <c r="Q489" s="403"/>
      <c r="R489" s="403"/>
      <c r="S489" s="403"/>
      <c r="T489" s="403"/>
      <c r="U489" s="403"/>
      <c r="V489" s="403"/>
      <c r="W489" s="403"/>
      <c r="X489" s="403"/>
      <c r="Y489" s="403"/>
      <c r="Z489" s="367"/>
      <c r="AA489" s="304"/>
      <c r="AB489" s="304" t="s">
        <v>689</v>
      </c>
      <c r="AC489" s="374">
        <f>G513/12</f>
        <v>0</v>
      </c>
      <c r="AD489" s="304"/>
      <c r="AE489" s="304"/>
      <c r="AF489" s="366" t="s">
        <v>605</v>
      </c>
      <c r="AG489" s="304"/>
      <c r="AH489" s="304"/>
      <c r="AI489" s="304"/>
      <c r="AJ489" s="304"/>
      <c r="AK489" s="304"/>
      <c r="AL489" s="304"/>
      <c r="AM489" s="304"/>
      <c r="AN489" s="304"/>
      <c r="AO489" s="304"/>
      <c r="AP489" s="304"/>
      <c r="AQ489" s="304"/>
      <c r="AR489" s="304"/>
      <c r="AS489" s="304"/>
    </row>
    <row r="490" spans="1:45">
      <c r="B490" s="1268"/>
      <c r="C490" s="1266"/>
      <c r="D490" s="1266"/>
      <c r="E490" s="1266"/>
      <c r="F490" s="1267"/>
      <c r="G490" s="375" t="s">
        <v>714</v>
      </c>
      <c r="H490" s="376"/>
      <c r="I490" s="1272"/>
      <c r="J490" s="378"/>
      <c r="L490" s="403"/>
      <c r="M490" s="403"/>
      <c r="N490" s="403"/>
      <c r="O490" s="403"/>
      <c r="P490" s="403"/>
      <c r="Q490" s="403"/>
      <c r="R490" s="403"/>
      <c r="S490" s="403"/>
      <c r="T490" s="403"/>
      <c r="U490" s="403"/>
      <c r="V490" s="403"/>
      <c r="W490" s="403"/>
      <c r="X490" s="403"/>
      <c r="Y490" s="403"/>
      <c r="Z490" s="367"/>
      <c r="AA490" s="304"/>
      <c r="AB490" s="304" t="s">
        <v>691</v>
      </c>
      <c r="AC490" s="374">
        <f>(G513+I513)/24</f>
        <v>0</v>
      </c>
      <c r="AD490" s="304"/>
      <c r="AE490" s="304"/>
      <c r="AF490" s="304"/>
      <c r="AG490" s="304"/>
      <c r="AH490" s="304"/>
      <c r="AI490" s="304"/>
      <c r="AJ490" s="304"/>
      <c r="AK490" s="304"/>
      <c r="AL490" s="304"/>
      <c r="AM490" s="304"/>
      <c r="AN490" s="304"/>
      <c r="AO490" s="304"/>
      <c r="AP490" s="304"/>
      <c r="AQ490" s="304"/>
      <c r="AR490" s="304"/>
      <c r="AS490" s="304"/>
    </row>
    <row r="491" spans="1:45">
      <c r="B491" s="1268"/>
      <c r="C491" s="1266"/>
      <c r="D491" s="1266"/>
      <c r="E491" s="1266"/>
      <c r="F491" s="1267"/>
      <c r="G491" s="379" t="s">
        <v>715</v>
      </c>
      <c r="H491" s="380"/>
      <c r="I491" s="1272"/>
      <c r="J491" s="378"/>
      <c r="L491" s="403"/>
      <c r="M491" s="403"/>
      <c r="N491" s="403"/>
      <c r="O491" s="403"/>
      <c r="P491" s="403"/>
      <c r="Q491" s="403"/>
      <c r="R491" s="403"/>
      <c r="S491" s="403"/>
      <c r="T491" s="403"/>
      <c r="U491" s="403"/>
      <c r="V491" s="403"/>
      <c r="W491" s="403"/>
      <c r="X491" s="403"/>
      <c r="Y491" s="403"/>
      <c r="Z491" s="367"/>
      <c r="AA491" s="304"/>
      <c r="AB491" s="304"/>
      <c r="AC491" s="304"/>
      <c r="AD491" s="304"/>
      <c r="AE491" s="304"/>
      <c r="AF491" s="304"/>
      <c r="AG491" s="304"/>
      <c r="AH491" s="304"/>
      <c r="AI491" s="304"/>
      <c r="AJ491" s="304"/>
      <c r="AK491" s="304"/>
      <c r="AL491" s="304"/>
      <c r="AM491" s="304"/>
      <c r="AN491" s="304"/>
      <c r="AO491" s="304"/>
      <c r="AP491" s="304"/>
      <c r="AQ491" s="304"/>
      <c r="AR491" s="304"/>
      <c r="AS491" s="304"/>
    </row>
    <row r="492" spans="1:45" ht="15.75" thickBot="1">
      <c r="B492" s="1269"/>
      <c r="C492" s="1270"/>
      <c r="D492" s="1270"/>
      <c r="E492" s="1270"/>
      <c r="F492" s="1271"/>
      <c r="G492" s="379" t="s">
        <v>716</v>
      </c>
      <c r="H492" s="376"/>
      <c r="I492" s="1272"/>
      <c r="J492" s="378"/>
      <c r="L492" s="403"/>
      <c r="M492" s="403"/>
      <c r="N492" s="403"/>
      <c r="O492" s="403"/>
      <c r="P492" s="403"/>
      <c r="Q492" s="403"/>
      <c r="R492" s="403"/>
      <c r="S492" s="403"/>
      <c r="T492" s="403"/>
      <c r="U492" s="403"/>
      <c r="V492" s="403"/>
      <c r="W492" s="403"/>
      <c r="X492" s="403"/>
      <c r="Y492" s="403"/>
      <c r="Z492" s="367"/>
      <c r="AA492" s="304"/>
      <c r="AB492" s="304" t="s">
        <v>717</v>
      </c>
      <c r="AC492" s="304" t="str">
        <f>IF(OR(H490=0, H490&gt;100%), "Year End Profit %", (G496+G497+G498))</f>
        <v>Year End Profit %</v>
      </c>
      <c r="AD492" s="304"/>
      <c r="AE492" s="304"/>
      <c r="AF492" s="304"/>
      <c r="AG492" s="304"/>
      <c r="AH492" s="304"/>
      <c r="AI492" s="304"/>
      <c r="AJ492" s="304"/>
      <c r="AK492" s="304"/>
      <c r="AL492" s="304"/>
      <c r="AM492" s="304"/>
      <c r="AN492" s="304"/>
      <c r="AO492" s="304"/>
      <c r="AP492" s="304"/>
      <c r="AQ492" s="304"/>
      <c r="AR492" s="304"/>
      <c r="AS492" s="304"/>
    </row>
    <row r="493" spans="1:45" ht="18.75">
      <c r="B493" s="1229" t="s">
        <v>718</v>
      </c>
      <c r="C493" s="1273"/>
      <c r="D493" s="1273"/>
      <c r="E493" s="1273"/>
      <c r="F493" s="1273"/>
      <c r="G493" s="377" t="s">
        <v>719</v>
      </c>
      <c r="H493" s="381"/>
      <c r="I493" s="377" t="s">
        <v>719</v>
      </c>
      <c r="J493" s="382"/>
      <c r="L493" s="403"/>
      <c r="M493" s="403"/>
      <c r="N493" s="403"/>
      <c r="O493" s="403"/>
      <c r="P493" s="403"/>
      <c r="Q493" s="403"/>
      <c r="R493" s="403"/>
      <c r="S493" s="403"/>
      <c r="T493" s="403"/>
      <c r="U493" s="403"/>
      <c r="V493" s="403"/>
      <c r="W493" s="403"/>
      <c r="X493" s="403"/>
      <c r="Y493" s="403"/>
      <c r="Z493" s="367"/>
      <c r="AA493" s="304"/>
      <c r="AB493" s="304" t="s">
        <v>720</v>
      </c>
      <c r="AC493" s="304" t="str">
        <f>IF(OR(J490&gt;100%, J490=0), "Year End Profit %", (I496+I497+I498))</f>
        <v>Year End Profit %</v>
      </c>
      <c r="AD493" s="383"/>
      <c r="AE493" s="304"/>
      <c r="AF493" s="304"/>
      <c r="AG493" s="304"/>
      <c r="AH493" s="304"/>
      <c r="AI493" s="304"/>
      <c r="AJ493" s="304"/>
      <c r="AK493" s="304"/>
      <c r="AL493" s="304"/>
      <c r="AM493" s="304"/>
      <c r="AN493" s="304"/>
      <c r="AO493" s="304"/>
      <c r="AP493" s="304"/>
      <c r="AQ493" s="304"/>
      <c r="AR493" s="304"/>
      <c r="AS493" s="304"/>
    </row>
    <row r="494" spans="1:45">
      <c r="B494" s="1274" t="s">
        <v>721</v>
      </c>
      <c r="C494" s="1275"/>
      <c r="D494" s="1275"/>
      <c r="E494" s="1275"/>
      <c r="F494" s="1276"/>
      <c r="G494" s="346"/>
      <c r="H494" s="384">
        <f>G494</f>
        <v>0</v>
      </c>
      <c r="I494" s="364"/>
      <c r="J494" s="385">
        <f>I494</f>
        <v>0</v>
      </c>
      <c r="L494" s="403"/>
      <c r="M494" s="403"/>
      <c r="N494" s="403"/>
      <c r="O494" s="403"/>
      <c r="P494" s="403"/>
      <c r="Q494" s="403"/>
      <c r="R494" s="403"/>
      <c r="S494" s="403"/>
      <c r="T494" s="403"/>
      <c r="U494" s="403"/>
      <c r="V494" s="403"/>
      <c r="W494" s="403"/>
      <c r="X494" s="403"/>
      <c r="Y494" s="403"/>
      <c r="Z494" s="367"/>
      <c r="AA494" s="304"/>
      <c r="AB494" s="304"/>
      <c r="AC494" s="304"/>
      <c r="AD494" s="304"/>
      <c r="AE494" s="304"/>
      <c r="AF494" s="304"/>
      <c r="AG494" s="304"/>
      <c r="AH494" s="304"/>
      <c r="AI494" s="304"/>
      <c r="AJ494" s="304"/>
      <c r="AK494" s="304"/>
      <c r="AL494" s="304"/>
      <c r="AM494" s="304"/>
      <c r="AN494" s="304"/>
      <c r="AO494" s="304"/>
      <c r="AP494" s="304"/>
      <c r="AQ494" s="304"/>
      <c r="AR494" s="304"/>
      <c r="AS494" s="304"/>
    </row>
    <row r="495" spans="1:45">
      <c r="B495" s="1246" t="s">
        <v>722</v>
      </c>
      <c r="C495" s="1247"/>
      <c r="D495" s="1247"/>
      <c r="E495" s="1247"/>
      <c r="F495" s="1247"/>
      <c r="G495" s="377"/>
      <c r="H495" s="381"/>
      <c r="I495" s="386"/>
      <c r="J495" s="382"/>
      <c r="L495" s="403"/>
      <c r="M495" s="403"/>
      <c r="N495" s="403"/>
      <c r="O495" s="403"/>
      <c r="P495" s="403"/>
      <c r="Q495" s="403"/>
      <c r="R495" s="403"/>
      <c r="S495" s="403"/>
      <c r="T495" s="403"/>
      <c r="U495" s="403"/>
      <c r="V495" s="403"/>
      <c r="W495" s="403"/>
      <c r="X495" s="403"/>
      <c r="Y495" s="403"/>
      <c r="Z495" s="367"/>
      <c r="AA495" s="304"/>
      <c r="AB495" s="304"/>
      <c r="AC495" s="304"/>
      <c r="AD495" s="304"/>
      <c r="AE495" s="304"/>
      <c r="AF495" s="304"/>
      <c r="AG495" s="304"/>
      <c r="AH495" s="304"/>
      <c r="AI495" s="304"/>
      <c r="AJ495" s="304"/>
      <c r="AK495" s="304"/>
      <c r="AL495" s="304"/>
      <c r="AM495" s="304"/>
      <c r="AN495" s="304"/>
      <c r="AO495" s="304"/>
      <c r="AP495" s="304"/>
      <c r="AQ495" s="304"/>
      <c r="AR495" s="304"/>
      <c r="AS495" s="304"/>
    </row>
    <row r="496" spans="1:45">
      <c r="B496" s="1248" t="s">
        <v>723</v>
      </c>
      <c r="C496" s="1249"/>
      <c r="D496" s="1249"/>
      <c r="E496" s="1249"/>
      <c r="F496" s="1250"/>
      <c r="G496" s="346"/>
      <c r="H496" s="387" t="str">
        <f>AC492</f>
        <v>Year End Profit %</v>
      </c>
      <c r="I496" s="346"/>
      <c r="J496" s="388" t="str">
        <f>AC493</f>
        <v>Year End Profit %</v>
      </c>
      <c r="L496" s="403"/>
      <c r="M496" s="403"/>
      <c r="N496" s="403"/>
      <c r="O496" s="403"/>
      <c r="P496" s="403"/>
      <c r="Q496" s="403"/>
      <c r="R496" s="403"/>
      <c r="S496" s="403"/>
      <c r="T496" s="403"/>
      <c r="U496" s="403"/>
      <c r="V496" s="403"/>
      <c r="W496" s="403"/>
      <c r="X496" s="403"/>
      <c r="Y496" s="403"/>
      <c r="Z496" s="367"/>
      <c r="AA496" s="304"/>
      <c r="AB496" s="304"/>
      <c r="AC496" s="304"/>
      <c r="AD496" s="304"/>
      <c r="AE496" s="304"/>
      <c r="AF496" s="304"/>
      <c r="AG496" s="304"/>
      <c r="AH496" s="304"/>
      <c r="AI496" s="304"/>
      <c r="AJ496" s="304"/>
      <c r="AK496" s="304"/>
      <c r="AL496" s="304"/>
      <c r="AM496" s="304"/>
      <c r="AN496" s="304"/>
      <c r="AO496" s="304"/>
      <c r="AP496" s="304"/>
      <c r="AQ496" s="304"/>
      <c r="AR496" s="304"/>
      <c r="AS496" s="304"/>
    </row>
    <row r="497" spans="2:45">
      <c r="B497" s="1251" t="s">
        <v>724</v>
      </c>
      <c r="C497" s="1252"/>
      <c r="D497" s="1252"/>
      <c r="E497" s="1252"/>
      <c r="F497" s="1253"/>
      <c r="G497" s="346"/>
      <c r="H497" s="389"/>
      <c r="I497" s="346"/>
      <c r="J497" s="390"/>
      <c r="L497" s="403"/>
      <c r="M497" s="403"/>
      <c r="N497" s="403"/>
      <c r="O497" s="403"/>
      <c r="P497" s="403"/>
      <c r="Q497" s="403"/>
      <c r="R497" s="403"/>
      <c r="S497" s="403"/>
      <c r="T497" s="403"/>
      <c r="U497" s="403"/>
      <c r="V497" s="403"/>
      <c r="W497" s="403"/>
      <c r="X497" s="403"/>
      <c r="Y497" s="403"/>
      <c r="Z497" s="367"/>
      <c r="AA497" s="304"/>
      <c r="AB497" s="304"/>
      <c r="AC497" s="304"/>
      <c r="AD497" s="304"/>
      <c r="AE497" s="304"/>
      <c r="AF497" s="304"/>
      <c r="AG497" s="304"/>
      <c r="AH497" s="304"/>
      <c r="AI497" s="304"/>
      <c r="AJ497" s="304"/>
      <c r="AK497" s="304"/>
      <c r="AL497" s="304"/>
      <c r="AM497" s="304"/>
      <c r="AN497" s="304"/>
      <c r="AO497" s="304"/>
      <c r="AP497" s="304"/>
      <c r="AQ497" s="304"/>
      <c r="AR497" s="304"/>
      <c r="AS497" s="304"/>
    </row>
    <row r="498" spans="2:45">
      <c r="B498" s="1254" t="s">
        <v>725</v>
      </c>
      <c r="C498" s="1255"/>
      <c r="D498" s="1255"/>
      <c r="E498" s="1255"/>
      <c r="F498" s="1256"/>
      <c r="G498" s="346"/>
      <c r="H498" s="389"/>
      <c r="I498" s="346"/>
      <c r="J498" s="390"/>
      <c r="L498" s="403"/>
      <c r="M498" s="403"/>
      <c r="N498" s="403"/>
      <c r="O498" s="403"/>
      <c r="P498" s="403"/>
      <c r="Q498" s="403"/>
      <c r="R498" s="403"/>
      <c r="S498" s="403"/>
      <c r="T498" s="403"/>
      <c r="U498" s="403"/>
      <c r="V498" s="403"/>
      <c r="W498" s="403"/>
      <c r="X498" s="403"/>
      <c r="Y498" s="403"/>
      <c r="Z498" s="367"/>
      <c r="AA498" s="304"/>
      <c r="AB498" s="304"/>
      <c r="AC498" s="304"/>
      <c r="AD498" s="304"/>
      <c r="AE498" s="304"/>
      <c r="AF498" s="304"/>
      <c r="AG498" s="304"/>
      <c r="AH498" s="304"/>
      <c r="AI498" s="304"/>
      <c r="AJ498" s="304"/>
      <c r="AK498" s="304"/>
      <c r="AL498" s="304"/>
      <c r="AM498" s="304"/>
      <c r="AN498" s="304"/>
      <c r="AO498" s="304"/>
      <c r="AP498" s="304"/>
      <c r="AQ498" s="304"/>
      <c r="AR498" s="304"/>
      <c r="AS498" s="304"/>
    </row>
    <row r="499" spans="2:45">
      <c r="B499" s="1257" t="s">
        <v>726</v>
      </c>
      <c r="C499" s="1258"/>
      <c r="D499" s="1258"/>
      <c r="E499" s="1258"/>
      <c r="F499" s="1258"/>
      <c r="G499" s="391"/>
      <c r="H499" s="392"/>
      <c r="I499" s="391"/>
      <c r="J499" s="393"/>
      <c r="L499" s="403"/>
      <c r="M499" s="403"/>
      <c r="N499" s="403"/>
      <c r="O499" s="403"/>
      <c r="P499" s="403"/>
      <c r="Q499" s="403"/>
      <c r="R499" s="403"/>
      <c r="S499" s="403"/>
      <c r="T499" s="403"/>
      <c r="U499" s="403"/>
      <c r="V499" s="403"/>
      <c r="W499" s="403"/>
      <c r="X499" s="403"/>
      <c r="Y499" s="403"/>
      <c r="Z499" s="367"/>
      <c r="AA499" s="304"/>
      <c r="AB499" s="304"/>
      <c r="AC499" s="304"/>
      <c r="AD499" s="304"/>
      <c r="AE499" s="304"/>
      <c r="AF499" s="304"/>
      <c r="AG499" s="304"/>
      <c r="AH499" s="304"/>
      <c r="AI499" s="304"/>
      <c r="AJ499" s="304"/>
      <c r="AK499" s="304"/>
      <c r="AL499" s="304"/>
      <c r="AM499" s="304"/>
      <c r="AN499" s="304"/>
      <c r="AO499" s="304"/>
      <c r="AP499" s="304"/>
      <c r="AQ499" s="304"/>
      <c r="AR499" s="304"/>
      <c r="AS499" s="304"/>
    </row>
    <row r="500" spans="2:45">
      <c r="B500" s="1259" t="s">
        <v>727</v>
      </c>
      <c r="C500" s="1260"/>
      <c r="D500" s="1260"/>
      <c r="E500" s="1260"/>
      <c r="F500" s="1261"/>
      <c r="G500" s="394"/>
      <c r="H500" s="395">
        <f>(G500*H490)*-1</f>
        <v>0</v>
      </c>
      <c r="I500" s="394"/>
      <c r="J500" s="396">
        <f>(I500*J490)*-1</f>
        <v>0</v>
      </c>
      <c r="L500" s="403"/>
      <c r="M500" s="403"/>
      <c r="N500" s="403"/>
      <c r="O500" s="403"/>
      <c r="P500" s="403"/>
      <c r="Q500" s="403"/>
      <c r="R500" s="403"/>
      <c r="S500" s="403"/>
      <c r="T500" s="403"/>
      <c r="U500" s="403"/>
      <c r="V500" s="403"/>
      <c r="W500" s="403"/>
      <c r="X500" s="403"/>
      <c r="Y500" s="403"/>
      <c r="Z500" s="367"/>
      <c r="AA500" s="304"/>
      <c r="AB500" s="304"/>
      <c r="AC500" s="304"/>
      <c r="AD500" s="304"/>
      <c r="AE500" s="304"/>
      <c r="AF500" s="304"/>
      <c r="AG500" s="304"/>
      <c r="AH500" s="304"/>
      <c r="AI500" s="304"/>
      <c r="AJ500" s="304"/>
      <c r="AK500" s="304"/>
      <c r="AL500" s="304"/>
      <c r="AM500" s="304"/>
      <c r="AN500" s="304"/>
      <c r="AO500" s="304"/>
      <c r="AP500" s="304"/>
      <c r="AQ500" s="304"/>
      <c r="AR500" s="304"/>
      <c r="AS500" s="304"/>
    </row>
    <row r="501" spans="2:45">
      <c r="B501" s="1237" t="s">
        <v>728</v>
      </c>
      <c r="C501" s="1238"/>
      <c r="D501" s="1238"/>
      <c r="E501" s="1238"/>
      <c r="F501" s="1239"/>
      <c r="G501" s="394"/>
      <c r="H501" s="395">
        <f>(G501*H490)*-1</f>
        <v>0</v>
      </c>
      <c r="I501" s="394"/>
      <c r="J501" s="396">
        <f>(I501*J490)*-1</f>
        <v>0</v>
      </c>
      <c r="L501" s="403"/>
      <c r="M501" s="403"/>
      <c r="N501" s="403"/>
      <c r="O501" s="403"/>
      <c r="P501" s="403"/>
      <c r="Q501" s="403"/>
      <c r="R501" s="403"/>
      <c r="S501" s="403"/>
      <c r="T501" s="403"/>
      <c r="U501" s="403"/>
      <c r="V501" s="403"/>
      <c r="W501" s="403"/>
      <c r="X501" s="403"/>
      <c r="Y501" s="403"/>
      <c r="Z501" s="367"/>
      <c r="AA501" s="304"/>
      <c r="AB501" s="304"/>
      <c r="AC501" s="304"/>
      <c r="AD501" s="304"/>
      <c r="AE501" s="304"/>
      <c r="AF501" s="304"/>
      <c r="AG501" s="304"/>
      <c r="AH501" s="304"/>
      <c r="AI501" s="304"/>
      <c r="AJ501" s="304"/>
      <c r="AK501" s="304"/>
      <c r="AL501" s="304"/>
      <c r="AM501" s="304"/>
      <c r="AN501" s="304"/>
      <c r="AO501" s="304"/>
      <c r="AP501" s="304"/>
      <c r="AQ501" s="304"/>
      <c r="AR501" s="304"/>
      <c r="AS501" s="304"/>
    </row>
    <row r="502" spans="2:45">
      <c r="B502" s="1237" t="s">
        <v>729</v>
      </c>
      <c r="C502" s="1238"/>
      <c r="D502" s="1238"/>
      <c r="E502" s="1238"/>
      <c r="F502" s="1239"/>
      <c r="G502" s="394"/>
      <c r="H502" s="395">
        <f>(G502*H490)*-1</f>
        <v>0</v>
      </c>
      <c r="I502" s="394"/>
      <c r="J502" s="396">
        <f>(I502*J490)*-1</f>
        <v>0</v>
      </c>
      <c r="L502" s="403"/>
      <c r="M502" s="403"/>
      <c r="N502" s="403"/>
      <c r="O502" s="403"/>
      <c r="P502" s="403"/>
      <c r="Q502" s="403"/>
      <c r="R502" s="403"/>
      <c r="S502" s="403"/>
      <c r="T502" s="403"/>
      <c r="U502" s="403"/>
      <c r="V502" s="403"/>
      <c r="W502" s="403"/>
      <c r="X502" s="403"/>
      <c r="Y502" s="403"/>
      <c r="Z502" s="367"/>
      <c r="AA502" s="304"/>
      <c r="AB502" s="304"/>
      <c r="AC502" s="304"/>
      <c r="AD502" s="304"/>
      <c r="AE502" s="304"/>
      <c r="AF502" s="304"/>
      <c r="AG502" s="304"/>
      <c r="AH502" s="304"/>
      <c r="AI502" s="304"/>
      <c r="AJ502" s="304"/>
      <c r="AK502" s="304"/>
      <c r="AL502" s="304"/>
      <c r="AM502" s="304"/>
      <c r="AN502" s="304"/>
      <c r="AO502" s="304"/>
      <c r="AP502" s="304"/>
      <c r="AQ502" s="304"/>
      <c r="AR502" s="304"/>
      <c r="AS502" s="304"/>
    </row>
    <row r="503" spans="2:45">
      <c r="B503" s="1240" t="s">
        <v>730</v>
      </c>
      <c r="C503" s="1241"/>
      <c r="D503" s="1241"/>
      <c r="E503" s="1241"/>
      <c r="F503" s="1242"/>
      <c r="G503" s="394"/>
      <c r="H503" s="395">
        <f>(G503*H490)*-1</f>
        <v>0</v>
      </c>
      <c r="I503" s="394"/>
      <c r="J503" s="396">
        <f>(I503*J490)*-1</f>
        <v>0</v>
      </c>
      <c r="L503" s="403"/>
      <c r="M503" s="403"/>
      <c r="N503" s="403"/>
      <c r="O503" s="403"/>
      <c r="P503" s="403"/>
      <c r="Q503" s="403"/>
      <c r="R503" s="403"/>
      <c r="S503" s="403"/>
      <c r="T503" s="403"/>
      <c r="U503" s="403"/>
      <c r="V503" s="403"/>
      <c r="W503" s="403"/>
      <c r="X503" s="403"/>
      <c r="Y503" s="403"/>
      <c r="Z503" s="367"/>
      <c r="AA503" s="304"/>
      <c r="AB503" s="304"/>
      <c r="AC503" s="304"/>
      <c r="AD503" s="304"/>
      <c r="AE503" s="304"/>
      <c r="AF503" s="304"/>
      <c r="AG503" s="304"/>
      <c r="AH503" s="304"/>
      <c r="AI503" s="304"/>
      <c r="AJ503" s="304"/>
      <c r="AK503" s="304"/>
      <c r="AL503" s="304"/>
      <c r="AM503" s="304"/>
      <c r="AN503" s="304"/>
      <c r="AO503" s="304"/>
      <c r="AP503" s="304"/>
      <c r="AQ503" s="304"/>
      <c r="AR503" s="304"/>
      <c r="AS503" s="304"/>
    </row>
    <row r="504" spans="2:45">
      <c r="B504" s="1229" t="s">
        <v>731</v>
      </c>
      <c r="C504" s="1230"/>
      <c r="D504" s="1230"/>
      <c r="E504" s="1230"/>
      <c r="F504" s="1230"/>
      <c r="G504" s="350"/>
      <c r="H504" s="351"/>
      <c r="I504" s="350"/>
      <c r="J504" s="352"/>
      <c r="L504" s="403"/>
      <c r="M504" s="403"/>
      <c r="N504" s="403"/>
      <c r="O504" s="403"/>
      <c r="P504" s="403"/>
      <c r="Q504" s="403"/>
      <c r="R504" s="403"/>
      <c r="S504" s="403"/>
      <c r="T504" s="403"/>
      <c r="U504" s="403"/>
      <c r="V504" s="403"/>
      <c r="W504" s="403"/>
      <c r="X504" s="403"/>
      <c r="Y504" s="403"/>
      <c r="Z504" s="367"/>
      <c r="AA504" s="304"/>
      <c r="AB504" s="304"/>
      <c r="AC504" s="304"/>
      <c r="AD504" s="304"/>
      <c r="AE504" s="304"/>
      <c r="AF504" s="304"/>
      <c r="AG504" s="304"/>
      <c r="AH504" s="304"/>
      <c r="AI504" s="304"/>
      <c r="AJ504" s="304"/>
      <c r="AK504" s="304"/>
      <c r="AL504" s="304"/>
      <c r="AM504" s="304"/>
      <c r="AN504" s="304"/>
      <c r="AO504" s="304"/>
      <c r="AP504" s="304"/>
      <c r="AQ504" s="304"/>
      <c r="AR504" s="304"/>
      <c r="AS504" s="304"/>
    </row>
    <row r="505" spans="2:45">
      <c r="B505" s="1243" t="s">
        <v>732</v>
      </c>
      <c r="C505" s="1244"/>
      <c r="D505" s="1244"/>
      <c r="E505" s="1244"/>
      <c r="F505" s="1245"/>
      <c r="G505" s="346"/>
      <c r="H505" s="384">
        <f>G505*H490</f>
        <v>0</v>
      </c>
      <c r="I505" s="346"/>
      <c r="J505" s="385">
        <f>I505*J490</f>
        <v>0</v>
      </c>
      <c r="L505" s="403"/>
      <c r="M505" s="403"/>
      <c r="N505" s="403"/>
      <c r="O505" s="403"/>
      <c r="P505" s="403"/>
      <c r="Q505" s="403"/>
      <c r="R505" s="403"/>
      <c r="S505" s="403"/>
      <c r="T505" s="403"/>
      <c r="U505" s="403"/>
      <c r="V505" s="403"/>
      <c r="W505" s="403"/>
      <c r="X505" s="403"/>
      <c r="Y505" s="403"/>
      <c r="Z505" s="367"/>
      <c r="AA505" s="304"/>
      <c r="AB505" s="304"/>
      <c r="AC505" s="304"/>
      <c r="AD505" s="304"/>
      <c r="AE505" s="304"/>
      <c r="AF505" s="304"/>
      <c r="AG505" s="304"/>
      <c r="AH505" s="304"/>
      <c r="AI505" s="304"/>
      <c r="AJ505" s="304"/>
      <c r="AK505" s="304"/>
      <c r="AL505" s="304"/>
      <c r="AM505" s="304"/>
      <c r="AN505" s="304"/>
      <c r="AO505" s="304"/>
      <c r="AP505" s="304"/>
      <c r="AQ505" s="304"/>
      <c r="AR505" s="304"/>
      <c r="AS505" s="304"/>
    </row>
    <row r="506" spans="2:45">
      <c r="B506" s="1223" t="s">
        <v>733</v>
      </c>
      <c r="C506" s="1224"/>
      <c r="D506" s="1224"/>
      <c r="E506" s="1224"/>
      <c r="F506" s="1225"/>
      <c r="G506" s="346"/>
      <c r="H506" s="384">
        <f>G506*H490</f>
        <v>0</v>
      </c>
      <c r="I506" s="346"/>
      <c r="J506" s="385">
        <f>I506*J490</f>
        <v>0</v>
      </c>
      <c r="L506" s="403"/>
      <c r="M506" s="403"/>
      <c r="N506" s="403"/>
      <c r="O506" s="403"/>
      <c r="P506" s="403"/>
      <c r="Q506" s="403"/>
      <c r="R506" s="403"/>
      <c r="S506" s="403"/>
      <c r="T506" s="403"/>
      <c r="U506" s="403"/>
      <c r="V506" s="403"/>
      <c r="W506" s="403"/>
      <c r="X506" s="403"/>
      <c r="Y506" s="403"/>
      <c r="Z506" s="367"/>
      <c r="AA506" s="304"/>
      <c r="AB506" s="304"/>
      <c r="AC506" s="304"/>
      <c r="AD506" s="304"/>
      <c r="AE506" s="304"/>
      <c r="AF506" s="304"/>
      <c r="AG506" s="304"/>
      <c r="AH506" s="304"/>
      <c r="AI506" s="304"/>
      <c r="AJ506" s="304"/>
      <c r="AK506" s="304"/>
      <c r="AL506" s="304"/>
      <c r="AM506" s="304"/>
      <c r="AN506" s="304"/>
      <c r="AO506" s="304"/>
      <c r="AP506" s="304"/>
      <c r="AQ506" s="304"/>
      <c r="AR506" s="304"/>
      <c r="AS506" s="304"/>
    </row>
    <row r="507" spans="2:45">
      <c r="B507" s="1223" t="s">
        <v>734</v>
      </c>
      <c r="C507" s="1224"/>
      <c r="D507" s="1224"/>
      <c r="E507" s="1224"/>
      <c r="F507" s="1225"/>
      <c r="G507" s="346"/>
      <c r="H507" s="384">
        <f>G507*H490</f>
        <v>0</v>
      </c>
      <c r="I507" s="346"/>
      <c r="J507" s="385">
        <f>I507*J490</f>
        <v>0</v>
      </c>
      <c r="L507" s="403"/>
      <c r="M507" s="403"/>
      <c r="N507" s="403"/>
      <c r="O507" s="403"/>
      <c r="P507" s="403"/>
      <c r="Q507" s="403"/>
      <c r="R507" s="403"/>
      <c r="S507" s="403"/>
      <c r="T507" s="403"/>
      <c r="U507" s="403"/>
      <c r="V507" s="403"/>
      <c r="W507" s="403"/>
      <c r="X507" s="403"/>
      <c r="Y507" s="403"/>
      <c r="Z507" s="367"/>
      <c r="AA507" s="304"/>
      <c r="AB507" s="304"/>
      <c r="AC507" s="304"/>
      <c r="AD507" s="304"/>
      <c r="AE507" s="304"/>
      <c r="AF507" s="304"/>
      <c r="AG507" s="304"/>
      <c r="AH507" s="304"/>
      <c r="AI507" s="304"/>
      <c r="AJ507" s="304"/>
      <c r="AK507" s="304"/>
      <c r="AL507" s="304"/>
      <c r="AM507" s="304"/>
      <c r="AN507" s="304"/>
      <c r="AO507" s="304"/>
      <c r="AP507" s="304"/>
      <c r="AQ507" s="304"/>
      <c r="AR507" s="304"/>
      <c r="AS507" s="304"/>
    </row>
    <row r="508" spans="2:45">
      <c r="B508" s="1172" t="s">
        <v>735</v>
      </c>
      <c r="C508" s="1173"/>
      <c r="D508" s="1173"/>
      <c r="E508" s="1173"/>
      <c r="F508" s="1173"/>
      <c r="G508" s="351"/>
      <c r="H508" s="397"/>
      <c r="I508" s="351"/>
      <c r="J508" s="398"/>
      <c r="L508" s="403"/>
      <c r="M508" s="403"/>
      <c r="N508" s="403"/>
      <c r="O508" s="403"/>
      <c r="P508" s="403"/>
      <c r="Q508" s="403"/>
      <c r="R508" s="403"/>
      <c r="S508" s="403"/>
      <c r="T508" s="403"/>
      <c r="U508" s="403"/>
      <c r="V508" s="403"/>
      <c r="W508" s="403"/>
      <c r="X508" s="403"/>
      <c r="Y508" s="403"/>
      <c r="Z508" s="367"/>
      <c r="AA508" s="304"/>
      <c r="AB508" s="304"/>
      <c r="AC508" s="304"/>
      <c r="AD508" s="304"/>
      <c r="AE508" s="304"/>
      <c r="AF508" s="304"/>
      <c r="AG508" s="304"/>
      <c r="AH508" s="304"/>
      <c r="AI508" s="304"/>
      <c r="AJ508" s="304"/>
      <c r="AK508" s="304"/>
      <c r="AL508" s="304"/>
      <c r="AM508" s="304"/>
      <c r="AN508" s="304"/>
      <c r="AO508" s="304"/>
      <c r="AP508" s="304"/>
      <c r="AQ508" s="304"/>
      <c r="AR508" s="304"/>
      <c r="AS508" s="304"/>
    </row>
    <row r="509" spans="2:45">
      <c r="B509" s="1226" t="s">
        <v>736</v>
      </c>
      <c r="C509" s="1227"/>
      <c r="D509" s="1227"/>
      <c r="E509" s="1227"/>
      <c r="F509" s="1228"/>
      <c r="G509" s="346"/>
      <c r="H509" s="384">
        <f>G509*H490</f>
        <v>0</v>
      </c>
      <c r="I509" s="346"/>
      <c r="J509" s="385">
        <f>I509*J490</f>
        <v>0</v>
      </c>
      <c r="L509" s="403"/>
      <c r="M509" s="403"/>
      <c r="N509" s="403"/>
      <c r="O509" s="403"/>
      <c r="P509" s="403"/>
      <c r="Q509" s="403"/>
      <c r="R509" s="403"/>
      <c r="S509" s="403"/>
      <c r="T509" s="403"/>
      <c r="U509" s="403"/>
      <c r="V509" s="403"/>
      <c r="W509" s="403"/>
      <c r="X509" s="403"/>
      <c r="Y509" s="403"/>
      <c r="Z509" s="367"/>
      <c r="AA509" s="304"/>
      <c r="AB509" s="304"/>
      <c r="AC509" s="304"/>
      <c r="AD509" s="304"/>
      <c r="AE509" s="304"/>
      <c r="AF509" s="304"/>
      <c r="AG509" s="304"/>
      <c r="AH509" s="304"/>
      <c r="AI509" s="304"/>
      <c r="AJ509" s="304"/>
      <c r="AK509" s="304"/>
      <c r="AL509" s="304"/>
      <c r="AM509" s="304"/>
      <c r="AN509" s="304"/>
      <c r="AO509" s="304"/>
      <c r="AP509" s="304"/>
      <c r="AQ509" s="304"/>
      <c r="AR509" s="304"/>
      <c r="AS509" s="304"/>
    </row>
    <row r="510" spans="2:45">
      <c r="B510" s="1229" t="s">
        <v>737</v>
      </c>
      <c r="C510" s="1230"/>
      <c r="D510" s="1230"/>
      <c r="E510" s="1230"/>
      <c r="F510" s="1230"/>
      <c r="G510" s="350"/>
      <c r="H510" s="351"/>
      <c r="I510" s="350"/>
      <c r="J510" s="352"/>
      <c r="L510" s="403"/>
      <c r="M510" s="403"/>
      <c r="N510" s="403"/>
      <c r="O510" s="403"/>
      <c r="P510" s="403"/>
      <c r="Q510" s="403"/>
      <c r="R510" s="403"/>
      <c r="S510" s="403"/>
      <c r="T510" s="403"/>
      <c r="U510" s="403"/>
      <c r="V510" s="403"/>
      <c r="W510" s="403"/>
      <c r="X510" s="403"/>
      <c r="Y510" s="403"/>
      <c r="Z510" s="367"/>
      <c r="AA510" s="304"/>
      <c r="AB510" s="304"/>
      <c r="AC510" s="304"/>
      <c r="AD510" s="304"/>
      <c r="AE510" s="304"/>
      <c r="AF510" s="304"/>
      <c r="AG510" s="304"/>
      <c r="AH510" s="304"/>
      <c r="AI510" s="304"/>
      <c r="AJ510" s="304"/>
      <c r="AK510" s="304"/>
      <c r="AL510" s="304"/>
      <c r="AM510" s="304"/>
      <c r="AN510" s="304"/>
      <c r="AO510" s="304"/>
      <c r="AP510" s="304"/>
      <c r="AQ510" s="304"/>
      <c r="AR510" s="304"/>
      <c r="AS510" s="304"/>
    </row>
    <row r="511" spans="2:45" ht="29.1" customHeight="1">
      <c r="B511" s="1231" t="s">
        <v>738</v>
      </c>
      <c r="C511" s="1232"/>
      <c r="D511" s="1232"/>
      <c r="E511" s="1232"/>
      <c r="F511" s="1233"/>
      <c r="G511" s="399"/>
      <c r="H511" s="359">
        <f>H490*G511*-1</f>
        <v>0</v>
      </c>
      <c r="I511" s="399"/>
      <c r="J511" s="400">
        <f>(J490*I511)*-1</f>
        <v>0</v>
      </c>
      <c r="L511" s="403"/>
      <c r="M511" s="403"/>
      <c r="N511" s="403"/>
      <c r="O511" s="403"/>
      <c r="P511" s="403"/>
      <c r="Q511" s="403"/>
      <c r="R511" s="403"/>
      <c r="S511" s="403"/>
      <c r="T511" s="403"/>
      <c r="U511" s="403"/>
      <c r="V511" s="403"/>
      <c r="W511" s="403"/>
      <c r="X511" s="403"/>
      <c r="Y511" s="403"/>
      <c r="Z511" s="367"/>
      <c r="AA511" s="304"/>
      <c r="AB511" s="304"/>
      <c r="AC511" s="304"/>
      <c r="AD511" s="304"/>
      <c r="AE511" s="304"/>
      <c r="AF511" s="304"/>
      <c r="AG511" s="304"/>
      <c r="AH511" s="304"/>
      <c r="AI511" s="304"/>
      <c r="AJ511" s="304"/>
      <c r="AK511" s="304"/>
      <c r="AL511" s="304"/>
      <c r="AM511" s="304"/>
      <c r="AN511" s="304"/>
      <c r="AO511" s="304"/>
      <c r="AP511" s="304"/>
      <c r="AQ511" s="304"/>
      <c r="AR511" s="304"/>
      <c r="AS511" s="304"/>
    </row>
    <row r="512" spans="2:45" ht="29.1" customHeight="1">
      <c r="B512" s="1234" t="s">
        <v>739</v>
      </c>
      <c r="C512" s="1235"/>
      <c r="D512" s="1235"/>
      <c r="E512" s="1235"/>
      <c r="F512" s="1236"/>
      <c r="G512" s="346"/>
      <c r="H512" s="401">
        <f>(H490*G512)*-1</f>
        <v>0</v>
      </c>
      <c r="I512" s="346"/>
      <c r="J512" s="402">
        <f>(J490*I512)*-1</f>
        <v>0</v>
      </c>
      <c r="L512" s="403"/>
      <c r="M512" s="403"/>
      <c r="N512" s="403"/>
      <c r="O512" s="403"/>
      <c r="P512" s="403"/>
      <c r="Q512" s="403"/>
      <c r="R512" s="403"/>
      <c r="S512" s="403"/>
      <c r="T512" s="403"/>
      <c r="U512" s="403"/>
      <c r="V512" s="403"/>
      <c r="W512" s="403"/>
      <c r="X512" s="403"/>
      <c r="Y512" s="403"/>
      <c r="Z512" s="367"/>
      <c r="AA512" s="304"/>
      <c r="AB512" s="304"/>
      <c r="AC512" s="304"/>
      <c r="AD512" s="304"/>
      <c r="AE512" s="304"/>
      <c r="AF512" s="304"/>
      <c r="AG512" s="304"/>
      <c r="AH512" s="304"/>
      <c r="AI512" s="304"/>
      <c r="AJ512" s="304"/>
      <c r="AK512" s="304"/>
      <c r="AL512" s="304"/>
      <c r="AM512" s="304"/>
      <c r="AN512" s="304"/>
      <c r="AO512" s="304"/>
      <c r="AP512" s="304"/>
      <c r="AQ512" s="304"/>
      <c r="AR512" s="304"/>
      <c r="AS512" s="304"/>
    </row>
    <row r="513" spans="1:45">
      <c r="B513" s="1211" t="s">
        <v>740</v>
      </c>
      <c r="C513" s="1212"/>
      <c r="D513" s="1212"/>
      <c r="E513" s="1212"/>
      <c r="F513" s="1213"/>
      <c r="G513" s="1214">
        <f>SUM(H494:H512)</f>
        <v>0</v>
      </c>
      <c r="H513" s="1215"/>
      <c r="I513" s="1214">
        <f>SUM(J496:J512)+J494</f>
        <v>0</v>
      </c>
      <c r="J513" s="1216"/>
      <c r="L513" s="403"/>
      <c r="M513" s="403"/>
      <c r="N513" s="403"/>
      <c r="O513" s="403"/>
      <c r="P513" s="403"/>
      <c r="Q513" s="403"/>
      <c r="R513" s="403"/>
      <c r="S513" s="403"/>
      <c r="T513" s="403"/>
      <c r="U513" s="403"/>
      <c r="V513" s="403"/>
      <c r="W513" s="403"/>
      <c r="X513" s="403"/>
      <c r="Y513" s="403"/>
      <c r="Z513" s="367"/>
      <c r="AA513" s="304"/>
      <c r="AB513" s="304"/>
      <c r="AC513" s="304"/>
      <c r="AD513" s="304"/>
      <c r="AE513" s="304"/>
      <c r="AF513" s="304"/>
      <c r="AG513" s="304"/>
      <c r="AH513" s="304"/>
      <c r="AI513" s="304"/>
      <c r="AJ513" s="304"/>
      <c r="AK513" s="304"/>
      <c r="AL513" s="304"/>
      <c r="AM513" s="304"/>
      <c r="AN513" s="304"/>
      <c r="AO513" s="304"/>
      <c r="AP513" s="304"/>
      <c r="AQ513" s="304"/>
      <c r="AR513" s="304"/>
      <c r="AS513" s="304"/>
    </row>
    <row r="514" spans="1:45" ht="18.75">
      <c r="B514" s="1217" t="s">
        <v>696</v>
      </c>
      <c r="C514" s="1218"/>
      <c r="D514" s="1218"/>
      <c r="E514" s="1218"/>
      <c r="F514" s="1219"/>
      <c r="G514" s="1161" t="str">
        <f>IF(OR(AC487=0, I513=0), "12 Month Average", "24 Month Average")</f>
        <v>12 Month Average</v>
      </c>
      <c r="H514" s="1162"/>
      <c r="I514" s="1162"/>
      <c r="J514" s="1163"/>
      <c r="L514" s="403"/>
      <c r="M514" s="403"/>
      <c r="N514" s="403"/>
      <c r="O514" s="403"/>
      <c r="P514" s="403"/>
      <c r="Q514" s="403"/>
      <c r="R514" s="403"/>
      <c r="S514" s="403"/>
      <c r="T514" s="403"/>
      <c r="U514" s="403"/>
      <c r="V514" s="403"/>
      <c r="W514" s="403"/>
      <c r="X514" s="403"/>
      <c r="Y514" s="403"/>
      <c r="Z514" s="367"/>
      <c r="AA514" s="304"/>
      <c r="AB514" s="304"/>
      <c r="AC514" s="304"/>
      <c r="AD514" s="304"/>
      <c r="AE514" s="304"/>
      <c r="AF514" s="304"/>
      <c r="AG514" s="304"/>
      <c r="AH514" s="304"/>
      <c r="AI514" s="304"/>
      <c r="AJ514" s="304"/>
      <c r="AK514" s="304"/>
      <c r="AL514" s="304"/>
      <c r="AM514" s="304"/>
      <c r="AN514" s="304"/>
      <c r="AO514" s="304"/>
      <c r="AP514" s="304"/>
      <c r="AQ514" s="304"/>
      <c r="AR514" s="304"/>
      <c r="AS514" s="304"/>
    </row>
    <row r="515" spans="1:45" ht="34.5" thickBot="1">
      <c r="B515" s="1220" t="s">
        <v>697</v>
      </c>
      <c r="C515" s="1221"/>
      <c r="D515" s="1221"/>
      <c r="E515" s="1221"/>
      <c r="F515" s="1222"/>
      <c r="G515" s="1167">
        <f>IF(OR(AC487=0, I513=0), AC489, AC490)</f>
        <v>0</v>
      </c>
      <c r="H515" s="1168"/>
      <c r="I515" s="1168"/>
      <c r="J515" s="1169"/>
      <c r="L515" s="403"/>
      <c r="M515" s="403"/>
      <c r="N515" s="403"/>
      <c r="O515" s="403"/>
      <c r="P515" s="403"/>
      <c r="Q515" s="403"/>
      <c r="R515" s="403"/>
      <c r="S515" s="403"/>
      <c r="T515" s="403"/>
      <c r="U515" s="403"/>
      <c r="V515" s="403"/>
      <c r="W515" s="403"/>
      <c r="X515" s="403"/>
      <c r="Y515" s="403"/>
      <c r="Z515" s="367"/>
      <c r="AA515" s="304"/>
      <c r="AB515" s="304"/>
      <c r="AC515" s="304"/>
      <c r="AD515" s="304"/>
    </row>
    <row r="516" spans="1:45" ht="9" customHeight="1" thickBot="1">
      <c r="H516" s="330"/>
      <c r="I516" s="330"/>
      <c r="L516" s="403"/>
      <c r="M516" s="403"/>
      <c r="N516" s="403"/>
      <c r="O516" s="403"/>
      <c r="P516" s="403"/>
      <c r="Q516" s="403"/>
      <c r="R516" s="403"/>
      <c r="S516" s="403"/>
      <c r="T516" s="403"/>
      <c r="U516" s="403"/>
      <c r="V516" s="403"/>
      <c r="W516" s="403"/>
      <c r="X516" s="403"/>
      <c r="Y516" s="403"/>
      <c r="Z516" s="367"/>
      <c r="AA516" s="304"/>
      <c r="AB516" s="304"/>
      <c r="AC516" s="304"/>
      <c r="AD516" s="304"/>
    </row>
    <row r="517" spans="1:45" ht="105" customHeight="1" thickBot="1">
      <c r="B517" s="1208" t="s">
        <v>645</v>
      </c>
      <c r="C517" s="1209"/>
      <c r="D517" s="1209"/>
      <c r="E517" s="1209"/>
      <c r="F517" s="1209"/>
      <c r="G517" s="1209"/>
      <c r="H517" s="1209"/>
      <c r="I517" s="1209"/>
      <c r="J517" s="1210"/>
      <c r="L517" s="367"/>
      <c r="M517" s="367"/>
      <c r="N517" s="367"/>
      <c r="O517" s="367"/>
      <c r="P517" s="367"/>
      <c r="Q517" s="367"/>
      <c r="R517" s="367"/>
      <c r="S517" s="367"/>
      <c r="T517" s="367"/>
      <c r="U517" s="367"/>
      <c r="V517" s="367"/>
      <c r="W517" s="367"/>
      <c r="X517" s="367"/>
      <c r="Y517" s="367"/>
      <c r="Z517" s="367"/>
      <c r="AA517" s="304"/>
      <c r="AB517" s="304"/>
      <c r="AC517" s="304"/>
      <c r="AD517" s="304"/>
    </row>
    <row r="518" spans="1:45">
      <c r="A518" s="304"/>
      <c r="B518" s="304"/>
      <c r="C518" s="304"/>
      <c r="D518" s="304"/>
      <c r="E518" s="304"/>
      <c r="F518" s="304"/>
      <c r="G518" s="304"/>
      <c r="H518" s="304"/>
      <c r="I518" s="304"/>
      <c r="J518" s="304"/>
      <c r="K518" s="304"/>
      <c r="L518" s="367"/>
      <c r="M518" s="367"/>
      <c r="N518" s="367"/>
      <c r="O518" s="367"/>
      <c r="P518" s="367"/>
      <c r="Q518" s="367"/>
      <c r="R518" s="367"/>
      <c r="S518" s="367"/>
      <c r="T518" s="367"/>
      <c r="U518" s="367"/>
      <c r="V518" s="367"/>
      <c r="W518" s="367"/>
      <c r="X518" s="367"/>
      <c r="Y518" s="367"/>
      <c r="Z518" s="367"/>
      <c r="AA518" s="304"/>
      <c r="AB518" s="304"/>
      <c r="AC518" s="304"/>
      <c r="AD518" s="304"/>
    </row>
    <row r="519" spans="1:45" ht="13.5" customHeight="1" thickBot="1">
      <c r="L519" s="304"/>
      <c r="M519" s="304"/>
      <c r="N519" s="304"/>
      <c r="O519" s="304"/>
      <c r="P519" s="304"/>
      <c r="Q519" s="304"/>
      <c r="R519" s="304"/>
      <c r="S519" s="304"/>
      <c r="T519" s="304"/>
      <c r="U519" s="304"/>
    </row>
    <row r="520" spans="1:45" ht="69" customHeight="1">
      <c r="B520" s="1187" t="s">
        <v>708</v>
      </c>
      <c r="C520" s="1188"/>
      <c r="D520" s="1188"/>
      <c r="E520" s="1188"/>
      <c r="F520" s="1188"/>
      <c r="G520" s="1188"/>
      <c r="H520" s="1188"/>
      <c r="I520" s="1188"/>
      <c r="J520" s="331" t="str">
        <f>'[3]Reference Sheet'!$B$2</f>
        <v>Rev. 4.12.2016</v>
      </c>
      <c r="L520" s="403"/>
      <c r="M520" s="403"/>
      <c r="N520" s="403"/>
      <c r="O520" s="403"/>
      <c r="P520" s="403"/>
      <c r="Q520" s="403"/>
      <c r="R520" s="403"/>
      <c r="S520" s="403"/>
      <c r="T520" s="403"/>
      <c r="U520" s="403"/>
      <c r="V520" s="403"/>
      <c r="W520" s="403"/>
      <c r="X520" s="403"/>
      <c r="Y520" s="403"/>
      <c r="Z520" s="367"/>
      <c r="AA520" s="304"/>
      <c r="AB520" s="304"/>
      <c r="AC520" s="304"/>
      <c r="AD520" s="304"/>
      <c r="AE520" s="304"/>
      <c r="AF520" s="304"/>
      <c r="AG520" s="304"/>
      <c r="AH520" s="304"/>
      <c r="AI520" s="304"/>
      <c r="AJ520" s="304"/>
      <c r="AK520" s="304"/>
      <c r="AL520" s="304"/>
      <c r="AM520" s="304"/>
      <c r="AN520" s="304"/>
      <c r="AO520" s="304"/>
      <c r="AP520" s="304"/>
      <c r="AQ520" s="304"/>
      <c r="AR520" s="304"/>
      <c r="AS520" s="304"/>
    </row>
    <row r="521" spans="1:45" ht="3.75" customHeight="1">
      <c r="B521" s="332"/>
      <c r="C521" s="333"/>
      <c r="D521" s="333"/>
      <c r="E521" s="333"/>
      <c r="F521" s="333"/>
      <c r="G521" s="333"/>
      <c r="H521" s="333"/>
      <c r="I521" s="333"/>
      <c r="J521" s="334"/>
      <c r="L521" s="403"/>
      <c r="M521" s="403"/>
      <c r="N521" s="403"/>
      <c r="O521" s="403"/>
      <c r="P521" s="403"/>
      <c r="Q521" s="403"/>
      <c r="R521" s="403"/>
      <c r="S521" s="403"/>
      <c r="T521" s="403"/>
      <c r="U521" s="403"/>
      <c r="V521" s="403"/>
      <c r="W521" s="403"/>
      <c r="X521" s="403"/>
      <c r="Y521" s="403"/>
      <c r="Z521" s="367"/>
      <c r="AA521" s="304"/>
      <c r="AB521" s="304"/>
      <c r="AC521" s="304"/>
      <c r="AD521" s="304"/>
      <c r="AE521" s="304"/>
      <c r="AF521" s="304"/>
      <c r="AG521" s="304"/>
      <c r="AH521" s="304"/>
      <c r="AI521" s="304"/>
      <c r="AJ521" s="304"/>
      <c r="AK521" s="304"/>
      <c r="AL521" s="304"/>
      <c r="AM521" s="304"/>
      <c r="AN521" s="304"/>
      <c r="AO521" s="304"/>
      <c r="AP521" s="304"/>
      <c r="AQ521" s="304"/>
      <c r="AR521" s="304"/>
      <c r="AS521" s="304"/>
    </row>
    <row r="522" spans="1:45" ht="18" customHeight="1" thickBot="1">
      <c r="B522" s="332"/>
      <c r="C522" s="368" t="s">
        <v>710</v>
      </c>
      <c r="D522" s="1189"/>
      <c r="E522" s="1190"/>
      <c r="F522" s="1190"/>
      <c r="G522" s="1190"/>
      <c r="H522" s="333"/>
      <c r="I522" s="333"/>
      <c r="J522" s="334"/>
      <c r="L522" s="403"/>
      <c r="M522" s="403"/>
      <c r="N522" s="403"/>
      <c r="O522" s="403"/>
      <c r="P522" s="403"/>
      <c r="Q522" s="403"/>
      <c r="R522" s="403"/>
      <c r="S522" s="403"/>
      <c r="T522" s="403"/>
      <c r="U522" s="403"/>
      <c r="V522" s="403"/>
      <c r="W522" s="403"/>
      <c r="X522" s="403"/>
      <c r="Y522" s="403"/>
      <c r="Z522" s="367"/>
      <c r="AA522" s="304"/>
      <c r="AB522" s="304" t="s">
        <v>680</v>
      </c>
      <c r="AC522" s="304">
        <f>IF(AND(J527=0, J531=0, J533=0, J542=0, J543=0, J544=0, J546=0, J548=0, J549=0, I550=0), 0, 1)</f>
        <v>1</v>
      </c>
      <c r="AD522" s="304"/>
      <c r="AE522" s="304"/>
      <c r="AF522" s="366" t="s">
        <v>596</v>
      </c>
      <c r="AG522" s="304"/>
      <c r="AH522" s="304"/>
      <c r="AI522" s="304"/>
      <c r="AJ522" s="304"/>
      <c r="AK522" s="304"/>
      <c r="AL522" s="304"/>
      <c r="AM522" s="304"/>
      <c r="AN522" s="304"/>
      <c r="AO522" s="304"/>
      <c r="AP522" s="304"/>
      <c r="AQ522" s="304"/>
      <c r="AR522" s="304"/>
      <c r="AS522" s="304"/>
    </row>
    <row r="523" spans="1:45" ht="18" customHeight="1" thickBot="1">
      <c r="B523" s="332"/>
      <c r="C523" s="368" t="s">
        <v>711</v>
      </c>
      <c r="D523" s="1277"/>
      <c r="E523" s="1278"/>
      <c r="F523" s="1278"/>
      <c r="G523" s="1278"/>
      <c r="H523" s="368" t="s">
        <v>712</v>
      </c>
      <c r="I523" s="1189"/>
      <c r="J523" s="1279"/>
      <c r="L523" s="403"/>
      <c r="M523" s="403"/>
      <c r="N523" s="403"/>
      <c r="O523" s="403"/>
      <c r="P523" s="403"/>
      <c r="Q523" s="403"/>
      <c r="R523" s="403"/>
      <c r="S523" s="403"/>
      <c r="T523" s="403"/>
      <c r="U523" s="403"/>
      <c r="V523" s="403"/>
      <c r="W523" s="403"/>
      <c r="X523" s="403"/>
      <c r="Y523" s="403"/>
      <c r="Z523" s="367"/>
      <c r="AA523" s="304"/>
      <c r="AB523" s="304" t="s">
        <v>682</v>
      </c>
      <c r="AC523" s="304">
        <f>IF(AND(G550&lt;=I550, I550&lt;&gt;0), 0, 1)</f>
        <v>1</v>
      </c>
      <c r="AD523" s="304"/>
      <c r="AE523" s="304"/>
      <c r="AF523" s="366" t="s">
        <v>683</v>
      </c>
      <c r="AG523" s="304"/>
      <c r="AH523" s="304"/>
      <c r="AI523" s="304"/>
      <c r="AJ523" s="304"/>
      <c r="AK523" s="304"/>
      <c r="AL523" s="304"/>
      <c r="AM523" s="304"/>
      <c r="AN523" s="304"/>
      <c r="AO523" s="304"/>
      <c r="AP523" s="304"/>
      <c r="AQ523" s="304"/>
      <c r="AR523" s="304"/>
      <c r="AS523" s="304"/>
    </row>
    <row r="524" spans="1:45" ht="18" customHeight="1" thickBot="1">
      <c r="B524" s="1176" t="s">
        <v>671</v>
      </c>
      <c r="C524" s="1177"/>
      <c r="D524" s="1280"/>
      <c r="E524" s="1281"/>
      <c r="F524" s="1281"/>
      <c r="G524" s="1281"/>
      <c r="H524" s="336" t="s">
        <v>673</v>
      </c>
      <c r="I524" s="369"/>
      <c r="J524" s="370"/>
      <c r="L524" s="403"/>
      <c r="M524" s="403"/>
      <c r="N524" s="403"/>
      <c r="O524" s="403"/>
      <c r="P524" s="403"/>
      <c r="Q524" s="403"/>
      <c r="R524" s="403"/>
      <c r="S524" s="403"/>
      <c r="T524" s="403"/>
      <c r="U524" s="403"/>
      <c r="V524" s="403"/>
      <c r="W524" s="403"/>
      <c r="X524" s="403"/>
      <c r="Y524" s="403"/>
      <c r="Z524" s="367"/>
      <c r="AA524" s="304"/>
      <c r="AB524" s="304" t="s">
        <v>685</v>
      </c>
      <c r="AC524" s="304">
        <f>IF(AND(AC523=0, AC522=1), 0, 1)</f>
        <v>1</v>
      </c>
      <c r="AD524" s="304"/>
      <c r="AE524" s="304"/>
      <c r="AF524" s="366" t="s">
        <v>599</v>
      </c>
      <c r="AG524" s="304"/>
      <c r="AH524" s="304"/>
      <c r="AI524" s="304"/>
      <c r="AJ524" s="304"/>
      <c r="AK524" s="304"/>
      <c r="AL524" s="304"/>
      <c r="AM524" s="304"/>
      <c r="AN524" s="304"/>
      <c r="AO524" s="304"/>
      <c r="AP524" s="304"/>
      <c r="AQ524" s="304"/>
      <c r="AR524" s="304"/>
      <c r="AS524" s="304"/>
    </row>
    <row r="525" spans="1:45" ht="18" customHeight="1" thickBot="1">
      <c r="B525" s="1176" t="s">
        <v>674</v>
      </c>
      <c r="C525" s="1177"/>
      <c r="D525" s="1262"/>
      <c r="E525" s="1263"/>
      <c r="F525" s="1263"/>
      <c r="G525" s="1263"/>
      <c r="H525" s="1263"/>
      <c r="I525" s="1263"/>
      <c r="J525" s="1264"/>
      <c r="L525" s="403"/>
      <c r="M525" s="403"/>
      <c r="N525" s="403"/>
      <c r="O525" s="403"/>
      <c r="P525" s="403"/>
      <c r="Q525" s="403"/>
      <c r="R525" s="403"/>
      <c r="S525" s="403"/>
      <c r="T525" s="403"/>
      <c r="U525" s="403"/>
      <c r="V525" s="403"/>
      <c r="W525" s="403"/>
      <c r="X525" s="403"/>
      <c r="Y525" s="403"/>
      <c r="Z525" s="367"/>
      <c r="AA525" s="304"/>
      <c r="AB525" s="304"/>
      <c r="AC525" s="304"/>
      <c r="AD525" s="304"/>
      <c r="AE525" s="304"/>
      <c r="AF525" s="366" t="s">
        <v>603</v>
      </c>
      <c r="AG525" s="304"/>
      <c r="AH525" s="304"/>
      <c r="AI525" s="304"/>
      <c r="AJ525" s="304"/>
      <c r="AK525" s="304"/>
      <c r="AL525" s="304"/>
      <c r="AM525" s="304"/>
      <c r="AN525" s="304"/>
      <c r="AO525" s="304"/>
      <c r="AP525" s="304"/>
      <c r="AQ525" s="304"/>
      <c r="AR525" s="304"/>
      <c r="AS525" s="304"/>
    </row>
    <row r="526" spans="1:45">
      <c r="B526" s="1265"/>
      <c r="C526" s="1266"/>
      <c r="D526" s="1266"/>
      <c r="E526" s="1266"/>
      <c r="F526" s="1267"/>
      <c r="G526" s="371" t="s">
        <v>713</v>
      </c>
      <c r="H526" s="372" t="s">
        <v>676</v>
      </c>
      <c r="I526" s="342"/>
      <c r="J526" s="373" t="s">
        <v>677</v>
      </c>
      <c r="L526" s="403"/>
      <c r="M526" s="403"/>
      <c r="N526" s="403"/>
      <c r="O526" s="403"/>
      <c r="P526" s="403"/>
      <c r="Q526" s="403"/>
      <c r="R526" s="403"/>
      <c r="S526" s="403"/>
      <c r="T526" s="403"/>
      <c r="U526" s="403"/>
      <c r="V526" s="403"/>
      <c r="W526" s="403"/>
      <c r="X526" s="403"/>
      <c r="Y526" s="403"/>
      <c r="Z526" s="367"/>
      <c r="AA526" s="304"/>
      <c r="AB526" s="304" t="s">
        <v>689</v>
      </c>
      <c r="AC526" s="374">
        <f>G550/12</f>
        <v>0</v>
      </c>
      <c r="AD526" s="304"/>
      <c r="AE526" s="304"/>
      <c r="AF526" s="366" t="s">
        <v>605</v>
      </c>
      <c r="AG526" s="304"/>
      <c r="AH526" s="304"/>
      <c r="AI526" s="304"/>
      <c r="AJ526" s="304"/>
      <c r="AK526" s="304"/>
      <c r="AL526" s="304"/>
      <c r="AM526" s="304"/>
      <c r="AN526" s="304"/>
      <c r="AO526" s="304"/>
      <c r="AP526" s="304"/>
      <c r="AQ526" s="304"/>
      <c r="AR526" s="304"/>
      <c r="AS526" s="304"/>
    </row>
    <row r="527" spans="1:45">
      <c r="B527" s="1268"/>
      <c r="C527" s="1266"/>
      <c r="D527" s="1266"/>
      <c r="E527" s="1266"/>
      <c r="F527" s="1267"/>
      <c r="G527" s="375" t="s">
        <v>714</v>
      </c>
      <c r="H527" s="376"/>
      <c r="I527" s="1272"/>
      <c r="J527" s="378"/>
      <c r="L527" s="403"/>
      <c r="M527" s="403"/>
      <c r="N527" s="403"/>
      <c r="O527" s="403"/>
      <c r="P527" s="403"/>
      <c r="Q527" s="403"/>
      <c r="R527" s="403"/>
      <c r="S527" s="403"/>
      <c r="T527" s="403"/>
      <c r="U527" s="403"/>
      <c r="V527" s="403"/>
      <c r="W527" s="403"/>
      <c r="X527" s="403"/>
      <c r="Y527" s="403"/>
      <c r="Z527" s="367"/>
      <c r="AA527" s="304"/>
      <c r="AB527" s="304" t="s">
        <v>691</v>
      </c>
      <c r="AC527" s="374">
        <f>(G550+I550)/24</f>
        <v>0</v>
      </c>
      <c r="AD527" s="304"/>
      <c r="AE527" s="304"/>
      <c r="AF527" s="304"/>
      <c r="AG527" s="304"/>
      <c r="AH527" s="304"/>
      <c r="AI527" s="304"/>
      <c r="AJ527" s="304"/>
      <c r="AK527" s="304"/>
      <c r="AL527" s="304"/>
      <c r="AM527" s="304"/>
      <c r="AN527" s="304"/>
      <c r="AO527" s="304"/>
      <c r="AP527" s="304"/>
      <c r="AQ527" s="304"/>
      <c r="AR527" s="304"/>
      <c r="AS527" s="304"/>
    </row>
    <row r="528" spans="1:45">
      <c r="B528" s="1268"/>
      <c r="C528" s="1266"/>
      <c r="D528" s="1266"/>
      <c r="E528" s="1266"/>
      <c r="F528" s="1267"/>
      <c r="G528" s="379" t="s">
        <v>715</v>
      </c>
      <c r="H528" s="380"/>
      <c r="I528" s="1272"/>
      <c r="J528" s="378"/>
      <c r="L528" s="403"/>
      <c r="M528" s="403"/>
      <c r="N528" s="403"/>
      <c r="O528" s="403"/>
      <c r="P528" s="403"/>
      <c r="Q528" s="403"/>
      <c r="R528" s="403"/>
      <c r="S528" s="403"/>
      <c r="T528" s="403"/>
      <c r="U528" s="403"/>
      <c r="V528" s="403"/>
      <c r="W528" s="403"/>
      <c r="X528" s="403"/>
      <c r="Y528" s="403"/>
      <c r="Z528" s="367"/>
      <c r="AA528" s="304"/>
      <c r="AB528" s="304"/>
      <c r="AC528" s="304"/>
      <c r="AD528" s="304"/>
      <c r="AE528" s="304"/>
      <c r="AF528" s="304"/>
      <c r="AG528" s="304"/>
      <c r="AH528" s="304"/>
      <c r="AI528" s="304"/>
      <c r="AJ528" s="304"/>
      <c r="AK528" s="304"/>
      <c r="AL528" s="304"/>
      <c r="AM528" s="304"/>
      <c r="AN528" s="304"/>
      <c r="AO528" s="304"/>
      <c r="AP528" s="304"/>
      <c r="AQ528" s="304"/>
      <c r="AR528" s="304"/>
      <c r="AS528" s="304"/>
    </row>
    <row r="529" spans="2:45" ht="15.75" thickBot="1">
      <c r="B529" s="1269"/>
      <c r="C529" s="1270"/>
      <c r="D529" s="1270"/>
      <c r="E529" s="1270"/>
      <c r="F529" s="1271"/>
      <c r="G529" s="379" t="s">
        <v>716</v>
      </c>
      <c r="H529" s="376"/>
      <c r="I529" s="1272"/>
      <c r="J529" s="378"/>
      <c r="L529" s="403"/>
      <c r="M529" s="403"/>
      <c r="N529" s="403"/>
      <c r="O529" s="403"/>
      <c r="P529" s="403"/>
      <c r="Q529" s="403"/>
      <c r="R529" s="403"/>
      <c r="S529" s="403"/>
      <c r="T529" s="403"/>
      <c r="U529" s="403"/>
      <c r="V529" s="403"/>
      <c r="W529" s="403"/>
      <c r="X529" s="403"/>
      <c r="Y529" s="403"/>
      <c r="Z529" s="367"/>
      <c r="AA529" s="304"/>
      <c r="AB529" s="304" t="s">
        <v>717</v>
      </c>
      <c r="AC529" s="304" t="str">
        <f>IF(OR(H527=0, H527&gt;100%), "Year End Profit %", (G533+G534+G535))</f>
        <v>Year End Profit %</v>
      </c>
      <c r="AD529" s="304"/>
      <c r="AE529" s="304"/>
      <c r="AF529" s="304"/>
      <c r="AG529" s="304"/>
      <c r="AH529" s="304"/>
      <c r="AI529" s="304"/>
      <c r="AJ529" s="304"/>
      <c r="AK529" s="304"/>
      <c r="AL529" s="304"/>
      <c r="AM529" s="304"/>
      <c r="AN529" s="304"/>
      <c r="AO529" s="304"/>
      <c r="AP529" s="304"/>
      <c r="AQ529" s="304"/>
      <c r="AR529" s="304"/>
      <c r="AS529" s="304"/>
    </row>
    <row r="530" spans="2:45" ht="18.75">
      <c r="B530" s="1229" t="s">
        <v>718</v>
      </c>
      <c r="C530" s="1273"/>
      <c r="D530" s="1273"/>
      <c r="E530" s="1273"/>
      <c r="F530" s="1273"/>
      <c r="G530" s="377" t="s">
        <v>719</v>
      </c>
      <c r="H530" s="381"/>
      <c r="I530" s="377" t="s">
        <v>719</v>
      </c>
      <c r="J530" s="382"/>
      <c r="L530" s="403"/>
      <c r="M530" s="403"/>
      <c r="N530" s="403"/>
      <c r="O530" s="403"/>
      <c r="P530" s="403"/>
      <c r="Q530" s="403"/>
      <c r="R530" s="403"/>
      <c r="S530" s="403"/>
      <c r="T530" s="403"/>
      <c r="U530" s="403"/>
      <c r="V530" s="403"/>
      <c r="W530" s="403"/>
      <c r="X530" s="403"/>
      <c r="Y530" s="403"/>
      <c r="Z530" s="367"/>
      <c r="AA530" s="304"/>
      <c r="AB530" s="304" t="s">
        <v>720</v>
      </c>
      <c r="AC530" s="304" t="str">
        <f>IF(OR(J527&gt;100%, J527=0), "Year End Profit %", (I533+I534+I535))</f>
        <v>Year End Profit %</v>
      </c>
      <c r="AD530" s="383"/>
      <c r="AE530" s="304"/>
      <c r="AF530" s="304"/>
      <c r="AG530" s="304"/>
      <c r="AH530" s="304"/>
      <c r="AI530" s="304"/>
      <c r="AJ530" s="304"/>
      <c r="AK530" s="304"/>
      <c r="AL530" s="304"/>
      <c r="AM530" s="304"/>
      <c r="AN530" s="304"/>
      <c r="AO530" s="304"/>
      <c r="AP530" s="304"/>
      <c r="AQ530" s="304"/>
      <c r="AR530" s="304"/>
      <c r="AS530" s="304"/>
    </row>
    <row r="531" spans="2:45">
      <c r="B531" s="1274" t="s">
        <v>721</v>
      </c>
      <c r="C531" s="1275"/>
      <c r="D531" s="1275"/>
      <c r="E531" s="1275"/>
      <c r="F531" s="1276"/>
      <c r="G531" s="346"/>
      <c r="H531" s="384">
        <f>G531</f>
        <v>0</v>
      </c>
      <c r="I531" s="364"/>
      <c r="J531" s="385">
        <f>I531</f>
        <v>0</v>
      </c>
      <c r="L531" s="403"/>
      <c r="M531" s="403"/>
      <c r="N531" s="403"/>
      <c r="O531" s="403"/>
      <c r="P531" s="403"/>
      <c r="Q531" s="403"/>
      <c r="R531" s="403"/>
      <c r="S531" s="403"/>
      <c r="T531" s="403"/>
      <c r="U531" s="403"/>
      <c r="V531" s="403"/>
      <c r="W531" s="403"/>
      <c r="X531" s="403"/>
      <c r="Y531" s="403"/>
      <c r="Z531" s="367"/>
      <c r="AA531" s="304"/>
      <c r="AB531" s="304"/>
      <c r="AC531" s="304"/>
      <c r="AD531" s="304"/>
      <c r="AE531" s="304"/>
      <c r="AF531" s="304"/>
      <c r="AG531" s="304"/>
      <c r="AH531" s="304"/>
      <c r="AI531" s="304"/>
      <c r="AJ531" s="304"/>
      <c r="AK531" s="304"/>
      <c r="AL531" s="304"/>
      <c r="AM531" s="304"/>
      <c r="AN531" s="304"/>
      <c r="AO531" s="304"/>
      <c r="AP531" s="304"/>
      <c r="AQ531" s="304"/>
      <c r="AR531" s="304"/>
      <c r="AS531" s="304"/>
    </row>
    <row r="532" spans="2:45">
      <c r="B532" s="1246" t="s">
        <v>722</v>
      </c>
      <c r="C532" s="1247"/>
      <c r="D532" s="1247"/>
      <c r="E532" s="1247"/>
      <c r="F532" s="1247"/>
      <c r="G532" s="377"/>
      <c r="H532" s="381"/>
      <c r="I532" s="386"/>
      <c r="J532" s="382"/>
      <c r="L532" s="403"/>
      <c r="M532" s="403"/>
      <c r="N532" s="403"/>
      <c r="O532" s="403"/>
      <c r="P532" s="403"/>
      <c r="Q532" s="403"/>
      <c r="R532" s="403"/>
      <c r="S532" s="403"/>
      <c r="T532" s="403"/>
      <c r="U532" s="403"/>
      <c r="V532" s="403"/>
      <c r="W532" s="403"/>
      <c r="X532" s="403"/>
      <c r="Y532" s="403"/>
      <c r="Z532" s="367"/>
      <c r="AA532" s="304"/>
      <c r="AB532" s="304"/>
      <c r="AC532" s="304"/>
      <c r="AD532" s="304"/>
      <c r="AE532" s="304"/>
      <c r="AF532" s="304"/>
      <c r="AG532" s="304"/>
      <c r="AH532" s="304"/>
      <c r="AI532" s="304"/>
      <c r="AJ532" s="304"/>
      <c r="AK532" s="304"/>
      <c r="AL532" s="304"/>
      <c r="AM532" s="304"/>
      <c r="AN532" s="304"/>
      <c r="AO532" s="304"/>
      <c r="AP532" s="304"/>
      <c r="AQ532" s="304"/>
      <c r="AR532" s="304"/>
      <c r="AS532" s="304"/>
    </row>
    <row r="533" spans="2:45">
      <c r="B533" s="1248" t="s">
        <v>723</v>
      </c>
      <c r="C533" s="1249"/>
      <c r="D533" s="1249"/>
      <c r="E533" s="1249"/>
      <c r="F533" s="1250"/>
      <c r="G533" s="346"/>
      <c r="H533" s="387" t="str">
        <f>AC529</f>
        <v>Year End Profit %</v>
      </c>
      <c r="I533" s="346"/>
      <c r="J533" s="388" t="str">
        <f>AC530</f>
        <v>Year End Profit %</v>
      </c>
      <c r="L533" s="403"/>
      <c r="M533" s="403"/>
      <c r="N533" s="403"/>
      <c r="O533" s="403"/>
      <c r="P533" s="403"/>
      <c r="Q533" s="403"/>
      <c r="R533" s="403"/>
      <c r="S533" s="403"/>
      <c r="T533" s="403"/>
      <c r="U533" s="403"/>
      <c r="V533" s="403"/>
      <c r="W533" s="403"/>
      <c r="X533" s="403"/>
      <c r="Y533" s="403"/>
      <c r="Z533" s="367"/>
      <c r="AA533" s="304"/>
      <c r="AB533" s="304"/>
      <c r="AC533" s="304"/>
      <c r="AD533" s="304"/>
      <c r="AE533" s="304"/>
      <c r="AF533" s="304"/>
      <c r="AG533" s="304"/>
      <c r="AH533" s="304"/>
      <c r="AI533" s="304"/>
      <c r="AJ533" s="304"/>
      <c r="AK533" s="304"/>
      <c r="AL533" s="304"/>
      <c r="AM533" s="304"/>
      <c r="AN533" s="304"/>
      <c r="AO533" s="304"/>
      <c r="AP533" s="304"/>
      <c r="AQ533" s="304"/>
      <c r="AR533" s="304"/>
      <c r="AS533" s="304"/>
    </row>
    <row r="534" spans="2:45">
      <c r="B534" s="1251" t="s">
        <v>724</v>
      </c>
      <c r="C534" s="1252"/>
      <c r="D534" s="1252"/>
      <c r="E534" s="1252"/>
      <c r="F534" s="1253"/>
      <c r="G534" s="346"/>
      <c r="H534" s="389"/>
      <c r="I534" s="346"/>
      <c r="J534" s="390"/>
      <c r="L534" s="403"/>
      <c r="M534" s="403"/>
      <c r="N534" s="403"/>
      <c r="O534" s="403"/>
      <c r="P534" s="403"/>
      <c r="Q534" s="403"/>
      <c r="R534" s="403"/>
      <c r="S534" s="403"/>
      <c r="T534" s="403"/>
      <c r="U534" s="403"/>
      <c r="V534" s="403"/>
      <c r="W534" s="403"/>
      <c r="X534" s="403"/>
      <c r="Y534" s="403"/>
      <c r="Z534" s="367"/>
      <c r="AA534" s="304"/>
      <c r="AB534" s="304"/>
      <c r="AC534" s="304"/>
      <c r="AD534" s="304"/>
      <c r="AE534" s="304"/>
      <c r="AF534" s="304"/>
      <c r="AG534" s="304"/>
      <c r="AH534" s="304"/>
      <c r="AI534" s="304"/>
      <c r="AJ534" s="304"/>
      <c r="AK534" s="304"/>
      <c r="AL534" s="304"/>
      <c r="AM534" s="304"/>
      <c r="AN534" s="304"/>
      <c r="AO534" s="304"/>
      <c r="AP534" s="304"/>
      <c r="AQ534" s="304"/>
      <c r="AR534" s="304"/>
      <c r="AS534" s="304"/>
    </row>
    <row r="535" spans="2:45">
      <c r="B535" s="1254" t="s">
        <v>725</v>
      </c>
      <c r="C535" s="1255"/>
      <c r="D535" s="1255"/>
      <c r="E535" s="1255"/>
      <c r="F535" s="1256"/>
      <c r="G535" s="346"/>
      <c r="H535" s="389"/>
      <c r="I535" s="346"/>
      <c r="J535" s="390"/>
      <c r="L535" s="403"/>
      <c r="M535" s="403"/>
      <c r="N535" s="403"/>
      <c r="O535" s="403"/>
      <c r="P535" s="403"/>
      <c r="Q535" s="403"/>
      <c r="R535" s="403"/>
      <c r="S535" s="403"/>
      <c r="T535" s="403"/>
      <c r="U535" s="403"/>
      <c r="V535" s="403"/>
      <c r="W535" s="403"/>
      <c r="X535" s="403"/>
      <c r="Y535" s="403"/>
      <c r="Z535" s="367"/>
      <c r="AA535" s="304"/>
      <c r="AB535" s="304"/>
      <c r="AC535" s="304"/>
      <c r="AD535" s="304"/>
      <c r="AE535" s="304"/>
      <c r="AF535" s="304"/>
      <c r="AG535" s="304"/>
      <c r="AH535" s="304"/>
      <c r="AI535" s="304"/>
      <c r="AJ535" s="304"/>
      <c r="AK535" s="304"/>
      <c r="AL535" s="304"/>
      <c r="AM535" s="304"/>
      <c r="AN535" s="304"/>
      <c r="AO535" s="304"/>
      <c r="AP535" s="304"/>
      <c r="AQ535" s="304"/>
      <c r="AR535" s="304"/>
      <c r="AS535" s="304"/>
    </row>
    <row r="536" spans="2:45">
      <c r="B536" s="1257" t="s">
        <v>726</v>
      </c>
      <c r="C536" s="1258"/>
      <c r="D536" s="1258"/>
      <c r="E536" s="1258"/>
      <c r="F536" s="1258"/>
      <c r="G536" s="391"/>
      <c r="H536" s="392"/>
      <c r="I536" s="391"/>
      <c r="J536" s="393"/>
      <c r="L536" s="403"/>
      <c r="M536" s="403"/>
      <c r="N536" s="403"/>
      <c r="O536" s="403"/>
      <c r="P536" s="403"/>
      <c r="Q536" s="403"/>
      <c r="R536" s="403"/>
      <c r="S536" s="403"/>
      <c r="T536" s="403"/>
      <c r="U536" s="403"/>
      <c r="V536" s="403"/>
      <c r="W536" s="403"/>
      <c r="X536" s="403"/>
      <c r="Y536" s="403"/>
      <c r="Z536" s="367"/>
      <c r="AA536" s="304"/>
      <c r="AB536" s="304"/>
      <c r="AC536" s="304"/>
      <c r="AD536" s="304"/>
      <c r="AE536" s="304"/>
      <c r="AF536" s="304"/>
      <c r="AG536" s="304"/>
      <c r="AH536" s="304"/>
      <c r="AI536" s="304"/>
      <c r="AJ536" s="304"/>
      <c r="AK536" s="304"/>
      <c r="AL536" s="304"/>
      <c r="AM536" s="304"/>
      <c r="AN536" s="304"/>
      <c r="AO536" s="304"/>
      <c r="AP536" s="304"/>
      <c r="AQ536" s="304"/>
      <c r="AR536" s="304"/>
      <c r="AS536" s="304"/>
    </row>
    <row r="537" spans="2:45">
      <c r="B537" s="1259" t="s">
        <v>727</v>
      </c>
      <c r="C537" s="1260"/>
      <c r="D537" s="1260"/>
      <c r="E537" s="1260"/>
      <c r="F537" s="1261"/>
      <c r="G537" s="394"/>
      <c r="H537" s="395">
        <f>(G537*H527)*-1</f>
        <v>0</v>
      </c>
      <c r="I537" s="394"/>
      <c r="J537" s="396">
        <f>(I537*J527)*-1</f>
        <v>0</v>
      </c>
      <c r="L537" s="403"/>
      <c r="M537" s="403"/>
      <c r="N537" s="403"/>
      <c r="O537" s="403"/>
      <c r="P537" s="403"/>
      <c r="Q537" s="403"/>
      <c r="R537" s="403"/>
      <c r="S537" s="403"/>
      <c r="T537" s="403"/>
      <c r="U537" s="403"/>
      <c r="V537" s="403"/>
      <c r="W537" s="403"/>
      <c r="X537" s="403"/>
      <c r="Y537" s="403"/>
      <c r="Z537" s="367"/>
      <c r="AA537" s="304"/>
      <c r="AB537" s="304"/>
      <c r="AC537" s="304"/>
      <c r="AD537" s="304"/>
      <c r="AE537" s="304"/>
      <c r="AF537" s="304"/>
      <c r="AG537" s="304"/>
      <c r="AH537" s="304"/>
      <c r="AI537" s="304"/>
      <c r="AJ537" s="304"/>
      <c r="AK537" s="304"/>
      <c r="AL537" s="304"/>
      <c r="AM537" s="304"/>
      <c r="AN537" s="304"/>
      <c r="AO537" s="304"/>
      <c r="AP537" s="304"/>
      <c r="AQ537" s="304"/>
      <c r="AR537" s="304"/>
      <c r="AS537" s="304"/>
    </row>
    <row r="538" spans="2:45">
      <c r="B538" s="1237" t="s">
        <v>728</v>
      </c>
      <c r="C538" s="1238"/>
      <c r="D538" s="1238"/>
      <c r="E538" s="1238"/>
      <c r="F538" s="1239"/>
      <c r="G538" s="394"/>
      <c r="H538" s="395">
        <f>(G538*H527)*-1</f>
        <v>0</v>
      </c>
      <c r="I538" s="394"/>
      <c r="J538" s="396">
        <f>(I538*J527)*-1</f>
        <v>0</v>
      </c>
      <c r="L538" s="403"/>
      <c r="M538" s="403"/>
      <c r="N538" s="403"/>
      <c r="O538" s="403"/>
      <c r="P538" s="403"/>
      <c r="Q538" s="403"/>
      <c r="R538" s="403"/>
      <c r="S538" s="403"/>
      <c r="T538" s="403"/>
      <c r="U538" s="403"/>
      <c r="V538" s="403"/>
      <c r="W538" s="403"/>
      <c r="X538" s="403"/>
      <c r="Y538" s="403"/>
      <c r="Z538" s="367"/>
      <c r="AA538" s="304"/>
      <c r="AB538" s="304"/>
      <c r="AC538" s="304"/>
      <c r="AD538" s="304"/>
      <c r="AE538" s="304"/>
      <c r="AF538" s="304"/>
      <c r="AG538" s="304"/>
      <c r="AH538" s="304"/>
      <c r="AI538" s="304"/>
      <c r="AJ538" s="304"/>
      <c r="AK538" s="304"/>
      <c r="AL538" s="304"/>
      <c r="AM538" s="304"/>
      <c r="AN538" s="304"/>
      <c r="AO538" s="304"/>
      <c r="AP538" s="304"/>
      <c r="AQ538" s="304"/>
      <c r="AR538" s="304"/>
      <c r="AS538" s="304"/>
    </row>
    <row r="539" spans="2:45">
      <c r="B539" s="1237" t="s">
        <v>729</v>
      </c>
      <c r="C539" s="1238"/>
      <c r="D539" s="1238"/>
      <c r="E539" s="1238"/>
      <c r="F539" s="1239"/>
      <c r="G539" s="394"/>
      <c r="H539" s="395">
        <f>(G539*H527)*-1</f>
        <v>0</v>
      </c>
      <c r="I539" s="394"/>
      <c r="J539" s="396">
        <f>(I539*J527)*-1</f>
        <v>0</v>
      </c>
      <c r="L539" s="403"/>
      <c r="M539" s="403"/>
      <c r="N539" s="403"/>
      <c r="O539" s="403"/>
      <c r="P539" s="403"/>
      <c r="Q539" s="403"/>
      <c r="R539" s="403"/>
      <c r="S539" s="403"/>
      <c r="T539" s="403"/>
      <c r="U539" s="403"/>
      <c r="V539" s="403"/>
      <c r="W539" s="403"/>
      <c r="X539" s="403"/>
      <c r="Y539" s="403"/>
      <c r="Z539" s="367"/>
      <c r="AA539" s="304"/>
      <c r="AB539" s="304"/>
      <c r="AC539" s="304"/>
      <c r="AD539" s="304"/>
      <c r="AE539" s="304"/>
      <c r="AF539" s="304"/>
      <c r="AG539" s="304"/>
      <c r="AH539" s="304"/>
      <c r="AI539" s="304"/>
      <c r="AJ539" s="304"/>
      <c r="AK539" s="304"/>
      <c r="AL539" s="304"/>
      <c r="AM539" s="304"/>
      <c r="AN539" s="304"/>
      <c r="AO539" s="304"/>
      <c r="AP539" s="304"/>
      <c r="AQ539" s="304"/>
      <c r="AR539" s="304"/>
      <c r="AS539" s="304"/>
    </row>
    <row r="540" spans="2:45">
      <c r="B540" s="1240" t="s">
        <v>730</v>
      </c>
      <c r="C540" s="1241"/>
      <c r="D540" s="1241"/>
      <c r="E540" s="1241"/>
      <c r="F540" s="1242"/>
      <c r="G540" s="394"/>
      <c r="H540" s="395">
        <f>(G540*H527)*-1</f>
        <v>0</v>
      </c>
      <c r="I540" s="394"/>
      <c r="J540" s="396">
        <f>(I540*J527)*-1</f>
        <v>0</v>
      </c>
      <c r="L540" s="403"/>
      <c r="M540" s="403"/>
      <c r="N540" s="403"/>
      <c r="O540" s="403"/>
      <c r="P540" s="403"/>
      <c r="Q540" s="403"/>
      <c r="R540" s="403"/>
      <c r="S540" s="403"/>
      <c r="T540" s="403"/>
      <c r="U540" s="403"/>
      <c r="V540" s="403"/>
      <c r="W540" s="403"/>
      <c r="X540" s="403"/>
      <c r="Y540" s="403"/>
      <c r="Z540" s="367"/>
      <c r="AA540" s="304"/>
      <c r="AB540" s="304"/>
      <c r="AC540" s="304"/>
      <c r="AD540" s="304"/>
      <c r="AE540" s="304"/>
      <c r="AF540" s="304"/>
      <c r="AG540" s="304"/>
      <c r="AH540" s="304"/>
      <c r="AI540" s="304"/>
      <c r="AJ540" s="304"/>
      <c r="AK540" s="304"/>
      <c r="AL540" s="304"/>
      <c r="AM540" s="304"/>
      <c r="AN540" s="304"/>
      <c r="AO540" s="304"/>
      <c r="AP540" s="304"/>
      <c r="AQ540" s="304"/>
      <c r="AR540" s="304"/>
      <c r="AS540" s="304"/>
    </row>
    <row r="541" spans="2:45">
      <c r="B541" s="1229" t="s">
        <v>731</v>
      </c>
      <c r="C541" s="1230"/>
      <c r="D541" s="1230"/>
      <c r="E541" s="1230"/>
      <c r="F541" s="1230"/>
      <c r="G541" s="350"/>
      <c r="H541" s="351"/>
      <c r="I541" s="350"/>
      <c r="J541" s="352"/>
      <c r="L541" s="403"/>
      <c r="M541" s="403"/>
      <c r="N541" s="403"/>
      <c r="O541" s="403"/>
      <c r="P541" s="403"/>
      <c r="Q541" s="403"/>
      <c r="R541" s="403"/>
      <c r="S541" s="403"/>
      <c r="T541" s="403"/>
      <c r="U541" s="403"/>
      <c r="V541" s="403"/>
      <c r="W541" s="403"/>
      <c r="X541" s="403"/>
      <c r="Y541" s="403"/>
      <c r="Z541" s="367"/>
      <c r="AA541" s="304"/>
      <c r="AB541" s="304"/>
      <c r="AC541" s="304"/>
      <c r="AD541" s="304"/>
      <c r="AE541" s="304"/>
      <c r="AF541" s="304"/>
      <c r="AG541" s="304"/>
      <c r="AH541" s="304"/>
      <c r="AI541" s="304"/>
      <c r="AJ541" s="304"/>
      <c r="AK541" s="304"/>
      <c r="AL541" s="304"/>
      <c r="AM541" s="304"/>
      <c r="AN541" s="304"/>
      <c r="AO541" s="304"/>
      <c r="AP541" s="304"/>
      <c r="AQ541" s="304"/>
      <c r="AR541" s="304"/>
      <c r="AS541" s="304"/>
    </row>
    <row r="542" spans="2:45">
      <c r="B542" s="1243" t="s">
        <v>732</v>
      </c>
      <c r="C542" s="1244"/>
      <c r="D542" s="1244"/>
      <c r="E542" s="1244"/>
      <c r="F542" s="1245"/>
      <c r="G542" s="346"/>
      <c r="H542" s="384">
        <f>G542*H527</f>
        <v>0</v>
      </c>
      <c r="I542" s="346"/>
      <c r="J542" s="385">
        <f>I542*J527</f>
        <v>0</v>
      </c>
      <c r="L542" s="403"/>
      <c r="M542" s="403"/>
      <c r="N542" s="403"/>
      <c r="O542" s="403"/>
      <c r="P542" s="403"/>
      <c r="Q542" s="403"/>
      <c r="R542" s="403"/>
      <c r="S542" s="403"/>
      <c r="T542" s="403"/>
      <c r="U542" s="403"/>
      <c r="V542" s="403"/>
      <c r="W542" s="403"/>
      <c r="X542" s="403"/>
      <c r="Y542" s="403"/>
      <c r="Z542" s="367"/>
      <c r="AA542" s="304"/>
      <c r="AB542" s="304"/>
      <c r="AC542" s="304"/>
      <c r="AD542" s="304"/>
      <c r="AE542" s="304"/>
      <c r="AF542" s="304"/>
      <c r="AG542" s="304"/>
      <c r="AH542" s="304"/>
      <c r="AI542" s="304"/>
      <c r="AJ542" s="304"/>
      <c r="AK542" s="304"/>
      <c r="AL542" s="304"/>
      <c r="AM542" s="304"/>
      <c r="AN542" s="304"/>
      <c r="AO542" s="304"/>
      <c r="AP542" s="304"/>
      <c r="AQ542" s="304"/>
      <c r="AR542" s="304"/>
      <c r="AS542" s="304"/>
    </row>
    <row r="543" spans="2:45">
      <c r="B543" s="1223" t="s">
        <v>733</v>
      </c>
      <c r="C543" s="1224"/>
      <c r="D543" s="1224"/>
      <c r="E543" s="1224"/>
      <c r="F543" s="1225"/>
      <c r="G543" s="346"/>
      <c r="H543" s="384">
        <f>G543*H527</f>
        <v>0</v>
      </c>
      <c r="I543" s="346"/>
      <c r="J543" s="385">
        <f>I543*J527</f>
        <v>0</v>
      </c>
      <c r="L543" s="403"/>
      <c r="M543" s="403"/>
      <c r="N543" s="403"/>
      <c r="O543" s="403"/>
      <c r="P543" s="403"/>
      <c r="Q543" s="403"/>
      <c r="R543" s="403"/>
      <c r="S543" s="403"/>
      <c r="T543" s="403"/>
      <c r="U543" s="403"/>
      <c r="V543" s="403"/>
      <c r="W543" s="403"/>
      <c r="X543" s="403"/>
      <c r="Y543" s="403"/>
      <c r="Z543" s="367"/>
      <c r="AA543" s="304"/>
      <c r="AB543" s="304"/>
      <c r="AC543" s="304"/>
      <c r="AD543" s="304"/>
      <c r="AE543" s="304"/>
      <c r="AF543" s="304"/>
      <c r="AG543" s="304"/>
      <c r="AH543" s="304"/>
      <c r="AI543" s="304"/>
      <c r="AJ543" s="304"/>
      <c r="AK543" s="304"/>
      <c r="AL543" s="304"/>
      <c r="AM543" s="304"/>
      <c r="AN543" s="304"/>
      <c r="AO543" s="304"/>
      <c r="AP543" s="304"/>
      <c r="AQ543" s="304"/>
      <c r="AR543" s="304"/>
      <c r="AS543" s="304"/>
    </row>
    <row r="544" spans="2:45">
      <c r="B544" s="1223" t="s">
        <v>734</v>
      </c>
      <c r="C544" s="1224"/>
      <c r="D544" s="1224"/>
      <c r="E544" s="1224"/>
      <c r="F544" s="1225"/>
      <c r="G544" s="346"/>
      <c r="H544" s="384">
        <f>G544*H527</f>
        <v>0</v>
      </c>
      <c r="I544" s="346"/>
      <c r="J544" s="385">
        <f>I544*J527</f>
        <v>0</v>
      </c>
      <c r="L544" s="403"/>
      <c r="M544" s="403"/>
      <c r="N544" s="403"/>
      <c r="O544" s="403"/>
      <c r="P544" s="403"/>
      <c r="Q544" s="403"/>
      <c r="R544" s="403"/>
      <c r="S544" s="403"/>
      <c r="T544" s="403"/>
      <c r="U544" s="403"/>
      <c r="V544" s="403"/>
      <c r="W544" s="403"/>
      <c r="X544" s="403"/>
      <c r="Y544" s="403"/>
      <c r="Z544" s="367"/>
      <c r="AA544" s="304"/>
      <c r="AB544" s="304"/>
      <c r="AC544" s="304"/>
      <c r="AD544" s="304"/>
      <c r="AE544" s="304"/>
      <c r="AF544" s="304"/>
      <c r="AG544" s="304"/>
      <c r="AH544" s="304"/>
      <c r="AI544" s="304"/>
      <c r="AJ544" s="304"/>
      <c r="AK544" s="304"/>
      <c r="AL544" s="304"/>
      <c r="AM544" s="304"/>
      <c r="AN544" s="304"/>
      <c r="AO544" s="304"/>
      <c r="AP544" s="304"/>
      <c r="AQ544" s="304"/>
      <c r="AR544" s="304"/>
      <c r="AS544" s="304"/>
    </row>
    <row r="545" spans="1:45">
      <c r="B545" s="1172" t="s">
        <v>735</v>
      </c>
      <c r="C545" s="1173"/>
      <c r="D545" s="1173"/>
      <c r="E545" s="1173"/>
      <c r="F545" s="1173"/>
      <c r="G545" s="351"/>
      <c r="H545" s="397"/>
      <c r="I545" s="351"/>
      <c r="J545" s="398"/>
      <c r="L545" s="403"/>
      <c r="M545" s="403"/>
      <c r="N545" s="403"/>
      <c r="O545" s="403"/>
      <c r="P545" s="403"/>
      <c r="Q545" s="403"/>
      <c r="R545" s="403"/>
      <c r="S545" s="403"/>
      <c r="T545" s="403"/>
      <c r="U545" s="403"/>
      <c r="V545" s="403"/>
      <c r="W545" s="403"/>
      <c r="X545" s="403"/>
      <c r="Y545" s="403"/>
      <c r="Z545" s="367"/>
      <c r="AA545" s="304"/>
      <c r="AB545" s="304"/>
      <c r="AC545" s="304"/>
      <c r="AD545" s="304"/>
      <c r="AE545" s="304"/>
      <c r="AF545" s="304"/>
      <c r="AG545" s="304"/>
      <c r="AH545" s="304"/>
      <c r="AI545" s="304"/>
      <c r="AJ545" s="304"/>
      <c r="AK545" s="304"/>
      <c r="AL545" s="304"/>
      <c r="AM545" s="304"/>
      <c r="AN545" s="304"/>
      <c r="AO545" s="304"/>
      <c r="AP545" s="304"/>
      <c r="AQ545" s="304"/>
      <c r="AR545" s="304"/>
      <c r="AS545" s="304"/>
    </row>
    <row r="546" spans="1:45">
      <c r="B546" s="1226" t="s">
        <v>736</v>
      </c>
      <c r="C546" s="1227"/>
      <c r="D546" s="1227"/>
      <c r="E546" s="1227"/>
      <c r="F546" s="1228"/>
      <c r="G546" s="346"/>
      <c r="H546" s="384">
        <f>G546*H527</f>
        <v>0</v>
      </c>
      <c r="I546" s="346"/>
      <c r="J546" s="385">
        <f>I546*J527</f>
        <v>0</v>
      </c>
      <c r="L546" s="403"/>
      <c r="M546" s="403"/>
      <c r="N546" s="403"/>
      <c r="O546" s="403"/>
      <c r="P546" s="403"/>
      <c r="Q546" s="403"/>
      <c r="R546" s="403"/>
      <c r="S546" s="403"/>
      <c r="T546" s="403"/>
      <c r="U546" s="403"/>
      <c r="V546" s="403"/>
      <c r="W546" s="403"/>
      <c r="X546" s="403"/>
      <c r="Y546" s="403"/>
      <c r="Z546" s="367"/>
      <c r="AA546" s="304"/>
      <c r="AB546" s="304"/>
      <c r="AC546" s="304"/>
      <c r="AD546" s="304"/>
      <c r="AE546" s="304"/>
      <c r="AF546" s="304"/>
      <c r="AG546" s="304"/>
      <c r="AH546" s="304"/>
      <c r="AI546" s="304"/>
      <c r="AJ546" s="304"/>
      <c r="AK546" s="304"/>
      <c r="AL546" s="304"/>
      <c r="AM546" s="304"/>
      <c r="AN546" s="304"/>
      <c r="AO546" s="304"/>
      <c r="AP546" s="304"/>
      <c r="AQ546" s="304"/>
      <c r="AR546" s="304"/>
      <c r="AS546" s="304"/>
    </row>
    <row r="547" spans="1:45">
      <c r="B547" s="1229" t="s">
        <v>737</v>
      </c>
      <c r="C547" s="1230"/>
      <c r="D547" s="1230"/>
      <c r="E547" s="1230"/>
      <c r="F547" s="1230"/>
      <c r="G547" s="350"/>
      <c r="H547" s="351"/>
      <c r="I547" s="350"/>
      <c r="J547" s="352"/>
      <c r="L547" s="403"/>
      <c r="M547" s="403"/>
      <c r="N547" s="403"/>
      <c r="O547" s="403"/>
      <c r="P547" s="403"/>
      <c r="Q547" s="403"/>
      <c r="R547" s="403"/>
      <c r="S547" s="403"/>
      <c r="T547" s="403"/>
      <c r="U547" s="403"/>
      <c r="V547" s="403"/>
      <c r="W547" s="403"/>
      <c r="X547" s="403"/>
      <c r="Y547" s="403"/>
      <c r="Z547" s="367"/>
      <c r="AA547" s="304"/>
      <c r="AB547" s="304"/>
      <c r="AC547" s="304"/>
      <c r="AD547" s="304"/>
      <c r="AE547" s="304"/>
      <c r="AF547" s="304"/>
      <c r="AG547" s="304"/>
      <c r="AH547" s="304"/>
      <c r="AI547" s="304"/>
      <c r="AJ547" s="304"/>
      <c r="AK547" s="304"/>
      <c r="AL547" s="304"/>
      <c r="AM547" s="304"/>
      <c r="AN547" s="304"/>
      <c r="AO547" s="304"/>
      <c r="AP547" s="304"/>
      <c r="AQ547" s="304"/>
      <c r="AR547" s="304"/>
      <c r="AS547" s="304"/>
    </row>
    <row r="548" spans="1:45" ht="29.1" customHeight="1">
      <c r="B548" s="1231" t="s">
        <v>738</v>
      </c>
      <c r="C548" s="1232"/>
      <c r="D548" s="1232"/>
      <c r="E548" s="1232"/>
      <c r="F548" s="1233"/>
      <c r="G548" s="399"/>
      <c r="H548" s="359">
        <f>H527*G548*-1</f>
        <v>0</v>
      </c>
      <c r="I548" s="399"/>
      <c r="J548" s="400">
        <f>(J527*I548)*-1</f>
        <v>0</v>
      </c>
      <c r="L548" s="403"/>
      <c r="M548" s="403"/>
      <c r="N548" s="403"/>
      <c r="O548" s="403"/>
      <c r="P548" s="403"/>
      <c r="Q548" s="403"/>
      <c r="R548" s="403"/>
      <c r="S548" s="403"/>
      <c r="T548" s="403"/>
      <c r="U548" s="403"/>
      <c r="V548" s="403"/>
      <c r="W548" s="403"/>
      <c r="X548" s="403"/>
      <c r="Y548" s="403"/>
      <c r="Z548" s="367"/>
      <c r="AA548" s="304"/>
      <c r="AB548" s="304"/>
      <c r="AC548" s="304"/>
      <c r="AD548" s="304"/>
      <c r="AE548" s="304"/>
      <c r="AF548" s="304"/>
      <c r="AG548" s="304"/>
      <c r="AH548" s="304"/>
      <c r="AI548" s="304"/>
      <c r="AJ548" s="304"/>
      <c r="AK548" s="304"/>
      <c r="AL548" s="304"/>
      <c r="AM548" s="304"/>
      <c r="AN548" s="304"/>
      <c r="AO548" s="304"/>
      <c r="AP548" s="304"/>
      <c r="AQ548" s="304"/>
      <c r="AR548" s="304"/>
      <c r="AS548" s="304"/>
    </row>
    <row r="549" spans="1:45" ht="29.1" customHeight="1">
      <c r="B549" s="1234" t="s">
        <v>739</v>
      </c>
      <c r="C549" s="1235"/>
      <c r="D549" s="1235"/>
      <c r="E549" s="1235"/>
      <c r="F549" s="1236"/>
      <c r="G549" s="346"/>
      <c r="H549" s="401">
        <f>(H527*G549)*-1</f>
        <v>0</v>
      </c>
      <c r="I549" s="346"/>
      <c r="J549" s="402">
        <f>(J527*I549)*-1</f>
        <v>0</v>
      </c>
      <c r="L549" s="403"/>
      <c r="M549" s="403"/>
      <c r="N549" s="403"/>
      <c r="O549" s="403"/>
      <c r="P549" s="403"/>
      <c r="Q549" s="403"/>
      <c r="R549" s="403"/>
      <c r="S549" s="403"/>
      <c r="T549" s="403"/>
      <c r="U549" s="403"/>
      <c r="V549" s="403"/>
      <c r="W549" s="403"/>
      <c r="X549" s="403"/>
      <c r="Y549" s="403"/>
      <c r="Z549" s="367"/>
      <c r="AA549" s="304"/>
      <c r="AB549" s="304"/>
      <c r="AC549" s="304"/>
      <c r="AD549" s="304"/>
      <c r="AE549" s="304"/>
      <c r="AF549" s="304"/>
      <c r="AG549" s="304"/>
      <c r="AH549" s="304"/>
      <c r="AI549" s="304"/>
      <c r="AJ549" s="304"/>
      <c r="AK549" s="304"/>
      <c r="AL549" s="304"/>
      <c r="AM549" s="304"/>
      <c r="AN549" s="304"/>
      <c r="AO549" s="304"/>
      <c r="AP549" s="304"/>
      <c r="AQ549" s="304"/>
      <c r="AR549" s="304"/>
      <c r="AS549" s="304"/>
    </row>
    <row r="550" spans="1:45">
      <c r="B550" s="1211" t="s">
        <v>740</v>
      </c>
      <c r="C550" s="1212"/>
      <c r="D550" s="1212"/>
      <c r="E550" s="1212"/>
      <c r="F550" s="1213"/>
      <c r="G550" s="1214">
        <f>SUM(H531:H549)</f>
        <v>0</v>
      </c>
      <c r="H550" s="1215"/>
      <c r="I550" s="1214">
        <f>SUM(J533:J549)+J531</f>
        <v>0</v>
      </c>
      <c r="J550" s="1216"/>
      <c r="L550" s="403"/>
      <c r="M550" s="403"/>
      <c r="N550" s="403"/>
      <c r="O550" s="403"/>
      <c r="P550" s="403"/>
      <c r="Q550" s="403"/>
      <c r="R550" s="403"/>
      <c r="S550" s="403"/>
      <c r="T550" s="403"/>
      <c r="U550" s="403"/>
      <c r="V550" s="403"/>
      <c r="W550" s="403"/>
      <c r="X550" s="403"/>
      <c r="Y550" s="403"/>
      <c r="Z550" s="367"/>
      <c r="AA550" s="304"/>
      <c r="AB550" s="304"/>
      <c r="AC550" s="304"/>
      <c r="AD550" s="304"/>
      <c r="AE550" s="304"/>
      <c r="AF550" s="304"/>
      <c r="AG550" s="304"/>
      <c r="AH550" s="304"/>
      <c r="AI550" s="304"/>
      <c r="AJ550" s="304"/>
      <c r="AK550" s="304"/>
      <c r="AL550" s="304"/>
      <c r="AM550" s="304"/>
      <c r="AN550" s="304"/>
      <c r="AO550" s="304"/>
      <c r="AP550" s="304"/>
      <c r="AQ550" s="304"/>
      <c r="AR550" s="304"/>
      <c r="AS550" s="304"/>
    </row>
    <row r="551" spans="1:45" ht="18.75">
      <c r="B551" s="1217" t="s">
        <v>696</v>
      </c>
      <c r="C551" s="1218"/>
      <c r="D551" s="1218"/>
      <c r="E551" s="1218"/>
      <c r="F551" s="1219"/>
      <c r="G551" s="1161" t="str">
        <f>IF(OR(AC524=0, I550=0), "12 Month Average", "24 Month Average")</f>
        <v>12 Month Average</v>
      </c>
      <c r="H551" s="1162"/>
      <c r="I551" s="1162"/>
      <c r="J551" s="1163"/>
      <c r="L551" s="403"/>
      <c r="M551" s="403"/>
      <c r="N551" s="403"/>
      <c r="O551" s="403"/>
      <c r="P551" s="403"/>
      <c r="Q551" s="403"/>
      <c r="R551" s="403"/>
      <c r="S551" s="403"/>
      <c r="T551" s="403"/>
      <c r="U551" s="403"/>
      <c r="V551" s="403"/>
      <c r="W551" s="403"/>
      <c r="X551" s="403"/>
      <c r="Y551" s="403"/>
      <c r="Z551" s="367"/>
      <c r="AA551" s="304"/>
      <c r="AB551" s="304"/>
      <c r="AC551" s="304"/>
      <c r="AD551" s="304"/>
      <c r="AE551" s="304"/>
      <c r="AF551" s="304"/>
      <c r="AG551" s="304"/>
      <c r="AH551" s="304"/>
      <c r="AI551" s="304"/>
      <c r="AJ551" s="304"/>
      <c r="AK551" s="304"/>
      <c r="AL551" s="304"/>
      <c r="AM551" s="304"/>
      <c r="AN551" s="304"/>
      <c r="AO551" s="304"/>
      <c r="AP551" s="304"/>
      <c r="AQ551" s="304"/>
      <c r="AR551" s="304"/>
      <c r="AS551" s="304"/>
    </row>
    <row r="552" spans="1:45" ht="34.5" thickBot="1">
      <c r="B552" s="1220" t="s">
        <v>697</v>
      </c>
      <c r="C552" s="1221"/>
      <c r="D552" s="1221"/>
      <c r="E552" s="1221"/>
      <c r="F552" s="1222"/>
      <c r="G552" s="1167">
        <f>IF(OR(AC524=0, I550=0), AC526, AC527)</f>
        <v>0</v>
      </c>
      <c r="H552" s="1168"/>
      <c r="I552" s="1168"/>
      <c r="J552" s="1169"/>
      <c r="L552" s="403"/>
      <c r="M552" s="403"/>
      <c r="N552" s="403"/>
      <c r="O552" s="403"/>
      <c r="P552" s="403"/>
      <c r="Q552" s="403"/>
      <c r="R552" s="403"/>
      <c r="S552" s="403"/>
      <c r="T552" s="403"/>
      <c r="U552" s="403"/>
      <c r="V552" s="403"/>
      <c r="W552" s="403"/>
      <c r="X552" s="403"/>
      <c r="Y552" s="403"/>
      <c r="Z552" s="367"/>
      <c r="AA552" s="304"/>
      <c r="AB552" s="304"/>
      <c r="AC552" s="304"/>
      <c r="AD552" s="304"/>
    </row>
    <row r="553" spans="1:45" ht="9" customHeight="1" thickBot="1">
      <c r="H553" s="330"/>
      <c r="I553" s="330"/>
      <c r="L553" s="403"/>
      <c r="M553" s="403"/>
      <c r="N553" s="403"/>
      <c r="O553" s="403"/>
      <c r="P553" s="403"/>
      <c r="Q553" s="403"/>
      <c r="R553" s="403"/>
      <c r="S553" s="403"/>
      <c r="T553" s="403"/>
      <c r="U553" s="403"/>
      <c r="V553" s="403"/>
      <c r="W553" s="403"/>
      <c r="X553" s="403"/>
      <c r="Y553" s="403"/>
      <c r="Z553" s="367"/>
      <c r="AA553" s="304"/>
      <c r="AB553" s="304"/>
      <c r="AC553" s="304"/>
      <c r="AD553" s="304"/>
    </row>
    <row r="554" spans="1:45" ht="105" customHeight="1" thickBot="1">
      <c r="B554" s="1208" t="s">
        <v>645</v>
      </c>
      <c r="C554" s="1209"/>
      <c r="D554" s="1209"/>
      <c r="E554" s="1209"/>
      <c r="F554" s="1209"/>
      <c r="G554" s="1209"/>
      <c r="H554" s="1209"/>
      <c r="I554" s="1209"/>
      <c r="J554" s="1210"/>
      <c r="L554" s="367"/>
      <c r="M554" s="367"/>
      <c r="N554" s="367"/>
      <c r="O554" s="367"/>
      <c r="P554" s="367"/>
      <c r="Q554" s="367"/>
      <c r="R554" s="367"/>
      <c r="S554" s="367"/>
      <c r="T554" s="367"/>
      <c r="U554" s="367"/>
      <c r="V554" s="367"/>
      <c r="W554" s="367"/>
      <c r="X554" s="367"/>
      <c r="Y554" s="367"/>
      <c r="Z554" s="367"/>
      <c r="AA554" s="304"/>
      <c r="AB554" s="304"/>
      <c r="AC554" s="304"/>
      <c r="AD554" s="304"/>
    </row>
    <row r="555" spans="1:45">
      <c r="A555" s="304"/>
      <c r="B555" s="304"/>
      <c r="C555" s="304"/>
      <c r="D555" s="304"/>
      <c r="E555" s="304"/>
      <c r="F555" s="304"/>
      <c r="G555" s="304"/>
      <c r="H555" s="304"/>
      <c r="I555" s="304"/>
      <c r="J555" s="304"/>
      <c r="K555" s="304"/>
      <c r="L555" s="367"/>
      <c r="M555" s="367"/>
      <c r="N555" s="367"/>
      <c r="O555" s="367"/>
      <c r="P555" s="367"/>
      <c r="Q555" s="367"/>
      <c r="R555" s="367"/>
      <c r="S555" s="367"/>
      <c r="T555" s="367"/>
      <c r="U555" s="367"/>
      <c r="V555" s="367"/>
      <c r="W555" s="367"/>
      <c r="X555" s="367"/>
      <c r="Y555" s="367"/>
      <c r="Z555" s="367"/>
      <c r="AA555" s="304"/>
      <c r="AB555" s="304"/>
      <c r="AC555" s="304"/>
      <c r="AD555" s="304"/>
    </row>
    <row r="556" spans="1:45" ht="13.5" customHeight="1" thickBot="1">
      <c r="L556" s="304"/>
      <c r="M556" s="304"/>
      <c r="N556" s="304"/>
      <c r="O556" s="304"/>
      <c r="P556" s="304"/>
      <c r="Q556" s="304"/>
      <c r="R556" s="304"/>
      <c r="S556" s="304"/>
      <c r="T556" s="304"/>
      <c r="U556" s="304"/>
    </row>
    <row r="557" spans="1:45" ht="69" customHeight="1">
      <c r="B557" s="1187" t="s">
        <v>708</v>
      </c>
      <c r="C557" s="1188"/>
      <c r="D557" s="1188"/>
      <c r="E557" s="1188"/>
      <c r="F557" s="1188"/>
      <c r="G557" s="1188"/>
      <c r="H557" s="1188"/>
      <c r="I557" s="1188"/>
      <c r="J557" s="331" t="str">
        <f>'[3]Reference Sheet'!$B$2</f>
        <v>Rev. 4.12.2016</v>
      </c>
      <c r="L557" s="403"/>
      <c r="M557" s="403"/>
      <c r="N557" s="403"/>
      <c r="O557" s="403"/>
      <c r="P557" s="403"/>
      <c r="Q557" s="403"/>
      <c r="R557" s="403"/>
      <c r="S557" s="403"/>
      <c r="T557" s="403"/>
      <c r="U557" s="403"/>
      <c r="V557" s="403"/>
      <c r="W557" s="403"/>
      <c r="X557" s="403"/>
      <c r="Y557" s="403"/>
      <c r="Z557" s="367"/>
      <c r="AA557" s="304"/>
      <c r="AB557" s="304"/>
      <c r="AC557" s="304"/>
      <c r="AD557" s="304"/>
      <c r="AE557" s="304"/>
      <c r="AF557" s="304"/>
      <c r="AG557" s="304"/>
      <c r="AH557" s="304"/>
      <c r="AI557" s="304"/>
      <c r="AJ557" s="304"/>
      <c r="AK557" s="304"/>
      <c r="AL557" s="304"/>
      <c r="AM557" s="304"/>
      <c r="AN557" s="304"/>
      <c r="AO557" s="304"/>
      <c r="AP557" s="304"/>
      <c r="AQ557" s="304"/>
      <c r="AR557" s="304"/>
      <c r="AS557" s="304"/>
    </row>
    <row r="558" spans="1:45" ht="3.75" customHeight="1">
      <c r="B558" s="332"/>
      <c r="C558" s="333"/>
      <c r="D558" s="333"/>
      <c r="E558" s="333"/>
      <c r="F558" s="333"/>
      <c r="G558" s="333"/>
      <c r="H558" s="333"/>
      <c r="I558" s="333"/>
      <c r="J558" s="334"/>
      <c r="L558" s="403"/>
      <c r="M558" s="403"/>
      <c r="N558" s="403"/>
      <c r="O558" s="403"/>
      <c r="P558" s="403"/>
      <c r="Q558" s="403"/>
      <c r="R558" s="403"/>
      <c r="S558" s="403"/>
      <c r="T558" s="403"/>
      <c r="U558" s="403"/>
      <c r="V558" s="403"/>
      <c r="W558" s="403"/>
      <c r="X558" s="403"/>
      <c r="Y558" s="403"/>
      <c r="Z558" s="367"/>
      <c r="AA558" s="304"/>
      <c r="AB558" s="304"/>
      <c r="AC558" s="304"/>
      <c r="AD558" s="304"/>
      <c r="AE558" s="304"/>
      <c r="AF558" s="304"/>
      <c r="AG558" s="304"/>
      <c r="AH558" s="304"/>
      <c r="AI558" s="304"/>
      <c r="AJ558" s="304"/>
      <c r="AK558" s="304"/>
      <c r="AL558" s="304"/>
      <c r="AM558" s="304"/>
      <c r="AN558" s="304"/>
      <c r="AO558" s="304"/>
      <c r="AP558" s="304"/>
      <c r="AQ558" s="304"/>
      <c r="AR558" s="304"/>
      <c r="AS558" s="304"/>
    </row>
    <row r="559" spans="1:45" ht="18" customHeight="1" thickBot="1">
      <c r="B559" s="332"/>
      <c r="C559" s="368" t="s">
        <v>710</v>
      </c>
      <c r="D559" s="1189"/>
      <c r="E559" s="1190"/>
      <c r="F559" s="1190"/>
      <c r="G559" s="1190"/>
      <c r="H559" s="333"/>
      <c r="I559" s="333"/>
      <c r="J559" s="334"/>
      <c r="L559" s="403"/>
      <c r="M559" s="403"/>
      <c r="N559" s="403"/>
      <c r="O559" s="403"/>
      <c r="P559" s="403"/>
      <c r="Q559" s="403"/>
      <c r="R559" s="403"/>
      <c r="S559" s="403"/>
      <c r="T559" s="403"/>
      <c r="U559" s="403"/>
      <c r="V559" s="403"/>
      <c r="W559" s="403"/>
      <c r="X559" s="403"/>
      <c r="Y559" s="403"/>
      <c r="Z559" s="367"/>
      <c r="AA559" s="304"/>
      <c r="AB559" s="304" t="s">
        <v>680</v>
      </c>
      <c r="AC559" s="304">
        <f>IF(AND(J564=0, J568=0, J570=0, J579=0, J580=0, J581=0, J583=0, J585=0, J586=0, I587=0), 0, 1)</f>
        <v>1</v>
      </c>
      <c r="AD559" s="304"/>
      <c r="AE559" s="304"/>
      <c r="AF559" s="366" t="s">
        <v>596</v>
      </c>
      <c r="AG559" s="304"/>
      <c r="AH559" s="304"/>
      <c r="AI559" s="304"/>
      <c r="AJ559" s="304"/>
      <c r="AK559" s="304"/>
      <c r="AL559" s="304"/>
      <c r="AM559" s="304"/>
      <c r="AN559" s="304"/>
      <c r="AO559" s="304"/>
      <c r="AP559" s="304"/>
      <c r="AQ559" s="304"/>
      <c r="AR559" s="304"/>
      <c r="AS559" s="304"/>
    </row>
    <row r="560" spans="1:45" ht="18" customHeight="1" thickBot="1">
      <c r="B560" s="332"/>
      <c r="C560" s="368" t="s">
        <v>711</v>
      </c>
      <c r="D560" s="1277"/>
      <c r="E560" s="1278"/>
      <c r="F560" s="1278"/>
      <c r="G560" s="1278"/>
      <c r="H560" s="368" t="s">
        <v>712</v>
      </c>
      <c r="I560" s="1189"/>
      <c r="J560" s="1279"/>
      <c r="L560" s="403"/>
      <c r="M560" s="403"/>
      <c r="N560" s="403"/>
      <c r="O560" s="403"/>
      <c r="P560" s="403"/>
      <c r="Q560" s="403"/>
      <c r="R560" s="403"/>
      <c r="S560" s="403"/>
      <c r="T560" s="403"/>
      <c r="U560" s="403"/>
      <c r="V560" s="403"/>
      <c r="W560" s="403"/>
      <c r="X560" s="403"/>
      <c r="Y560" s="403"/>
      <c r="Z560" s="367"/>
      <c r="AA560" s="304"/>
      <c r="AB560" s="304" t="s">
        <v>682</v>
      </c>
      <c r="AC560" s="304">
        <f>IF(AND(G587&lt;=I587, I587&lt;&gt;0), 0, 1)</f>
        <v>1</v>
      </c>
      <c r="AD560" s="304"/>
      <c r="AE560" s="304"/>
      <c r="AF560" s="366" t="s">
        <v>683</v>
      </c>
      <c r="AG560" s="304"/>
      <c r="AH560" s="304"/>
      <c r="AI560" s="304"/>
      <c r="AJ560" s="304"/>
      <c r="AK560" s="304"/>
      <c r="AL560" s="304"/>
      <c r="AM560" s="304"/>
      <c r="AN560" s="304"/>
      <c r="AO560" s="304"/>
      <c r="AP560" s="304"/>
      <c r="AQ560" s="304"/>
      <c r="AR560" s="304"/>
      <c r="AS560" s="304"/>
    </row>
    <row r="561" spans="2:45" ht="18" customHeight="1" thickBot="1">
      <c r="B561" s="1176" t="s">
        <v>671</v>
      </c>
      <c r="C561" s="1177"/>
      <c r="D561" s="1280"/>
      <c r="E561" s="1281"/>
      <c r="F561" s="1281"/>
      <c r="G561" s="1281"/>
      <c r="H561" s="336" t="s">
        <v>673</v>
      </c>
      <c r="I561" s="369"/>
      <c r="J561" s="370"/>
      <c r="L561" s="403"/>
      <c r="M561" s="403"/>
      <c r="N561" s="403"/>
      <c r="O561" s="403"/>
      <c r="P561" s="403"/>
      <c r="Q561" s="403"/>
      <c r="R561" s="403"/>
      <c r="S561" s="403"/>
      <c r="T561" s="403"/>
      <c r="U561" s="403"/>
      <c r="V561" s="403"/>
      <c r="W561" s="403"/>
      <c r="X561" s="403"/>
      <c r="Y561" s="403"/>
      <c r="Z561" s="367"/>
      <c r="AA561" s="304"/>
      <c r="AB561" s="304" t="s">
        <v>685</v>
      </c>
      <c r="AC561" s="304">
        <f>IF(AND(AC560=0, AC559=1), 0, 1)</f>
        <v>1</v>
      </c>
      <c r="AD561" s="304"/>
      <c r="AE561" s="304"/>
      <c r="AF561" s="366" t="s">
        <v>599</v>
      </c>
      <c r="AG561" s="304"/>
      <c r="AH561" s="304"/>
      <c r="AI561" s="304"/>
      <c r="AJ561" s="304"/>
      <c r="AK561" s="304"/>
      <c r="AL561" s="304"/>
      <c r="AM561" s="304"/>
      <c r="AN561" s="304"/>
      <c r="AO561" s="304"/>
      <c r="AP561" s="304"/>
      <c r="AQ561" s="304"/>
      <c r="AR561" s="304"/>
      <c r="AS561" s="304"/>
    </row>
    <row r="562" spans="2:45" ht="18" customHeight="1" thickBot="1">
      <c r="B562" s="1176" t="s">
        <v>674</v>
      </c>
      <c r="C562" s="1177"/>
      <c r="D562" s="1262"/>
      <c r="E562" s="1263"/>
      <c r="F562" s="1263"/>
      <c r="G562" s="1263"/>
      <c r="H562" s="1263"/>
      <c r="I562" s="1263"/>
      <c r="J562" s="1264"/>
      <c r="L562" s="403"/>
      <c r="M562" s="403"/>
      <c r="N562" s="403"/>
      <c r="O562" s="403"/>
      <c r="P562" s="403"/>
      <c r="Q562" s="403"/>
      <c r="R562" s="403"/>
      <c r="S562" s="403"/>
      <c r="T562" s="403"/>
      <c r="U562" s="403"/>
      <c r="V562" s="403"/>
      <c r="W562" s="403"/>
      <c r="X562" s="403"/>
      <c r="Y562" s="403"/>
      <c r="Z562" s="367"/>
      <c r="AA562" s="304"/>
      <c r="AB562" s="304"/>
      <c r="AC562" s="304"/>
      <c r="AD562" s="304"/>
      <c r="AE562" s="304"/>
      <c r="AF562" s="366" t="s">
        <v>603</v>
      </c>
      <c r="AG562" s="304"/>
      <c r="AH562" s="304"/>
      <c r="AI562" s="304"/>
      <c r="AJ562" s="304"/>
      <c r="AK562" s="304"/>
      <c r="AL562" s="304"/>
      <c r="AM562" s="304"/>
      <c r="AN562" s="304"/>
      <c r="AO562" s="304"/>
      <c r="AP562" s="304"/>
      <c r="AQ562" s="304"/>
      <c r="AR562" s="304"/>
      <c r="AS562" s="304"/>
    </row>
    <row r="563" spans="2:45">
      <c r="B563" s="1265"/>
      <c r="C563" s="1266"/>
      <c r="D563" s="1266"/>
      <c r="E563" s="1266"/>
      <c r="F563" s="1267"/>
      <c r="G563" s="371" t="s">
        <v>713</v>
      </c>
      <c r="H563" s="372" t="s">
        <v>676</v>
      </c>
      <c r="I563" s="342"/>
      <c r="J563" s="373" t="s">
        <v>677</v>
      </c>
      <c r="L563" s="403"/>
      <c r="M563" s="403"/>
      <c r="N563" s="403"/>
      <c r="O563" s="403"/>
      <c r="P563" s="403"/>
      <c r="Q563" s="403"/>
      <c r="R563" s="403"/>
      <c r="S563" s="403"/>
      <c r="T563" s="403"/>
      <c r="U563" s="403"/>
      <c r="V563" s="403"/>
      <c r="W563" s="403"/>
      <c r="X563" s="403"/>
      <c r="Y563" s="403"/>
      <c r="Z563" s="367"/>
      <c r="AA563" s="304"/>
      <c r="AB563" s="304" t="s">
        <v>689</v>
      </c>
      <c r="AC563" s="374">
        <f>G587/12</f>
        <v>0</v>
      </c>
      <c r="AD563" s="304"/>
      <c r="AE563" s="304"/>
      <c r="AF563" s="366" t="s">
        <v>605</v>
      </c>
      <c r="AG563" s="304"/>
      <c r="AH563" s="304"/>
      <c r="AI563" s="304"/>
      <c r="AJ563" s="304"/>
      <c r="AK563" s="304"/>
      <c r="AL563" s="304"/>
      <c r="AM563" s="304"/>
      <c r="AN563" s="304"/>
      <c r="AO563" s="304"/>
      <c r="AP563" s="304"/>
      <c r="AQ563" s="304"/>
      <c r="AR563" s="304"/>
      <c r="AS563" s="304"/>
    </row>
    <row r="564" spans="2:45">
      <c r="B564" s="1268"/>
      <c r="C564" s="1266"/>
      <c r="D564" s="1266"/>
      <c r="E564" s="1266"/>
      <c r="F564" s="1267"/>
      <c r="G564" s="375" t="s">
        <v>714</v>
      </c>
      <c r="H564" s="376"/>
      <c r="I564" s="1272"/>
      <c r="J564" s="378"/>
      <c r="L564" s="403"/>
      <c r="M564" s="403"/>
      <c r="N564" s="403"/>
      <c r="O564" s="403"/>
      <c r="P564" s="403"/>
      <c r="Q564" s="403"/>
      <c r="R564" s="403"/>
      <c r="S564" s="403"/>
      <c r="T564" s="403"/>
      <c r="U564" s="403"/>
      <c r="V564" s="403"/>
      <c r="W564" s="403"/>
      <c r="X564" s="403"/>
      <c r="Y564" s="403"/>
      <c r="Z564" s="367"/>
      <c r="AA564" s="304"/>
      <c r="AB564" s="304" t="s">
        <v>691</v>
      </c>
      <c r="AC564" s="374">
        <f>(G587+I587)/24</f>
        <v>0</v>
      </c>
      <c r="AD564" s="304"/>
      <c r="AE564" s="304"/>
      <c r="AF564" s="304"/>
      <c r="AG564" s="304"/>
      <c r="AH564" s="304"/>
      <c r="AI564" s="304"/>
      <c r="AJ564" s="304"/>
      <c r="AK564" s="304"/>
      <c r="AL564" s="304"/>
      <c r="AM564" s="304"/>
      <c r="AN564" s="304"/>
      <c r="AO564" s="304"/>
      <c r="AP564" s="304"/>
      <c r="AQ564" s="304"/>
      <c r="AR564" s="304"/>
      <c r="AS564" s="304"/>
    </row>
    <row r="565" spans="2:45">
      <c r="B565" s="1268"/>
      <c r="C565" s="1266"/>
      <c r="D565" s="1266"/>
      <c r="E565" s="1266"/>
      <c r="F565" s="1267"/>
      <c r="G565" s="379" t="s">
        <v>715</v>
      </c>
      <c r="H565" s="380"/>
      <c r="I565" s="1272"/>
      <c r="J565" s="378"/>
      <c r="L565" s="403"/>
      <c r="M565" s="403"/>
      <c r="N565" s="403"/>
      <c r="O565" s="403"/>
      <c r="P565" s="403"/>
      <c r="Q565" s="403"/>
      <c r="R565" s="403"/>
      <c r="S565" s="403"/>
      <c r="T565" s="403"/>
      <c r="U565" s="403"/>
      <c r="V565" s="403"/>
      <c r="W565" s="403"/>
      <c r="X565" s="403"/>
      <c r="Y565" s="403"/>
      <c r="Z565" s="367"/>
      <c r="AA565" s="304"/>
      <c r="AB565" s="304"/>
      <c r="AC565" s="304"/>
      <c r="AD565" s="304"/>
      <c r="AE565" s="304"/>
      <c r="AF565" s="304"/>
      <c r="AG565" s="304"/>
      <c r="AH565" s="304"/>
      <c r="AI565" s="304"/>
      <c r="AJ565" s="304"/>
      <c r="AK565" s="304"/>
      <c r="AL565" s="304"/>
      <c r="AM565" s="304"/>
      <c r="AN565" s="304"/>
      <c r="AO565" s="304"/>
      <c r="AP565" s="304"/>
      <c r="AQ565" s="304"/>
      <c r="AR565" s="304"/>
      <c r="AS565" s="304"/>
    </row>
    <row r="566" spans="2:45" ht="15.75" thickBot="1">
      <c r="B566" s="1269"/>
      <c r="C566" s="1270"/>
      <c r="D566" s="1270"/>
      <c r="E566" s="1270"/>
      <c r="F566" s="1271"/>
      <c r="G566" s="379" t="s">
        <v>716</v>
      </c>
      <c r="H566" s="376"/>
      <c r="I566" s="1272"/>
      <c r="J566" s="378"/>
      <c r="L566" s="403"/>
      <c r="M566" s="403"/>
      <c r="N566" s="403"/>
      <c r="O566" s="403"/>
      <c r="P566" s="403"/>
      <c r="Q566" s="403"/>
      <c r="R566" s="403"/>
      <c r="S566" s="403"/>
      <c r="T566" s="403"/>
      <c r="U566" s="403"/>
      <c r="V566" s="403"/>
      <c r="W566" s="403"/>
      <c r="X566" s="403"/>
      <c r="Y566" s="403"/>
      <c r="Z566" s="367"/>
      <c r="AA566" s="304"/>
      <c r="AB566" s="304" t="s">
        <v>717</v>
      </c>
      <c r="AC566" s="304" t="str">
        <f>IF(OR(H564=0, H564&gt;100%), "Year End Profit %", (G570+G571+G572))</f>
        <v>Year End Profit %</v>
      </c>
      <c r="AD566" s="304"/>
      <c r="AE566" s="304"/>
      <c r="AF566" s="304"/>
      <c r="AG566" s="304"/>
      <c r="AH566" s="304"/>
      <c r="AI566" s="304"/>
      <c r="AJ566" s="304"/>
      <c r="AK566" s="304"/>
      <c r="AL566" s="304"/>
      <c r="AM566" s="304"/>
      <c r="AN566" s="304"/>
      <c r="AO566" s="304"/>
      <c r="AP566" s="304"/>
      <c r="AQ566" s="304"/>
      <c r="AR566" s="304"/>
      <c r="AS566" s="304"/>
    </row>
    <row r="567" spans="2:45" ht="18.75">
      <c r="B567" s="1229" t="s">
        <v>718</v>
      </c>
      <c r="C567" s="1273"/>
      <c r="D567" s="1273"/>
      <c r="E567" s="1273"/>
      <c r="F567" s="1273"/>
      <c r="G567" s="377" t="s">
        <v>719</v>
      </c>
      <c r="H567" s="381"/>
      <c r="I567" s="377" t="s">
        <v>719</v>
      </c>
      <c r="J567" s="382"/>
      <c r="L567" s="403"/>
      <c r="M567" s="403"/>
      <c r="N567" s="403"/>
      <c r="O567" s="403"/>
      <c r="P567" s="403"/>
      <c r="Q567" s="403"/>
      <c r="R567" s="403"/>
      <c r="S567" s="403"/>
      <c r="T567" s="403"/>
      <c r="U567" s="403"/>
      <c r="V567" s="403"/>
      <c r="W567" s="403"/>
      <c r="X567" s="403"/>
      <c r="Y567" s="403"/>
      <c r="Z567" s="367"/>
      <c r="AA567" s="304"/>
      <c r="AB567" s="304" t="s">
        <v>720</v>
      </c>
      <c r="AC567" s="304" t="str">
        <f>IF(OR(J564&gt;100%, J564=0), "Year End Profit %", (I570+I571+I572))</f>
        <v>Year End Profit %</v>
      </c>
      <c r="AD567" s="383"/>
      <c r="AE567" s="304"/>
      <c r="AF567" s="304"/>
      <c r="AG567" s="304"/>
      <c r="AH567" s="304"/>
      <c r="AI567" s="304"/>
      <c r="AJ567" s="304"/>
      <c r="AK567" s="304"/>
      <c r="AL567" s="304"/>
      <c r="AM567" s="304"/>
      <c r="AN567" s="304"/>
      <c r="AO567" s="304"/>
      <c r="AP567" s="304"/>
      <c r="AQ567" s="304"/>
      <c r="AR567" s="304"/>
      <c r="AS567" s="304"/>
    </row>
    <row r="568" spans="2:45">
      <c r="B568" s="1274" t="s">
        <v>721</v>
      </c>
      <c r="C568" s="1275"/>
      <c r="D568" s="1275"/>
      <c r="E568" s="1275"/>
      <c r="F568" s="1276"/>
      <c r="G568" s="346"/>
      <c r="H568" s="384">
        <f>G568</f>
        <v>0</v>
      </c>
      <c r="I568" s="364"/>
      <c r="J568" s="385">
        <f>I568</f>
        <v>0</v>
      </c>
      <c r="L568" s="403"/>
      <c r="M568" s="403"/>
      <c r="N568" s="403"/>
      <c r="O568" s="403"/>
      <c r="P568" s="403"/>
      <c r="Q568" s="403"/>
      <c r="R568" s="403"/>
      <c r="S568" s="403"/>
      <c r="T568" s="403"/>
      <c r="U568" s="403"/>
      <c r="V568" s="403"/>
      <c r="W568" s="403"/>
      <c r="X568" s="403"/>
      <c r="Y568" s="403"/>
      <c r="Z568" s="367"/>
      <c r="AA568" s="304"/>
      <c r="AB568" s="304"/>
      <c r="AC568" s="304"/>
      <c r="AD568" s="304"/>
      <c r="AE568" s="304"/>
      <c r="AF568" s="304"/>
      <c r="AG568" s="304"/>
      <c r="AH568" s="304"/>
      <c r="AI568" s="304"/>
      <c r="AJ568" s="304"/>
      <c r="AK568" s="304"/>
      <c r="AL568" s="304"/>
      <c r="AM568" s="304"/>
      <c r="AN568" s="304"/>
      <c r="AO568" s="304"/>
      <c r="AP568" s="304"/>
      <c r="AQ568" s="304"/>
      <c r="AR568" s="304"/>
      <c r="AS568" s="304"/>
    </row>
    <row r="569" spans="2:45">
      <c r="B569" s="1246" t="s">
        <v>722</v>
      </c>
      <c r="C569" s="1247"/>
      <c r="D569" s="1247"/>
      <c r="E569" s="1247"/>
      <c r="F569" s="1247"/>
      <c r="G569" s="377"/>
      <c r="H569" s="381"/>
      <c r="I569" s="386"/>
      <c r="J569" s="382"/>
      <c r="L569" s="403"/>
      <c r="M569" s="403"/>
      <c r="N569" s="403"/>
      <c r="O569" s="403"/>
      <c r="P569" s="403"/>
      <c r="Q569" s="403"/>
      <c r="R569" s="403"/>
      <c r="S569" s="403"/>
      <c r="T569" s="403"/>
      <c r="U569" s="403"/>
      <c r="V569" s="403"/>
      <c r="W569" s="403"/>
      <c r="X569" s="403"/>
      <c r="Y569" s="403"/>
      <c r="Z569" s="367"/>
      <c r="AA569" s="304"/>
      <c r="AB569" s="304"/>
      <c r="AC569" s="304"/>
      <c r="AD569" s="304"/>
      <c r="AE569" s="304"/>
      <c r="AF569" s="304"/>
      <c r="AG569" s="304"/>
      <c r="AH569" s="304"/>
      <c r="AI569" s="304"/>
      <c r="AJ569" s="304"/>
      <c r="AK569" s="304"/>
      <c r="AL569" s="304"/>
      <c r="AM569" s="304"/>
      <c r="AN569" s="304"/>
      <c r="AO569" s="304"/>
      <c r="AP569" s="304"/>
      <c r="AQ569" s="304"/>
      <c r="AR569" s="304"/>
      <c r="AS569" s="304"/>
    </row>
    <row r="570" spans="2:45">
      <c r="B570" s="1248" t="s">
        <v>723</v>
      </c>
      <c r="C570" s="1249"/>
      <c r="D570" s="1249"/>
      <c r="E570" s="1249"/>
      <c r="F570" s="1250"/>
      <c r="G570" s="346"/>
      <c r="H570" s="387" t="str">
        <f>AC566</f>
        <v>Year End Profit %</v>
      </c>
      <c r="I570" s="346"/>
      <c r="J570" s="388" t="str">
        <f>AC567</f>
        <v>Year End Profit %</v>
      </c>
      <c r="L570" s="403"/>
      <c r="M570" s="403"/>
      <c r="N570" s="403"/>
      <c r="O570" s="403"/>
      <c r="P570" s="403"/>
      <c r="Q570" s="403"/>
      <c r="R570" s="403"/>
      <c r="S570" s="403"/>
      <c r="T570" s="403"/>
      <c r="U570" s="403"/>
      <c r="V570" s="403"/>
      <c r="W570" s="403"/>
      <c r="X570" s="403"/>
      <c r="Y570" s="403"/>
      <c r="Z570" s="367"/>
      <c r="AA570" s="304"/>
      <c r="AB570" s="304"/>
      <c r="AC570" s="304"/>
      <c r="AD570" s="304"/>
      <c r="AE570" s="304"/>
      <c r="AF570" s="304"/>
      <c r="AG570" s="304"/>
      <c r="AH570" s="304"/>
      <c r="AI570" s="304"/>
      <c r="AJ570" s="304"/>
      <c r="AK570" s="304"/>
      <c r="AL570" s="304"/>
      <c r="AM570" s="304"/>
      <c r="AN570" s="304"/>
      <c r="AO570" s="304"/>
      <c r="AP570" s="304"/>
      <c r="AQ570" s="304"/>
      <c r="AR570" s="304"/>
      <c r="AS570" s="304"/>
    </row>
    <row r="571" spans="2:45">
      <c r="B571" s="1251" t="s">
        <v>724</v>
      </c>
      <c r="C571" s="1252"/>
      <c r="D571" s="1252"/>
      <c r="E571" s="1252"/>
      <c r="F571" s="1253"/>
      <c r="G571" s="346"/>
      <c r="H571" s="389"/>
      <c r="I571" s="346"/>
      <c r="J571" s="390"/>
      <c r="L571" s="403"/>
      <c r="M571" s="403"/>
      <c r="N571" s="403"/>
      <c r="O571" s="403"/>
      <c r="P571" s="403"/>
      <c r="Q571" s="403"/>
      <c r="R571" s="403"/>
      <c r="S571" s="403"/>
      <c r="T571" s="403"/>
      <c r="U571" s="403"/>
      <c r="V571" s="403"/>
      <c r="W571" s="403"/>
      <c r="X571" s="403"/>
      <c r="Y571" s="403"/>
      <c r="Z571" s="367"/>
      <c r="AA571" s="304"/>
      <c r="AB571" s="304"/>
      <c r="AC571" s="304"/>
      <c r="AD571" s="304"/>
      <c r="AE571" s="304"/>
      <c r="AF571" s="304"/>
      <c r="AG571" s="304"/>
      <c r="AH571" s="304"/>
      <c r="AI571" s="304"/>
      <c r="AJ571" s="304"/>
      <c r="AK571" s="304"/>
      <c r="AL571" s="304"/>
      <c r="AM571" s="304"/>
      <c r="AN571" s="304"/>
      <c r="AO571" s="304"/>
      <c r="AP571" s="304"/>
      <c r="AQ571" s="304"/>
      <c r="AR571" s="304"/>
      <c r="AS571" s="304"/>
    </row>
    <row r="572" spans="2:45">
      <c r="B572" s="1254" t="s">
        <v>725</v>
      </c>
      <c r="C572" s="1255"/>
      <c r="D572" s="1255"/>
      <c r="E572" s="1255"/>
      <c r="F572" s="1256"/>
      <c r="G572" s="346"/>
      <c r="H572" s="389"/>
      <c r="I572" s="346"/>
      <c r="J572" s="390"/>
      <c r="L572" s="403"/>
      <c r="M572" s="403"/>
      <c r="N572" s="403"/>
      <c r="O572" s="403"/>
      <c r="P572" s="403"/>
      <c r="Q572" s="403"/>
      <c r="R572" s="403"/>
      <c r="S572" s="403"/>
      <c r="T572" s="403"/>
      <c r="U572" s="403"/>
      <c r="V572" s="403"/>
      <c r="W572" s="403"/>
      <c r="X572" s="403"/>
      <c r="Y572" s="403"/>
      <c r="Z572" s="367"/>
      <c r="AA572" s="304"/>
      <c r="AB572" s="304"/>
      <c r="AC572" s="304"/>
      <c r="AD572" s="304"/>
      <c r="AE572" s="304"/>
      <c r="AF572" s="304"/>
      <c r="AG572" s="304"/>
      <c r="AH572" s="304"/>
      <c r="AI572" s="304"/>
      <c r="AJ572" s="304"/>
      <c r="AK572" s="304"/>
      <c r="AL572" s="304"/>
      <c r="AM572" s="304"/>
      <c r="AN572" s="304"/>
      <c r="AO572" s="304"/>
      <c r="AP572" s="304"/>
      <c r="AQ572" s="304"/>
      <c r="AR572" s="304"/>
      <c r="AS572" s="304"/>
    </row>
    <row r="573" spans="2:45">
      <c r="B573" s="1257" t="s">
        <v>726</v>
      </c>
      <c r="C573" s="1258"/>
      <c r="D573" s="1258"/>
      <c r="E573" s="1258"/>
      <c r="F573" s="1258"/>
      <c r="G573" s="391"/>
      <c r="H573" s="392"/>
      <c r="I573" s="391"/>
      <c r="J573" s="393"/>
      <c r="L573" s="403"/>
      <c r="M573" s="403"/>
      <c r="N573" s="403"/>
      <c r="O573" s="403"/>
      <c r="P573" s="403"/>
      <c r="Q573" s="403"/>
      <c r="R573" s="403"/>
      <c r="S573" s="403"/>
      <c r="T573" s="403"/>
      <c r="U573" s="403"/>
      <c r="V573" s="403"/>
      <c r="W573" s="403"/>
      <c r="X573" s="403"/>
      <c r="Y573" s="403"/>
      <c r="Z573" s="367"/>
      <c r="AA573" s="304"/>
      <c r="AB573" s="304"/>
      <c r="AC573" s="304"/>
      <c r="AD573" s="304"/>
      <c r="AE573" s="304"/>
      <c r="AF573" s="304"/>
      <c r="AG573" s="304"/>
      <c r="AH573" s="304"/>
      <c r="AI573" s="304"/>
      <c r="AJ573" s="304"/>
      <c r="AK573" s="304"/>
      <c r="AL573" s="304"/>
      <c r="AM573" s="304"/>
      <c r="AN573" s="304"/>
      <c r="AO573" s="304"/>
      <c r="AP573" s="304"/>
      <c r="AQ573" s="304"/>
      <c r="AR573" s="304"/>
      <c r="AS573" s="304"/>
    </row>
    <row r="574" spans="2:45">
      <c r="B574" s="1259" t="s">
        <v>727</v>
      </c>
      <c r="C574" s="1260"/>
      <c r="D574" s="1260"/>
      <c r="E574" s="1260"/>
      <c r="F574" s="1261"/>
      <c r="G574" s="394"/>
      <c r="H574" s="395">
        <f>(G574*H564)*-1</f>
        <v>0</v>
      </c>
      <c r="I574" s="394"/>
      <c r="J574" s="396">
        <f>(I574*J564)*-1</f>
        <v>0</v>
      </c>
      <c r="L574" s="403"/>
      <c r="M574" s="403"/>
      <c r="N574" s="403"/>
      <c r="O574" s="403"/>
      <c r="P574" s="403"/>
      <c r="Q574" s="403"/>
      <c r="R574" s="403"/>
      <c r="S574" s="403"/>
      <c r="T574" s="403"/>
      <c r="U574" s="403"/>
      <c r="V574" s="403"/>
      <c r="W574" s="403"/>
      <c r="X574" s="403"/>
      <c r="Y574" s="403"/>
      <c r="Z574" s="367"/>
      <c r="AA574" s="304"/>
      <c r="AB574" s="304"/>
      <c r="AC574" s="304"/>
      <c r="AD574" s="304"/>
      <c r="AE574" s="304"/>
      <c r="AF574" s="304"/>
      <c r="AG574" s="304"/>
      <c r="AH574" s="304"/>
      <c r="AI574" s="304"/>
      <c r="AJ574" s="304"/>
      <c r="AK574" s="304"/>
      <c r="AL574" s="304"/>
      <c r="AM574" s="304"/>
      <c r="AN574" s="304"/>
      <c r="AO574" s="304"/>
      <c r="AP574" s="304"/>
      <c r="AQ574" s="304"/>
      <c r="AR574" s="304"/>
      <c r="AS574" s="304"/>
    </row>
    <row r="575" spans="2:45">
      <c r="B575" s="1237" t="s">
        <v>728</v>
      </c>
      <c r="C575" s="1238"/>
      <c r="D575" s="1238"/>
      <c r="E575" s="1238"/>
      <c r="F575" s="1239"/>
      <c r="G575" s="394"/>
      <c r="H575" s="395">
        <f>(G575*H564)*-1</f>
        <v>0</v>
      </c>
      <c r="I575" s="394"/>
      <c r="J575" s="396">
        <f>(I575*J564)*-1</f>
        <v>0</v>
      </c>
      <c r="L575" s="403"/>
      <c r="M575" s="403"/>
      <c r="N575" s="403"/>
      <c r="O575" s="403"/>
      <c r="P575" s="403"/>
      <c r="Q575" s="403"/>
      <c r="R575" s="403"/>
      <c r="S575" s="403"/>
      <c r="T575" s="403"/>
      <c r="U575" s="403"/>
      <c r="V575" s="403"/>
      <c r="W575" s="403"/>
      <c r="X575" s="403"/>
      <c r="Y575" s="403"/>
      <c r="Z575" s="367"/>
      <c r="AA575" s="304"/>
      <c r="AB575" s="304"/>
      <c r="AC575" s="304"/>
      <c r="AD575" s="304"/>
      <c r="AE575" s="304"/>
      <c r="AF575" s="304"/>
      <c r="AG575" s="304"/>
      <c r="AH575" s="304"/>
      <c r="AI575" s="304"/>
      <c r="AJ575" s="304"/>
      <c r="AK575" s="304"/>
      <c r="AL575" s="304"/>
      <c r="AM575" s="304"/>
      <c r="AN575" s="304"/>
      <c r="AO575" s="304"/>
      <c r="AP575" s="304"/>
      <c r="AQ575" s="304"/>
      <c r="AR575" s="304"/>
      <c r="AS575" s="304"/>
    </row>
    <row r="576" spans="2:45">
      <c r="B576" s="1237" t="s">
        <v>729</v>
      </c>
      <c r="C576" s="1238"/>
      <c r="D576" s="1238"/>
      <c r="E576" s="1238"/>
      <c r="F576" s="1239"/>
      <c r="G576" s="394"/>
      <c r="H576" s="395">
        <f>(G576*H564)*-1</f>
        <v>0</v>
      </c>
      <c r="I576" s="394"/>
      <c r="J576" s="396">
        <f>(I576*J564)*-1</f>
        <v>0</v>
      </c>
      <c r="L576" s="403"/>
      <c r="M576" s="403"/>
      <c r="N576" s="403"/>
      <c r="O576" s="403"/>
      <c r="P576" s="403"/>
      <c r="Q576" s="403"/>
      <c r="R576" s="403"/>
      <c r="S576" s="403"/>
      <c r="T576" s="403"/>
      <c r="U576" s="403"/>
      <c r="V576" s="403"/>
      <c r="W576" s="403"/>
      <c r="X576" s="403"/>
      <c r="Y576" s="403"/>
      <c r="Z576" s="367"/>
      <c r="AA576" s="304"/>
      <c r="AB576" s="304"/>
      <c r="AC576" s="304"/>
      <c r="AD576" s="304"/>
      <c r="AE576" s="304"/>
      <c r="AF576" s="304"/>
      <c r="AG576" s="304"/>
      <c r="AH576" s="304"/>
      <c r="AI576" s="304"/>
      <c r="AJ576" s="304"/>
      <c r="AK576" s="304"/>
      <c r="AL576" s="304"/>
      <c r="AM576" s="304"/>
      <c r="AN576" s="304"/>
      <c r="AO576" s="304"/>
      <c r="AP576" s="304"/>
      <c r="AQ576" s="304"/>
      <c r="AR576" s="304"/>
      <c r="AS576" s="304"/>
    </row>
    <row r="577" spans="1:45">
      <c r="B577" s="1240" t="s">
        <v>730</v>
      </c>
      <c r="C577" s="1241"/>
      <c r="D577" s="1241"/>
      <c r="E577" s="1241"/>
      <c r="F577" s="1242"/>
      <c r="G577" s="394"/>
      <c r="H577" s="395">
        <f>(G577*H564)*-1</f>
        <v>0</v>
      </c>
      <c r="I577" s="394"/>
      <c r="J577" s="396">
        <f>(I577*J564)*-1</f>
        <v>0</v>
      </c>
      <c r="L577" s="403"/>
      <c r="M577" s="403"/>
      <c r="N577" s="403"/>
      <c r="O577" s="403"/>
      <c r="P577" s="403"/>
      <c r="Q577" s="403"/>
      <c r="R577" s="403"/>
      <c r="S577" s="403"/>
      <c r="T577" s="403"/>
      <c r="U577" s="403"/>
      <c r="V577" s="403"/>
      <c r="W577" s="403"/>
      <c r="X577" s="403"/>
      <c r="Y577" s="403"/>
      <c r="Z577" s="367"/>
      <c r="AA577" s="304"/>
      <c r="AB577" s="304"/>
      <c r="AC577" s="304"/>
      <c r="AD577" s="304"/>
      <c r="AE577" s="304"/>
      <c r="AF577" s="304"/>
      <c r="AG577" s="304"/>
      <c r="AH577" s="304"/>
      <c r="AI577" s="304"/>
      <c r="AJ577" s="304"/>
      <c r="AK577" s="304"/>
      <c r="AL577" s="304"/>
      <c r="AM577" s="304"/>
      <c r="AN577" s="304"/>
      <c r="AO577" s="304"/>
      <c r="AP577" s="304"/>
      <c r="AQ577" s="304"/>
      <c r="AR577" s="304"/>
      <c r="AS577" s="304"/>
    </row>
    <row r="578" spans="1:45">
      <c r="B578" s="1229" t="s">
        <v>731</v>
      </c>
      <c r="C578" s="1230"/>
      <c r="D578" s="1230"/>
      <c r="E578" s="1230"/>
      <c r="F578" s="1230"/>
      <c r="G578" s="350"/>
      <c r="H578" s="351"/>
      <c r="I578" s="350"/>
      <c r="J578" s="352"/>
      <c r="L578" s="403"/>
      <c r="M578" s="403"/>
      <c r="N578" s="403"/>
      <c r="O578" s="403"/>
      <c r="P578" s="403"/>
      <c r="Q578" s="403"/>
      <c r="R578" s="403"/>
      <c r="S578" s="403"/>
      <c r="T578" s="403"/>
      <c r="U578" s="403"/>
      <c r="V578" s="403"/>
      <c r="W578" s="403"/>
      <c r="X578" s="403"/>
      <c r="Y578" s="403"/>
      <c r="Z578" s="367"/>
      <c r="AA578" s="304"/>
      <c r="AB578" s="304"/>
      <c r="AC578" s="304"/>
      <c r="AD578" s="304"/>
      <c r="AE578" s="304"/>
      <c r="AF578" s="304"/>
      <c r="AG578" s="304"/>
      <c r="AH578" s="304"/>
      <c r="AI578" s="304"/>
      <c r="AJ578" s="304"/>
      <c r="AK578" s="304"/>
      <c r="AL578" s="304"/>
      <c r="AM578" s="304"/>
      <c r="AN578" s="304"/>
      <c r="AO578" s="304"/>
      <c r="AP578" s="304"/>
      <c r="AQ578" s="304"/>
      <c r="AR578" s="304"/>
      <c r="AS578" s="304"/>
    </row>
    <row r="579" spans="1:45">
      <c r="B579" s="1243" t="s">
        <v>732</v>
      </c>
      <c r="C579" s="1244"/>
      <c r="D579" s="1244"/>
      <c r="E579" s="1244"/>
      <c r="F579" s="1245"/>
      <c r="G579" s="346"/>
      <c r="H579" s="384">
        <f>G579*H564</f>
        <v>0</v>
      </c>
      <c r="I579" s="346"/>
      <c r="J579" s="385">
        <f>I579*J564</f>
        <v>0</v>
      </c>
      <c r="L579" s="403"/>
      <c r="M579" s="403"/>
      <c r="N579" s="403"/>
      <c r="O579" s="403"/>
      <c r="P579" s="403"/>
      <c r="Q579" s="403"/>
      <c r="R579" s="403"/>
      <c r="S579" s="403"/>
      <c r="T579" s="403"/>
      <c r="U579" s="403"/>
      <c r="V579" s="403"/>
      <c r="W579" s="403"/>
      <c r="X579" s="403"/>
      <c r="Y579" s="403"/>
      <c r="Z579" s="367"/>
      <c r="AA579" s="304"/>
      <c r="AB579" s="304"/>
      <c r="AC579" s="304"/>
      <c r="AD579" s="304"/>
      <c r="AE579" s="304"/>
      <c r="AF579" s="304"/>
      <c r="AG579" s="304"/>
      <c r="AH579" s="304"/>
      <c r="AI579" s="304"/>
      <c r="AJ579" s="304"/>
      <c r="AK579" s="304"/>
      <c r="AL579" s="304"/>
      <c r="AM579" s="304"/>
      <c r="AN579" s="304"/>
      <c r="AO579" s="304"/>
      <c r="AP579" s="304"/>
      <c r="AQ579" s="304"/>
      <c r="AR579" s="304"/>
      <c r="AS579" s="304"/>
    </row>
    <row r="580" spans="1:45">
      <c r="B580" s="1223" t="s">
        <v>733</v>
      </c>
      <c r="C580" s="1224"/>
      <c r="D580" s="1224"/>
      <c r="E580" s="1224"/>
      <c r="F580" s="1225"/>
      <c r="G580" s="346"/>
      <c r="H580" s="384">
        <f>G580*H564</f>
        <v>0</v>
      </c>
      <c r="I580" s="346"/>
      <c r="J580" s="385">
        <f>I580*J564</f>
        <v>0</v>
      </c>
      <c r="L580" s="403"/>
      <c r="M580" s="403"/>
      <c r="N580" s="403"/>
      <c r="O580" s="403"/>
      <c r="P580" s="403"/>
      <c r="Q580" s="403"/>
      <c r="R580" s="403"/>
      <c r="S580" s="403"/>
      <c r="T580" s="403"/>
      <c r="U580" s="403"/>
      <c r="V580" s="403"/>
      <c r="W580" s="403"/>
      <c r="X580" s="403"/>
      <c r="Y580" s="403"/>
      <c r="Z580" s="367"/>
      <c r="AA580" s="304"/>
      <c r="AB580" s="304"/>
      <c r="AC580" s="304"/>
      <c r="AD580" s="304"/>
      <c r="AE580" s="304"/>
      <c r="AF580" s="304"/>
      <c r="AG580" s="304"/>
      <c r="AH580" s="304"/>
      <c r="AI580" s="304"/>
      <c r="AJ580" s="304"/>
      <c r="AK580" s="304"/>
      <c r="AL580" s="304"/>
      <c r="AM580" s="304"/>
      <c r="AN580" s="304"/>
      <c r="AO580" s="304"/>
      <c r="AP580" s="304"/>
      <c r="AQ580" s="304"/>
      <c r="AR580" s="304"/>
      <c r="AS580" s="304"/>
    </row>
    <row r="581" spans="1:45">
      <c r="B581" s="1223" t="s">
        <v>734</v>
      </c>
      <c r="C581" s="1224"/>
      <c r="D581" s="1224"/>
      <c r="E581" s="1224"/>
      <c r="F581" s="1225"/>
      <c r="G581" s="346"/>
      <c r="H581" s="384">
        <f>G581*H564</f>
        <v>0</v>
      </c>
      <c r="I581" s="346"/>
      <c r="J581" s="385">
        <f>I581*J564</f>
        <v>0</v>
      </c>
      <c r="L581" s="403"/>
      <c r="M581" s="403"/>
      <c r="N581" s="403"/>
      <c r="O581" s="403"/>
      <c r="P581" s="403"/>
      <c r="Q581" s="403"/>
      <c r="R581" s="403"/>
      <c r="S581" s="403"/>
      <c r="T581" s="403"/>
      <c r="U581" s="403"/>
      <c r="V581" s="403"/>
      <c r="W581" s="403"/>
      <c r="X581" s="403"/>
      <c r="Y581" s="403"/>
      <c r="Z581" s="367"/>
      <c r="AA581" s="304"/>
      <c r="AB581" s="304"/>
      <c r="AC581" s="304"/>
      <c r="AD581" s="304"/>
      <c r="AE581" s="304"/>
      <c r="AF581" s="304"/>
      <c r="AG581" s="304"/>
      <c r="AH581" s="304"/>
      <c r="AI581" s="304"/>
      <c r="AJ581" s="304"/>
      <c r="AK581" s="304"/>
      <c r="AL581" s="304"/>
      <c r="AM581" s="304"/>
      <c r="AN581" s="304"/>
      <c r="AO581" s="304"/>
      <c r="AP581" s="304"/>
      <c r="AQ581" s="304"/>
      <c r="AR581" s="304"/>
      <c r="AS581" s="304"/>
    </row>
    <row r="582" spans="1:45">
      <c r="B582" s="1172" t="s">
        <v>735</v>
      </c>
      <c r="C582" s="1173"/>
      <c r="D582" s="1173"/>
      <c r="E582" s="1173"/>
      <c r="F582" s="1173"/>
      <c r="G582" s="351"/>
      <c r="H582" s="397"/>
      <c r="I582" s="351"/>
      <c r="J582" s="398"/>
      <c r="L582" s="403"/>
      <c r="M582" s="403"/>
      <c r="N582" s="403"/>
      <c r="O582" s="403"/>
      <c r="P582" s="403"/>
      <c r="Q582" s="403"/>
      <c r="R582" s="403"/>
      <c r="S582" s="403"/>
      <c r="T582" s="403"/>
      <c r="U582" s="403"/>
      <c r="V582" s="403"/>
      <c r="W582" s="403"/>
      <c r="X582" s="403"/>
      <c r="Y582" s="403"/>
      <c r="Z582" s="367"/>
      <c r="AA582" s="304"/>
      <c r="AB582" s="304"/>
      <c r="AC582" s="304"/>
      <c r="AD582" s="304"/>
      <c r="AE582" s="304"/>
      <c r="AF582" s="304"/>
      <c r="AG582" s="304"/>
      <c r="AH582" s="304"/>
      <c r="AI582" s="304"/>
      <c r="AJ582" s="304"/>
      <c r="AK582" s="304"/>
      <c r="AL582" s="304"/>
      <c r="AM582" s="304"/>
      <c r="AN582" s="304"/>
      <c r="AO582" s="304"/>
      <c r="AP582" s="304"/>
      <c r="AQ582" s="304"/>
      <c r="AR582" s="304"/>
      <c r="AS582" s="304"/>
    </row>
    <row r="583" spans="1:45">
      <c r="B583" s="1226" t="s">
        <v>736</v>
      </c>
      <c r="C583" s="1227"/>
      <c r="D583" s="1227"/>
      <c r="E583" s="1227"/>
      <c r="F583" s="1228"/>
      <c r="G583" s="346"/>
      <c r="H583" s="384">
        <f>G583*H564</f>
        <v>0</v>
      </c>
      <c r="I583" s="346"/>
      <c r="J583" s="385">
        <f>I583*J564</f>
        <v>0</v>
      </c>
      <c r="L583" s="403"/>
      <c r="M583" s="403"/>
      <c r="N583" s="403"/>
      <c r="O583" s="403"/>
      <c r="P583" s="403"/>
      <c r="Q583" s="403"/>
      <c r="R583" s="403"/>
      <c r="S583" s="403"/>
      <c r="T583" s="403"/>
      <c r="U583" s="403"/>
      <c r="V583" s="403"/>
      <c r="W583" s="403"/>
      <c r="X583" s="403"/>
      <c r="Y583" s="403"/>
      <c r="Z583" s="367"/>
      <c r="AA583" s="304"/>
      <c r="AB583" s="304"/>
      <c r="AC583" s="304"/>
      <c r="AD583" s="304"/>
      <c r="AE583" s="304"/>
      <c r="AF583" s="304"/>
      <c r="AG583" s="304"/>
      <c r="AH583" s="304"/>
      <c r="AI583" s="304"/>
      <c r="AJ583" s="304"/>
      <c r="AK583" s="304"/>
      <c r="AL583" s="304"/>
      <c r="AM583" s="304"/>
      <c r="AN583" s="304"/>
      <c r="AO583" s="304"/>
      <c r="AP583" s="304"/>
      <c r="AQ583" s="304"/>
      <c r="AR583" s="304"/>
      <c r="AS583" s="304"/>
    </row>
    <row r="584" spans="1:45">
      <c r="B584" s="1229" t="s">
        <v>737</v>
      </c>
      <c r="C584" s="1230"/>
      <c r="D584" s="1230"/>
      <c r="E584" s="1230"/>
      <c r="F584" s="1230"/>
      <c r="G584" s="350"/>
      <c r="H584" s="351"/>
      <c r="I584" s="350"/>
      <c r="J584" s="352"/>
      <c r="L584" s="403"/>
      <c r="M584" s="403"/>
      <c r="N584" s="403"/>
      <c r="O584" s="403"/>
      <c r="P584" s="403"/>
      <c r="Q584" s="403"/>
      <c r="R584" s="403"/>
      <c r="S584" s="403"/>
      <c r="T584" s="403"/>
      <c r="U584" s="403"/>
      <c r="V584" s="403"/>
      <c r="W584" s="403"/>
      <c r="X584" s="403"/>
      <c r="Y584" s="403"/>
      <c r="Z584" s="367"/>
      <c r="AA584" s="304"/>
      <c r="AB584" s="304"/>
      <c r="AC584" s="304"/>
      <c r="AD584" s="304"/>
      <c r="AE584" s="304"/>
      <c r="AF584" s="304"/>
      <c r="AG584" s="304"/>
      <c r="AH584" s="304"/>
      <c r="AI584" s="304"/>
      <c r="AJ584" s="304"/>
      <c r="AK584" s="304"/>
      <c r="AL584" s="304"/>
      <c r="AM584" s="304"/>
      <c r="AN584" s="304"/>
      <c r="AO584" s="304"/>
      <c r="AP584" s="304"/>
      <c r="AQ584" s="304"/>
      <c r="AR584" s="304"/>
      <c r="AS584" s="304"/>
    </row>
    <row r="585" spans="1:45" ht="29.1" customHeight="1">
      <c r="B585" s="1231" t="s">
        <v>738</v>
      </c>
      <c r="C585" s="1232"/>
      <c r="D585" s="1232"/>
      <c r="E585" s="1232"/>
      <c r="F585" s="1233"/>
      <c r="G585" s="399"/>
      <c r="H585" s="359">
        <f>H564*G585*-1</f>
        <v>0</v>
      </c>
      <c r="I585" s="399"/>
      <c r="J585" s="400">
        <f>(J564*I585)*-1</f>
        <v>0</v>
      </c>
      <c r="L585" s="403"/>
      <c r="M585" s="403"/>
      <c r="N585" s="403"/>
      <c r="O585" s="403"/>
      <c r="P585" s="403"/>
      <c r="Q585" s="403"/>
      <c r="R585" s="403"/>
      <c r="S585" s="403"/>
      <c r="T585" s="403"/>
      <c r="U585" s="403"/>
      <c r="V585" s="403"/>
      <c r="W585" s="403"/>
      <c r="X585" s="403"/>
      <c r="Y585" s="403"/>
      <c r="Z585" s="367"/>
      <c r="AA585" s="304"/>
      <c r="AB585" s="304"/>
      <c r="AC585" s="304"/>
      <c r="AD585" s="304"/>
      <c r="AE585" s="304"/>
      <c r="AF585" s="304"/>
      <c r="AG585" s="304"/>
      <c r="AH585" s="304"/>
      <c r="AI585" s="304"/>
      <c r="AJ585" s="304"/>
      <c r="AK585" s="304"/>
      <c r="AL585" s="304"/>
      <c r="AM585" s="304"/>
      <c r="AN585" s="304"/>
      <c r="AO585" s="304"/>
      <c r="AP585" s="304"/>
      <c r="AQ585" s="304"/>
      <c r="AR585" s="304"/>
      <c r="AS585" s="304"/>
    </row>
    <row r="586" spans="1:45" ht="29.1" customHeight="1">
      <c r="B586" s="1234" t="s">
        <v>739</v>
      </c>
      <c r="C586" s="1235"/>
      <c r="D586" s="1235"/>
      <c r="E586" s="1235"/>
      <c r="F586" s="1236"/>
      <c r="G586" s="346"/>
      <c r="H586" s="401">
        <f>(H564*G586)*-1</f>
        <v>0</v>
      </c>
      <c r="I586" s="346"/>
      <c r="J586" s="402">
        <f>(J564*I586)*-1</f>
        <v>0</v>
      </c>
      <c r="L586" s="403"/>
      <c r="M586" s="403"/>
      <c r="N586" s="403"/>
      <c r="O586" s="403"/>
      <c r="P586" s="403"/>
      <c r="Q586" s="403"/>
      <c r="R586" s="403"/>
      <c r="S586" s="403"/>
      <c r="T586" s="403"/>
      <c r="U586" s="403"/>
      <c r="V586" s="403"/>
      <c r="W586" s="403"/>
      <c r="X586" s="403"/>
      <c r="Y586" s="403"/>
      <c r="Z586" s="367"/>
      <c r="AA586" s="304"/>
      <c r="AB586" s="304"/>
      <c r="AC586" s="304"/>
      <c r="AD586" s="304"/>
      <c r="AE586" s="304"/>
      <c r="AF586" s="304"/>
      <c r="AG586" s="304"/>
      <c r="AH586" s="304"/>
      <c r="AI586" s="304"/>
      <c r="AJ586" s="304"/>
      <c r="AK586" s="304"/>
      <c r="AL586" s="304"/>
      <c r="AM586" s="304"/>
      <c r="AN586" s="304"/>
      <c r="AO586" s="304"/>
      <c r="AP586" s="304"/>
      <c r="AQ586" s="304"/>
      <c r="AR586" s="304"/>
      <c r="AS586" s="304"/>
    </row>
    <row r="587" spans="1:45">
      <c r="B587" s="1211" t="s">
        <v>740</v>
      </c>
      <c r="C587" s="1212"/>
      <c r="D587" s="1212"/>
      <c r="E587" s="1212"/>
      <c r="F587" s="1213"/>
      <c r="G587" s="1214">
        <f>SUM(H568:H586)</f>
        <v>0</v>
      </c>
      <c r="H587" s="1215"/>
      <c r="I587" s="1214">
        <f>SUM(J570:J586)+J568</f>
        <v>0</v>
      </c>
      <c r="J587" s="1216"/>
      <c r="L587" s="403"/>
      <c r="M587" s="403"/>
      <c r="N587" s="403"/>
      <c r="O587" s="403"/>
      <c r="P587" s="403"/>
      <c r="Q587" s="403"/>
      <c r="R587" s="403"/>
      <c r="S587" s="403"/>
      <c r="T587" s="403"/>
      <c r="U587" s="403"/>
      <c r="V587" s="403"/>
      <c r="W587" s="403"/>
      <c r="X587" s="403"/>
      <c r="Y587" s="403"/>
      <c r="Z587" s="367"/>
      <c r="AA587" s="304"/>
      <c r="AB587" s="304"/>
      <c r="AC587" s="304"/>
      <c r="AD587" s="304"/>
      <c r="AE587" s="304"/>
      <c r="AF587" s="304"/>
      <c r="AG587" s="304"/>
      <c r="AH587" s="304"/>
      <c r="AI587" s="304"/>
      <c r="AJ587" s="304"/>
      <c r="AK587" s="304"/>
      <c r="AL587" s="304"/>
      <c r="AM587" s="304"/>
      <c r="AN587" s="304"/>
      <c r="AO587" s="304"/>
      <c r="AP587" s="304"/>
      <c r="AQ587" s="304"/>
      <c r="AR587" s="304"/>
      <c r="AS587" s="304"/>
    </row>
    <row r="588" spans="1:45" ht="18.75">
      <c r="B588" s="1217" t="s">
        <v>696</v>
      </c>
      <c r="C588" s="1218"/>
      <c r="D588" s="1218"/>
      <c r="E588" s="1218"/>
      <c r="F588" s="1219"/>
      <c r="G588" s="1161" t="str">
        <f>IF(OR(AC561=0, I587=0), "12 Month Average", "24 Month Average")</f>
        <v>12 Month Average</v>
      </c>
      <c r="H588" s="1162"/>
      <c r="I588" s="1162"/>
      <c r="J588" s="1163"/>
      <c r="L588" s="403"/>
      <c r="M588" s="403"/>
      <c r="N588" s="403"/>
      <c r="O588" s="403"/>
      <c r="P588" s="403"/>
      <c r="Q588" s="403"/>
      <c r="R588" s="403"/>
      <c r="S588" s="403"/>
      <c r="T588" s="403"/>
      <c r="U588" s="403"/>
      <c r="V588" s="403"/>
      <c r="W588" s="403"/>
      <c r="X588" s="403"/>
      <c r="Y588" s="403"/>
      <c r="Z588" s="367"/>
      <c r="AA588" s="304"/>
      <c r="AB588" s="304"/>
      <c r="AC588" s="304"/>
      <c r="AD588" s="304"/>
      <c r="AE588" s="304"/>
      <c r="AF588" s="304"/>
      <c r="AG588" s="304"/>
      <c r="AH588" s="304"/>
      <c r="AI588" s="304"/>
      <c r="AJ588" s="304"/>
      <c r="AK588" s="304"/>
      <c r="AL588" s="304"/>
      <c r="AM588" s="304"/>
      <c r="AN588" s="304"/>
      <c r="AO588" s="304"/>
      <c r="AP588" s="304"/>
      <c r="AQ588" s="304"/>
      <c r="AR588" s="304"/>
      <c r="AS588" s="304"/>
    </row>
    <row r="589" spans="1:45" ht="34.5" thickBot="1">
      <c r="B589" s="1220" t="s">
        <v>697</v>
      </c>
      <c r="C589" s="1221"/>
      <c r="D589" s="1221"/>
      <c r="E589" s="1221"/>
      <c r="F589" s="1222"/>
      <c r="G589" s="1167">
        <f>IF(OR(AC561=0, I587=0), AC563, AC564)</f>
        <v>0</v>
      </c>
      <c r="H589" s="1168"/>
      <c r="I589" s="1168"/>
      <c r="J589" s="1169"/>
      <c r="L589" s="403"/>
      <c r="M589" s="403"/>
      <c r="N589" s="403"/>
      <c r="O589" s="403"/>
      <c r="P589" s="403"/>
      <c r="Q589" s="403"/>
      <c r="R589" s="403"/>
      <c r="S589" s="403"/>
      <c r="T589" s="403"/>
      <c r="U589" s="403"/>
      <c r="V589" s="403"/>
      <c r="W589" s="403"/>
      <c r="X589" s="403"/>
      <c r="Y589" s="403"/>
      <c r="Z589" s="367"/>
      <c r="AA589" s="304"/>
      <c r="AB589" s="304"/>
      <c r="AC589" s="304"/>
      <c r="AD589" s="304"/>
    </row>
    <row r="590" spans="1:45" ht="9" customHeight="1" thickBot="1">
      <c r="H590" s="330"/>
      <c r="I590" s="330"/>
      <c r="L590" s="403"/>
      <c r="M590" s="403"/>
      <c r="N590" s="403"/>
      <c r="O590" s="403"/>
      <c r="P590" s="403"/>
      <c r="Q590" s="403"/>
      <c r="R590" s="403"/>
      <c r="S590" s="403"/>
      <c r="T590" s="403"/>
      <c r="U590" s="403"/>
      <c r="V590" s="403"/>
      <c r="W590" s="403"/>
      <c r="X590" s="403"/>
      <c r="Y590" s="403"/>
      <c r="Z590" s="367"/>
      <c r="AA590" s="304"/>
      <c r="AB590" s="304"/>
      <c r="AC590" s="304"/>
      <c r="AD590" s="304"/>
    </row>
    <row r="591" spans="1:45" ht="105" customHeight="1" thickBot="1">
      <c r="B591" s="1208" t="s">
        <v>645</v>
      </c>
      <c r="C591" s="1209"/>
      <c r="D591" s="1209"/>
      <c r="E591" s="1209"/>
      <c r="F591" s="1209"/>
      <c r="G591" s="1209"/>
      <c r="H591" s="1209"/>
      <c r="I591" s="1209"/>
      <c r="J591" s="1210"/>
      <c r="L591" s="367"/>
      <c r="M591" s="367"/>
      <c r="N591" s="367"/>
      <c r="O591" s="367"/>
      <c r="P591" s="367"/>
      <c r="Q591" s="367"/>
      <c r="R591" s="367"/>
      <c r="S591" s="367"/>
      <c r="T591" s="367"/>
      <c r="U591" s="367"/>
      <c r="V591" s="367"/>
      <c r="W591" s="367"/>
      <c r="X591" s="367"/>
      <c r="Y591" s="367"/>
      <c r="Z591" s="367"/>
      <c r="AA591" s="304"/>
      <c r="AB591" s="304"/>
      <c r="AC591" s="304"/>
      <c r="AD591" s="304"/>
    </row>
    <row r="592" spans="1:45">
      <c r="A592" s="304"/>
      <c r="B592" s="304"/>
      <c r="C592" s="304"/>
      <c r="D592" s="304"/>
      <c r="E592" s="304"/>
      <c r="F592" s="304"/>
      <c r="G592" s="304"/>
      <c r="H592" s="304"/>
      <c r="I592" s="304"/>
      <c r="J592" s="304"/>
      <c r="K592" s="304"/>
      <c r="L592" s="367"/>
      <c r="M592" s="367"/>
      <c r="N592" s="367"/>
      <c r="O592" s="367"/>
      <c r="P592" s="367"/>
      <c r="Q592" s="367"/>
      <c r="R592" s="367"/>
      <c r="S592" s="367"/>
      <c r="T592" s="367"/>
      <c r="U592" s="367"/>
      <c r="V592" s="367"/>
      <c r="W592" s="367"/>
      <c r="X592" s="367"/>
      <c r="Y592" s="367"/>
      <c r="Z592" s="367"/>
      <c r="AA592" s="304"/>
      <c r="AB592" s="304"/>
      <c r="AC592" s="304"/>
      <c r="AD592" s="304"/>
    </row>
    <row r="593" spans="2:45" ht="13.5" customHeight="1" thickBot="1">
      <c r="L593" s="304"/>
      <c r="M593" s="304"/>
      <c r="N593" s="304"/>
      <c r="O593" s="304"/>
      <c r="P593" s="304"/>
      <c r="Q593" s="304"/>
      <c r="R593" s="304"/>
      <c r="S593" s="304"/>
      <c r="T593" s="304"/>
      <c r="U593" s="304"/>
    </row>
    <row r="594" spans="2:45" ht="69" customHeight="1">
      <c r="B594" s="1187" t="s">
        <v>708</v>
      </c>
      <c r="C594" s="1188"/>
      <c r="D594" s="1188"/>
      <c r="E594" s="1188"/>
      <c r="F594" s="1188"/>
      <c r="G594" s="1188"/>
      <c r="H594" s="1188"/>
      <c r="I594" s="1188"/>
      <c r="J594" s="331" t="str">
        <f>'[3]Reference Sheet'!$B$2</f>
        <v>Rev. 4.12.2016</v>
      </c>
      <c r="L594" s="403"/>
      <c r="M594" s="403"/>
      <c r="N594" s="403"/>
      <c r="O594" s="403"/>
      <c r="P594" s="403"/>
      <c r="Q594" s="403"/>
      <c r="R594" s="403"/>
      <c r="S594" s="403"/>
      <c r="T594" s="403"/>
      <c r="U594" s="403"/>
      <c r="V594" s="403"/>
      <c r="W594" s="403"/>
      <c r="X594" s="403"/>
      <c r="Y594" s="403"/>
      <c r="Z594" s="367"/>
      <c r="AA594" s="304"/>
      <c r="AB594" s="304"/>
      <c r="AC594" s="304"/>
      <c r="AD594" s="304"/>
      <c r="AE594" s="304"/>
      <c r="AF594" s="304"/>
      <c r="AG594" s="304"/>
      <c r="AH594" s="304"/>
      <c r="AI594" s="304"/>
      <c r="AJ594" s="304"/>
      <c r="AK594" s="304"/>
      <c r="AL594" s="304"/>
      <c r="AM594" s="304"/>
      <c r="AN594" s="304"/>
      <c r="AO594" s="304"/>
      <c r="AP594" s="304"/>
      <c r="AQ594" s="304"/>
      <c r="AR594" s="304"/>
      <c r="AS594" s="304"/>
    </row>
    <row r="595" spans="2:45" ht="3.75" customHeight="1">
      <c r="B595" s="332"/>
      <c r="C595" s="333"/>
      <c r="D595" s="333"/>
      <c r="E595" s="333"/>
      <c r="F595" s="333"/>
      <c r="G595" s="333"/>
      <c r="H595" s="333"/>
      <c r="I595" s="333"/>
      <c r="J595" s="334"/>
      <c r="L595" s="403"/>
      <c r="M595" s="403"/>
      <c r="N595" s="403"/>
      <c r="O595" s="403"/>
      <c r="P595" s="403"/>
      <c r="Q595" s="403"/>
      <c r="R595" s="403"/>
      <c r="S595" s="403"/>
      <c r="T595" s="403"/>
      <c r="U595" s="403"/>
      <c r="V595" s="403"/>
      <c r="W595" s="403"/>
      <c r="X595" s="403"/>
      <c r="Y595" s="403"/>
      <c r="Z595" s="367"/>
      <c r="AA595" s="304"/>
      <c r="AB595" s="304"/>
      <c r="AC595" s="304"/>
      <c r="AD595" s="304"/>
      <c r="AE595" s="304"/>
      <c r="AF595" s="304"/>
      <c r="AG595" s="304"/>
      <c r="AH595" s="304"/>
      <c r="AI595" s="304"/>
      <c r="AJ595" s="304"/>
      <c r="AK595" s="304"/>
      <c r="AL595" s="304"/>
      <c r="AM595" s="304"/>
      <c r="AN595" s="304"/>
      <c r="AO595" s="304"/>
      <c r="AP595" s="304"/>
      <c r="AQ595" s="304"/>
      <c r="AR595" s="304"/>
      <c r="AS595" s="304"/>
    </row>
    <row r="596" spans="2:45" ht="18" customHeight="1" thickBot="1">
      <c r="B596" s="332"/>
      <c r="C596" s="368" t="s">
        <v>710</v>
      </c>
      <c r="D596" s="1189"/>
      <c r="E596" s="1190"/>
      <c r="F596" s="1190"/>
      <c r="G596" s="1190"/>
      <c r="H596" s="333"/>
      <c r="I596" s="333"/>
      <c r="J596" s="334"/>
      <c r="L596" s="403"/>
      <c r="M596" s="403"/>
      <c r="N596" s="403"/>
      <c r="O596" s="403"/>
      <c r="P596" s="403"/>
      <c r="Q596" s="403"/>
      <c r="R596" s="403"/>
      <c r="S596" s="403"/>
      <c r="T596" s="403"/>
      <c r="U596" s="403"/>
      <c r="V596" s="403"/>
      <c r="W596" s="403"/>
      <c r="X596" s="403"/>
      <c r="Y596" s="403"/>
      <c r="Z596" s="367"/>
      <c r="AA596" s="304"/>
      <c r="AB596" s="304" t="s">
        <v>680</v>
      </c>
      <c r="AC596" s="304">
        <f>IF(AND(J601=0, J605=0, J607=0, J616=0, J617=0, J618=0, J620=0, J622=0, J623=0, I624=0), 0, 1)</f>
        <v>1</v>
      </c>
      <c r="AD596" s="304"/>
      <c r="AE596" s="304"/>
      <c r="AF596" s="366" t="s">
        <v>596</v>
      </c>
      <c r="AG596" s="304"/>
      <c r="AH596" s="304"/>
      <c r="AI596" s="304"/>
      <c r="AJ596" s="304"/>
      <c r="AK596" s="304"/>
      <c r="AL596" s="304"/>
      <c r="AM596" s="304"/>
      <c r="AN596" s="304"/>
      <c r="AO596" s="304"/>
      <c r="AP596" s="304"/>
      <c r="AQ596" s="304"/>
      <c r="AR596" s="304"/>
      <c r="AS596" s="304"/>
    </row>
    <row r="597" spans="2:45" ht="18" customHeight="1" thickBot="1">
      <c r="B597" s="332"/>
      <c r="C597" s="368" t="s">
        <v>711</v>
      </c>
      <c r="D597" s="1277"/>
      <c r="E597" s="1278"/>
      <c r="F597" s="1278"/>
      <c r="G597" s="1278"/>
      <c r="H597" s="368" t="s">
        <v>712</v>
      </c>
      <c r="I597" s="1189"/>
      <c r="J597" s="1279"/>
      <c r="L597" s="403"/>
      <c r="M597" s="403"/>
      <c r="N597" s="403"/>
      <c r="O597" s="403"/>
      <c r="P597" s="403"/>
      <c r="Q597" s="403"/>
      <c r="R597" s="403"/>
      <c r="S597" s="403"/>
      <c r="T597" s="403"/>
      <c r="U597" s="403"/>
      <c r="V597" s="403"/>
      <c r="W597" s="403"/>
      <c r="X597" s="403"/>
      <c r="Y597" s="403"/>
      <c r="Z597" s="367"/>
      <c r="AA597" s="304"/>
      <c r="AB597" s="304" t="s">
        <v>682</v>
      </c>
      <c r="AC597" s="304">
        <f>IF(AND(G624&lt;=I624, I624&lt;&gt;0), 0, 1)</f>
        <v>1</v>
      </c>
      <c r="AD597" s="304"/>
      <c r="AE597" s="304"/>
      <c r="AF597" s="366" t="s">
        <v>683</v>
      </c>
      <c r="AG597" s="304"/>
      <c r="AH597" s="304"/>
      <c r="AI597" s="304"/>
      <c r="AJ597" s="304"/>
      <c r="AK597" s="304"/>
      <c r="AL597" s="304"/>
      <c r="AM597" s="304"/>
      <c r="AN597" s="304"/>
      <c r="AO597" s="304"/>
      <c r="AP597" s="304"/>
      <c r="AQ597" s="304"/>
      <c r="AR597" s="304"/>
      <c r="AS597" s="304"/>
    </row>
    <row r="598" spans="2:45" ht="18" customHeight="1" thickBot="1">
      <c r="B598" s="1176" t="s">
        <v>671</v>
      </c>
      <c r="C598" s="1177"/>
      <c r="D598" s="1280"/>
      <c r="E598" s="1281"/>
      <c r="F598" s="1281"/>
      <c r="G598" s="1281"/>
      <c r="H598" s="336" t="s">
        <v>673</v>
      </c>
      <c r="I598" s="369"/>
      <c r="J598" s="370"/>
      <c r="L598" s="403"/>
      <c r="M598" s="403"/>
      <c r="N598" s="403"/>
      <c r="O598" s="403"/>
      <c r="P598" s="403"/>
      <c r="Q598" s="403"/>
      <c r="R598" s="403"/>
      <c r="S598" s="403"/>
      <c r="T598" s="403"/>
      <c r="U598" s="403"/>
      <c r="V598" s="403"/>
      <c r="W598" s="403"/>
      <c r="X598" s="403"/>
      <c r="Y598" s="403"/>
      <c r="Z598" s="367"/>
      <c r="AA598" s="304"/>
      <c r="AB598" s="304" t="s">
        <v>685</v>
      </c>
      <c r="AC598" s="304">
        <f>IF(AND(AC597=0, AC596=1), 0, 1)</f>
        <v>1</v>
      </c>
      <c r="AD598" s="304"/>
      <c r="AE598" s="304"/>
      <c r="AF598" s="366" t="s">
        <v>599</v>
      </c>
      <c r="AG598" s="304"/>
      <c r="AH598" s="304"/>
      <c r="AI598" s="304"/>
      <c r="AJ598" s="304"/>
      <c r="AK598" s="304"/>
      <c r="AL598" s="304"/>
      <c r="AM598" s="304"/>
      <c r="AN598" s="304"/>
      <c r="AO598" s="304"/>
      <c r="AP598" s="304"/>
      <c r="AQ598" s="304"/>
      <c r="AR598" s="304"/>
      <c r="AS598" s="304"/>
    </row>
    <row r="599" spans="2:45" ht="18" customHeight="1" thickBot="1">
      <c r="B599" s="1176" t="s">
        <v>674</v>
      </c>
      <c r="C599" s="1177"/>
      <c r="D599" s="1262"/>
      <c r="E599" s="1263"/>
      <c r="F599" s="1263"/>
      <c r="G599" s="1263"/>
      <c r="H599" s="1263"/>
      <c r="I599" s="1263"/>
      <c r="J599" s="1264"/>
      <c r="L599" s="403"/>
      <c r="M599" s="403"/>
      <c r="N599" s="403"/>
      <c r="O599" s="403"/>
      <c r="P599" s="403"/>
      <c r="Q599" s="403"/>
      <c r="R599" s="403"/>
      <c r="S599" s="403"/>
      <c r="T599" s="403"/>
      <c r="U599" s="403"/>
      <c r="V599" s="403"/>
      <c r="W599" s="403"/>
      <c r="X599" s="403"/>
      <c r="Y599" s="403"/>
      <c r="Z599" s="367"/>
      <c r="AA599" s="304"/>
      <c r="AB599" s="304"/>
      <c r="AC599" s="304"/>
      <c r="AD599" s="304"/>
      <c r="AE599" s="304"/>
      <c r="AF599" s="366" t="s">
        <v>603</v>
      </c>
      <c r="AG599" s="304"/>
      <c r="AH599" s="304"/>
      <c r="AI599" s="304"/>
      <c r="AJ599" s="304"/>
      <c r="AK599" s="304"/>
      <c r="AL599" s="304"/>
      <c r="AM599" s="304"/>
      <c r="AN599" s="304"/>
      <c r="AO599" s="304"/>
      <c r="AP599" s="304"/>
      <c r="AQ599" s="304"/>
      <c r="AR599" s="304"/>
      <c r="AS599" s="304"/>
    </row>
    <row r="600" spans="2:45">
      <c r="B600" s="1265"/>
      <c r="C600" s="1266"/>
      <c r="D600" s="1266"/>
      <c r="E600" s="1266"/>
      <c r="F600" s="1267"/>
      <c r="G600" s="371" t="s">
        <v>713</v>
      </c>
      <c r="H600" s="372" t="s">
        <v>676</v>
      </c>
      <c r="I600" s="342"/>
      <c r="J600" s="373" t="s">
        <v>677</v>
      </c>
      <c r="L600" s="403"/>
      <c r="M600" s="403"/>
      <c r="N600" s="403"/>
      <c r="O600" s="403"/>
      <c r="P600" s="403"/>
      <c r="Q600" s="403"/>
      <c r="R600" s="403"/>
      <c r="S600" s="403"/>
      <c r="T600" s="403"/>
      <c r="U600" s="403"/>
      <c r="V600" s="403"/>
      <c r="W600" s="403"/>
      <c r="X600" s="403"/>
      <c r="Y600" s="403"/>
      <c r="Z600" s="367"/>
      <c r="AA600" s="304"/>
      <c r="AB600" s="304" t="s">
        <v>689</v>
      </c>
      <c r="AC600" s="374">
        <f>G624/12</f>
        <v>0</v>
      </c>
      <c r="AD600" s="304"/>
      <c r="AE600" s="304"/>
      <c r="AF600" s="366" t="s">
        <v>605</v>
      </c>
      <c r="AG600" s="304"/>
      <c r="AH600" s="304"/>
      <c r="AI600" s="304"/>
      <c r="AJ600" s="304"/>
      <c r="AK600" s="304"/>
      <c r="AL600" s="304"/>
      <c r="AM600" s="304"/>
      <c r="AN600" s="304"/>
      <c r="AO600" s="304"/>
      <c r="AP600" s="304"/>
      <c r="AQ600" s="304"/>
      <c r="AR600" s="304"/>
      <c r="AS600" s="304"/>
    </row>
    <row r="601" spans="2:45">
      <c r="B601" s="1268"/>
      <c r="C601" s="1266"/>
      <c r="D601" s="1266"/>
      <c r="E601" s="1266"/>
      <c r="F601" s="1267"/>
      <c r="G601" s="375" t="s">
        <v>714</v>
      </c>
      <c r="H601" s="376"/>
      <c r="I601" s="1272"/>
      <c r="J601" s="378"/>
      <c r="L601" s="403"/>
      <c r="M601" s="403"/>
      <c r="N601" s="403"/>
      <c r="O601" s="403"/>
      <c r="P601" s="403"/>
      <c r="Q601" s="403"/>
      <c r="R601" s="403"/>
      <c r="S601" s="403"/>
      <c r="T601" s="403"/>
      <c r="U601" s="403"/>
      <c r="V601" s="403"/>
      <c r="W601" s="403"/>
      <c r="X601" s="403"/>
      <c r="Y601" s="403"/>
      <c r="Z601" s="367"/>
      <c r="AA601" s="304"/>
      <c r="AB601" s="304" t="s">
        <v>691</v>
      </c>
      <c r="AC601" s="374">
        <f>(G624+I624)/24</f>
        <v>0</v>
      </c>
      <c r="AD601" s="304"/>
      <c r="AE601" s="304"/>
      <c r="AF601" s="304"/>
      <c r="AG601" s="304"/>
      <c r="AH601" s="304"/>
      <c r="AI601" s="304"/>
      <c r="AJ601" s="304"/>
      <c r="AK601" s="304"/>
      <c r="AL601" s="304"/>
      <c r="AM601" s="304"/>
      <c r="AN601" s="304"/>
      <c r="AO601" s="304"/>
      <c r="AP601" s="304"/>
      <c r="AQ601" s="304"/>
      <c r="AR601" s="304"/>
      <c r="AS601" s="304"/>
    </row>
    <row r="602" spans="2:45">
      <c r="B602" s="1268"/>
      <c r="C602" s="1266"/>
      <c r="D602" s="1266"/>
      <c r="E602" s="1266"/>
      <c r="F602" s="1267"/>
      <c r="G602" s="379" t="s">
        <v>715</v>
      </c>
      <c r="H602" s="380"/>
      <c r="I602" s="1272"/>
      <c r="J602" s="378"/>
      <c r="L602" s="403"/>
      <c r="M602" s="403"/>
      <c r="N602" s="403"/>
      <c r="O602" s="403"/>
      <c r="P602" s="403"/>
      <c r="Q602" s="403"/>
      <c r="R602" s="403"/>
      <c r="S602" s="403"/>
      <c r="T602" s="403"/>
      <c r="U602" s="403"/>
      <c r="V602" s="403"/>
      <c r="W602" s="403"/>
      <c r="X602" s="403"/>
      <c r="Y602" s="403"/>
      <c r="Z602" s="367"/>
      <c r="AA602" s="304"/>
      <c r="AB602" s="304"/>
      <c r="AC602" s="304"/>
      <c r="AD602" s="304"/>
      <c r="AE602" s="304"/>
      <c r="AF602" s="304"/>
      <c r="AG602" s="304"/>
      <c r="AH602" s="304"/>
      <c r="AI602" s="304"/>
      <c r="AJ602" s="304"/>
      <c r="AK602" s="304"/>
      <c r="AL602" s="304"/>
      <c r="AM602" s="304"/>
      <c r="AN602" s="304"/>
      <c r="AO602" s="304"/>
      <c r="AP602" s="304"/>
      <c r="AQ602" s="304"/>
      <c r="AR602" s="304"/>
      <c r="AS602" s="304"/>
    </row>
    <row r="603" spans="2:45" ht="15.75" thickBot="1">
      <c r="B603" s="1269"/>
      <c r="C603" s="1270"/>
      <c r="D603" s="1270"/>
      <c r="E603" s="1270"/>
      <c r="F603" s="1271"/>
      <c r="G603" s="379" t="s">
        <v>716</v>
      </c>
      <c r="H603" s="376"/>
      <c r="I603" s="1272"/>
      <c r="J603" s="378"/>
      <c r="L603" s="403"/>
      <c r="M603" s="403"/>
      <c r="N603" s="403"/>
      <c r="O603" s="403"/>
      <c r="P603" s="403"/>
      <c r="Q603" s="403"/>
      <c r="R603" s="403"/>
      <c r="S603" s="403"/>
      <c r="T603" s="403"/>
      <c r="U603" s="403"/>
      <c r="V603" s="403"/>
      <c r="W603" s="403"/>
      <c r="X603" s="403"/>
      <c r="Y603" s="403"/>
      <c r="Z603" s="367"/>
      <c r="AA603" s="304"/>
      <c r="AB603" s="304" t="s">
        <v>717</v>
      </c>
      <c r="AC603" s="304" t="str">
        <f>IF(OR(H601=0, H601&gt;100%), "Year End Profit %", (G607+G608+G609))</f>
        <v>Year End Profit %</v>
      </c>
      <c r="AD603" s="304"/>
      <c r="AE603" s="304"/>
      <c r="AF603" s="304"/>
      <c r="AG603" s="304"/>
      <c r="AH603" s="304"/>
      <c r="AI603" s="304"/>
      <c r="AJ603" s="304"/>
      <c r="AK603" s="304"/>
      <c r="AL603" s="304"/>
      <c r="AM603" s="304"/>
      <c r="AN603" s="304"/>
      <c r="AO603" s="304"/>
      <c r="AP603" s="304"/>
      <c r="AQ603" s="304"/>
      <c r="AR603" s="304"/>
      <c r="AS603" s="304"/>
    </row>
    <row r="604" spans="2:45" ht="18.75">
      <c r="B604" s="1229" t="s">
        <v>718</v>
      </c>
      <c r="C604" s="1273"/>
      <c r="D604" s="1273"/>
      <c r="E604" s="1273"/>
      <c r="F604" s="1273"/>
      <c r="G604" s="377" t="s">
        <v>719</v>
      </c>
      <c r="H604" s="381"/>
      <c r="I604" s="377" t="s">
        <v>719</v>
      </c>
      <c r="J604" s="382"/>
      <c r="L604" s="403"/>
      <c r="M604" s="403"/>
      <c r="N604" s="403"/>
      <c r="O604" s="403"/>
      <c r="P604" s="403"/>
      <c r="Q604" s="403"/>
      <c r="R604" s="403"/>
      <c r="S604" s="403"/>
      <c r="T604" s="403"/>
      <c r="U604" s="403"/>
      <c r="V604" s="403"/>
      <c r="W604" s="403"/>
      <c r="X604" s="403"/>
      <c r="Y604" s="403"/>
      <c r="Z604" s="367"/>
      <c r="AA604" s="304"/>
      <c r="AB604" s="304" t="s">
        <v>720</v>
      </c>
      <c r="AC604" s="304" t="str">
        <f>IF(OR(J601&gt;100%, J601=0), "Year End Profit %", (I607+I608+I609))</f>
        <v>Year End Profit %</v>
      </c>
      <c r="AD604" s="383"/>
      <c r="AE604" s="304"/>
      <c r="AF604" s="304"/>
      <c r="AG604" s="304"/>
      <c r="AH604" s="304"/>
      <c r="AI604" s="304"/>
      <c r="AJ604" s="304"/>
      <c r="AK604" s="304"/>
      <c r="AL604" s="304"/>
      <c r="AM604" s="304"/>
      <c r="AN604" s="304"/>
      <c r="AO604" s="304"/>
      <c r="AP604" s="304"/>
      <c r="AQ604" s="304"/>
      <c r="AR604" s="304"/>
      <c r="AS604" s="304"/>
    </row>
    <row r="605" spans="2:45">
      <c r="B605" s="1274" t="s">
        <v>721</v>
      </c>
      <c r="C605" s="1275"/>
      <c r="D605" s="1275"/>
      <c r="E605" s="1275"/>
      <c r="F605" s="1276"/>
      <c r="G605" s="346"/>
      <c r="H605" s="384">
        <f>G605</f>
        <v>0</v>
      </c>
      <c r="I605" s="364"/>
      <c r="J605" s="385">
        <f>I605</f>
        <v>0</v>
      </c>
      <c r="L605" s="403"/>
      <c r="M605" s="403"/>
      <c r="N605" s="403"/>
      <c r="O605" s="403"/>
      <c r="P605" s="403"/>
      <c r="Q605" s="403"/>
      <c r="R605" s="403"/>
      <c r="S605" s="403"/>
      <c r="T605" s="403"/>
      <c r="U605" s="403"/>
      <c r="V605" s="403"/>
      <c r="W605" s="403"/>
      <c r="X605" s="403"/>
      <c r="Y605" s="403"/>
      <c r="Z605" s="367"/>
      <c r="AA605" s="304"/>
      <c r="AB605" s="304"/>
      <c r="AC605" s="304"/>
      <c r="AD605" s="304"/>
      <c r="AE605" s="304"/>
      <c r="AF605" s="304"/>
      <c r="AG605" s="304"/>
      <c r="AH605" s="304"/>
      <c r="AI605" s="304"/>
      <c r="AJ605" s="304"/>
      <c r="AK605" s="304"/>
      <c r="AL605" s="304"/>
      <c r="AM605" s="304"/>
      <c r="AN605" s="304"/>
      <c r="AO605" s="304"/>
      <c r="AP605" s="304"/>
      <c r="AQ605" s="304"/>
      <c r="AR605" s="304"/>
      <c r="AS605" s="304"/>
    </row>
    <row r="606" spans="2:45">
      <c r="B606" s="1246" t="s">
        <v>722</v>
      </c>
      <c r="C606" s="1247"/>
      <c r="D606" s="1247"/>
      <c r="E606" s="1247"/>
      <c r="F606" s="1247"/>
      <c r="G606" s="377"/>
      <c r="H606" s="381"/>
      <c r="I606" s="386"/>
      <c r="J606" s="382"/>
      <c r="L606" s="403"/>
      <c r="M606" s="403"/>
      <c r="N606" s="403"/>
      <c r="O606" s="403"/>
      <c r="P606" s="403"/>
      <c r="Q606" s="403"/>
      <c r="R606" s="403"/>
      <c r="S606" s="403"/>
      <c r="T606" s="403"/>
      <c r="U606" s="403"/>
      <c r="V606" s="403"/>
      <c r="W606" s="403"/>
      <c r="X606" s="403"/>
      <c r="Y606" s="403"/>
      <c r="Z606" s="367"/>
      <c r="AA606" s="304"/>
      <c r="AB606" s="304"/>
      <c r="AC606" s="304"/>
      <c r="AD606" s="304"/>
      <c r="AE606" s="304"/>
      <c r="AF606" s="304"/>
      <c r="AG606" s="304"/>
      <c r="AH606" s="304"/>
      <c r="AI606" s="304"/>
      <c r="AJ606" s="304"/>
      <c r="AK606" s="304"/>
      <c r="AL606" s="304"/>
      <c r="AM606" s="304"/>
      <c r="AN606" s="304"/>
      <c r="AO606" s="304"/>
      <c r="AP606" s="304"/>
      <c r="AQ606" s="304"/>
      <c r="AR606" s="304"/>
      <c r="AS606" s="304"/>
    </row>
    <row r="607" spans="2:45">
      <c r="B607" s="1248" t="s">
        <v>723</v>
      </c>
      <c r="C607" s="1249"/>
      <c r="D607" s="1249"/>
      <c r="E607" s="1249"/>
      <c r="F607" s="1250"/>
      <c r="G607" s="346"/>
      <c r="H607" s="387" t="str">
        <f>AC603</f>
        <v>Year End Profit %</v>
      </c>
      <c r="I607" s="346"/>
      <c r="J607" s="388" t="str">
        <f>AC604</f>
        <v>Year End Profit %</v>
      </c>
      <c r="L607" s="403"/>
      <c r="M607" s="403"/>
      <c r="N607" s="403"/>
      <c r="O607" s="403"/>
      <c r="P607" s="403"/>
      <c r="Q607" s="403"/>
      <c r="R607" s="403"/>
      <c r="S607" s="403"/>
      <c r="T607" s="403"/>
      <c r="U607" s="403"/>
      <c r="V607" s="403"/>
      <c r="W607" s="403"/>
      <c r="X607" s="403"/>
      <c r="Y607" s="403"/>
      <c r="Z607" s="367"/>
      <c r="AA607" s="304"/>
      <c r="AB607" s="304"/>
      <c r="AC607" s="304"/>
      <c r="AD607" s="304"/>
      <c r="AE607" s="304"/>
      <c r="AF607" s="304"/>
      <c r="AG607" s="304"/>
      <c r="AH607" s="304"/>
      <c r="AI607" s="304"/>
      <c r="AJ607" s="304"/>
      <c r="AK607" s="304"/>
      <c r="AL607" s="304"/>
      <c r="AM607" s="304"/>
      <c r="AN607" s="304"/>
      <c r="AO607" s="304"/>
      <c r="AP607" s="304"/>
      <c r="AQ607" s="304"/>
      <c r="AR607" s="304"/>
      <c r="AS607" s="304"/>
    </row>
    <row r="608" spans="2:45">
      <c r="B608" s="1251" t="s">
        <v>724</v>
      </c>
      <c r="C608" s="1252"/>
      <c r="D608" s="1252"/>
      <c r="E608" s="1252"/>
      <c r="F608" s="1253"/>
      <c r="G608" s="346"/>
      <c r="H608" s="389"/>
      <c r="I608" s="346"/>
      <c r="J608" s="390"/>
      <c r="L608" s="403"/>
      <c r="M608" s="403"/>
      <c r="N608" s="403"/>
      <c r="O608" s="403"/>
      <c r="P608" s="403"/>
      <c r="Q608" s="403"/>
      <c r="R608" s="403"/>
      <c r="S608" s="403"/>
      <c r="T608" s="403"/>
      <c r="U608" s="403"/>
      <c r="V608" s="403"/>
      <c r="W608" s="403"/>
      <c r="X608" s="403"/>
      <c r="Y608" s="403"/>
      <c r="Z608" s="367"/>
      <c r="AA608" s="304"/>
      <c r="AB608" s="304"/>
      <c r="AC608" s="304"/>
      <c r="AD608" s="304"/>
      <c r="AE608" s="304"/>
      <c r="AF608" s="304"/>
      <c r="AG608" s="304"/>
      <c r="AH608" s="304"/>
      <c r="AI608" s="304"/>
      <c r="AJ608" s="304"/>
      <c r="AK608" s="304"/>
      <c r="AL608" s="304"/>
      <c r="AM608" s="304"/>
      <c r="AN608" s="304"/>
      <c r="AO608" s="304"/>
      <c r="AP608" s="304"/>
      <c r="AQ608" s="304"/>
      <c r="AR608" s="304"/>
      <c r="AS608" s="304"/>
    </row>
    <row r="609" spans="2:45">
      <c r="B609" s="1254" t="s">
        <v>725</v>
      </c>
      <c r="C609" s="1255"/>
      <c r="D609" s="1255"/>
      <c r="E609" s="1255"/>
      <c r="F609" s="1256"/>
      <c r="G609" s="346"/>
      <c r="H609" s="389"/>
      <c r="I609" s="346"/>
      <c r="J609" s="390"/>
      <c r="L609" s="403"/>
      <c r="M609" s="403"/>
      <c r="N609" s="403"/>
      <c r="O609" s="403"/>
      <c r="P609" s="403"/>
      <c r="Q609" s="403"/>
      <c r="R609" s="403"/>
      <c r="S609" s="403"/>
      <c r="T609" s="403"/>
      <c r="U609" s="403"/>
      <c r="V609" s="403"/>
      <c r="W609" s="403"/>
      <c r="X609" s="403"/>
      <c r="Y609" s="403"/>
      <c r="Z609" s="367"/>
      <c r="AA609" s="304"/>
      <c r="AB609" s="304"/>
      <c r="AC609" s="304"/>
      <c r="AD609" s="304"/>
      <c r="AE609" s="304"/>
      <c r="AF609" s="304"/>
      <c r="AG609" s="304"/>
      <c r="AH609" s="304"/>
      <c r="AI609" s="304"/>
      <c r="AJ609" s="304"/>
      <c r="AK609" s="304"/>
      <c r="AL609" s="304"/>
      <c r="AM609" s="304"/>
      <c r="AN609" s="304"/>
      <c r="AO609" s="304"/>
      <c r="AP609" s="304"/>
      <c r="AQ609" s="304"/>
      <c r="AR609" s="304"/>
      <c r="AS609" s="304"/>
    </row>
    <row r="610" spans="2:45">
      <c r="B610" s="1257" t="s">
        <v>726</v>
      </c>
      <c r="C610" s="1258"/>
      <c r="D610" s="1258"/>
      <c r="E610" s="1258"/>
      <c r="F610" s="1258"/>
      <c r="G610" s="391"/>
      <c r="H610" s="392"/>
      <c r="I610" s="391"/>
      <c r="J610" s="393"/>
      <c r="L610" s="403"/>
      <c r="M610" s="403"/>
      <c r="N610" s="403"/>
      <c r="O610" s="403"/>
      <c r="P610" s="403"/>
      <c r="Q610" s="403"/>
      <c r="R610" s="403"/>
      <c r="S610" s="403"/>
      <c r="T610" s="403"/>
      <c r="U610" s="403"/>
      <c r="V610" s="403"/>
      <c r="W610" s="403"/>
      <c r="X610" s="403"/>
      <c r="Y610" s="403"/>
      <c r="Z610" s="367"/>
      <c r="AA610" s="304"/>
      <c r="AB610" s="304"/>
      <c r="AC610" s="304"/>
      <c r="AD610" s="304"/>
      <c r="AE610" s="304"/>
      <c r="AF610" s="304"/>
      <c r="AG610" s="304"/>
      <c r="AH610" s="304"/>
      <c r="AI610" s="304"/>
      <c r="AJ610" s="304"/>
      <c r="AK610" s="304"/>
      <c r="AL610" s="304"/>
      <c r="AM610" s="304"/>
      <c r="AN610" s="304"/>
      <c r="AO610" s="304"/>
      <c r="AP610" s="304"/>
      <c r="AQ610" s="304"/>
      <c r="AR610" s="304"/>
      <c r="AS610" s="304"/>
    </row>
    <row r="611" spans="2:45">
      <c r="B611" s="1259" t="s">
        <v>727</v>
      </c>
      <c r="C611" s="1260"/>
      <c r="D611" s="1260"/>
      <c r="E611" s="1260"/>
      <c r="F611" s="1261"/>
      <c r="G611" s="394"/>
      <c r="H611" s="395">
        <f>(G611*H601)*-1</f>
        <v>0</v>
      </c>
      <c r="I611" s="394"/>
      <c r="J611" s="396">
        <f>(I611*J601)*-1</f>
        <v>0</v>
      </c>
      <c r="L611" s="403"/>
      <c r="M611" s="403"/>
      <c r="N611" s="403"/>
      <c r="O611" s="403"/>
      <c r="P611" s="403"/>
      <c r="Q611" s="403"/>
      <c r="R611" s="403"/>
      <c r="S611" s="403"/>
      <c r="T611" s="403"/>
      <c r="U611" s="403"/>
      <c r="V611" s="403"/>
      <c r="W611" s="403"/>
      <c r="X611" s="403"/>
      <c r="Y611" s="403"/>
      <c r="Z611" s="367"/>
      <c r="AA611" s="304"/>
      <c r="AB611" s="304"/>
      <c r="AC611" s="304"/>
      <c r="AD611" s="304"/>
      <c r="AE611" s="304"/>
      <c r="AF611" s="304"/>
      <c r="AG611" s="304"/>
      <c r="AH611" s="304"/>
      <c r="AI611" s="304"/>
      <c r="AJ611" s="304"/>
      <c r="AK611" s="304"/>
      <c r="AL611" s="304"/>
      <c r="AM611" s="304"/>
      <c r="AN611" s="304"/>
      <c r="AO611" s="304"/>
      <c r="AP611" s="304"/>
      <c r="AQ611" s="304"/>
      <c r="AR611" s="304"/>
      <c r="AS611" s="304"/>
    </row>
    <row r="612" spans="2:45">
      <c r="B612" s="1237" t="s">
        <v>728</v>
      </c>
      <c r="C612" s="1238"/>
      <c r="D612" s="1238"/>
      <c r="E612" s="1238"/>
      <c r="F612" s="1239"/>
      <c r="G612" s="394"/>
      <c r="H612" s="395">
        <f>(G612*H601)*-1</f>
        <v>0</v>
      </c>
      <c r="I612" s="394"/>
      <c r="J612" s="396">
        <f>(I612*J601)*-1</f>
        <v>0</v>
      </c>
      <c r="L612" s="403"/>
      <c r="M612" s="403"/>
      <c r="N612" s="403"/>
      <c r="O612" s="403"/>
      <c r="P612" s="403"/>
      <c r="Q612" s="403"/>
      <c r="R612" s="403"/>
      <c r="S612" s="403"/>
      <c r="T612" s="403"/>
      <c r="U612" s="403"/>
      <c r="V612" s="403"/>
      <c r="W612" s="403"/>
      <c r="X612" s="403"/>
      <c r="Y612" s="403"/>
      <c r="Z612" s="367"/>
      <c r="AA612" s="304"/>
      <c r="AB612" s="304"/>
      <c r="AC612" s="304"/>
      <c r="AD612" s="304"/>
      <c r="AE612" s="304"/>
      <c r="AF612" s="304"/>
      <c r="AG612" s="304"/>
      <c r="AH612" s="304"/>
      <c r="AI612" s="304"/>
      <c r="AJ612" s="304"/>
      <c r="AK612" s="304"/>
      <c r="AL612" s="304"/>
      <c r="AM612" s="304"/>
      <c r="AN612" s="304"/>
      <c r="AO612" s="304"/>
      <c r="AP612" s="304"/>
      <c r="AQ612" s="304"/>
      <c r="AR612" s="304"/>
      <c r="AS612" s="304"/>
    </row>
    <row r="613" spans="2:45">
      <c r="B613" s="1237" t="s">
        <v>729</v>
      </c>
      <c r="C613" s="1238"/>
      <c r="D613" s="1238"/>
      <c r="E613" s="1238"/>
      <c r="F613" s="1239"/>
      <c r="G613" s="394"/>
      <c r="H613" s="395">
        <f>(G613*H601)*-1</f>
        <v>0</v>
      </c>
      <c r="I613" s="394"/>
      <c r="J613" s="396">
        <f>(I613*J601)*-1</f>
        <v>0</v>
      </c>
      <c r="L613" s="403"/>
      <c r="M613" s="403"/>
      <c r="N613" s="403"/>
      <c r="O613" s="403"/>
      <c r="P613" s="403"/>
      <c r="Q613" s="403"/>
      <c r="R613" s="403"/>
      <c r="S613" s="403"/>
      <c r="T613" s="403"/>
      <c r="U613" s="403"/>
      <c r="V613" s="403"/>
      <c r="W613" s="403"/>
      <c r="X613" s="403"/>
      <c r="Y613" s="403"/>
      <c r="Z613" s="367"/>
      <c r="AA613" s="304"/>
      <c r="AB613" s="304"/>
      <c r="AC613" s="304"/>
      <c r="AD613" s="304"/>
      <c r="AE613" s="304"/>
      <c r="AF613" s="304"/>
      <c r="AG613" s="304"/>
      <c r="AH613" s="304"/>
      <c r="AI613" s="304"/>
      <c r="AJ613" s="304"/>
      <c r="AK613" s="304"/>
      <c r="AL613" s="304"/>
      <c r="AM613" s="304"/>
      <c r="AN613" s="304"/>
      <c r="AO613" s="304"/>
      <c r="AP613" s="304"/>
      <c r="AQ613" s="304"/>
      <c r="AR613" s="304"/>
      <c r="AS613" s="304"/>
    </row>
    <row r="614" spans="2:45">
      <c r="B614" s="1240" t="s">
        <v>730</v>
      </c>
      <c r="C614" s="1241"/>
      <c r="D614" s="1241"/>
      <c r="E614" s="1241"/>
      <c r="F614" s="1242"/>
      <c r="G614" s="394"/>
      <c r="H614" s="395">
        <f>(G614*H601)*-1</f>
        <v>0</v>
      </c>
      <c r="I614" s="394"/>
      <c r="J614" s="396">
        <f>(I614*J601)*-1</f>
        <v>0</v>
      </c>
      <c r="L614" s="403"/>
      <c r="M614" s="403"/>
      <c r="N614" s="403"/>
      <c r="O614" s="403"/>
      <c r="P614" s="403"/>
      <c r="Q614" s="403"/>
      <c r="R614" s="403"/>
      <c r="S614" s="403"/>
      <c r="T614" s="403"/>
      <c r="U614" s="403"/>
      <c r="V614" s="403"/>
      <c r="W614" s="403"/>
      <c r="X614" s="403"/>
      <c r="Y614" s="403"/>
      <c r="Z614" s="367"/>
      <c r="AA614" s="304"/>
      <c r="AB614" s="304"/>
      <c r="AC614" s="304"/>
      <c r="AD614" s="304"/>
      <c r="AE614" s="304"/>
      <c r="AF614" s="304"/>
      <c r="AG614" s="304"/>
      <c r="AH614" s="304"/>
      <c r="AI614" s="304"/>
      <c r="AJ614" s="304"/>
      <c r="AK614" s="304"/>
      <c r="AL614" s="304"/>
      <c r="AM614" s="304"/>
      <c r="AN614" s="304"/>
      <c r="AO614" s="304"/>
      <c r="AP614" s="304"/>
      <c r="AQ614" s="304"/>
      <c r="AR614" s="304"/>
      <c r="AS614" s="304"/>
    </row>
    <row r="615" spans="2:45">
      <c r="B615" s="1229" t="s">
        <v>731</v>
      </c>
      <c r="C615" s="1230"/>
      <c r="D615" s="1230"/>
      <c r="E615" s="1230"/>
      <c r="F615" s="1230"/>
      <c r="G615" s="350"/>
      <c r="H615" s="351"/>
      <c r="I615" s="350"/>
      <c r="J615" s="352"/>
      <c r="L615" s="403"/>
      <c r="M615" s="403"/>
      <c r="N615" s="403"/>
      <c r="O615" s="403"/>
      <c r="P615" s="403"/>
      <c r="Q615" s="403"/>
      <c r="R615" s="403"/>
      <c r="S615" s="403"/>
      <c r="T615" s="403"/>
      <c r="U615" s="403"/>
      <c r="V615" s="403"/>
      <c r="W615" s="403"/>
      <c r="X615" s="403"/>
      <c r="Y615" s="403"/>
      <c r="Z615" s="367"/>
      <c r="AA615" s="304"/>
      <c r="AB615" s="304"/>
      <c r="AC615" s="304"/>
      <c r="AD615" s="304"/>
      <c r="AE615" s="304"/>
      <c r="AF615" s="304"/>
      <c r="AG615" s="304"/>
      <c r="AH615" s="304"/>
      <c r="AI615" s="304"/>
      <c r="AJ615" s="304"/>
      <c r="AK615" s="304"/>
      <c r="AL615" s="304"/>
      <c r="AM615" s="304"/>
      <c r="AN615" s="304"/>
      <c r="AO615" s="304"/>
      <c r="AP615" s="304"/>
      <c r="AQ615" s="304"/>
      <c r="AR615" s="304"/>
      <c r="AS615" s="304"/>
    </row>
    <row r="616" spans="2:45">
      <c r="B616" s="1243" t="s">
        <v>732</v>
      </c>
      <c r="C616" s="1244"/>
      <c r="D616" s="1244"/>
      <c r="E616" s="1244"/>
      <c r="F616" s="1245"/>
      <c r="G616" s="346"/>
      <c r="H616" s="384">
        <f>G616*H601</f>
        <v>0</v>
      </c>
      <c r="I616" s="346"/>
      <c r="J616" s="385">
        <f>I616*J601</f>
        <v>0</v>
      </c>
      <c r="L616" s="403"/>
      <c r="M616" s="403"/>
      <c r="N616" s="403"/>
      <c r="O616" s="403"/>
      <c r="P616" s="403"/>
      <c r="Q616" s="403"/>
      <c r="R616" s="403"/>
      <c r="S616" s="403"/>
      <c r="T616" s="403"/>
      <c r="U616" s="403"/>
      <c r="V616" s="403"/>
      <c r="W616" s="403"/>
      <c r="X616" s="403"/>
      <c r="Y616" s="403"/>
      <c r="Z616" s="367"/>
      <c r="AA616" s="304"/>
      <c r="AB616" s="304"/>
      <c r="AC616" s="304"/>
      <c r="AD616" s="304"/>
      <c r="AE616" s="304"/>
      <c r="AF616" s="304"/>
      <c r="AG616" s="304"/>
      <c r="AH616" s="304"/>
      <c r="AI616" s="304"/>
      <c r="AJ616" s="304"/>
      <c r="AK616" s="304"/>
      <c r="AL616" s="304"/>
      <c r="AM616" s="304"/>
      <c r="AN616" s="304"/>
      <c r="AO616" s="304"/>
      <c r="AP616" s="304"/>
      <c r="AQ616" s="304"/>
      <c r="AR616" s="304"/>
      <c r="AS616" s="304"/>
    </row>
    <row r="617" spans="2:45">
      <c r="B617" s="1223" t="s">
        <v>733</v>
      </c>
      <c r="C617" s="1224"/>
      <c r="D617" s="1224"/>
      <c r="E617" s="1224"/>
      <c r="F617" s="1225"/>
      <c r="G617" s="346"/>
      <c r="H617" s="384">
        <f>G617*H601</f>
        <v>0</v>
      </c>
      <c r="I617" s="346"/>
      <c r="J617" s="385">
        <f>I617*J601</f>
        <v>0</v>
      </c>
      <c r="L617" s="403"/>
      <c r="M617" s="403"/>
      <c r="N617" s="403"/>
      <c r="O617" s="403"/>
      <c r="P617" s="403"/>
      <c r="Q617" s="403"/>
      <c r="R617" s="403"/>
      <c r="S617" s="403"/>
      <c r="T617" s="403"/>
      <c r="U617" s="403"/>
      <c r="V617" s="403"/>
      <c r="W617" s="403"/>
      <c r="X617" s="403"/>
      <c r="Y617" s="403"/>
      <c r="Z617" s="367"/>
      <c r="AA617" s="304"/>
      <c r="AB617" s="304"/>
      <c r="AC617" s="304"/>
      <c r="AD617" s="304"/>
      <c r="AE617" s="304"/>
      <c r="AF617" s="304"/>
      <c r="AG617" s="304"/>
      <c r="AH617" s="304"/>
      <c r="AI617" s="304"/>
      <c r="AJ617" s="304"/>
      <c r="AK617" s="304"/>
      <c r="AL617" s="304"/>
      <c r="AM617" s="304"/>
      <c r="AN617" s="304"/>
      <c r="AO617" s="304"/>
      <c r="AP617" s="304"/>
      <c r="AQ617" s="304"/>
      <c r="AR617" s="304"/>
      <c r="AS617" s="304"/>
    </row>
    <row r="618" spans="2:45">
      <c r="B618" s="1223" t="s">
        <v>734</v>
      </c>
      <c r="C618" s="1224"/>
      <c r="D618" s="1224"/>
      <c r="E618" s="1224"/>
      <c r="F618" s="1225"/>
      <c r="G618" s="346"/>
      <c r="H618" s="384">
        <f>G618*H601</f>
        <v>0</v>
      </c>
      <c r="I618" s="346"/>
      <c r="J618" s="385">
        <f>I618*J601</f>
        <v>0</v>
      </c>
      <c r="L618" s="403"/>
      <c r="M618" s="403"/>
      <c r="N618" s="403"/>
      <c r="O618" s="403"/>
      <c r="P618" s="403"/>
      <c r="Q618" s="403"/>
      <c r="R618" s="403"/>
      <c r="S618" s="403"/>
      <c r="T618" s="403"/>
      <c r="U618" s="403"/>
      <c r="V618" s="403"/>
      <c r="W618" s="403"/>
      <c r="X618" s="403"/>
      <c r="Y618" s="403"/>
      <c r="Z618" s="367"/>
      <c r="AA618" s="304"/>
      <c r="AB618" s="304"/>
      <c r="AC618" s="304"/>
      <c r="AD618" s="304"/>
      <c r="AE618" s="304"/>
      <c r="AF618" s="304"/>
      <c r="AG618" s="304"/>
      <c r="AH618" s="304"/>
      <c r="AI618" s="304"/>
      <c r="AJ618" s="304"/>
      <c r="AK618" s="304"/>
      <c r="AL618" s="304"/>
      <c r="AM618" s="304"/>
      <c r="AN618" s="304"/>
      <c r="AO618" s="304"/>
      <c r="AP618" s="304"/>
      <c r="AQ618" s="304"/>
      <c r="AR618" s="304"/>
      <c r="AS618" s="304"/>
    </row>
    <row r="619" spans="2:45">
      <c r="B619" s="1172" t="s">
        <v>735</v>
      </c>
      <c r="C619" s="1173"/>
      <c r="D619" s="1173"/>
      <c r="E619" s="1173"/>
      <c r="F619" s="1173"/>
      <c r="G619" s="351"/>
      <c r="H619" s="397"/>
      <c r="I619" s="351"/>
      <c r="J619" s="398"/>
      <c r="L619" s="403"/>
      <c r="M619" s="403"/>
      <c r="N619" s="403"/>
      <c r="O619" s="403"/>
      <c r="P619" s="403"/>
      <c r="Q619" s="403"/>
      <c r="R619" s="403"/>
      <c r="S619" s="403"/>
      <c r="T619" s="403"/>
      <c r="U619" s="403"/>
      <c r="V619" s="403"/>
      <c r="W619" s="403"/>
      <c r="X619" s="403"/>
      <c r="Y619" s="403"/>
      <c r="Z619" s="367"/>
      <c r="AA619" s="304"/>
      <c r="AB619" s="304"/>
      <c r="AC619" s="304"/>
      <c r="AD619" s="304"/>
      <c r="AE619" s="304"/>
      <c r="AF619" s="304"/>
      <c r="AG619" s="304"/>
      <c r="AH619" s="304"/>
      <c r="AI619" s="304"/>
      <c r="AJ619" s="304"/>
      <c r="AK619" s="304"/>
      <c r="AL619" s="304"/>
      <c r="AM619" s="304"/>
      <c r="AN619" s="304"/>
      <c r="AO619" s="304"/>
      <c r="AP619" s="304"/>
      <c r="AQ619" s="304"/>
      <c r="AR619" s="304"/>
      <c r="AS619" s="304"/>
    </row>
    <row r="620" spans="2:45">
      <c r="B620" s="1226" t="s">
        <v>736</v>
      </c>
      <c r="C620" s="1227"/>
      <c r="D620" s="1227"/>
      <c r="E620" s="1227"/>
      <c r="F620" s="1228"/>
      <c r="G620" s="346"/>
      <c r="H620" s="384">
        <f>G620*H601</f>
        <v>0</v>
      </c>
      <c r="I620" s="346"/>
      <c r="J620" s="385">
        <f>I620*J601</f>
        <v>0</v>
      </c>
      <c r="L620" s="403"/>
      <c r="M620" s="403"/>
      <c r="N620" s="403"/>
      <c r="O620" s="403"/>
      <c r="P620" s="403"/>
      <c r="Q620" s="403"/>
      <c r="R620" s="403"/>
      <c r="S620" s="403"/>
      <c r="T620" s="403"/>
      <c r="U620" s="403"/>
      <c r="V620" s="403"/>
      <c r="W620" s="403"/>
      <c r="X620" s="403"/>
      <c r="Y620" s="403"/>
      <c r="Z620" s="367"/>
      <c r="AA620" s="304"/>
      <c r="AB620" s="304"/>
      <c r="AC620" s="304"/>
      <c r="AD620" s="304"/>
      <c r="AE620" s="304"/>
      <c r="AF620" s="304"/>
      <c r="AG620" s="304"/>
      <c r="AH620" s="304"/>
      <c r="AI620" s="304"/>
      <c r="AJ620" s="304"/>
      <c r="AK620" s="304"/>
      <c r="AL620" s="304"/>
      <c r="AM620" s="304"/>
      <c r="AN620" s="304"/>
      <c r="AO620" s="304"/>
      <c r="AP620" s="304"/>
      <c r="AQ620" s="304"/>
      <c r="AR620" s="304"/>
      <c r="AS620" s="304"/>
    </row>
    <row r="621" spans="2:45">
      <c r="B621" s="1229" t="s">
        <v>737</v>
      </c>
      <c r="C621" s="1230"/>
      <c r="D621" s="1230"/>
      <c r="E621" s="1230"/>
      <c r="F621" s="1230"/>
      <c r="G621" s="350"/>
      <c r="H621" s="351"/>
      <c r="I621" s="350"/>
      <c r="J621" s="352"/>
      <c r="L621" s="403"/>
      <c r="M621" s="403"/>
      <c r="N621" s="403"/>
      <c r="O621" s="403"/>
      <c r="P621" s="403"/>
      <c r="Q621" s="403"/>
      <c r="R621" s="403"/>
      <c r="S621" s="403"/>
      <c r="T621" s="403"/>
      <c r="U621" s="403"/>
      <c r="V621" s="403"/>
      <c r="W621" s="403"/>
      <c r="X621" s="403"/>
      <c r="Y621" s="403"/>
      <c r="Z621" s="367"/>
      <c r="AA621" s="304"/>
      <c r="AB621" s="304"/>
      <c r="AC621" s="304"/>
      <c r="AD621" s="304"/>
      <c r="AE621" s="304"/>
      <c r="AF621" s="304"/>
      <c r="AG621" s="304"/>
      <c r="AH621" s="304"/>
      <c r="AI621" s="304"/>
      <c r="AJ621" s="304"/>
      <c r="AK621" s="304"/>
      <c r="AL621" s="304"/>
      <c r="AM621" s="304"/>
      <c r="AN621" s="304"/>
      <c r="AO621" s="304"/>
      <c r="AP621" s="304"/>
      <c r="AQ621" s="304"/>
      <c r="AR621" s="304"/>
      <c r="AS621" s="304"/>
    </row>
    <row r="622" spans="2:45" ht="29.1" customHeight="1">
      <c r="B622" s="1231" t="s">
        <v>738</v>
      </c>
      <c r="C622" s="1232"/>
      <c r="D622" s="1232"/>
      <c r="E622" s="1232"/>
      <c r="F622" s="1233"/>
      <c r="G622" s="399"/>
      <c r="H622" s="359">
        <f>H601*G622*-1</f>
        <v>0</v>
      </c>
      <c r="I622" s="399"/>
      <c r="J622" s="400">
        <f>(J601*I622)*-1</f>
        <v>0</v>
      </c>
      <c r="L622" s="403"/>
      <c r="M622" s="403"/>
      <c r="N622" s="403"/>
      <c r="O622" s="403"/>
      <c r="P622" s="403"/>
      <c r="Q622" s="403"/>
      <c r="R622" s="403"/>
      <c r="S622" s="403"/>
      <c r="T622" s="403"/>
      <c r="U622" s="403"/>
      <c r="V622" s="403"/>
      <c r="W622" s="403"/>
      <c r="X622" s="403"/>
      <c r="Y622" s="403"/>
      <c r="Z622" s="367"/>
      <c r="AA622" s="304"/>
      <c r="AB622" s="304"/>
      <c r="AC622" s="304"/>
      <c r="AD622" s="304"/>
      <c r="AE622" s="304"/>
      <c r="AF622" s="304"/>
      <c r="AG622" s="304"/>
      <c r="AH622" s="304"/>
      <c r="AI622" s="304"/>
      <c r="AJ622" s="304"/>
      <c r="AK622" s="304"/>
      <c r="AL622" s="304"/>
      <c r="AM622" s="304"/>
      <c r="AN622" s="304"/>
      <c r="AO622" s="304"/>
      <c r="AP622" s="304"/>
      <c r="AQ622" s="304"/>
      <c r="AR622" s="304"/>
      <c r="AS622" s="304"/>
    </row>
    <row r="623" spans="2:45" ht="29.1" customHeight="1">
      <c r="B623" s="1234" t="s">
        <v>739</v>
      </c>
      <c r="C623" s="1235"/>
      <c r="D623" s="1235"/>
      <c r="E623" s="1235"/>
      <c r="F623" s="1236"/>
      <c r="G623" s="346"/>
      <c r="H623" s="401">
        <f>(H601*G623)*-1</f>
        <v>0</v>
      </c>
      <c r="I623" s="346"/>
      <c r="J623" s="402">
        <f>(J601*I623)*-1</f>
        <v>0</v>
      </c>
      <c r="L623" s="403"/>
      <c r="M623" s="403"/>
      <c r="N623" s="403"/>
      <c r="O623" s="403"/>
      <c r="P623" s="403"/>
      <c r="Q623" s="403"/>
      <c r="R623" s="403"/>
      <c r="S623" s="403"/>
      <c r="T623" s="403"/>
      <c r="U623" s="403"/>
      <c r="V623" s="403"/>
      <c r="W623" s="403"/>
      <c r="X623" s="403"/>
      <c r="Y623" s="403"/>
      <c r="Z623" s="367"/>
      <c r="AA623" s="304"/>
      <c r="AB623" s="304"/>
      <c r="AC623" s="304"/>
      <c r="AD623" s="304"/>
      <c r="AE623" s="304"/>
      <c r="AF623" s="304"/>
      <c r="AG623" s="304"/>
      <c r="AH623" s="304"/>
      <c r="AI623" s="304"/>
      <c r="AJ623" s="304"/>
      <c r="AK623" s="304"/>
      <c r="AL623" s="304"/>
      <c r="AM623" s="304"/>
      <c r="AN623" s="304"/>
      <c r="AO623" s="304"/>
      <c r="AP623" s="304"/>
      <c r="AQ623" s="304"/>
      <c r="AR623" s="304"/>
      <c r="AS623" s="304"/>
    </row>
    <row r="624" spans="2:45">
      <c r="B624" s="1211" t="s">
        <v>740</v>
      </c>
      <c r="C624" s="1212"/>
      <c r="D624" s="1212"/>
      <c r="E624" s="1212"/>
      <c r="F624" s="1213"/>
      <c r="G624" s="1214">
        <f>SUM(H605:H623)</f>
        <v>0</v>
      </c>
      <c r="H624" s="1215"/>
      <c r="I624" s="1214">
        <f>SUM(J607:J623)+J605</f>
        <v>0</v>
      </c>
      <c r="J624" s="1216"/>
      <c r="L624" s="403"/>
      <c r="M624" s="403"/>
      <c r="N624" s="403"/>
      <c r="O624" s="403"/>
      <c r="P624" s="403"/>
      <c r="Q624" s="403"/>
      <c r="R624" s="403"/>
      <c r="S624" s="403"/>
      <c r="T624" s="403"/>
      <c r="U624" s="403"/>
      <c r="V624" s="403"/>
      <c r="W624" s="403"/>
      <c r="X624" s="403"/>
      <c r="Y624" s="403"/>
      <c r="Z624" s="367"/>
      <c r="AA624" s="304"/>
      <c r="AB624" s="304"/>
      <c r="AC624" s="304"/>
      <c r="AD624" s="304"/>
      <c r="AE624" s="304"/>
      <c r="AF624" s="304"/>
      <c r="AG624" s="304"/>
      <c r="AH624" s="304"/>
      <c r="AI624" s="304"/>
      <c r="AJ624" s="304"/>
      <c r="AK624" s="304"/>
      <c r="AL624" s="304"/>
      <c r="AM624" s="304"/>
      <c r="AN624" s="304"/>
      <c r="AO624" s="304"/>
      <c r="AP624" s="304"/>
      <c r="AQ624" s="304"/>
      <c r="AR624" s="304"/>
      <c r="AS624" s="304"/>
    </row>
    <row r="625" spans="1:45" ht="18.75">
      <c r="B625" s="1217" t="s">
        <v>696</v>
      </c>
      <c r="C625" s="1218"/>
      <c r="D625" s="1218"/>
      <c r="E625" s="1218"/>
      <c r="F625" s="1219"/>
      <c r="G625" s="1161" t="str">
        <f>IF(OR(AC598=0, I624=0), "12 Month Average", "24 Month Average")</f>
        <v>12 Month Average</v>
      </c>
      <c r="H625" s="1162"/>
      <c r="I625" s="1162"/>
      <c r="J625" s="1163"/>
      <c r="L625" s="403"/>
      <c r="M625" s="403"/>
      <c r="N625" s="403"/>
      <c r="O625" s="403"/>
      <c r="P625" s="403"/>
      <c r="Q625" s="403"/>
      <c r="R625" s="403"/>
      <c r="S625" s="403"/>
      <c r="T625" s="403"/>
      <c r="U625" s="403"/>
      <c r="V625" s="403"/>
      <c r="W625" s="403"/>
      <c r="X625" s="403"/>
      <c r="Y625" s="403"/>
      <c r="Z625" s="367"/>
      <c r="AA625" s="304"/>
      <c r="AB625" s="304"/>
      <c r="AC625" s="304"/>
      <c r="AD625" s="304"/>
      <c r="AE625" s="304"/>
      <c r="AF625" s="304"/>
      <c r="AG625" s="304"/>
      <c r="AH625" s="304"/>
      <c r="AI625" s="304"/>
      <c r="AJ625" s="304"/>
      <c r="AK625" s="304"/>
      <c r="AL625" s="304"/>
      <c r="AM625" s="304"/>
      <c r="AN625" s="304"/>
      <c r="AO625" s="304"/>
      <c r="AP625" s="304"/>
      <c r="AQ625" s="304"/>
      <c r="AR625" s="304"/>
      <c r="AS625" s="304"/>
    </row>
    <row r="626" spans="1:45" ht="34.5" thickBot="1">
      <c r="B626" s="1220" t="s">
        <v>697</v>
      </c>
      <c r="C626" s="1221"/>
      <c r="D626" s="1221"/>
      <c r="E626" s="1221"/>
      <c r="F626" s="1222"/>
      <c r="G626" s="1167">
        <f>IF(OR(AC598=0, I624=0), AC600, AC601)</f>
        <v>0</v>
      </c>
      <c r="H626" s="1168"/>
      <c r="I626" s="1168"/>
      <c r="J626" s="1169"/>
      <c r="L626" s="403"/>
      <c r="M626" s="403"/>
      <c r="N626" s="403"/>
      <c r="O626" s="403"/>
      <c r="P626" s="403"/>
      <c r="Q626" s="403"/>
      <c r="R626" s="403"/>
      <c r="S626" s="403"/>
      <c r="T626" s="403"/>
      <c r="U626" s="403"/>
      <c r="V626" s="403"/>
      <c r="W626" s="403"/>
      <c r="X626" s="403"/>
      <c r="Y626" s="403"/>
      <c r="Z626" s="367"/>
      <c r="AA626" s="304"/>
      <c r="AB626" s="304"/>
      <c r="AC626" s="304"/>
      <c r="AD626" s="304"/>
    </row>
    <row r="627" spans="1:45" ht="9" customHeight="1" thickBot="1">
      <c r="H627" s="330"/>
      <c r="I627" s="330"/>
      <c r="L627" s="403"/>
      <c r="M627" s="403"/>
      <c r="N627" s="403"/>
      <c r="O627" s="403"/>
      <c r="P627" s="403"/>
      <c r="Q627" s="403"/>
      <c r="R627" s="403"/>
      <c r="S627" s="403"/>
      <c r="T627" s="403"/>
      <c r="U627" s="403"/>
      <c r="V627" s="403"/>
      <c r="W627" s="403"/>
      <c r="X627" s="403"/>
      <c r="Y627" s="403"/>
      <c r="Z627" s="367"/>
      <c r="AA627" s="304"/>
      <c r="AB627" s="304"/>
      <c r="AC627" s="304"/>
      <c r="AD627" s="304"/>
    </row>
    <row r="628" spans="1:45" ht="105" customHeight="1" thickBot="1">
      <c r="B628" s="1208" t="s">
        <v>645</v>
      </c>
      <c r="C628" s="1209"/>
      <c r="D628" s="1209"/>
      <c r="E628" s="1209"/>
      <c r="F628" s="1209"/>
      <c r="G628" s="1209"/>
      <c r="H628" s="1209"/>
      <c r="I628" s="1209"/>
      <c r="J628" s="1210"/>
      <c r="L628" s="367"/>
      <c r="M628" s="367"/>
      <c r="N628" s="367"/>
      <c r="O628" s="367"/>
      <c r="P628" s="367"/>
      <c r="Q628" s="367"/>
      <c r="R628" s="367"/>
      <c r="S628" s="367"/>
      <c r="T628" s="367"/>
      <c r="U628" s="367"/>
      <c r="V628" s="367"/>
      <c r="W628" s="367"/>
      <c r="X628" s="367"/>
      <c r="Y628" s="367"/>
      <c r="Z628" s="367"/>
      <c r="AA628" s="304"/>
      <c r="AB628" s="304"/>
      <c r="AC628" s="304"/>
      <c r="AD628" s="304"/>
    </row>
    <row r="629" spans="1:45">
      <c r="A629" s="304"/>
      <c r="B629" s="304"/>
      <c r="C629" s="304"/>
      <c r="D629" s="304"/>
      <c r="E629" s="304"/>
      <c r="F629" s="304"/>
      <c r="G629" s="304"/>
      <c r="H629" s="304"/>
      <c r="I629" s="304"/>
      <c r="J629" s="304"/>
      <c r="K629" s="304"/>
      <c r="L629" s="367"/>
      <c r="M629" s="367"/>
      <c r="N629" s="367"/>
      <c r="O629" s="367"/>
      <c r="P629" s="367"/>
      <c r="Q629" s="367"/>
      <c r="R629" s="367"/>
      <c r="S629" s="367"/>
      <c r="T629" s="367"/>
      <c r="U629" s="367"/>
      <c r="V629" s="367"/>
      <c r="W629" s="367"/>
      <c r="X629" s="367"/>
      <c r="Y629" s="367"/>
      <c r="Z629" s="367"/>
      <c r="AA629" s="304"/>
      <c r="AB629" s="304"/>
      <c r="AC629" s="304"/>
      <c r="AD629" s="304"/>
    </row>
    <row r="630" spans="1:45" ht="13.5" customHeight="1" thickBot="1">
      <c r="L630" s="304"/>
      <c r="M630" s="304"/>
      <c r="N630" s="304"/>
      <c r="O630" s="304"/>
      <c r="P630" s="304"/>
      <c r="Q630" s="304"/>
      <c r="R630" s="304"/>
      <c r="S630" s="304"/>
      <c r="T630" s="304"/>
      <c r="U630" s="304"/>
    </row>
    <row r="631" spans="1:45" ht="69" customHeight="1">
      <c r="B631" s="1187" t="s">
        <v>708</v>
      </c>
      <c r="C631" s="1188"/>
      <c r="D631" s="1188"/>
      <c r="E631" s="1188"/>
      <c r="F631" s="1188"/>
      <c r="G631" s="1188"/>
      <c r="H631" s="1188"/>
      <c r="I631" s="1188"/>
      <c r="J631" s="331" t="str">
        <f>'[3]Reference Sheet'!$B$2</f>
        <v>Rev. 4.12.2016</v>
      </c>
      <c r="L631" s="403"/>
      <c r="M631" s="403"/>
      <c r="N631" s="403"/>
      <c r="O631" s="403"/>
      <c r="P631" s="403"/>
      <c r="Q631" s="403"/>
      <c r="R631" s="403"/>
      <c r="S631" s="403"/>
      <c r="T631" s="403"/>
      <c r="U631" s="403"/>
      <c r="V631" s="403"/>
      <c r="W631" s="403"/>
      <c r="X631" s="403"/>
      <c r="Y631" s="403"/>
      <c r="Z631" s="367"/>
      <c r="AA631" s="304"/>
      <c r="AB631" s="304"/>
      <c r="AC631" s="304"/>
      <c r="AD631" s="304"/>
      <c r="AE631" s="304"/>
      <c r="AF631" s="304"/>
      <c r="AG631" s="304"/>
      <c r="AH631" s="304"/>
      <c r="AI631" s="304"/>
      <c r="AJ631" s="304"/>
      <c r="AK631" s="304"/>
      <c r="AL631" s="304"/>
      <c r="AM631" s="304"/>
      <c r="AN631" s="304"/>
      <c r="AO631" s="304"/>
      <c r="AP631" s="304"/>
      <c r="AQ631" s="304"/>
      <c r="AR631" s="304"/>
      <c r="AS631" s="304"/>
    </row>
    <row r="632" spans="1:45" ht="3.75" customHeight="1">
      <c r="B632" s="332"/>
      <c r="C632" s="333"/>
      <c r="D632" s="333"/>
      <c r="E632" s="333"/>
      <c r="F632" s="333"/>
      <c r="G632" s="333"/>
      <c r="H632" s="333"/>
      <c r="I632" s="333"/>
      <c r="J632" s="334"/>
      <c r="L632" s="403"/>
      <c r="M632" s="403"/>
      <c r="N632" s="403"/>
      <c r="O632" s="403"/>
      <c r="P632" s="403"/>
      <c r="Q632" s="403"/>
      <c r="R632" s="403"/>
      <c r="S632" s="403"/>
      <c r="T632" s="403"/>
      <c r="U632" s="403"/>
      <c r="V632" s="403"/>
      <c r="W632" s="403"/>
      <c r="X632" s="403"/>
      <c r="Y632" s="403"/>
      <c r="Z632" s="367"/>
      <c r="AA632" s="304"/>
      <c r="AB632" s="304"/>
      <c r="AC632" s="304"/>
      <c r="AD632" s="304"/>
      <c r="AE632" s="304"/>
      <c r="AF632" s="304"/>
      <c r="AG632" s="304"/>
      <c r="AH632" s="304"/>
      <c r="AI632" s="304"/>
      <c r="AJ632" s="304"/>
      <c r="AK632" s="304"/>
      <c r="AL632" s="304"/>
      <c r="AM632" s="304"/>
      <c r="AN632" s="304"/>
      <c r="AO632" s="304"/>
      <c r="AP632" s="304"/>
      <c r="AQ632" s="304"/>
      <c r="AR632" s="304"/>
      <c r="AS632" s="304"/>
    </row>
    <row r="633" spans="1:45" ht="18" customHeight="1" thickBot="1">
      <c r="B633" s="332"/>
      <c r="C633" s="368" t="s">
        <v>710</v>
      </c>
      <c r="D633" s="1189"/>
      <c r="E633" s="1190"/>
      <c r="F633" s="1190"/>
      <c r="G633" s="1190"/>
      <c r="H633" s="333"/>
      <c r="I633" s="333"/>
      <c r="J633" s="334"/>
      <c r="L633" s="403"/>
      <c r="M633" s="403"/>
      <c r="N633" s="403"/>
      <c r="O633" s="403"/>
      <c r="P633" s="403"/>
      <c r="Q633" s="403"/>
      <c r="R633" s="403"/>
      <c r="S633" s="403"/>
      <c r="T633" s="403"/>
      <c r="U633" s="403"/>
      <c r="V633" s="403"/>
      <c r="W633" s="403"/>
      <c r="X633" s="403"/>
      <c r="Y633" s="403"/>
      <c r="Z633" s="367"/>
      <c r="AA633" s="304"/>
      <c r="AB633" s="304" t="s">
        <v>680</v>
      </c>
      <c r="AC633" s="304">
        <f>IF(AND(J638=0, J642=0, J644=0, J653=0, J654=0, J655=0, J657=0, J659=0, J660=0, I661=0), 0, 1)</f>
        <v>1</v>
      </c>
      <c r="AD633" s="304"/>
      <c r="AE633" s="304"/>
      <c r="AF633" s="366" t="s">
        <v>596</v>
      </c>
      <c r="AG633" s="304"/>
      <c r="AH633" s="304"/>
      <c r="AI633" s="304"/>
      <c r="AJ633" s="304"/>
      <c r="AK633" s="304"/>
      <c r="AL633" s="304"/>
      <c r="AM633" s="304"/>
      <c r="AN633" s="304"/>
      <c r="AO633" s="304"/>
      <c r="AP633" s="304"/>
      <c r="AQ633" s="304"/>
      <c r="AR633" s="304"/>
      <c r="AS633" s="304"/>
    </row>
    <row r="634" spans="1:45" ht="18" customHeight="1" thickBot="1">
      <c r="B634" s="332"/>
      <c r="C634" s="368" t="s">
        <v>711</v>
      </c>
      <c r="D634" s="1277"/>
      <c r="E634" s="1278"/>
      <c r="F634" s="1278"/>
      <c r="G634" s="1278"/>
      <c r="H634" s="368" t="s">
        <v>712</v>
      </c>
      <c r="I634" s="1189"/>
      <c r="J634" s="1279"/>
      <c r="L634" s="403"/>
      <c r="M634" s="403"/>
      <c r="N634" s="403"/>
      <c r="O634" s="403"/>
      <c r="P634" s="403"/>
      <c r="Q634" s="403"/>
      <c r="R634" s="403"/>
      <c r="S634" s="403"/>
      <c r="T634" s="403"/>
      <c r="U634" s="403"/>
      <c r="V634" s="403"/>
      <c r="W634" s="403"/>
      <c r="X634" s="403"/>
      <c r="Y634" s="403"/>
      <c r="Z634" s="367"/>
      <c r="AA634" s="304"/>
      <c r="AB634" s="304" t="s">
        <v>682</v>
      </c>
      <c r="AC634" s="304">
        <f>IF(AND(G661&lt;=I661, I661&lt;&gt;0), 0, 1)</f>
        <v>1</v>
      </c>
      <c r="AD634" s="304"/>
      <c r="AE634" s="304"/>
      <c r="AF634" s="366" t="s">
        <v>683</v>
      </c>
      <c r="AG634" s="304"/>
      <c r="AH634" s="304"/>
      <c r="AI634" s="304"/>
      <c r="AJ634" s="304"/>
      <c r="AK634" s="304"/>
      <c r="AL634" s="304"/>
      <c r="AM634" s="304"/>
      <c r="AN634" s="304"/>
      <c r="AO634" s="304"/>
      <c r="AP634" s="304"/>
      <c r="AQ634" s="304"/>
      <c r="AR634" s="304"/>
      <c r="AS634" s="304"/>
    </row>
    <row r="635" spans="1:45" ht="18" customHeight="1" thickBot="1">
      <c r="B635" s="1176" t="s">
        <v>671</v>
      </c>
      <c r="C635" s="1177"/>
      <c r="D635" s="1280"/>
      <c r="E635" s="1281"/>
      <c r="F635" s="1281"/>
      <c r="G635" s="1281"/>
      <c r="H635" s="336" t="s">
        <v>673</v>
      </c>
      <c r="I635" s="369"/>
      <c r="J635" s="370"/>
      <c r="L635" s="403"/>
      <c r="M635" s="403"/>
      <c r="N635" s="403"/>
      <c r="O635" s="403"/>
      <c r="P635" s="403"/>
      <c r="Q635" s="403"/>
      <c r="R635" s="403"/>
      <c r="S635" s="403"/>
      <c r="T635" s="403"/>
      <c r="U635" s="403"/>
      <c r="V635" s="403"/>
      <c r="W635" s="403"/>
      <c r="X635" s="403"/>
      <c r="Y635" s="403"/>
      <c r="Z635" s="367"/>
      <c r="AA635" s="304"/>
      <c r="AB635" s="304" t="s">
        <v>685</v>
      </c>
      <c r="AC635" s="304">
        <f>IF(AND(AC634=0, AC633=1), 0, 1)</f>
        <v>1</v>
      </c>
      <c r="AD635" s="304"/>
      <c r="AE635" s="304"/>
      <c r="AF635" s="366" t="s">
        <v>599</v>
      </c>
      <c r="AG635" s="304"/>
      <c r="AH635" s="304"/>
      <c r="AI635" s="304"/>
      <c r="AJ635" s="304"/>
      <c r="AK635" s="304"/>
      <c r="AL635" s="304"/>
      <c r="AM635" s="304"/>
      <c r="AN635" s="304"/>
      <c r="AO635" s="304"/>
      <c r="AP635" s="304"/>
      <c r="AQ635" s="304"/>
      <c r="AR635" s="304"/>
      <c r="AS635" s="304"/>
    </row>
    <row r="636" spans="1:45" ht="18" customHeight="1" thickBot="1">
      <c r="B636" s="1176" t="s">
        <v>674</v>
      </c>
      <c r="C636" s="1177"/>
      <c r="D636" s="1262"/>
      <c r="E636" s="1263"/>
      <c r="F636" s="1263"/>
      <c r="G636" s="1263"/>
      <c r="H636" s="1263"/>
      <c r="I636" s="1263"/>
      <c r="J636" s="1264"/>
      <c r="L636" s="403"/>
      <c r="M636" s="403"/>
      <c r="N636" s="403"/>
      <c r="O636" s="403"/>
      <c r="P636" s="403"/>
      <c r="Q636" s="403"/>
      <c r="R636" s="403"/>
      <c r="S636" s="403"/>
      <c r="T636" s="403"/>
      <c r="U636" s="403"/>
      <c r="V636" s="403"/>
      <c r="W636" s="403"/>
      <c r="X636" s="403"/>
      <c r="Y636" s="403"/>
      <c r="Z636" s="367"/>
      <c r="AA636" s="304"/>
      <c r="AB636" s="304"/>
      <c r="AC636" s="304"/>
      <c r="AD636" s="304"/>
      <c r="AE636" s="304"/>
      <c r="AF636" s="366" t="s">
        <v>603</v>
      </c>
      <c r="AG636" s="304"/>
      <c r="AH636" s="304"/>
      <c r="AI636" s="304"/>
      <c r="AJ636" s="304"/>
      <c r="AK636" s="304"/>
      <c r="AL636" s="304"/>
      <c r="AM636" s="304"/>
      <c r="AN636" s="304"/>
      <c r="AO636" s="304"/>
      <c r="AP636" s="304"/>
      <c r="AQ636" s="304"/>
      <c r="AR636" s="304"/>
      <c r="AS636" s="304"/>
    </row>
    <row r="637" spans="1:45">
      <c r="B637" s="1265"/>
      <c r="C637" s="1266"/>
      <c r="D637" s="1266"/>
      <c r="E637" s="1266"/>
      <c r="F637" s="1267"/>
      <c r="G637" s="371" t="s">
        <v>713</v>
      </c>
      <c r="H637" s="372" t="s">
        <v>676</v>
      </c>
      <c r="I637" s="342"/>
      <c r="J637" s="373" t="s">
        <v>677</v>
      </c>
      <c r="L637" s="403"/>
      <c r="M637" s="403"/>
      <c r="N637" s="403"/>
      <c r="O637" s="403"/>
      <c r="P637" s="403"/>
      <c r="Q637" s="403"/>
      <c r="R637" s="403"/>
      <c r="S637" s="403"/>
      <c r="T637" s="403"/>
      <c r="U637" s="403"/>
      <c r="V637" s="403"/>
      <c r="W637" s="403"/>
      <c r="X637" s="403"/>
      <c r="Y637" s="403"/>
      <c r="Z637" s="367"/>
      <c r="AA637" s="304"/>
      <c r="AB637" s="304" t="s">
        <v>689</v>
      </c>
      <c r="AC637" s="374">
        <f>G661/12</f>
        <v>0</v>
      </c>
      <c r="AD637" s="304"/>
      <c r="AE637" s="304"/>
      <c r="AF637" s="366" t="s">
        <v>605</v>
      </c>
      <c r="AG637" s="304"/>
      <c r="AH637" s="304"/>
      <c r="AI637" s="304"/>
      <c r="AJ637" s="304"/>
      <c r="AK637" s="304"/>
      <c r="AL637" s="304"/>
      <c r="AM637" s="304"/>
      <c r="AN637" s="304"/>
      <c r="AO637" s="304"/>
      <c r="AP637" s="304"/>
      <c r="AQ637" s="304"/>
      <c r="AR637" s="304"/>
      <c r="AS637" s="304"/>
    </row>
    <row r="638" spans="1:45">
      <c r="B638" s="1268"/>
      <c r="C638" s="1266"/>
      <c r="D638" s="1266"/>
      <c r="E638" s="1266"/>
      <c r="F638" s="1267"/>
      <c r="G638" s="375" t="s">
        <v>714</v>
      </c>
      <c r="H638" s="376"/>
      <c r="I638" s="1272"/>
      <c r="J638" s="378"/>
      <c r="L638" s="403"/>
      <c r="M638" s="403"/>
      <c r="N638" s="403"/>
      <c r="O638" s="403"/>
      <c r="P638" s="403"/>
      <c r="Q638" s="403"/>
      <c r="R638" s="403"/>
      <c r="S638" s="403"/>
      <c r="T638" s="403"/>
      <c r="U638" s="403"/>
      <c r="V638" s="403"/>
      <c r="W638" s="403"/>
      <c r="X638" s="403"/>
      <c r="Y638" s="403"/>
      <c r="Z638" s="367"/>
      <c r="AA638" s="304"/>
      <c r="AB638" s="304" t="s">
        <v>691</v>
      </c>
      <c r="AC638" s="374">
        <f>(G661+I661)/24</f>
        <v>0</v>
      </c>
      <c r="AD638" s="304"/>
      <c r="AE638" s="304"/>
      <c r="AF638" s="304"/>
      <c r="AG638" s="304"/>
      <c r="AH638" s="304"/>
      <c r="AI638" s="304"/>
      <c r="AJ638" s="304"/>
      <c r="AK638" s="304"/>
      <c r="AL638" s="304"/>
      <c r="AM638" s="304"/>
      <c r="AN638" s="304"/>
      <c r="AO638" s="304"/>
      <c r="AP638" s="304"/>
      <c r="AQ638" s="304"/>
      <c r="AR638" s="304"/>
      <c r="AS638" s="304"/>
    </row>
    <row r="639" spans="1:45">
      <c r="B639" s="1268"/>
      <c r="C639" s="1266"/>
      <c r="D639" s="1266"/>
      <c r="E639" s="1266"/>
      <c r="F639" s="1267"/>
      <c r="G639" s="379" t="s">
        <v>715</v>
      </c>
      <c r="H639" s="380"/>
      <c r="I639" s="1272"/>
      <c r="J639" s="378"/>
      <c r="L639" s="403"/>
      <c r="M639" s="403"/>
      <c r="N639" s="403"/>
      <c r="O639" s="403"/>
      <c r="P639" s="403"/>
      <c r="Q639" s="403"/>
      <c r="R639" s="403"/>
      <c r="S639" s="403"/>
      <c r="T639" s="403"/>
      <c r="U639" s="403"/>
      <c r="V639" s="403"/>
      <c r="W639" s="403"/>
      <c r="X639" s="403"/>
      <c r="Y639" s="403"/>
      <c r="Z639" s="367"/>
      <c r="AA639" s="304"/>
      <c r="AB639" s="304"/>
      <c r="AC639" s="304"/>
      <c r="AD639" s="304"/>
      <c r="AE639" s="304"/>
      <c r="AF639" s="304"/>
      <c r="AG639" s="304"/>
      <c r="AH639" s="304"/>
      <c r="AI639" s="304"/>
      <c r="AJ639" s="304"/>
      <c r="AK639" s="304"/>
      <c r="AL639" s="304"/>
      <c r="AM639" s="304"/>
      <c r="AN639" s="304"/>
      <c r="AO639" s="304"/>
      <c r="AP639" s="304"/>
      <c r="AQ639" s="304"/>
      <c r="AR639" s="304"/>
      <c r="AS639" s="304"/>
    </row>
    <row r="640" spans="1:45" ht="15.75" thickBot="1">
      <c r="B640" s="1269"/>
      <c r="C640" s="1270"/>
      <c r="D640" s="1270"/>
      <c r="E640" s="1270"/>
      <c r="F640" s="1271"/>
      <c r="G640" s="379" t="s">
        <v>716</v>
      </c>
      <c r="H640" s="376"/>
      <c r="I640" s="1272"/>
      <c r="J640" s="378"/>
      <c r="L640" s="403"/>
      <c r="M640" s="403"/>
      <c r="N640" s="403"/>
      <c r="O640" s="403"/>
      <c r="P640" s="403"/>
      <c r="Q640" s="403"/>
      <c r="R640" s="403"/>
      <c r="S640" s="403"/>
      <c r="T640" s="403"/>
      <c r="U640" s="403"/>
      <c r="V640" s="403"/>
      <c r="W640" s="403"/>
      <c r="X640" s="403"/>
      <c r="Y640" s="403"/>
      <c r="Z640" s="367"/>
      <c r="AA640" s="304"/>
      <c r="AB640" s="304" t="s">
        <v>717</v>
      </c>
      <c r="AC640" s="304" t="str">
        <f>IF(OR(H638=0, H638&gt;100%), "Year End Profit %", (G644+G645+G646))</f>
        <v>Year End Profit %</v>
      </c>
      <c r="AD640" s="304"/>
      <c r="AE640" s="304"/>
      <c r="AF640" s="304"/>
      <c r="AG640" s="304"/>
      <c r="AH640" s="304"/>
      <c r="AI640" s="304"/>
      <c r="AJ640" s="304"/>
      <c r="AK640" s="304"/>
      <c r="AL640" s="304"/>
      <c r="AM640" s="304"/>
      <c r="AN640" s="304"/>
      <c r="AO640" s="304"/>
      <c r="AP640" s="304"/>
      <c r="AQ640" s="304"/>
      <c r="AR640" s="304"/>
      <c r="AS640" s="304"/>
    </row>
    <row r="641" spans="2:45" ht="18.75">
      <c r="B641" s="1229" t="s">
        <v>718</v>
      </c>
      <c r="C641" s="1273"/>
      <c r="D641" s="1273"/>
      <c r="E641" s="1273"/>
      <c r="F641" s="1273"/>
      <c r="G641" s="377" t="s">
        <v>719</v>
      </c>
      <c r="H641" s="381"/>
      <c r="I641" s="377" t="s">
        <v>719</v>
      </c>
      <c r="J641" s="382"/>
      <c r="L641" s="403"/>
      <c r="M641" s="403"/>
      <c r="N641" s="403"/>
      <c r="O641" s="403"/>
      <c r="P641" s="403"/>
      <c r="Q641" s="403"/>
      <c r="R641" s="403"/>
      <c r="S641" s="403"/>
      <c r="T641" s="403"/>
      <c r="U641" s="403"/>
      <c r="V641" s="403"/>
      <c r="W641" s="403"/>
      <c r="X641" s="403"/>
      <c r="Y641" s="403"/>
      <c r="Z641" s="367"/>
      <c r="AA641" s="304"/>
      <c r="AB641" s="304" t="s">
        <v>720</v>
      </c>
      <c r="AC641" s="304" t="str">
        <f>IF(OR(J638&gt;100%, J638=0), "Year End Profit %", (I644+I645+I646))</f>
        <v>Year End Profit %</v>
      </c>
      <c r="AD641" s="383"/>
      <c r="AE641" s="304"/>
      <c r="AF641" s="304"/>
      <c r="AG641" s="304"/>
      <c r="AH641" s="304"/>
      <c r="AI641" s="304"/>
      <c r="AJ641" s="304"/>
      <c r="AK641" s="304"/>
      <c r="AL641" s="304"/>
      <c r="AM641" s="304"/>
      <c r="AN641" s="304"/>
      <c r="AO641" s="304"/>
      <c r="AP641" s="304"/>
      <c r="AQ641" s="304"/>
      <c r="AR641" s="304"/>
      <c r="AS641" s="304"/>
    </row>
    <row r="642" spans="2:45">
      <c r="B642" s="1274" t="s">
        <v>721</v>
      </c>
      <c r="C642" s="1275"/>
      <c r="D642" s="1275"/>
      <c r="E642" s="1275"/>
      <c r="F642" s="1276"/>
      <c r="G642" s="346"/>
      <c r="H642" s="384">
        <f>G642</f>
        <v>0</v>
      </c>
      <c r="I642" s="364"/>
      <c r="J642" s="385">
        <f>I642</f>
        <v>0</v>
      </c>
      <c r="L642" s="403"/>
      <c r="M642" s="403"/>
      <c r="N642" s="403"/>
      <c r="O642" s="403"/>
      <c r="P642" s="403"/>
      <c r="Q642" s="403"/>
      <c r="R642" s="403"/>
      <c r="S642" s="403"/>
      <c r="T642" s="403"/>
      <c r="U642" s="403"/>
      <c r="V642" s="403"/>
      <c r="W642" s="403"/>
      <c r="X642" s="403"/>
      <c r="Y642" s="403"/>
      <c r="Z642" s="367"/>
      <c r="AA642" s="304"/>
      <c r="AB642" s="304"/>
      <c r="AC642" s="304"/>
      <c r="AD642" s="304"/>
      <c r="AE642" s="304"/>
      <c r="AF642" s="304"/>
      <c r="AG642" s="304"/>
      <c r="AH642" s="304"/>
      <c r="AI642" s="304"/>
      <c r="AJ642" s="304"/>
      <c r="AK642" s="304"/>
      <c r="AL642" s="304"/>
      <c r="AM642" s="304"/>
      <c r="AN642" s="304"/>
      <c r="AO642" s="304"/>
      <c r="AP642" s="304"/>
      <c r="AQ642" s="304"/>
      <c r="AR642" s="304"/>
      <c r="AS642" s="304"/>
    </row>
    <row r="643" spans="2:45">
      <c r="B643" s="1246" t="s">
        <v>722</v>
      </c>
      <c r="C643" s="1247"/>
      <c r="D643" s="1247"/>
      <c r="E643" s="1247"/>
      <c r="F643" s="1247"/>
      <c r="G643" s="377"/>
      <c r="H643" s="381"/>
      <c r="I643" s="386"/>
      <c r="J643" s="382"/>
      <c r="L643" s="403"/>
      <c r="M643" s="403"/>
      <c r="N643" s="403"/>
      <c r="O643" s="403"/>
      <c r="P643" s="403"/>
      <c r="Q643" s="403"/>
      <c r="R643" s="403"/>
      <c r="S643" s="403"/>
      <c r="T643" s="403"/>
      <c r="U643" s="403"/>
      <c r="V643" s="403"/>
      <c r="W643" s="403"/>
      <c r="X643" s="403"/>
      <c r="Y643" s="403"/>
      <c r="Z643" s="367"/>
      <c r="AA643" s="304"/>
      <c r="AB643" s="304"/>
      <c r="AC643" s="304"/>
      <c r="AD643" s="304"/>
      <c r="AE643" s="304"/>
      <c r="AF643" s="304"/>
      <c r="AG643" s="304"/>
      <c r="AH643" s="304"/>
      <c r="AI643" s="304"/>
      <c r="AJ643" s="304"/>
      <c r="AK643" s="304"/>
      <c r="AL643" s="304"/>
      <c r="AM643" s="304"/>
      <c r="AN643" s="304"/>
      <c r="AO643" s="304"/>
      <c r="AP643" s="304"/>
      <c r="AQ643" s="304"/>
      <c r="AR643" s="304"/>
      <c r="AS643" s="304"/>
    </row>
    <row r="644" spans="2:45">
      <c r="B644" s="1248" t="s">
        <v>723</v>
      </c>
      <c r="C644" s="1249"/>
      <c r="D644" s="1249"/>
      <c r="E644" s="1249"/>
      <c r="F644" s="1250"/>
      <c r="G644" s="346"/>
      <c r="H644" s="387" t="str">
        <f>AC640</f>
        <v>Year End Profit %</v>
      </c>
      <c r="I644" s="346"/>
      <c r="J644" s="388" t="str">
        <f>AC641</f>
        <v>Year End Profit %</v>
      </c>
      <c r="L644" s="403"/>
      <c r="M644" s="403"/>
      <c r="N644" s="403"/>
      <c r="O644" s="403"/>
      <c r="P644" s="403"/>
      <c r="Q644" s="403"/>
      <c r="R644" s="403"/>
      <c r="S644" s="403"/>
      <c r="T644" s="403"/>
      <c r="U644" s="403"/>
      <c r="V644" s="403"/>
      <c r="W644" s="403"/>
      <c r="X644" s="403"/>
      <c r="Y644" s="403"/>
      <c r="Z644" s="367"/>
      <c r="AA644" s="304"/>
      <c r="AB644" s="304"/>
      <c r="AC644" s="304"/>
      <c r="AD644" s="304"/>
      <c r="AE644" s="304"/>
      <c r="AF644" s="304"/>
      <c r="AG644" s="304"/>
      <c r="AH644" s="304"/>
      <c r="AI644" s="304"/>
      <c r="AJ644" s="304"/>
      <c r="AK644" s="304"/>
      <c r="AL644" s="304"/>
      <c r="AM644" s="304"/>
      <c r="AN644" s="304"/>
      <c r="AO644" s="304"/>
      <c r="AP644" s="304"/>
      <c r="AQ644" s="304"/>
      <c r="AR644" s="304"/>
      <c r="AS644" s="304"/>
    </row>
    <row r="645" spans="2:45">
      <c r="B645" s="1251" t="s">
        <v>724</v>
      </c>
      <c r="C645" s="1252"/>
      <c r="D645" s="1252"/>
      <c r="E645" s="1252"/>
      <c r="F645" s="1253"/>
      <c r="G645" s="346"/>
      <c r="H645" s="389"/>
      <c r="I645" s="346"/>
      <c r="J645" s="390"/>
      <c r="L645" s="403"/>
      <c r="M645" s="403"/>
      <c r="N645" s="403"/>
      <c r="O645" s="403"/>
      <c r="P645" s="403"/>
      <c r="Q645" s="403"/>
      <c r="R645" s="403"/>
      <c r="S645" s="403"/>
      <c r="T645" s="403"/>
      <c r="U645" s="403"/>
      <c r="V645" s="403"/>
      <c r="W645" s="403"/>
      <c r="X645" s="403"/>
      <c r="Y645" s="403"/>
      <c r="Z645" s="367"/>
      <c r="AA645" s="304"/>
      <c r="AB645" s="304"/>
      <c r="AC645" s="304"/>
      <c r="AD645" s="304"/>
      <c r="AE645" s="304"/>
      <c r="AF645" s="304"/>
      <c r="AG645" s="304"/>
      <c r="AH645" s="304"/>
      <c r="AI645" s="304"/>
      <c r="AJ645" s="304"/>
      <c r="AK645" s="304"/>
      <c r="AL645" s="304"/>
      <c r="AM645" s="304"/>
      <c r="AN645" s="304"/>
      <c r="AO645" s="304"/>
      <c r="AP645" s="304"/>
      <c r="AQ645" s="304"/>
      <c r="AR645" s="304"/>
      <c r="AS645" s="304"/>
    </row>
    <row r="646" spans="2:45">
      <c r="B646" s="1254" t="s">
        <v>725</v>
      </c>
      <c r="C646" s="1255"/>
      <c r="D646" s="1255"/>
      <c r="E646" s="1255"/>
      <c r="F646" s="1256"/>
      <c r="G646" s="346"/>
      <c r="H646" s="389"/>
      <c r="I646" s="346"/>
      <c r="J646" s="390"/>
      <c r="L646" s="403"/>
      <c r="M646" s="403"/>
      <c r="N646" s="403"/>
      <c r="O646" s="403"/>
      <c r="P646" s="403"/>
      <c r="Q646" s="403"/>
      <c r="R646" s="403"/>
      <c r="S646" s="403"/>
      <c r="T646" s="403"/>
      <c r="U646" s="403"/>
      <c r="V646" s="403"/>
      <c r="W646" s="403"/>
      <c r="X646" s="403"/>
      <c r="Y646" s="403"/>
      <c r="Z646" s="367"/>
      <c r="AA646" s="304"/>
      <c r="AB646" s="304"/>
      <c r="AC646" s="304"/>
      <c r="AD646" s="304"/>
      <c r="AE646" s="304"/>
      <c r="AF646" s="304"/>
      <c r="AG646" s="304"/>
      <c r="AH646" s="304"/>
      <c r="AI646" s="304"/>
      <c r="AJ646" s="304"/>
      <c r="AK646" s="304"/>
      <c r="AL646" s="304"/>
      <c r="AM646" s="304"/>
      <c r="AN646" s="304"/>
      <c r="AO646" s="304"/>
      <c r="AP646" s="304"/>
      <c r="AQ646" s="304"/>
      <c r="AR646" s="304"/>
      <c r="AS646" s="304"/>
    </row>
    <row r="647" spans="2:45">
      <c r="B647" s="1257" t="s">
        <v>726</v>
      </c>
      <c r="C647" s="1258"/>
      <c r="D647" s="1258"/>
      <c r="E647" s="1258"/>
      <c r="F647" s="1258"/>
      <c r="G647" s="391"/>
      <c r="H647" s="392"/>
      <c r="I647" s="391"/>
      <c r="J647" s="393"/>
      <c r="L647" s="403"/>
      <c r="M647" s="403"/>
      <c r="N647" s="403"/>
      <c r="O647" s="403"/>
      <c r="P647" s="403"/>
      <c r="Q647" s="403"/>
      <c r="R647" s="403"/>
      <c r="S647" s="403"/>
      <c r="T647" s="403"/>
      <c r="U647" s="403"/>
      <c r="V647" s="403"/>
      <c r="W647" s="403"/>
      <c r="X647" s="403"/>
      <c r="Y647" s="403"/>
      <c r="Z647" s="367"/>
      <c r="AA647" s="304"/>
      <c r="AB647" s="304"/>
      <c r="AC647" s="304"/>
      <c r="AD647" s="304"/>
      <c r="AE647" s="304"/>
      <c r="AF647" s="304"/>
      <c r="AG647" s="304"/>
      <c r="AH647" s="304"/>
      <c r="AI647" s="304"/>
      <c r="AJ647" s="304"/>
      <c r="AK647" s="304"/>
      <c r="AL647" s="304"/>
      <c r="AM647" s="304"/>
      <c r="AN647" s="304"/>
      <c r="AO647" s="304"/>
      <c r="AP647" s="304"/>
      <c r="AQ647" s="304"/>
      <c r="AR647" s="304"/>
      <c r="AS647" s="304"/>
    </row>
    <row r="648" spans="2:45">
      <c r="B648" s="1259" t="s">
        <v>727</v>
      </c>
      <c r="C648" s="1260"/>
      <c r="D648" s="1260"/>
      <c r="E648" s="1260"/>
      <c r="F648" s="1261"/>
      <c r="G648" s="394"/>
      <c r="H648" s="395">
        <f>(G648*H638)*-1</f>
        <v>0</v>
      </c>
      <c r="I648" s="394"/>
      <c r="J648" s="396">
        <f>(I648*J638)*-1</f>
        <v>0</v>
      </c>
      <c r="L648" s="403"/>
      <c r="M648" s="403"/>
      <c r="N648" s="403"/>
      <c r="O648" s="403"/>
      <c r="P648" s="403"/>
      <c r="Q648" s="403"/>
      <c r="R648" s="403"/>
      <c r="S648" s="403"/>
      <c r="T648" s="403"/>
      <c r="U648" s="403"/>
      <c r="V648" s="403"/>
      <c r="W648" s="403"/>
      <c r="X648" s="403"/>
      <c r="Y648" s="403"/>
      <c r="Z648" s="367"/>
      <c r="AA648" s="304"/>
      <c r="AB648" s="304"/>
      <c r="AC648" s="304"/>
      <c r="AD648" s="304"/>
      <c r="AE648" s="304"/>
      <c r="AF648" s="304"/>
      <c r="AG648" s="304"/>
      <c r="AH648" s="304"/>
      <c r="AI648" s="304"/>
      <c r="AJ648" s="304"/>
      <c r="AK648" s="304"/>
      <c r="AL648" s="304"/>
      <c r="AM648" s="304"/>
      <c r="AN648" s="304"/>
      <c r="AO648" s="304"/>
      <c r="AP648" s="304"/>
      <c r="AQ648" s="304"/>
      <c r="AR648" s="304"/>
      <c r="AS648" s="304"/>
    </row>
    <row r="649" spans="2:45">
      <c r="B649" s="1237" t="s">
        <v>728</v>
      </c>
      <c r="C649" s="1238"/>
      <c r="D649" s="1238"/>
      <c r="E649" s="1238"/>
      <c r="F649" s="1239"/>
      <c r="G649" s="394"/>
      <c r="H649" s="395">
        <f>(G649*H638)*-1</f>
        <v>0</v>
      </c>
      <c r="I649" s="394"/>
      <c r="J649" s="396">
        <f>(I649*J638)*-1</f>
        <v>0</v>
      </c>
      <c r="L649" s="403"/>
      <c r="M649" s="403"/>
      <c r="N649" s="403"/>
      <c r="O649" s="403"/>
      <c r="P649" s="403"/>
      <c r="Q649" s="403"/>
      <c r="R649" s="403"/>
      <c r="S649" s="403"/>
      <c r="T649" s="403"/>
      <c r="U649" s="403"/>
      <c r="V649" s="403"/>
      <c r="W649" s="403"/>
      <c r="X649" s="403"/>
      <c r="Y649" s="403"/>
      <c r="Z649" s="367"/>
      <c r="AA649" s="304"/>
      <c r="AB649" s="304"/>
      <c r="AC649" s="304"/>
      <c r="AD649" s="304"/>
      <c r="AE649" s="304"/>
      <c r="AF649" s="304"/>
      <c r="AG649" s="304"/>
      <c r="AH649" s="304"/>
      <c r="AI649" s="304"/>
      <c r="AJ649" s="304"/>
      <c r="AK649" s="304"/>
      <c r="AL649" s="304"/>
      <c r="AM649" s="304"/>
      <c r="AN649" s="304"/>
      <c r="AO649" s="304"/>
      <c r="AP649" s="304"/>
      <c r="AQ649" s="304"/>
      <c r="AR649" s="304"/>
      <c r="AS649" s="304"/>
    </row>
    <row r="650" spans="2:45">
      <c r="B650" s="1237" t="s">
        <v>729</v>
      </c>
      <c r="C650" s="1238"/>
      <c r="D650" s="1238"/>
      <c r="E650" s="1238"/>
      <c r="F650" s="1239"/>
      <c r="G650" s="394"/>
      <c r="H650" s="395">
        <f>(G650*H638)*-1</f>
        <v>0</v>
      </c>
      <c r="I650" s="394"/>
      <c r="J650" s="396">
        <f>(I650*J638)*-1</f>
        <v>0</v>
      </c>
      <c r="L650" s="403"/>
      <c r="M650" s="403"/>
      <c r="N650" s="403"/>
      <c r="O650" s="403"/>
      <c r="P650" s="403"/>
      <c r="Q650" s="403"/>
      <c r="R650" s="403"/>
      <c r="S650" s="403"/>
      <c r="T650" s="403"/>
      <c r="U650" s="403"/>
      <c r="V650" s="403"/>
      <c r="W650" s="403"/>
      <c r="X650" s="403"/>
      <c r="Y650" s="403"/>
      <c r="Z650" s="367"/>
      <c r="AA650" s="304"/>
      <c r="AB650" s="304"/>
      <c r="AC650" s="304"/>
      <c r="AD650" s="304"/>
      <c r="AE650" s="304"/>
      <c r="AF650" s="304"/>
      <c r="AG650" s="304"/>
      <c r="AH650" s="304"/>
      <c r="AI650" s="304"/>
      <c r="AJ650" s="304"/>
      <c r="AK650" s="304"/>
      <c r="AL650" s="304"/>
      <c r="AM650" s="304"/>
      <c r="AN650" s="304"/>
      <c r="AO650" s="304"/>
      <c r="AP650" s="304"/>
      <c r="AQ650" s="304"/>
      <c r="AR650" s="304"/>
      <c r="AS650" s="304"/>
    </row>
    <row r="651" spans="2:45">
      <c r="B651" s="1240" t="s">
        <v>730</v>
      </c>
      <c r="C651" s="1241"/>
      <c r="D651" s="1241"/>
      <c r="E651" s="1241"/>
      <c r="F651" s="1242"/>
      <c r="G651" s="394"/>
      <c r="H651" s="395">
        <f>(G651*H638)*-1</f>
        <v>0</v>
      </c>
      <c r="I651" s="394"/>
      <c r="J651" s="396">
        <f>(I651*J638)*-1</f>
        <v>0</v>
      </c>
      <c r="L651" s="403"/>
      <c r="M651" s="403"/>
      <c r="N651" s="403"/>
      <c r="O651" s="403"/>
      <c r="P651" s="403"/>
      <c r="Q651" s="403"/>
      <c r="R651" s="403"/>
      <c r="S651" s="403"/>
      <c r="T651" s="403"/>
      <c r="U651" s="403"/>
      <c r="V651" s="403"/>
      <c r="W651" s="403"/>
      <c r="X651" s="403"/>
      <c r="Y651" s="403"/>
      <c r="Z651" s="367"/>
      <c r="AA651" s="304"/>
      <c r="AB651" s="304"/>
      <c r="AC651" s="304"/>
      <c r="AD651" s="304"/>
      <c r="AE651" s="304"/>
      <c r="AF651" s="304"/>
      <c r="AG651" s="304"/>
      <c r="AH651" s="304"/>
      <c r="AI651" s="304"/>
      <c r="AJ651" s="304"/>
      <c r="AK651" s="304"/>
      <c r="AL651" s="304"/>
      <c r="AM651" s="304"/>
      <c r="AN651" s="304"/>
      <c r="AO651" s="304"/>
      <c r="AP651" s="304"/>
      <c r="AQ651" s="304"/>
      <c r="AR651" s="304"/>
      <c r="AS651" s="304"/>
    </row>
    <row r="652" spans="2:45">
      <c r="B652" s="1229" t="s">
        <v>731</v>
      </c>
      <c r="C652" s="1230"/>
      <c r="D652" s="1230"/>
      <c r="E652" s="1230"/>
      <c r="F652" s="1230"/>
      <c r="G652" s="350"/>
      <c r="H652" s="351"/>
      <c r="I652" s="350"/>
      <c r="J652" s="352"/>
      <c r="L652" s="403"/>
      <c r="M652" s="403"/>
      <c r="N652" s="403"/>
      <c r="O652" s="403"/>
      <c r="P652" s="403"/>
      <c r="Q652" s="403"/>
      <c r="R652" s="403"/>
      <c r="S652" s="403"/>
      <c r="T652" s="403"/>
      <c r="U652" s="403"/>
      <c r="V652" s="403"/>
      <c r="W652" s="403"/>
      <c r="X652" s="403"/>
      <c r="Y652" s="403"/>
      <c r="Z652" s="367"/>
      <c r="AA652" s="304"/>
      <c r="AB652" s="304"/>
      <c r="AC652" s="304"/>
      <c r="AD652" s="304"/>
      <c r="AE652" s="304"/>
      <c r="AF652" s="304"/>
      <c r="AG652" s="304"/>
      <c r="AH652" s="304"/>
      <c r="AI652" s="304"/>
      <c r="AJ652" s="304"/>
      <c r="AK652" s="304"/>
      <c r="AL652" s="304"/>
      <c r="AM652" s="304"/>
      <c r="AN652" s="304"/>
      <c r="AO652" s="304"/>
      <c r="AP652" s="304"/>
      <c r="AQ652" s="304"/>
      <c r="AR652" s="304"/>
      <c r="AS652" s="304"/>
    </row>
    <row r="653" spans="2:45">
      <c r="B653" s="1243" t="s">
        <v>732</v>
      </c>
      <c r="C653" s="1244"/>
      <c r="D653" s="1244"/>
      <c r="E653" s="1244"/>
      <c r="F653" s="1245"/>
      <c r="G653" s="346"/>
      <c r="H653" s="384">
        <f>G653*H638</f>
        <v>0</v>
      </c>
      <c r="I653" s="346"/>
      <c r="J653" s="385">
        <f>I653*J638</f>
        <v>0</v>
      </c>
      <c r="L653" s="403"/>
      <c r="M653" s="403"/>
      <c r="N653" s="403"/>
      <c r="O653" s="403"/>
      <c r="P653" s="403"/>
      <c r="Q653" s="403"/>
      <c r="R653" s="403"/>
      <c r="S653" s="403"/>
      <c r="T653" s="403"/>
      <c r="U653" s="403"/>
      <c r="V653" s="403"/>
      <c r="W653" s="403"/>
      <c r="X653" s="403"/>
      <c r="Y653" s="403"/>
      <c r="Z653" s="367"/>
      <c r="AA653" s="304"/>
      <c r="AB653" s="304"/>
      <c r="AC653" s="304"/>
      <c r="AD653" s="304"/>
      <c r="AE653" s="304"/>
      <c r="AF653" s="304"/>
      <c r="AG653" s="304"/>
      <c r="AH653" s="304"/>
      <c r="AI653" s="304"/>
      <c r="AJ653" s="304"/>
      <c r="AK653" s="304"/>
      <c r="AL653" s="304"/>
      <c r="AM653" s="304"/>
      <c r="AN653" s="304"/>
      <c r="AO653" s="304"/>
      <c r="AP653" s="304"/>
      <c r="AQ653" s="304"/>
      <c r="AR653" s="304"/>
      <c r="AS653" s="304"/>
    </row>
    <row r="654" spans="2:45">
      <c r="B654" s="1223" t="s">
        <v>733</v>
      </c>
      <c r="C654" s="1224"/>
      <c r="D654" s="1224"/>
      <c r="E654" s="1224"/>
      <c r="F654" s="1225"/>
      <c r="G654" s="346"/>
      <c r="H654" s="384">
        <f>G654*H638</f>
        <v>0</v>
      </c>
      <c r="I654" s="346"/>
      <c r="J654" s="385">
        <f>I654*J638</f>
        <v>0</v>
      </c>
      <c r="L654" s="403"/>
      <c r="M654" s="403"/>
      <c r="N654" s="403"/>
      <c r="O654" s="403"/>
      <c r="P654" s="403"/>
      <c r="Q654" s="403"/>
      <c r="R654" s="403"/>
      <c r="S654" s="403"/>
      <c r="T654" s="403"/>
      <c r="U654" s="403"/>
      <c r="V654" s="403"/>
      <c r="W654" s="403"/>
      <c r="X654" s="403"/>
      <c r="Y654" s="403"/>
      <c r="Z654" s="367"/>
      <c r="AA654" s="304"/>
      <c r="AB654" s="304"/>
      <c r="AC654" s="304"/>
      <c r="AD654" s="304"/>
      <c r="AE654" s="304"/>
      <c r="AF654" s="304"/>
      <c r="AG654" s="304"/>
      <c r="AH654" s="304"/>
      <c r="AI654" s="304"/>
      <c r="AJ654" s="304"/>
      <c r="AK654" s="304"/>
      <c r="AL654" s="304"/>
      <c r="AM654" s="304"/>
      <c r="AN654" s="304"/>
      <c r="AO654" s="304"/>
      <c r="AP654" s="304"/>
      <c r="AQ654" s="304"/>
      <c r="AR654" s="304"/>
      <c r="AS654" s="304"/>
    </row>
    <row r="655" spans="2:45">
      <c r="B655" s="1223" t="s">
        <v>734</v>
      </c>
      <c r="C655" s="1224"/>
      <c r="D655" s="1224"/>
      <c r="E655" s="1224"/>
      <c r="F655" s="1225"/>
      <c r="G655" s="346"/>
      <c r="H655" s="384">
        <f>G655*H638</f>
        <v>0</v>
      </c>
      <c r="I655" s="346"/>
      <c r="J655" s="385">
        <f>I655*J638</f>
        <v>0</v>
      </c>
      <c r="L655" s="403"/>
      <c r="M655" s="403"/>
      <c r="N655" s="403"/>
      <c r="O655" s="403"/>
      <c r="P655" s="403"/>
      <c r="Q655" s="403"/>
      <c r="R655" s="403"/>
      <c r="S655" s="403"/>
      <c r="T655" s="403"/>
      <c r="U655" s="403"/>
      <c r="V655" s="403"/>
      <c r="W655" s="403"/>
      <c r="X655" s="403"/>
      <c r="Y655" s="403"/>
      <c r="Z655" s="367"/>
      <c r="AA655" s="304"/>
      <c r="AB655" s="304"/>
      <c r="AC655" s="304"/>
      <c r="AD655" s="304"/>
      <c r="AE655" s="304"/>
      <c r="AF655" s="304"/>
      <c r="AG655" s="304"/>
      <c r="AH655" s="304"/>
      <c r="AI655" s="304"/>
      <c r="AJ655" s="304"/>
      <c r="AK655" s="304"/>
      <c r="AL655" s="304"/>
      <c r="AM655" s="304"/>
      <c r="AN655" s="304"/>
      <c r="AO655" s="304"/>
      <c r="AP655" s="304"/>
      <c r="AQ655" s="304"/>
      <c r="AR655" s="304"/>
      <c r="AS655" s="304"/>
    </row>
    <row r="656" spans="2:45">
      <c r="B656" s="1172" t="s">
        <v>735</v>
      </c>
      <c r="C656" s="1173"/>
      <c r="D656" s="1173"/>
      <c r="E656" s="1173"/>
      <c r="F656" s="1173"/>
      <c r="G656" s="351"/>
      <c r="H656" s="397"/>
      <c r="I656" s="351"/>
      <c r="J656" s="398"/>
      <c r="L656" s="403"/>
      <c r="M656" s="403"/>
      <c r="N656" s="403"/>
      <c r="O656" s="403"/>
      <c r="P656" s="403"/>
      <c r="Q656" s="403"/>
      <c r="R656" s="403"/>
      <c r="S656" s="403"/>
      <c r="T656" s="403"/>
      <c r="U656" s="403"/>
      <c r="V656" s="403"/>
      <c r="W656" s="403"/>
      <c r="X656" s="403"/>
      <c r="Y656" s="403"/>
      <c r="Z656" s="367"/>
      <c r="AA656" s="304"/>
      <c r="AB656" s="304"/>
      <c r="AC656" s="304"/>
      <c r="AD656" s="304"/>
      <c r="AE656" s="304"/>
      <c r="AF656" s="304"/>
      <c r="AG656" s="304"/>
      <c r="AH656" s="304"/>
      <c r="AI656" s="304"/>
      <c r="AJ656" s="304"/>
      <c r="AK656" s="304"/>
      <c r="AL656" s="304"/>
      <c r="AM656" s="304"/>
      <c r="AN656" s="304"/>
      <c r="AO656" s="304"/>
      <c r="AP656" s="304"/>
      <c r="AQ656" s="304"/>
      <c r="AR656" s="304"/>
      <c r="AS656" s="304"/>
    </row>
    <row r="657" spans="1:45">
      <c r="B657" s="1226" t="s">
        <v>736</v>
      </c>
      <c r="C657" s="1227"/>
      <c r="D657" s="1227"/>
      <c r="E657" s="1227"/>
      <c r="F657" s="1228"/>
      <c r="G657" s="346"/>
      <c r="H657" s="384">
        <f>G657*H638</f>
        <v>0</v>
      </c>
      <c r="I657" s="346"/>
      <c r="J657" s="385">
        <f>I657*J638</f>
        <v>0</v>
      </c>
      <c r="L657" s="403"/>
      <c r="M657" s="403"/>
      <c r="N657" s="403"/>
      <c r="O657" s="403"/>
      <c r="P657" s="403"/>
      <c r="Q657" s="403"/>
      <c r="R657" s="403"/>
      <c r="S657" s="403"/>
      <c r="T657" s="403"/>
      <c r="U657" s="403"/>
      <c r="V657" s="403"/>
      <c r="W657" s="403"/>
      <c r="X657" s="403"/>
      <c r="Y657" s="403"/>
      <c r="Z657" s="367"/>
      <c r="AA657" s="304"/>
      <c r="AB657" s="304"/>
      <c r="AC657" s="304"/>
      <c r="AD657" s="304"/>
      <c r="AE657" s="304"/>
      <c r="AF657" s="304"/>
      <c r="AG657" s="304"/>
      <c r="AH657" s="304"/>
      <c r="AI657" s="304"/>
      <c r="AJ657" s="304"/>
      <c r="AK657" s="304"/>
      <c r="AL657" s="304"/>
      <c r="AM657" s="304"/>
      <c r="AN657" s="304"/>
      <c r="AO657" s="304"/>
      <c r="AP657" s="304"/>
      <c r="AQ657" s="304"/>
      <c r="AR657" s="304"/>
      <c r="AS657" s="304"/>
    </row>
    <row r="658" spans="1:45">
      <c r="B658" s="1229" t="s">
        <v>737</v>
      </c>
      <c r="C658" s="1230"/>
      <c r="D658" s="1230"/>
      <c r="E658" s="1230"/>
      <c r="F658" s="1230"/>
      <c r="G658" s="350"/>
      <c r="H658" s="351"/>
      <c r="I658" s="350"/>
      <c r="J658" s="352"/>
      <c r="L658" s="403"/>
      <c r="M658" s="403"/>
      <c r="N658" s="403"/>
      <c r="O658" s="403"/>
      <c r="P658" s="403"/>
      <c r="Q658" s="403"/>
      <c r="R658" s="403"/>
      <c r="S658" s="403"/>
      <c r="T658" s="403"/>
      <c r="U658" s="403"/>
      <c r="V658" s="403"/>
      <c r="W658" s="403"/>
      <c r="X658" s="403"/>
      <c r="Y658" s="403"/>
      <c r="Z658" s="367"/>
      <c r="AA658" s="304"/>
      <c r="AB658" s="304"/>
      <c r="AC658" s="304"/>
      <c r="AD658" s="304"/>
      <c r="AE658" s="304"/>
      <c r="AF658" s="304"/>
      <c r="AG658" s="304"/>
      <c r="AH658" s="304"/>
      <c r="AI658" s="304"/>
      <c r="AJ658" s="304"/>
      <c r="AK658" s="304"/>
      <c r="AL658" s="304"/>
      <c r="AM658" s="304"/>
      <c r="AN658" s="304"/>
      <c r="AO658" s="304"/>
      <c r="AP658" s="304"/>
      <c r="AQ658" s="304"/>
      <c r="AR658" s="304"/>
      <c r="AS658" s="304"/>
    </row>
    <row r="659" spans="1:45" ht="29.1" customHeight="1">
      <c r="B659" s="1231" t="s">
        <v>738</v>
      </c>
      <c r="C659" s="1232"/>
      <c r="D659" s="1232"/>
      <c r="E659" s="1232"/>
      <c r="F659" s="1233"/>
      <c r="G659" s="399"/>
      <c r="H659" s="359">
        <f>H638*G659*-1</f>
        <v>0</v>
      </c>
      <c r="I659" s="399"/>
      <c r="J659" s="400">
        <f>(J638*I659)*-1</f>
        <v>0</v>
      </c>
      <c r="L659" s="403"/>
      <c r="M659" s="403"/>
      <c r="N659" s="403"/>
      <c r="O659" s="403"/>
      <c r="P659" s="403"/>
      <c r="Q659" s="403"/>
      <c r="R659" s="403"/>
      <c r="S659" s="403"/>
      <c r="T659" s="403"/>
      <c r="U659" s="403"/>
      <c r="V659" s="403"/>
      <c r="W659" s="403"/>
      <c r="X659" s="403"/>
      <c r="Y659" s="403"/>
      <c r="Z659" s="367"/>
      <c r="AA659" s="304"/>
      <c r="AB659" s="304"/>
      <c r="AC659" s="304"/>
      <c r="AD659" s="304"/>
      <c r="AE659" s="304"/>
      <c r="AF659" s="304"/>
      <c r="AG659" s="304"/>
      <c r="AH659" s="304"/>
      <c r="AI659" s="304"/>
      <c r="AJ659" s="304"/>
      <c r="AK659" s="304"/>
      <c r="AL659" s="304"/>
      <c r="AM659" s="304"/>
      <c r="AN659" s="304"/>
      <c r="AO659" s="304"/>
      <c r="AP659" s="304"/>
      <c r="AQ659" s="304"/>
      <c r="AR659" s="304"/>
      <c r="AS659" s="304"/>
    </row>
    <row r="660" spans="1:45" ht="29.1" customHeight="1">
      <c r="B660" s="1234" t="s">
        <v>739</v>
      </c>
      <c r="C660" s="1235"/>
      <c r="D660" s="1235"/>
      <c r="E660" s="1235"/>
      <c r="F660" s="1236"/>
      <c r="G660" s="346"/>
      <c r="H660" s="401">
        <f>(H638*G660)*-1</f>
        <v>0</v>
      </c>
      <c r="I660" s="346"/>
      <c r="J660" s="402">
        <f>(J638*I660)*-1</f>
        <v>0</v>
      </c>
      <c r="L660" s="403"/>
      <c r="M660" s="403"/>
      <c r="N660" s="403"/>
      <c r="O660" s="403"/>
      <c r="P660" s="403"/>
      <c r="Q660" s="403"/>
      <c r="R660" s="403"/>
      <c r="S660" s="403"/>
      <c r="T660" s="403"/>
      <c r="U660" s="403"/>
      <c r="V660" s="403"/>
      <c r="W660" s="403"/>
      <c r="X660" s="403"/>
      <c r="Y660" s="403"/>
      <c r="Z660" s="367"/>
      <c r="AA660" s="304"/>
      <c r="AB660" s="304"/>
      <c r="AC660" s="304"/>
      <c r="AD660" s="304"/>
      <c r="AE660" s="304"/>
      <c r="AF660" s="304"/>
      <c r="AG660" s="304"/>
      <c r="AH660" s="304"/>
      <c r="AI660" s="304"/>
      <c r="AJ660" s="304"/>
      <c r="AK660" s="304"/>
      <c r="AL660" s="304"/>
      <c r="AM660" s="304"/>
      <c r="AN660" s="304"/>
      <c r="AO660" s="304"/>
      <c r="AP660" s="304"/>
      <c r="AQ660" s="304"/>
      <c r="AR660" s="304"/>
      <c r="AS660" s="304"/>
    </row>
    <row r="661" spans="1:45">
      <c r="B661" s="1211" t="s">
        <v>740</v>
      </c>
      <c r="C661" s="1212"/>
      <c r="D661" s="1212"/>
      <c r="E661" s="1212"/>
      <c r="F661" s="1213"/>
      <c r="G661" s="1214">
        <f>SUM(H642:H660)</f>
        <v>0</v>
      </c>
      <c r="H661" s="1215"/>
      <c r="I661" s="1214">
        <f>SUM(J644:J660)+J642</f>
        <v>0</v>
      </c>
      <c r="J661" s="1216"/>
      <c r="L661" s="403"/>
      <c r="M661" s="403"/>
      <c r="N661" s="403"/>
      <c r="O661" s="403"/>
      <c r="P661" s="403"/>
      <c r="Q661" s="403"/>
      <c r="R661" s="403"/>
      <c r="S661" s="403"/>
      <c r="T661" s="403"/>
      <c r="U661" s="403"/>
      <c r="V661" s="403"/>
      <c r="W661" s="403"/>
      <c r="X661" s="403"/>
      <c r="Y661" s="403"/>
      <c r="Z661" s="367"/>
      <c r="AA661" s="304"/>
      <c r="AB661" s="304"/>
      <c r="AC661" s="304"/>
      <c r="AD661" s="304"/>
      <c r="AE661" s="304"/>
      <c r="AF661" s="304"/>
      <c r="AG661" s="304"/>
      <c r="AH661" s="304"/>
      <c r="AI661" s="304"/>
      <c r="AJ661" s="304"/>
      <c r="AK661" s="304"/>
      <c r="AL661" s="304"/>
      <c r="AM661" s="304"/>
      <c r="AN661" s="304"/>
      <c r="AO661" s="304"/>
      <c r="AP661" s="304"/>
      <c r="AQ661" s="304"/>
      <c r="AR661" s="304"/>
      <c r="AS661" s="304"/>
    </row>
    <row r="662" spans="1:45" ht="18.75">
      <c r="B662" s="1217" t="s">
        <v>696</v>
      </c>
      <c r="C662" s="1218"/>
      <c r="D662" s="1218"/>
      <c r="E662" s="1218"/>
      <c r="F662" s="1219"/>
      <c r="G662" s="1161" t="str">
        <f>IF(OR(AC635=0, I661=0), "12 Month Average", "24 Month Average")</f>
        <v>12 Month Average</v>
      </c>
      <c r="H662" s="1162"/>
      <c r="I662" s="1162"/>
      <c r="J662" s="1163"/>
      <c r="L662" s="403"/>
      <c r="M662" s="403"/>
      <c r="N662" s="403"/>
      <c r="O662" s="403"/>
      <c r="P662" s="403"/>
      <c r="Q662" s="403"/>
      <c r="R662" s="403"/>
      <c r="S662" s="403"/>
      <c r="T662" s="403"/>
      <c r="U662" s="403"/>
      <c r="V662" s="403"/>
      <c r="W662" s="403"/>
      <c r="X662" s="403"/>
      <c r="Y662" s="403"/>
      <c r="Z662" s="367"/>
      <c r="AA662" s="304"/>
      <c r="AB662" s="304"/>
      <c r="AC662" s="304"/>
      <c r="AD662" s="304"/>
      <c r="AE662" s="304"/>
      <c r="AF662" s="304"/>
      <c r="AG662" s="304"/>
      <c r="AH662" s="304"/>
      <c r="AI662" s="304"/>
      <c r="AJ662" s="304"/>
      <c r="AK662" s="304"/>
      <c r="AL662" s="304"/>
      <c r="AM662" s="304"/>
      <c r="AN662" s="304"/>
      <c r="AO662" s="304"/>
      <c r="AP662" s="304"/>
      <c r="AQ662" s="304"/>
      <c r="AR662" s="304"/>
      <c r="AS662" s="304"/>
    </row>
    <row r="663" spans="1:45" ht="34.5" thickBot="1">
      <c r="B663" s="1220" t="s">
        <v>697</v>
      </c>
      <c r="C663" s="1221"/>
      <c r="D663" s="1221"/>
      <c r="E663" s="1221"/>
      <c r="F663" s="1222"/>
      <c r="G663" s="1167">
        <f>IF(OR(AC635=0, I661=0), AC637, AC638)</f>
        <v>0</v>
      </c>
      <c r="H663" s="1168"/>
      <c r="I663" s="1168"/>
      <c r="J663" s="1169"/>
      <c r="L663" s="403"/>
      <c r="M663" s="403"/>
      <c r="N663" s="403"/>
      <c r="O663" s="403"/>
      <c r="P663" s="403"/>
      <c r="Q663" s="403"/>
      <c r="R663" s="403"/>
      <c r="S663" s="403"/>
      <c r="T663" s="403"/>
      <c r="U663" s="403"/>
      <c r="V663" s="403"/>
      <c r="W663" s="403"/>
      <c r="X663" s="403"/>
      <c r="Y663" s="403"/>
      <c r="Z663" s="367"/>
      <c r="AA663" s="304"/>
      <c r="AB663" s="304"/>
      <c r="AC663" s="304"/>
      <c r="AD663" s="304"/>
    </row>
    <row r="664" spans="1:45" ht="9" customHeight="1" thickBot="1">
      <c r="H664" s="330"/>
      <c r="I664" s="330"/>
      <c r="L664" s="403"/>
      <c r="M664" s="403"/>
      <c r="N664" s="403"/>
      <c r="O664" s="403"/>
      <c r="P664" s="403"/>
      <c r="Q664" s="403"/>
      <c r="R664" s="403"/>
      <c r="S664" s="403"/>
      <c r="T664" s="403"/>
      <c r="U664" s="403"/>
      <c r="V664" s="403"/>
      <c r="W664" s="403"/>
      <c r="X664" s="403"/>
      <c r="Y664" s="403"/>
      <c r="Z664" s="367"/>
      <c r="AA664" s="304"/>
      <c r="AB664" s="304"/>
      <c r="AC664" s="304"/>
      <c r="AD664" s="304"/>
    </row>
    <row r="665" spans="1:45" ht="105" customHeight="1" thickBot="1">
      <c r="B665" s="1208" t="s">
        <v>645</v>
      </c>
      <c r="C665" s="1209"/>
      <c r="D665" s="1209"/>
      <c r="E665" s="1209"/>
      <c r="F665" s="1209"/>
      <c r="G665" s="1209"/>
      <c r="H665" s="1209"/>
      <c r="I665" s="1209"/>
      <c r="J665" s="1210"/>
      <c r="L665" s="367"/>
      <c r="M665" s="367"/>
      <c r="N665" s="367"/>
      <c r="O665" s="367"/>
      <c r="P665" s="367"/>
      <c r="Q665" s="367"/>
      <c r="R665" s="367"/>
      <c r="S665" s="367"/>
      <c r="T665" s="367"/>
      <c r="U665" s="367"/>
      <c r="V665" s="367"/>
      <c r="W665" s="367"/>
      <c r="X665" s="367"/>
      <c r="Y665" s="367"/>
      <c r="Z665" s="367"/>
      <c r="AA665" s="304"/>
      <c r="AB665" s="304"/>
      <c r="AC665" s="304"/>
      <c r="AD665" s="304"/>
    </row>
    <row r="666" spans="1:45">
      <c r="A666" s="304"/>
      <c r="B666" s="304"/>
      <c r="C666" s="304"/>
      <c r="D666" s="304"/>
      <c r="E666" s="304"/>
      <c r="F666" s="304"/>
      <c r="G666" s="304"/>
      <c r="H666" s="304"/>
      <c r="I666" s="304"/>
      <c r="J666" s="304"/>
      <c r="K666" s="304"/>
      <c r="L666" s="367"/>
      <c r="M666" s="367"/>
      <c r="N666" s="367"/>
      <c r="O666" s="367"/>
      <c r="P666" s="367"/>
      <c r="Q666" s="367"/>
      <c r="R666" s="367"/>
      <c r="S666" s="367"/>
      <c r="T666" s="367"/>
      <c r="U666" s="367"/>
      <c r="V666" s="367"/>
      <c r="W666" s="367"/>
      <c r="X666" s="367"/>
      <c r="Y666" s="367"/>
      <c r="Z666" s="367"/>
      <c r="AA666" s="304"/>
      <c r="AB666" s="304"/>
      <c r="AC666" s="304"/>
      <c r="AD666" s="304"/>
    </row>
    <row r="667" spans="1:45" ht="13.5" customHeight="1" thickBot="1">
      <c r="L667" s="304"/>
      <c r="M667" s="304"/>
      <c r="N667" s="304"/>
      <c r="O667" s="304"/>
      <c r="P667" s="304"/>
      <c r="Q667" s="304"/>
      <c r="R667" s="304"/>
      <c r="S667" s="304"/>
      <c r="T667" s="304"/>
      <c r="U667" s="304"/>
    </row>
    <row r="668" spans="1:45" ht="69" customHeight="1">
      <c r="B668" s="1187" t="s">
        <v>708</v>
      </c>
      <c r="C668" s="1188"/>
      <c r="D668" s="1188"/>
      <c r="E668" s="1188"/>
      <c r="F668" s="1188"/>
      <c r="G668" s="1188"/>
      <c r="H668" s="1188"/>
      <c r="I668" s="1188"/>
      <c r="J668" s="331" t="str">
        <f>'[3]Reference Sheet'!$B$2</f>
        <v>Rev. 4.12.2016</v>
      </c>
      <c r="L668" s="403"/>
      <c r="M668" s="403"/>
      <c r="N668" s="403"/>
      <c r="O668" s="403"/>
      <c r="P668" s="403"/>
      <c r="Q668" s="403"/>
      <c r="R668" s="403"/>
      <c r="S668" s="403"/>
      <c r="T668" s="403"/>
      <c r="U668" s="403"/>
      <c r="V668" s="403"/>
      <c r="W668" s="403"/>
      <c r="X668" s="403"/>
      <c r="Y668" s="403"/>
      <c r="Z668" s="367"/>
      <c r="AA668" s="304"/>
      <c r="AB668" s="304"/>
      <c r="AC668" s="304"/>
      <c r="AD668" s="304"/>
      <c r="AE668" s="304"/>
      <c r="AF668" s="304"/>
      <c r="AG668" s="304"/>
      <c r="AH668" s="304"/>
      <c r="AI668" s="304"/>
      <c r="AJ668" s="304"/>
      <c r="AK668" s="304"/>
      <c r="AL668" s="304"/>
      <c r="AM668" s="304"/>
      <c r="AN668" s="304"/>
      <c r="AO668" s="304"/>
      <c r="AP668" s="304"/>
      <c r="AQ668" s="304"/>
      <c r="AR668" s="304"/>
      <c r="AS668" s="304"/>
    </row>
    <row r="669" spans="1:45" ht="3.75" customHeight="1">
      <c r="B669" s="332"/>
      <c r="C669" s="333"/>
      <c r="D669" s="333"/>
      <c r="E669" s="333"/>
      <c r="F669" s="333"/>
      <c r="G669" s="333"/>
      <c r="H669" s="333"/>
      <c r="I669" s="333"/>
      <c r="J669" s="334"/>
      <c r="L669" s="403"/>
      <c r="M669" s="403"/>
      <c r="N669" s="403"/>
      <c r="O669" s="403"/>
      <c r="P669" s="403"/>
      <c r="Q669" s="403"/>
      <c r="R669" s="403"/>
      <c r="S669" s="403"/>
      <c r="T669" s="403"/>
      <c r="U669" s="403"/>
      <c r="V669" s="403"/>
      <c r="W669" s="403"/>
      <c r="X669" s="403"/>
      <c r="Y669" s="403"/>
      <c r="Z669" s="367"/>
      <c r="AA669" s="304"/>
      <c r="AB669" s="304"/>
      <c r="AC669" s="304"/>
      <c r="AD669" s="304"/>
      <c r="AE669" s="304"/>
      <c r="AF669" s="304"/>
      <c r="AG669" s="304"/>
      <c r="AH669" s="304"/>
      <c r="AI669" s="304"/>
      <c r="AJ669" s="304"/>
      <c r="AK669" s="304"/>
      <c r="AL669" s="304"/>
      <c r="AM669" s="304"/>
      <c r="AN669" s="304"/>
      <c r="AO669" s="304"/>
      <c r="AP669" s="304"/>
      <c r="AQ669" s="304"/>
      <c r="AR669" s="304"/>
      <c r="AS669" s="304"/>
    </row>
    <row r="670" spans="1:45" ht="18" customHeight="1" thickBot="1">
      <c r="B670" s="332"/>
      <c r="C670" s="368" t="s">
        <v>710</v>
      </c>
      <c r="D670" s="1189"/>
      <c r="E670" s="1190"/>
      <c r="F670" s="1190"/>
      <c r="G670" s="1190"/>
      <c r="H670" s="333"/>
      <c r="I670" s="333"/>
      <c r="J670" s="334"/>
      <c r="L670" s="403"/>
      <c r="M670" s="403"/>
      <c r="N670" s="403"/>
      <c r="O670" s="403"/>
      <c r="P670" s="403"/>
      <c r="Q670" s="403"/>
      <c r="R670" s="403"/>
      <c r="S670" s="403"/>
      <c r="T670" s="403"/>
      <c r="U670" s="403"/>
      <c r="V670" s="403"/>
      <c r="W670" s="403"/>
      <c r="X670" s="403"/>
      <c r="Y670" s="403"/>
      <c r="Z670" s="367"/>
      <c r="AA670" s="304"/>
      <c r="AB670" s="304" t="s">
        <v>680</v>
      </c>
      <c r="AC670" s="304">
        <f>IF(AND(J675=0, J679=0, J681=0, J690=0, J691=0, J692=0, J694=0, J696=0, J697=0, I698=0), 0, 1)</f>
        <v>1</v>
      </c>
      <c r="AD670" s="304"/>
      <c r="AE670" s="304"/>
      <c r="AF670" s="366" t="s">
        <v>596</v>
      </c>
      <c r="AG670" s="304"/>
      <c r="AH670" s="304"/>
      <c r="AI670" s="304"/>
      <c r="AJ670" s="304"/>
      <c r="AK670" s="304"/>
      <c r="AL670" s="304"/>
      <c r="AM670" s="304"/>
      <c r="AN670" s="304"/>
      <c r="AO670" s="304"/>
      <c r="AP670" s="304"/>
      <c r="AQ670" s="304"/>
      <c r="AR670" s="304"/>
      <c r="AS670" s="304"/>
    </row>
    <row r="671" spans="1:45" ht="18" customHeight="1" thickBot="1">
      <c r="B671" s="332"/>
      <c r="C671" s="368" t="s">
        <v>711</v>
      </c>
      <c r="D671" s="1277"/>
      <c r="E671" s="1278"/>
      <c r="F671" s="1278"/>
      <c r="G671" s="1278"/>
      <c r="H671" s="368" t="s">
        <v>712</v>
      </c>
      <c r="I671" s="1189"/>
      <c r="J671" s="1279"/>
      <c r="L671" s="403"/>
      <c r="M671" s="403"/>
      <c r="N671" s="403"/>
      <c r="O671" s="403"/>
      <c r="P671" s="403"/>
      <c r="Q671" s="403"/>
      <c r="R671" s="403"/>
      <c r="S671" s="403"/>
      <c r="T671" s="403"/>
      <c r="U671" s="403"/>
      <c r="V671" s="403"/>
      <c r="W671" s="403"/>
      <c r="X671" s="403"/>
      <c r="Y671" s="403"/>
      <c r="Z671" s="367"/>
      <c r="AA671" s="304"/>
      <c r="AB671" s="304" t="s">
        <v>682</v>
      </c>
      <c r="AC671" s="304">
        <f>IF(AND(G698&lt;=I698, I698&lt;&gt;0), 0, 1)</f>
        <v>1</v>
      </c>
      <c r="AD671" s="304"/>
      <c r="AE671" s="304"/>
      <c r="AF671" s="366" t="s">
        <v>683</v>
      </c>
      <c r="AG671" s="304"/>
      <c r="AH671" s="304"/>
      <c r="AI671" s="304"/>
      <c r="AJ671" s="304"/>
      <c r="AK671" s="304"/>
      <c r="AL671" s="304"/>
      <c r="AM671" s="304"/>
      <c r="AN671" s="304"/>
      <c r="AO671" s="304"/>
      <c r="AP671" s="304"/>
      <c r="AQ671" s="304"/>
      <c r="AR671" s="304"/>
      <c r="AS671" s="304"/>
    </row>
    <row r="672" spans="1:45" ht="18" customHeight="1" thickBot="1">
      <c r="B672" s="1176" t="s">
        <v>671</v>
      </c>
      <c r="C672" s="1177"/>
      <c r="D672" s="1280"/>
      <c r="E672" s="1281"/>
      <c r="F672" s="1281"/>
      <c r="G672" s="1281"/>
      <c r="H672" s="336" t="s">
        <v>673</v>
      </c>
      <c r="I672" s="369"/>
      <c r="J672" s="370"/>
      <c r="L672" s="403"/>
      <c r="M672" s="403"/>
      <c r="N672" s="403"/>
      <c r="O672" s="403"/>
      <c r="P672" s="403"/>
      <c r="Q672" s="403"/>
      <c r="R672" s="403"/>
      <c r="S672" s="403"/>
      <c r="T672" s="403"/>
      <c r="U672" s="403"/>
      <c r="V672" s="403"/>
      <c r="W672" s="403"/>
      <c r="X672" s="403"/>
      <c r="Y672" s="403"/>
      <c r="Z672" s="367"/>
      <c r="AA672" s="304"/>
      <c r="AB672" s="304" t="s">
        <v>685</v>
      </c>
      <c r="AC672" s="304">
        <f>IF(AND(AC671=0, AC670=1), 0, 1)</f>
        <v>1</v>
      </c>
      <c r="AD672" s="304"/>
      <c r="AE672" s="304"/>
      <c r="AF672" s="366" t="s">
        <v>599</v>
      </c>
      <c r="AG672" s="304"/>
      <c r="AH672" s="304"/>
      <c r="AI672" s="304"/>
      <c r="AJ672" s="304"/>
      <c r="AK672" s="304"/>
      <c r="AL672" s="304"/>
      <c r="AM672" s="304"/>
      <c r="AN672" s="304"/>
      <c r="AO672" s="304"/>
      <c r="AP672" s="304"/>
      <c r="AQ672" s="304"/>
      <c r="AR672" s="304"/>
      <c r="AS672" s="304"/>
    </row>
    <row r="673" spans="2:45" ht="18" customHeight="1" thickBot="1">
      <c r="B673" s="1176" t="s">
        <v>674</v>
      </c>
      <c r="C673" s="1177"/>
      <c r="D673" s="1262"/>
      <c r="E673" s="1263"/>
      <c r="F673" s="1263"/>
      <c r="G673" s="1263"/>
      <c r="H673" s="1263"/>
      <c r="I673" s="1263"/>
      <c r="J673" s="1264"/>
      <c r="L673" s="403"/>
      <c r="M673" s="403"/>
      <c r="N673" s="403"/>
      <c r="O673" s="403"/>
      <c r="P673" s="403"/>
      <c r="Q673" s="403"/>
      <c r="R673" s="403"/>
      <c r="S673" s="403"/>
      <c r="T673" s="403"/>
      <c r="U673" s="403"/>
      <c r="V673" s="403"/>
      <c r="W673" s="403"/>
      <c r="X673" s="403"/>
      <c r="Y673" s="403"/>
      <c r="Z673" s="367"/>
      <c r="AA673" s="304"/>
      <c r="AB673" s="304"/>
      <c r="AC673" s="304"/>
      <c r="AD673" s="304"/>
      <c r="AE673" s="304"/>
      <c r="AF673" s="366" t="s">
        <v>603</v>
      </c>
      <c r="AG673" s="304"/>
      <c r="AH673" s="304"/>
      <c r="AI673" s="304"/>
      <c r="AJ673" s="304"/>
      <c r="AK673" s="304"/>
      <c r="AL673" s="304"/>
      <c r="AM673" s="304"/>
      <c r="AN673" s="304"/>
      <c r="AO673" s="304"/>
      <c r="AP673" s="304"/>
      <c r="AQ673" s="304"/>
      <c r="AR673" s="304"/>
      <c r="AS673" s="304"/>
    </row>
    <row r="674" spans="2:45">
      <c r="B674" s="1265"/>
      <c r="C674" s="1266"/>
      <c r="D674" s="1266"/>
      <c r="E674" s="1266"/>
      <c r="F674" s="1267"/>
      <c r="G674" s="371" t="s">
        <v>713</v>
      </c>
      <c r="H674" s="372" t="s">
        <v>676</v>
      </c>
      <c r="I674" s="342"/>
      <c r="J674" s="373" t="s">
        <v>677</v>
      </c>
      <c r="L674" s="403"/>
      <c r="M674" s="403"/>
      <c r="N674" s="403"/>
      <c r="O674" s="403"/>
      <c r="P674" s="403"/>
      <c r="Q674" s="403"/>
      <c r="R674" s="403"/>
      <c r="S674" s="403"/>
      <c r="T674" s="403"/>
      <c r="U674" s="403"/>
      <c r="V674" s="403"/>
      <c r="W674" s="403"/>
      <c r="X674" s="403"/>
      <c r="Y674" s="403"/>
      <c r="Z674" s="367"/>
      <c r="AA674" s="304"/>
      <c r="AB674" s="304" t="s">
        <v>689</v>
      </c>
      <c r="AC674" s="374">
        <f>G698/12</f>
        <v>0</v>
      </c>
      <c r="AD674" s="304"/>
      <c r="AE674" s="304"/>
      <c r="AF674" s="366" t="s">
        <v>605</v>
      </c>
      <c r="AG674" s="304"/>
      <c r="AH674" s="304"/>
      <c r="AI674" s="304"/>
      <c r="AJ674" s="304"/>
      <c r="AK674" s="304"/>
      <c r="AL674" s="304"/>
      <c r="AM674" s="304"/>
      <c r="AN674" s="304"/>
      <c r="AO674" s="304"/>
      <c r="AP674" s="304"/>
      <c r="AQ674" s="304"/>
      <c r="AR674" s="304"/>
      <c r="AS674" s="304"/>
    </row>
    <row r="675" spans="2:45">
      <c r="B675" s="1268"/>
      <c r="C675" s="1266"/>
      <c r="D675" s="1266"/>
      <c r="E675" s="1266"/>
      <c r="F675" s="1267"/>
      <c r="G675" s="375" t="s">
        <v>714</v>
      </c>
      <c r="H675" s="376"/>
      <c r="I675" s="1272"/>
      <c r="J675" s="378"/>
      <c r="L675" s="403"/>
      <c r="M675" s="403"/>
      <c r="N675" s="403"/>
      <c r="O675" s="403"/>
      <c r="P675" s="403"/>
      <c r="Q675" s="403"/>
      <c r="R675" s="403"/>
      <c r="S675" s="403"/>
      <c r="T675" s="403"/>
      <c r="U675" s="403"/>
      <c r="V675" s="403"/>
      <c r="W675" s="403"/>
      <c r="X675" s="403"/>
      <c r="Y675" s="403"/>
      <c r="Z675" s="367"/>
      <c r="AA675" s="304"/>
      <c r="AB675" s="304" t="s">
        <v>691</v>
      </c>
      <c r="AC675" s="374">
        <f>(G698+I698)/24</f>
        <v>0</v>
      </c>
      <c r="AD675" s="304"/>
      <c r="AE675" s="304"/>
      <c r="AF675" s="304"/>
      <c r="AG675" s="304"/>
      <c r="AH675" s="304"/>
      <c r="AI675" s="304"/>
      <c r="AJ675" s="304"/>
      <c r="AK675" s="304"/>
      <c r="AL675" s="304"/>
      <c r="AM675" s="304"/>
      <c r="AN675" s="304"/>
      <c r="AO675" s="304"/>
      <c r="AP675" s="304"/>
      <c r="AQ675" s="304"/>
      <c r="AR675" s="304"/>
      <c r="AS675" s="304"/>
    </row>
    <row r="676" spans="2:45">
      <c r="B676" s="1268"/>
      <c r="C676" s="1266"/>
      <c r="D676" s="1266"/>
      <c r="E676" s="1266"/>
      <c r="F676" s="1267"/>
      <c r="G676" s="379" t="s">
        <v>715</v>
      </c>
      <c r="H676" s="380"/>
      <c r="I676" s="1272"/>
      <c r="J676" s="378"/>
      <c r="L676" s="403"/>
      <c r="M676" s="403"/>
      <c r="N676" s="403"/>
      <c r="O676" s="403"/>
      <c r="P676" s="403"/>
      <c r="Q676" s="403"/>
      <c r="R676" s="403"/>
      <c r="S676" s="403"/>
      <c r="T676" s="403"/>
      <c r="U676" s="403"/>
      <c r="V676" s="403"/>
      <c r="W676" s="403"/>
      <c r="X676" s="403"/>
      <c r="Y676" s="403"/>
      <c r="Z676" s="367"/>
      <c r="AA676" s="304"/>
      <c r="AB676" s="304"/>
      <c r="AC676" s="304"/>
      <c r="AD676" s="304"/>
      <c r="AE676" s="304"/>
      <c r="AF676" s="304"/>
      <c r="AG676" s="304"/>
      <c r="AH676" s="304"/>
      <c r="AI676" s="304"/>
      <c r="AJ676" s="304"/>
      <c r="AK676" s="304"/>
      <c r="AL676" s="304"/>
      <c r="AM676" s="304"/>
      <c r="AN676" s="304"/>
      <c r="AO676" s="304"/>
      <c r="AP676" s="304"/>
      <c r="AQ676" s="304"/>
      <c r="AR676" s="304"/>
      <c r="AS676" s="304"/>
    </row>
    <row r="677" spans="2:45" ht="15.75" thickBot="1">
      <c r="B677" s="1269"/>
      <c r="C677" s="1270"/>
      <c r="D677" s="1270"/>
      <c r="E677" s="1270"/>
      <c r="F677" s="1271"/>
      <c r="G677" s="379" t="s">
        <v>716</v>
      </c>
      <c r="H677" s="376"/>
      <c r="I677" s="1272"/>
      <c r="J677" s="378"/>
      <c r="L677" s="403"/>
      <c r="M677" s="403"/>
      <c r="N677" s="403"/>
      <c r="O677" s="403"/>
      <c r="P677" s="403"/>
      <c r="Q677" s="403"/>
      <c r="R677" s="403"/>
      <c r="S677" s="403"/>
      <c r="T677" s="403"/>
      <c r="U677" s="403"/>
      <c r="V677" s="403"/>
      <c r="W677" s="403"/>
      <c r="X677" s="403"/>
      <c r="Y677" s="403"/>
      <c r="Z677" s="367"/>
      <c r="AA677" s="304"/>
      <c r="AB677" s="304" t="s">
        <v>717</v>
      </c>
      <c r="AC677" s="304" t="str">
        <f>IF(OR(H675=0, H675&gt;100%), "Year End Profit %", (G681+G682+G683))</f>
        <v>Year End Profit %</v>
      </c>
      <c r="AD677" s="304"/>
      <c r="AE677" s="304"/>
      <c r="AF677" s="304"/>
      <c r="AG677" s="304"/>
      <c r="AH677" s="304"/>
      <c r="AI677" s="304"/>
      <c r="AJ677" s="304"/>
      <c r="AK677" s="304"/>
      <c r="AL677" s="304"/>
      <c r="AM677" s="304"/>
      <c r="AN677" s="304"/>
      <c r="AO677" s="304"/>
      <c r="AP677" s="304"/>
      <c r="AQ677" s="304"/>
      <c r="AR677" s="304"/>
      <c r="AS677" s="304"/>
    </row>
    <row r="678" spans="2:45" ht="18.75">
      <c r="B678" s="1229" t="s">
        <v>718</v>
      </c>
      <c r="C678" s="1273"/>
      <c r="D678" s="1273"/>
      <c r="E678" s="1273"/>
      <c r="F678" s="1273"/>
      <c r="G678" s="377" t="s">
        <v>719</v>
      </c>
      <c r="H678" s="381"/>
      <c r="I678" s="377" t="s">
        <v>719</v>
      </c>
      <c r="J678" s="382"/>
      <c r="L678" s="403"/>
      <c r="M678" s="403"/>
      <c r="N678" s="403"/>
      <c r="O678" s="403"/>
      <c r="P678" s="403"/>
      <c r="Q678" s="403"/>
      <c r="R678" s="403"/>
      <c r="S678" s="403"/>
      <c r="T678" s="403"/>
      <c r="U678" s="403"/>
      <c r="V678" s="403"/>
      <c r="W678" s="403"/>
      <c r="X678" s="403"/>
      <c r="Y678" s="403"/>
      <c r="Z678" s="367"/>
      <c r="AA678" s="304"/>
      <c r="AB678" s="304" t="s">
        <v>720</v>
      </c>
      <c r="AC678" s="304" t="str">
        <f>IF(OR(J675&gt;100%, J675=0), "Year End Profit %", (I681+I682+I683))</f>
        <v>Year End Profit %</v>
      </c>
      <c r="AD678" s="383"/>
      <c r="AE678" s="304"/>
      <c r="AF678" s="304"/>
      <c r="AG678" s="304"/>
      <c r="AH678" s="304"/>
      <c r="AI678" s="304"/>
      <c r="AJ678" s="304"/>
      <c r="AK678" s="304"/>
      <c r="AL678" s="304"/>
      <c r="AM678" s="304"/>
      <c r="AN678" s="304"/>
      <c r="AO678" s="304"/>
      <c r="AP678" s="304"/>
      <c r="AQ678" s="304"/>
      <c r="AR678" s="304"/>
      <c r="AS678" s="304"/>
    </row>
    <row r="679" spans="2:45">
      <c r="B679" s="1274" t="s">
        <v>721</v>
      </c>
      <c r="C679" s="1275"/>
      <c r="D679" s="1275"/>
      <c r="E679" s="1275"/>
      <c r="F679" s="1276"/>
      <c r="G679" s="346"/>
      <c r="H679" s="384">
        <f>G679</f>
        <v>0</v>
      </c>
      <c r="I679" s="364"/>
      <c r="J679" s="385">
        <f>I679</f>
        <v>0</v>
      </c>
      <c r="L679" s="403"/>
      <c r="M679" s="403"/>
      <c r="N679" s="403"/>
      <c r="O679" s="403"/>
      <c r="P679" s="403"/>
      <c r="Q679" s="403"/>
      <c r="R679" s="403"/>
      <c r="S679" s="403"/>
      <c r="T679" s="403"/>
      <c r="U679" s="403"/>
      <c r="V679" s="403"/>
      <c r="W679" s="403"/>
      <c r="X679" s="403"/>
      <c r="Y679" s="403"/>
      <c r="Z679" s="367"/>
      <c r="AA679" s="304"/>
      <c r="AB679" s="304"/>
      <c r="AC679" s="304"/>
      <c r="AD679" s="304"/>
      <c r="AE679" s="304"/>
      <c r="AF679" s="304"/>
      <c r="AG679" s="304"/>
      <c r="AH679" s="304"/>
      <c r="AI679" s="304"/>
      <c r="AJ679" s="304"/>
      <c r="AK679" s="304"/>
      <c r="AL679" s="304"/>
      <c r="AM679" s="304"/>
      <c r="AN679" s="304"/>
      <c r="AO679" s="304"/>
      <c r="AP679" s="304"/>
      <c r="AQ679" s="304"/>
      <c r="AR679" s="304"/>
      <c r="AS679" s="304"/>
    </row>
    <row r="680" spans="2:45">
      <c r="B680" s="1246" t="s">
        <v>722</v>
      </c>
      <c r="C680" s="1247"/>
      <c r="D680" s="1247"/>
      <c r="E680" s="1247"/>
      <c r="F680" s="1247"/>
      <c r="G680" s="377"/>
      <c r="H680" s="381"/>
      <c r="I680" s="386"/>
      <c r="J680" s="382"/>
      <c r="L680" s="403"/>
      <c r="M680" s="403"/>
      <c r="N680" s="403"/>
      <c r="O680" s="403"/>
      <c r="P680" s="403"/>
      <c r="Q680" s="403"/>
      <c r="R680" s="403"/>
      <c r="S680" s="403"/>
      <c r="T680" s="403"/>
      <c r="U680" s="403"/>
      <c r="V680" s="403"/>
      <c r="W680" s="403"/>
      <c r="X680" s="403"/>
      <c r="Y680" s="403"/>
      <c r="Z680" s="367"/>
      <c r="AA680" s="304"/>
      <c r="AB680" s="304"/>
      <c r="AC680" s="304"/>
      <c r="AD680" s="304"/>
      <c r="AE680" s="304"/>
      <c r="AF680" s="304"/>
      <c r="AG680" s="304"/>
      <c r="AH680" s="304"/>
      <c r="AI680" s="304"/>
      <c r="AJ680" s="304"/>
      <c r="AK680" s="304"/>
      <c r="AL680" s="304"/>
      <c r="AM680" s="304"/>
      <c r="AN680" s="304"/>
      <c r="AO680" s="304"/>
      <c r="AP680" s="304"/>
      <c r="AQ680" s="304"/>
      <c r="AR680" s="304"/>
      <c r="AS680" s="304"/>
    </row>
    <row r="681" spans="2:45">
      <c r="B681" s="1248" t="s">
        <v>723</v>
      </c>
      <c r="C681" s="1249"/>
      <c r="D681" s="1249"/>
      <c r="E681" s="1249"/>
      <c r="F681" s="1250"/>
      <c r="G681" s="346"/>
      <c r="H681" s="387" t="str">
        <f>AC677</f>
        <v>Year End Profit %</v>
      </c>
      <c r="I681" s="346"/>
      <c r="J681" s="388" t="str">
        <f>AC678</f>
        <v>Year End Profit %</v>
      </c>
      <c r="L681" s="403"/>
      <c r="M681" s="403"/>
      <c r="N681" s="403"/>
      <c r="O681" s="403"/>
      <c r="P681" s="403"/>
      <c r="Q681" s="403"/>
      <c r="R681" s="403"/>
      <c r="S681" s="403"/>
      <c r="T681" s="403"/>
      <c r="U681" s="403"/>
      <c r="V681" s="403"/>
      <c r="W681" s="403"/>
      <c r="X681" s="403"/>
      <c r="Y681" s="403"/>
      <c r="Z681" s="367"/>
      <c r="AA681" s="304"/>
      <c r="AB681" s="304"/>
      <c r="AC681" s="304"/>
      <c r="AD681" s="304"/>
      <c r="AE681" s="304"/>
      <c r="AF681" s="304"/>
      <c r="AG681" s="304"/>
      <c r="AH681" s="304"/>
      <c r="AI681" s="304"/>
      <c r="AJ681" s="304"/>
      <c r="AK681" s="304"/>
      <c r="AL681" s="304"/>
      <c r="AM681" s="304"/>
      <c r="AN681" s="304"/>
      <c r="AO681" s="304"/>
      <c r="AP681" s="304"/>
      <c r="AQ681" s="304"/>
      <c r="AR681" s="304"/>
      <c r="AS681" s="304"/>
    </row>
    <row r="682" spans="2:45">
      <c r="B682" s="1251" t="s">
        <v>724</v>
      </c>
      <c r="C682" s="1252"/>
      <c r="D682" s="1252"/>
      <c r="E682" s="1252"/>
      <c r="F682" s="1253"/>
      <c r="G682" s="346"/>
      <c r="H682" s="389"/>
      <c r="I682" s="346"/>
      <c r="J682" s="390"/>
      <c r="L682" s="403"/>
      <c r="M682" s="403"/>
      <c r="N682" s="403"/>
      <c r="O682" s="403"/>
      <c r="P682" s="403"/>
      <c r="Q682" s="403"/>
      <c r="R682" s="403"/>
      <c r="S682" s="403"/>
      <c r="T682" s="403"/>
      <c r="U682" s="403"/>
      <c r="V682" s="403"/>
      <c r="W682" s="403"/>
      <c r="X682" s="403"/>
      <c r="Y682" s="403"/>
      <c r="Z682" s="367"/>
      <c r="AA682" s="304"/>
      <c r="AB682" s="304"/>
      <c r="AC682" s="304"/>
      <c r="AD682" s="304"/>
      <c r="AE682" s="304"/>
      <c r="AF682" s="304"/>
      <c r="AG682" s="304"/>
      <c r="AH682" s="304"/>
      <c r="AI682" s="304"/>
      <c r="AJ682" s="304"/>
      <c r="AK682" s="304"/>
      <c r="AL682" s="304"/>
      <c r="AM682" s="304"/>
      <c r="AN682" s="304"/>
      <c r="AO682" s="304"/>
      <c r="AP682" s="304"/>
      <c r="AQ682" s="304"/>
      <c r="AR682" s="304"/>
      <c r="AS682" s="304"/>
    </row>
    <row r="683" spans="2:45">
      <c r="B683" s="1254" t="s">
        <v>725</v>
      </c>
      <c r="C683" s="1255"/>
      <c r="D683" s="1255"/>
      <c r="E683" s="1255"/>
      <c r="F683" s="1256"/>
      <c r="G683" s="346"/>
      <c r="H683" s="389"/>
      <c r="I683" s="346"/>
      <c r="J683" s="390"/>
      <c r="L683" s="403"/>
      <c r="M683" s="403"/>
      <c r="N683" s="403"/>
      <c r="O683" s="403"/>
      <c r="P683" s="403"/>
      <c r="Q683" s="403"/>
      <c r="R683" s="403"/>
      <c r="S683" s="403"/>
      <c r="T683" s="403"/>
      <c r="U683" s="403"/>
      <c r="V683" s="403"/>
      <c r="W683" s="403"/>
      <c r="X683" s="403"/>
      <c r="Y683" s="403"/>
      <c r="Z683" s="367"/>
      <c r="AA683" s="304"/>
      <c r="AB683" s="304"/>
      <c r="AC683" s="304"/>
      <c r="AD683" s="304"/>
      <c r="AE683" s="304"/>
      <c r="AF683" s="304"/>
      <c r="AG683" s="304"/>
      <c r="AH683" s="304"/>
      <c r="AI683" s="304"/>
      <c r="AJ683" s="304"/>
      <c r="AK683" s="304"/>
      <c r="AL683" s="304"/>
      <c r="AM683" s="304"/>
      <c r="AN683" s="304"/>
      <c r="AO683" s="304"/>
      <c r="AP683" s="304"/>
      <c r="AQ683" s="304"/>
      <c r="AR683" s="304"/>
      <c r="AS683" s="304"/>
    </row>
    <row r="684" spans="2:45">
      <c r="B684" s="1257" t="s">
        <v>726</v>
      </c>
      <c r="C684" s="1258"/>
      <c r="D684" s="1258"/>
      <c r="E684" s="1258"/>
      <c r="F684" s="1258"/>
      <c r="G684" s="391"/>
      <c r="H684" s="392"/>
      <c r="I684" s="391"/>
      <c r="J684" s="393"/>
      <c r="L684" s="403"/>
      <c r="M684" s="403"/>
      <c r="N684" s="403"/>
      <c r="O684" s="403"/>
      <c r="P684" s="403"/>
      <c r="Q684" s="403"/>
      <c r="R684" s="403"/>
      <c r="S684" s="403"/>
      <c r="T684" s="403"/>
      <c r="U684" s="403"/>
      <c r="V684" s="403"/>
      <c r="W684" s="403"/>
      <c r="X684" s="403"/>
      <c r="Y684" s="403"/>
      <c r="Z684" s="367"/>
      <c r="AA684" s="304"/>
      <c r="AB684" s="304"/>
      <c r="AC684" s="304"/>
      <c r="AD684" s="304"/>
      <c r="AE684" s="304"/>
      <c r="AF684" s="304"/>
      <c r="AG684" s="304"/>
      <c r="AH684" s="304"/>
      <c r="AI684" s="304"/>
      <c r="AJ684" s="304"/>
      <c r="AK684" s="304"/>
      <c r="AL684" s="304"/>
      <c r="AM684" s="304"/>
      <c r="AN684" s="304"/>
      <c r="AO684" s="304"/>
      <c r="AP684" s="304"/>
      <c r="AQ684" s="304"/>
      <c r="AR684" s="304"/>
      <c r="AS684" s="304"/>
    </row>
    <row r="685" spans="2:45">
      <c r="B685" s="1259" t="s">
        <v>727</v>
      </c>
      <c r="C685" s="1260"/>
      <c r="D685" s="1260"/>
      <c r="E685" s="1260"/>
      <c r="F685" s="1261"/>
      <c r="G685" s="394"/>
      <c r="H685" s="395">
        <f>(G685*H675)*-1</f>
        <v>0</v>
      </c>
      <c r="I685" s="394"/>
      <c r="J685" s="396">
        <f>(I685*J675)*-1</f>
        <v>0</v>
      </c>
      <c r="L685" s="403"/>
      <c r="M685" s="403"/>
      <c r="N685" s="403"/>
      <c r="O685" s="403"/>
      <c r="P685" s="403"/>
      <c r="Q685" s="403"/>
      <c r="R685" s="403"/>
      <c r="S685" s="403"/>
      <c r="T685" s="403"/>
      <c r="U685" s="403"/>
      <c r="V685" s="403"/>
      <c r="W685" s="403"/>
      <c r="X685" s="403"/>
      <c r="Y685" s="403"/>
      <c r="Z685" s="367"/>
      <c r="AA685" s="304"/>
      <c r="AB685" s="304"/>
      <c r="AC685" s="304"/>
      <c r="AD685" s="304"/>
      <c r="AE685" s="304"/>
      <c r="AF685" s="304"/>
      <c r="AG685" s="304"/>
      <c r="AH685" s="304"/>
      <c r="AI685" s="304"/>
      <c r="AJ685" s="304"/>
      <c r="AK685" s="304"/>
      <c r="AL685" s="304"/>
      <c r="AM685" s="304"/>
      <c r="AN685" s="304"/>
      <c r="AO685" s="304"/>
      <c r="AP685" s="304"/>
      <c r="AQ685" s="304"/>
      <c r="AR685" s="304"/>
      <c r="AS685" s="304"/>
    </row>
    <row r="686" spans="2:45">
      <c r="B686" s="1237" t="s">
        <v>728</v>
      </c>
      <c r="C686" s="1238"/>
      <c r="D686" s="1238"/>
      <c r="E686" s="1238"/>
      <c r="F686" s="1239"/>
      <c r="G686" s="394"/>
      <c r="H686" s="395">
        <f>(G686*H675)*-1</f>
        <v>0</v>
      </c>
      <c r="I686" s="394"/>
      <c r="J686" s="396">
        <f>(I686*J675)*-1</f>
        <v>0</v>
      </c>
      <c r="L686" s="403"/>
      <c r="M686" s="403"/>
      <c r="N686" s="403"/>
      <c r="O686" s="403"/>
      <c r="P686" s="403"/>
      <c r="Q686" s="403"/>
      <c r="R686" s="403"/>
      <c r="S686" s="403"/>
      <c r="T686" s="403"/>
      <c r="U686" s="403"/>
      <c r="V686" s="403"/>
      <c r="W686" s="403"/>
      <c r="X686" s="403"/>
      <c r="Y686" s="403"/>
      <c r="Z686" s="367"/>
      <c r="AA686" s="304"/>
      <c r="AB686" s="304"/>
      <c r="AC686" s="304"/>
      <c r="AD686" s="304"/>
      <c r="AE686" s="304"/>
      <c r="AF686" s="304"/>
      <c r="AG686" s="304"/>
      <c r="AH686" s="304"/>
      <c r="AI686" s="304"/>
      <c r="AJ686" s="304"/>
      <c r="AK686" s="304"/>
      <c r="AL686" s="304"/>
      <c r="AM686" s="304"/>
      <c r="AN686" s="304"/>
      <c r="AO686" s="304"/>
      <c r="AP686" s="304"/>
      <c r="AQ686" s="304"/>
      <c r="AR686" s="304"/>
      <c r="AS686" s="304"/>
    </row>
    <row r="687" spans="2:45">
      <c r="B687" s="1237" t="s">
        <v>729</v>
      </c>
      <c r="C687" s="1238"/>
      <c r="D687" s="1238"/>
      <c r="E687" s="1238"/>
      <c r="F687" s="1239"/>
      <c r="G687" s="394"/>
      <c r="H687" s="395">
        <f>(G687*H675)*-1</f>
        <v>0</v>
      </c>
      <c r="I687" s="394"/>
      <c r="J687" s="396">
        <f>(I687*J675)*-1</f>
        <v>0</v>
      </c>
      <c r="L687" s="403"/>
      <c r="M687" s="403"/>
      <c r="N687" s="403"/>
      <c r="O687" s="403"/>
      <c r="P687" s="403"/>
      <c r="Q687" s="403"/>
      <c r="R687" s="403"/>
      <c r="S687" s="403"/>
      <c r="T687" s="403"/>
      <c r="U687" s="403"/>
      <c r="V687" s="403"/>
      <c r="W687" s="403"/>
      <c r="X687" s="403"/>
      <c r="Y687" s="403"/>
      <c r="Z687" s="367"/>
      <c r="AA687" s="304"/>
      <c r="AB687" s="304"/>
      <c r="AC687" s="304"/>
      <c r="AD687" s="304"/>
      <c r="AE687" s="304"/>
      <c r="AF687" s="304"/>
      <c r="AG687" s="304"/>
      <c r="AH687" s="304"/>
      <c r="AI687" s="304"/>
      <c r="AJ687" s="304"/>
      <c r="AK687" s="304"/>
      <c r="AL687" s="304"/>
      <c r="AM687" s="304"/>
      <c r="AN687" s="304"/>
      <c r="AO687" s="304"/>
      <c r="AP687" s="304"/>
      <c r="AQ687" s="304"/>
      <c r="AR687" s="304"/>
      <c r="AS687" s="304"/>
    </row>
    <row r="688" spans="2:45">
      <c r="B688" s="1240" t="s">
        <v>730</v>
      </c>
      <c r="C688" s="1241"/>
      <c r="D688" s="1241"/>
      <c r="E688" s="1241"/>
      <c r="F688" s="1242"/>
      <c r="G688" s="394"/>
      <c r="H688" s="395">
        <f>(G688*H675)*-1</f>
        <v>0</v>
      </c>
      <c r="I688" s="394"/>
      <c r="J688" s="396">
        <f>(I688*J675)*-1</f>
        <v>0</v>
      </c>
      <c r="L688" s="403"/>
      <c r="M688" s="403"/>
      <c r="N688" s="403"/>
      <c r="O688" s="403"/>
      <c r="P688" s="403"/>
      <c r="Q688" s="403"/>
      <c r="R688" s="403"/>
      <c r="S688" s="403"/>
      <c r="T688" s="403"/>
      <c r="U688" s="403"/>
      <c r="V688" s="403"/>
      <c r="W688" s="403"/>
      <c r="X688" s="403"/>
      <c r="Y688" s="403"/>
      <c r="Z688" s="367"/>
      <c r="AA688" s="304"/>
      <c r="AB688" s="304"/>
      <c r="AC688" s="304"/>
      <c r="AD688" s="304"/>
      <c r="AE688" s="304"/>
      <c r="AF688" s="304"/>
      <c r="AG688" s="304"/>
      <c r="AH688" s="304"/>
      <c r="AI688" s="304"/>
      <c r="AJ688" s="304"/>
      <c r="AK688" s="304"/>
      <c r="AL688" s="304"/>
      <c r="AM688" s="304"/>
      <c r="AN688" s="304"/>
      <c r="AO688" s="304"/>
      <c r="AP688" s="304"/>
      <c r="AQ688" s="304"/>
      <c r="AR688" s="304"/>
      <c r="AS688" s="304"/>
    </row>
    <row r="689" spans="1:45">
      <c r="B689" s="1229" t="s">
        <v>731</v>
      </c>
      <c r="C689" s="1230"/>
      <c r="D689" s="1230"/>
      <c r="E689" s="1230"/>
      <c r="F689" s="1230"/>
      <c r="G689" s="350"/>
      <c r="H689" s="351"/>
      <c r="I689" s="350"/>
      <c r="J689" s="352"/>
      <c r="L689" s="403"/>
      <c r="M689" s="403"/>
      <c r="N689" s="403"/>
      <c r="O689" s="403"/>
      <c r="P689" s="403"/>
      <c r="Q689" s="403"/>
      <c r="R689" s="403"/>
      <c r="S689" s="403"/>
      <c r="T689" s="403"/>
      <c r="U689" s="403"/>
      <c r="V689" s="403"/>
      <c r="W689" s="403"/>
      <c r="X689" s="403"/>
      <c r="Y689" s="403"/>
      <c r="Z689" s="367"/>
      <c r="AA689" s="304"/>
      <c r="AB689" s="304"/>
      <c r="AC689" s="304"/>
      <c r="AD689" s="304"/>
      <c r="AE689" s="304"/>
      <c r="AF689" s="304"/>
      <c r="AG689" s="304"/>
      <c r="AH689" s="304"/>
      <c r="AI689" s="304"/>
      <c r="AJ689" s="304"/>
      <c r="AK689" s="304"/>
      <c r="AL689" s="304"/>
      <c r="AM689" s="304"/>
      <c r="AN689" s="304"/>
      <c r="AO689" s="304"/>
      <c r="AP689" s="304"/>
      <c r="AQ689" s="304"/>
      <c r="AR689" s="304"/>
      <c r="AS689" s="304"/>
    </row>
    <row r="690" spans="1:45">
      <c r="B690" s="1243" t="s">
        <v>732</v>
      </c>
      <c r="C690" s="1244"/>
      <c r="D690" s="1244"/>
      <c r="E690" s="1244"/>
      <c r="F690" s="1245"/>
      <c r="G690" s="346"/>
      <c r="H690" s="384">
        <f>G690*H675</f>
        <v>0</v>
      </c>
      <c r="I690" s="346"/>
      <c r="J690" s="385">
        <f>I690*J675</f>
        <v>0</v>
      </c>
      <c r="L690" s="403"/>
      <c r="M690" s="403"/>
      <c r="N690" s="403"/>
      <c r="O690" s="403"/>
      <c r="P690" s="403"/>
      <c r="Q690" s="403"/>
      <c r="R690" s="403"/>
      <c r="S690" s="403"/>
      <c r="T690" s="403"/>
      <c r="U690" s="403"/>
      <c r="V690" s="403"/>
      <c r="W690" s="403"/>
      <c r="X690" s="403"/>
      <c r="Y690" s="403"/>
      <c r="Z690" s="367"/>
      <c r="AA690" s="304"/>
      <c r="AB690" s="304"/>
      <c r="AC690" s="304"/>
      <c r="AD690" s="304"/>
      <c r="AE690" s="304"/>
      <c r="AF690" s="304"/>
      <c r="AG690" s="304"/>
      <c r="AH690" s="304"/>
      <c r="AI690" s="304"/>
      <c r="AJ690" s="304"/>
      <c r="AK690" s="304"/>
      <c r="AL690" s="304"/>
      <c r="AM690" s="304"/>
      <c r="AN690" s="304"/>
      <c r="AO690" s="304"/>
      <c r="AP690" s="304"/>
      <c r="AQ690" s="304"/>
      <c r="AR690" s="304"/>
      <c r="AS690" s="304"/>
    </row>
    <row r="691" spans="1:45">
      <c r="B691" s="1223" t="s">
        <v>733</v>
      </c>
      <c r="C691" s="1224"/>
      <c r="D691" s="1224"/>
      <c r="E691" s="1224"/>
      <c r="F691" s="1225"/>
      <c r="G691" s="346"/>
      <c r="H691" s="384">
        <f>G691*H675</f>
        <v>0</v>
      </c>
      <c r="I691" s="346"/>
      <c r="J691" s="385">
        <f>I691*J675</f>
        <v>0</v>
      </c>
      <c r="L691" s="403"/>
      <c r="M691" s="403"/>
      <c r="N691" s="403"/>
      <c r="O691" s="403"/>
      <c r="P691" s="403"/>
      <c r="Q691" s="403"/>
      <c r="R691" s="403"/>
      <c r="S691" s="403"/>
      <c r="T691" s="403"/>
      <c r="U691" s="403"/>
      <c r="V691" s="403"/>
      <c r="W691" s="403"/>
      <c r="X691" s="403"/>
      <c r="Y691" s="403"/>
      <c r="Z691" s="367"/>
      <c r="AA691" s="304"/>
      <c r="AB691" s="304"/>
      <c r="AC691" s="304"/>
      <c r="AD691" s="304"/>
      <c r="AE691" s="304"/>
      <c r="AF691" s="304"/>
      <c r="AG691" s="304"/>
      <c r="AH691" s="304"/>
      <c r="AI691" s="304"/>
      <c r="AJ691" s="304"/>
      <c r="AK691" s="304"/>
      <c r="AL691" s="304"/>
      <c r="AM691" s="304"/>
      <c r="AN691" s="304"/>
      <c r="AO691" s="304"/>
      <c r="AP691" s="304"/>
      <c r="AQ691" s="304"/>
      <c r="AR691" s="304"/>
      <c r="AS691" s="304"/>
    </row>
    <row r="692" spans="1:45">
      <c r="B692" s="1223" t="s">
        <v>734</v>
      </c>
      <c r="C692" s="1224"/>
      <c r="D692" s="1224"/>
      <c r="E692" s="1224"/>
      <c r="F692" s="1225"/>
      <c r="G692" s="346"/>
      <c r="H692" s="384">
        <f>G692*H675</f>
        <v>0</v>
      </c>
      <c r="I692" s="346"/>
      <c r="J692" s="385">
        <f>I692*J675</f>
        <v>0</v>
      </c>
      <c r="L692" s="403"/>
      <c r="M692" s="403"/>
      <c r="N692" s="403"/>
      <c r="O692" s="403"/>
      <c r="P692" s="403"/>
      <c r="Q692" s="403"/>
      <c r="R692" s="403"/>
      <c r="S692" s="403"/>
      <c r="T692" s="403"/>
      <c r="U692" s="403"/>
      <c r="V692" s="403"/>
      <c r="W692" s="403"/>
      <c r="X692" s="403"/>
      <c r="Y692" s="403"/>
      <c r="Z692" s="367"/>
      <c r="AA692" s="304"/>
      <c r="AB692" s="304"/>
      <c r="AC692" s="304"/>
      <c r="AD692" s="304"/>
      <c r="AE692" s="304"/>
      <c r="AF692" s="304"/>
      <c r="AG692" s="304"/>
      <c r="AH692" s="304"/>
      <c r="AI692" s="304"/>
      <c r="AJ692" s="304"/>
      <c r="AK692" s="304"/>
      <c r="AL692" s="304"/>
      <c r="AM692" s="304"/>
      <c r="AN692" s="304"/>
      <c r="AO692" s="304"/>
      <c r="AP692" s="304"/>
      <c r="AQ692" s="304"/>
      <c r="AR692" s="304"/>
      <c r="AS692" s="304"/>
    </row>
    <row r="693" spans="1:45">
      <c r="B693" s="1172" t="s">
        <v>735</v>
      </c>
      <c r="C693" s="1173"/>
      <c r="D693" s="1173"/>
      <c r="E693" s="1173"/>
      <c r="F693" s="1173"/>
      <c r="G693" s="351"/>
      <c r="H693" s="397"/>
      <c r="I693" s="351"/>
      <c r="J693" s="398"/>
      <c r="L693" s="403"/>
      <c r="M693" s="403"/>
      <c r="N693" s="403"/>
      <c r="O693" s="403"/>
      <c r="P693" s="403"/>
      <c r="Q693" s="403"/>
      <c r="R693" s="403"/>
      <c r="S693" s="403"/>
      <c r="T693" s="403"/>
      <c r="U693" s="403"/>
      <c r="V693" s="403"/>
      <c r="W693" s="403"/>
      <c r="X693" s="403"/>
      <c r="Y693" s="403"/>
      <c r="Z693" s="367"/>
      <c r="AA693" s="304"/>
      <c r="AB693" s="304"/>
      <c r="AC693" s="304"/>
      <c r="AD693" s="304"/>
      <c r="AE693" s="304"/>
      <c r="AF693" s="304"/>
      <c r="AG693" s="304"/>
      <c r="AH693" s="304"/>
      <c r="AI693" s="304"/>
      <c r="AJ693" s="304"/>
      <c r="AK693" s="304"/>
      <c r="AL693" s="304"/>
      <c r="AM693" s="304"/>
      <c r="AN693" s="304"/>
      <c r="AO693" s="304"/>
      <c r="AP693" s="304"/>
      <c r="AQ693" s="304"/>
      <c r="AR693" s="304"/>
      <c r="AS693" s="304"/>
    </row>
    <row r="694" spans="1:45">
      <c r="B694" s="1226" t="s">
        <v>736</v>
      </c>
      <c r="C694" s="1227"/>
      <c r="D694" s="1227"/>
      <c r="E694" s="1227"/>
      <c r="F694" s="1228"/>
      <c r="G694" s="346"/>
      <c r="H694" s="384">
        <f>G694*H675</f>
        <v>0</v>
      </c>
      <c r="I694" s="346"/>
      <c r="J694" s="385">
        <f>I694*J675</f>
        <v>0</v>
      </c>
      <c r="L694" s="403"/>
      <c r="M694" s="403"/>
      <c r="N694" s="403"/>
      <c r="O694" s="403"/>
      <c r="P694" s="403"/>
      <c r="Q694" s="403"/>
      <c r="R694" s="403"/>
      <c r="S694" s="403"/>
      <c r="T694" s="403"/>
      <c r="U694" s="403"/>
      <c r="V694" s="403"/>
      <c r="W694" s="403"/>
      <c r="X694" s="403"/>
      <c r="Y694" s="403"/>
      <c r="Z694" s="367"/>
      <c r="AA694" s="304"/>
      <c r="AB694" s="304"/>
      <c r="AC694" s="304"/>
      <c r="AD694" s="304"/>
      <c r="AE694" s="304"/>
      <c r="AF694" s="304"/>
      <c r="AG694" s="304"/>
      <c r="AH694" s="304"/>
      <c r="AI694" s="304"/>
      <c r="AJ694" s="304"/>
      <c r="AK694" s="304"/>
      <c r="AL694" s="304"/>
      <c r="AM694" s="304"/>
      <c r="AN694" s="304"/>
      <c r="AO694" s="304"/>
      <c r="AP694" s="304"/>
      <c r="AQ694" s="304"/>
      <c r="AR694" s="304"/>
      <c r="AS694" s="304"/>
    </row>
    <row r="695" spans="1:45">
      <c r="B695" s="1229" t="s">
        <v>737</v>
      </c>
      <c r="C695" s="1230"/>
      <c r="D695" s="1230"/>
      <c r="E695" s="1230"/>
      <c r="F695" s="1230"/>
      <c r="G695" s="350"/>
      <c r="H695" s="351"/>
      <c r="I695" s="350"/>
      <c r="J695" s="352"/>
      <c r="L695" s="403"/>
      <c r="M695" s="403"/>
      <c r="N695" s="403"/>
      <c r="O695" s="403"/>
      <c r="P695" s="403"/>
      <c r="Q695" s="403"/>
      <c r="R695" s="403"/>
      <c r="S695" s="403"/>
      <c r="T695" s="403"/>
      <c r="U695" s="403"/>
      <c r="V695" s="403"/>
      <c r="W695" s="403"/>
      <c r="X695" s="403"/>
      <c r="Y695" s="403"/>
      <c r="Z695" s="367"/>
      <c r="AA695" s="304"/>
      <c r="AB695" s="304"/>
      <c r="AC695" s="304"/>
      <c r="AD695" s="304"/>
      <c r="AE695" s="304"/>
      <c r="AF695" s="304"/>
      <c r="AG695" s="304"/>
      <c r="AH695" s="304"/>
      <c r="AI695" s="304"/>
      <c r="AJ695" s="304"/>
      <c r="AK695" s="304"/>
      <c r="AL695" s="304"/>
      <c r="AM695" s="304"/>
      <c r="AN695" s="304"/>
      <c r="AO695" s="304"/>
      <c r="AP695" s="304"/>
      <c r="AQ695" s="304"/>
      <c r="AR695" s="304"/>
      <c r="AS695" s="304"/>
    </row>
    <row r="696" spans="1:45" ht="29.1" customHeight="1">
      <c r="B696" s="1231" t="s">
        <v>738</v>
      </c>
      <c r="C696" s="1232"/>
      <c r="D696" s="1232"/>
      <c r="E696" s="1232"/>
      <c r="F696" s="1233"/>
      <c r="G696" s="399"/>
      <c r="H696" s="359">
        <f>H675*G696*-1</f>
        <v>0</v>
      </c>
      <c r="I696" s="399"/>
      <c r="J696" s="400">
        <f>(J675*I696)*-1</f>
        <v>0</v>
      </c>
      <c r="L696" s="403"/>
      <c r="M696" s="403"/>
      <c r="N696" s="403"/>
      <c r="O696" s="403"/>
      <c r="P696" s="403"/>
      <c r="Q696" s="403"/>
      <c r="R696" s="403"/>
      <c r="S696" s="403"/>
      <c r="T696" s="403"/>
      <c r="U696" s="403"/>
      <c r="V696" s="403"/>
      <c r="W696" s="403"/>
      <c r="X696" s="403"/>
      <c r="Y696" s="403"/>
      <c r="Z696" s="367"/>
      <c r="AA696" s="304"/>
      <c r="AB696" s="304"/>
      <c r="AC696" s="304"/>
      <c r="AD696" s="304"/>
      <c r="AE696" s="304"/>
      <c r="AF696" s="304"/>
      <c r="AG696" s="304"/>
      <c r="AH696" s="304"/>
      <c r="AI696" s="304"/>
      <c r="AJ696" s="304"/>
      <c r="AK696" s="304"/>
      <c r="AL696" s="304"/>
      <c r="AM696" s="304"/>
      <c r="AN696" s="304"/>
      <c r="AO696" s="304"/>
      <c r="AP696" s="304"/>
      <c r="AQ696" s="304"/>
      <c r="AR696" s="304"/>
      <c r="AS696" s="304"/>
    </row>
    <row r="697" spans="1:45" ht="29.1" customHeight="1">
      <c r="B697" s="1234" t="s">
        <v>739</v>
      </c>
      <c r="C697" s="1235"/>
      <c r="D697" s="1235"/>
      <c r="E697" s="1235"/>
      <c r="F697" s="1236"/>
      <c r="G697" s="346"/>
      <c r="H697" s="401">
        <f>(H675*G697)*-1</f>
        <v>0</v>
      </c>
      <c r="I697" s="346"/>
      <c r="J697" s="402">
        <f>(J675*I697)*-1</f>
        <v>0</v>
      </c>
      <c r="L697" s="403"/>
      <c r="M697" s="403"/>
      <c r="N697" s="403"/>
      <c r="O697" s="403"/>
      <c r="P697" s="403"/>
      <c r="Q697" s="403"/>
      <c r="R697" s="403"/>
      <c r="S697" s="403"/>
      <c r="T697" s="403"/>
      <c r="U697" s="403"/>
      <c r="V697" s="403"/>
      <c r="W697" s="403"/>
      <c r="X697" s="403"/>
      <c r="Y697" s="403"/>
      <c r="Z697" s="367"/>
      <c r="AA697" s="304"/>
      <c r="AB697" s="304"/>
      <c r="AC697" s="304"/>
      <c r="AD697" s="304"/>
      <c r="AE697" s="304"/>
      <c r="AF697" s="304"/>
      <c r="AG697" s="304"/>
      <c r="AH697" s="304"/>
      <c r="AI697" s="304"/>
      <c r="AJ697" s="304"/>
      <c r="AK697" s="304"/>
      <c r="AL697" s="304"/>
      <c r="AM697" s="304"/>
      <c r="AN697" s="304"/>
      <c r="AO697" s="304"/>
      <c r="AP697" s="304"/>
      <c r="AQ697" s="304"/>
      <c r="AR697" s="304"/>
      <c r="AS697" s="304"/>
    </row>
    <row r="698" spans="1:45">
      <c r="B698" s="1211" t="s">
        <v>740</v>
      </c>
      <c r="C698" s="1212"/>
      <c r="D698" s="1212"/>
      <c r="E698" s="1212"/>
      <c r="F698" s="1213"/>
      <c r="G698" s="1214">
        <f>SUM(H679:H697)</f>
        <v>0</v>
      </c>
      <c r="H698" s="1215"/>
      <c r="I698" s="1214">
        <f>SUM(J681:J697)+J679</f>
        <v>0</v>
      </c>
      <c r="J698" s="1216"/>
      <c r="L698" s="403"/>
      <c r="M698" s="403"/>
      <c r="N698" s="403"/>
      <c r="O698" s="403"/>
      <c r="P698" s="403"/>
      <c r="Q698" s="403"/>
      <c r="R698" s="403"/>
      <c r="S698" s="403"/>
      <c r="T698" s="403"/>
      <c r="U698" s="403"/>
      <c r="V698" s="403"/>
      <c r="W698" s="403"/>
      <c r="X698" s="403"/>
      <c r="Y698" s="403"/>
      <c r="Z698" s="367"/>
      <c r="AA698" s="304"/>
      <c r="AB698" s="304"/>
      <c r="AC698" s="304"/>
      <c r="AD698" s="304"/>
      <c r="AE698" s="304"/>
      <c r="AF698" s="304"/>
      <c r="AG698" s="304"/>
      <c r="AH698" s="304"/>
      <c r="AI698" s="304"/>
      <c r="AJ698" s="304"/>
      <c r="AK698" s="304"/>
      <c r="AL698" s="304"/>
      <c r="AM698" s="304"/>
      <c r="AN698" s="304"/>
      <c r="AO698" s="304"/>
      <c r="AP698" s="304"/>
      <c r="AQ698" s="304"/>
      <c r="AR698" s="304"/>
      <c r="AS698" s="304"/>
    </row>
    <row r="699" spans="1:45" ht="18.75">
      <c r="B699" s="1217" t="s">
        <v>696</v>
      </c>
      <c r="C699" s="1218"/>
      <c r="D699" s="1218"/>
      <c r="E699" s="1218"/>
      <c r="F699" s="1219"/>
      <c r="G699" s="1161" t="str">
        <f>IF(OR(AC672=0, I698=0), "12 Month Average", "24 Month Average")</f>
        <v>12 Month Average</v>
      </c>
      <c r="H699" s="1162"/>
      <c r="I699" s="1162"/>
      <c r="J699" s="1163"/>
      <c r="L699" s="403"/>
      <c r="M699" s="403"/>
      <c r="N699" s="403"/>
      <c r="O699" s="403"/>
      <c r="P699" s="403"/>
      <c r="Q699" s="403"/>
      <c r="R699" s="403"/>
      <c r="S699" s="403"/>
      <c r="T699" s="403"/>
      <c r="U699" s="403"/>
      <c r="V699" s="403"/>
      <c r="W699" s="403"/>
      <c r="X699" s="403"/>
      <c r="Y699" s="403"/>
      <c r="Z699" s="367"/>
      <c r="AA699" s="304"/>
      <c r="AB699" s="304"/>
      <c r="AC699" s="304"/>
      <c r="AD699" s="304"/>
      <c r="AE699" s="304"/>
      <c r="AF699" s="304"/>
      <c r="AG699" s="304"/>
      <c r="AH699" s="304"/>
      <c r="AI699" s="304"/>
      <c r="AJ699" s="304"/>
      <c r="AK699" s="304"/>
      <c r="AL699" s="304"/>
      <c r="AM699" s="304"/>
      <c r="AN699" s="304"/>
      <c r="AO699" s="304"/>
      <c r="AP699" s="304"/>
      <c r="AQ699" s="304"/>
      <c r="AR699" s="304"/>
      <c r="AS699" s="304"/>
    </row>
    <row r="700" spans="1:45" ht="34.5" thickBot="1">
      <c r="B700" s="1220" t="s">
        <v>697</v>
      </c>
      <c r="C700" s="1221"/>
      <c r="D700" s="1221"/>
      <c r="E700" s="1221"/>
      <c r="F700" s="1222"/>
      <c r="G700" s="1167">
        <f>IF(OR(AC672=0, I698=0), AC674, AC675)</f>
        <v>0</v>
      </c>
      <c r="H700" s="1168"/>
      <c r="I700" s="1168"/>
      <c r="J700" s="1169"/>
      <c r="L700" s="403"/>
      <c r="M700" s="403"/>
      <c r="N700" s="403"/>
      <c r="O700" s="403"/>
      <c r="P700" s="403"/>
      <c r="Q700" s="403"/>
      <c r="R700" s="403"/>
      <c r="S700" s="403"/>
      <c r="T700" s="403"/>
      <c r="U700" s="403"/>
      <c r="V700" s="403"/>
      <c r="W700" s="403"/>
      <c r="X700" s="403"/>
      <c r="Y700" s="403"/>
      <c r="Z700" s="367"/>
      <c r="AA700" s="304"/>
      <c r="AB700" s="304"/>
      <c r="AC700" s="304"/>
      <c r="AD700" s="304"/>
    </row>
    <row r="701" spans="1:45" ht="9" customHeight="1" thickBot="1">
      <c r="H701" s="330"/>
      <c r="I701" s="330"/>
      <c r="L701" s="403"/>
      <c r="M701" s="403"/>
      <c r="N701" s="403"/>
      <c r="O701" s="403"/>
      <c r="P701" s="403"/>
      <c r="Q701" s="403"/>
      <c r="R701" s="403"/>
      <c r="S701" s="403"/>
      <c r="T701" s="403"/>
      <c r="U701" s="403"/>
      <c r="V701" s="403"/>
      <c r="W701" s="403"/>
      <c r="X701" s="403"/>
      <c r="Y701" s="403"/>
      <c r="Z701" s="367"/>
      <c r="AA701" s="304"/>
      <c r="AB701" s="304"/>
      <c r="AC701" s="304"/>
      <c r="AD701" s="304"/>
    </row>
    <row r="702" spans="1:45" ht="105" customHeight="1" thickBot="1">
      <c r="B702" s="1208" t="s">
        <v>645</v>
      </c>
      <c r="C702" s="1209"/>
      <c r="D702" s="1209"/>
      <c r="E702" s="1209"/>
      <c r="F702" s="1209"/>
      <c r="G702" s="1209"/>
      <c r="H702" s="1209"/>
      <c r="I702" s="1209"/>
      <c r="J702" s="1210"/>
      <c r="L702" s="367"/>
      <c r="M702" s="367"/>
      <c r="N702" s="367"/>
      <c r="O702" s="367"/>
      <c r="P702" s="367"/>
      <c r="Q702" s="367"/>
      <c r="R702" s="367"/>
      <c r="S702" s="367"/>
      <c r="T702" s="367"/>
      <c r="U702" s="367"/>
      <c r="V702" s="367"/>
      <c r="W702" s="367"/>
      <c r="X702" s="367"/>
      <c r="Y702" s="367"/>
      <c r="Z702" s="367"/>
      <c r="AA702" s="304"/>
      <c r="AB702" s="304"/>
      <c r="AC702" s="304"/>
      <c r="AD702" s="304"/>
    </row>
    <row r="703" spans="1:45">
      <c r="A703" s="304"/>
      <c r="B703" s="304"/>
      <c r="C703" s="304"/>
      <c r="D703" s="304"/>
      <c r="E703" s="304"/>
      <c r="F703" s="304"/>
      <c r="G703" s="304"/>
      <c r="H703" s="304"/>
      <c r="I703" s="304"/>
      <c r="J703" s="304"/>
      <c r="K703" s="304"/>
      <c r="L703" s="367"/>
      <c r="M703" s="367"/>
      <c r="N703" s="367"/>
      <c r="O703" s="367"/>
      <c r="P703" s="367"/>
      <c r="Q703" s="367"/>
      <c r="R703" s="367"/>
      <c r="S703" s="367"/>
      <c r="T703" s="367"/>
      <c r="U703" s="367"/>
      <c r="V703" s="367"/>
      <c r="W703" s="367"/>
      <c r="X703" s="367"/>
      <c r="Y703" s="367"/>
      <c r="Z703" s="367"/>
      <c r="AA703" s="304"/>
      <c r="AB703" s="304"/>
      <c r="AC703" s="304"/>
      <c r="AD703" s="304"/>
    </row>
    <row r="704" spans="1:45" ht="13.5" customHeight="1" thickBot="1">
      <c r="L704" s="304"/>
      <c r="M704" s="304"/>
      <c r="N704" s="304"/>
      <c r="O704" s="304"/>
      <c r="P704" s="304"/>
      <c r="Q704" s="304"/>
      <c r="R704" s="304"/>
      <c r="S704" s="304"/>
      <c r="T704" s="304"/>
      <c r="U704" s="304"/>
    </row>
    <row r="705" spans="2:45" ht="69" customHeight="1">
      <c r="B705" s="1187" t="s">
        <v>708</v>
      </c>
      <c r="C705" s="1188"/>
      <c r="D705" s="1188"/>
      <c r="E705" s="1188"/>
      <c r="F705" s="1188"/>
      <c r="G705" s="1188"/>
      <c r="H705" s="1188"/>
      <c r="I705" s="1188"/>
      <c r="J705" s="331" t="str">
        <f>'[3]Reference Sheet'!$B$2</f>
        <v>Rev. 4.12.2016</v>
      </c>
      <c r="L705" s="403"/>
      <c r="M705" s="403"/>
      <c r="N705" s="403"/>
      <c r="O705" s="403"/>
      <c r="P705" s="403"/>
      <c r="Q705" s="403"/>
      <c r="R705" s="403"/>
      <c r="S705" s="403"/>
      <c r="T705" s="403"/>
      <c r="U705" s="403"/>
      <c r="V705" s="403"/>
      <c r="W705" s="403"/>
      <c r="X705" s="403"/>
      <c r="Y705" s="403"/>
      <c r="Z705" s="367"/>
      <c r="AA705" s="304"/>
      <c r="AB705" s="304"/>
      <c r="AC705" s="304"/>
      <c r="AD705" s="304"/>
      <c r="AE705" s="304"/>
      <c r="AF705" s="304"/>
      <c r="AG705" s="304"/>
      <c r="AH705" s="304"/>
      <c r="AI705" s="304"/>
      <c r="AJ705" s="304"/>
      <c r="AK705" s="304"/>
      <c r="AL705" s="304"/>
      <c r="AM705" s="304"/>
      <c r="AN705" s="304"/>
      <c r="AO705" s="304"/>
      <c r="AP705" s="304"/>
      <c r="AQ705" s="304"/>
      <c r="AR705" s="304"/>
      <c r="AS705" s="304"/>
    </row>
    <row r="706" spans="2:45" ht="3.75" customHeight="1">
      <c r="B706" s="332"/>
      <c r="C706" s="333"/>
      <c r="D706" s="333"/>
      <c r="E706" s="333"/>
      <c r="F706" s="333"/>
      <c r="G706" s="333"/>
      <c r="H706" s="333"/>
      <c r="I706" s="333"/>
      <c r="J706" s="334"/>
      <c r="L706" s="403"/>
      <c r="M706" s="403"/>
      <c r="N706" s="403"/>
      <c r="O706" s="403"/>
      <c r="P706" s="403"/>
      <c r="Q706" s="403"/>
      <c r="R706" s="403"/>
      <c r="S706" s="403"/>
      <c r="T706" s="403"/>
      <c r="U706" s="403"/>
      <c r="V706" s="403"/>
      <c r="W706" s="403"/>
      <c r="X706" s="403"/>
      <c r="Y706" s="403"/>
      <c r="Z706" s="367"/>
      <c r="AA706" s="304"/>
      <c r="AB706" s="304"/>
      <c r="AC706" s="304"/>
      <c r="AD706" s="304"/>
      <c r="AE706" s="304"/>
      <c r="AF706" s="304"/>
      <c r="AG706" s="304"/>
      <c r="AH706" s="304"/>
      <c r="AI706" s="304"/>
      <c r="AJ706" s="304"/>
      <c r="AK706" s="304"/>
      <c r="AL706" s="304"/>
      <c r="AM706" s="304"/>
      <c r="AN706" s="304"/>
      <c r="AO706" s="304"/>
      <c r="AP706" s="304"/>
      <c r="AQ706" s="304"/>
      <c r="AR706" s="304"/>
      <c r="AS706" s="304"/>
    </row>
    <row r="707" spans="2:45" ht="18" customHeight="1" thickBot="1">
      <c r="B707" s="332"/>
      <c r="C707" s="368" t="s">
        <v>710</v>
      </c>
      <c r="D707" s="1189"/>
      <c r="E707" s="1190"/>
      <c r="F707" s="1190"/>
      <c r="G707" s="1190"/>
      <c r="H707" s="333"/>
      <c r="I707" s="333"/>
      <c r="J707" s="334"/>
      <c r="L707" s="403"/>
      <c r="M707" s="403"/>
      <c r="N707" s="403"/>
      <c r="O707" s="403"/>
      <c r="P707" s="403"/>
      <c r="Q707" s="403"/>
      <c r="R707" s="403"/>
      <c r="S707" s="403"/>
      <c r="T707" s="403"/>
      <c r="U707" s="403"/>
      <c r="V707" s="403"/>
      <c r="W707" s="403"/>
      <c r="X707" s="403"/>
      <c r="Y707" s="403"/>
      <c r="Z707" s="367"/>
      <c r="AA707" s="304"/>
      <c r="AB707" s="304" t="s">
        <v>680</v>
      </c>
      <c r="AC707" s="304">
        <f>IF(AND(J712=0, J716=0, J718=0, J727=0, J728=0, J729=0, J731=0, J733=0, J734=0, I735=0), 0, 1)</f>
        <v>1</v>
      </c>
      <c r="AD707" s="304"/>
      <c r="AE707" s="304"/>
      <c r="AF707" s="366" t="s">
        <v>596</v>
      </c>
      <c r="AG707" s="304"/>
      <c r="AH707" s="304"/>
      <c r="AI707" s="304"/>
      <c r="AJ707" s="304"/>
      <c r="AK707" s="304"/>
      <c r="AL707" s="304"/>
      <c r="AM707" s="304"/>
      <c r="AN707" s="304"/>
      <c r="AO707" s="304"/>
      <c r="AP707" s="304"/>
      <c r="AQ707" s="304"/>
      <c r="AR707" s="304"/>
      <c r="AS707" s="304"/>
    </row>
    <row r="708" spans="2:45" ht="18" customHeight="1" thickBot="1">
      <c r="B708" s="332"/>
      <c r="C708" s="368" t="s">
        <v>711</v>
      </c>
      <c r="D708" s="1277"/>
      <c r="E708" s="1278"/>
      <c r="F708" s="1278"/>
      <c r="G708" s="1278"/>
      <c r="H708" s="368" t="s">
        <v>712</v>
      </c>
      <c r="I708" s="1189"/>
      <c r="J708" s="1279"/>
      <c r="L708" s="403"/>
      <c r="M708" s="403"/>
      <c r="N708" s="403"/>
      <c r="O708" s="403"/>
      <c r="P708" s="403"/>
      <c r="Q708" s="403"/>
      <c r="R708" s="403"/>
      <c r="S708" s="403"/>
      <c r="T708" s="403"/>
      <c r="U708" s="403"/>
      <c r="V708" s="403"/>
      <c r="W708" s="403"/>
      <c r="X708" s="403"/>
      <c r="Y708" s="403"/>
      <c r="Z708" s="367"/>
      <c r="AA708" s="304"/>
      <c r="AB708" s="304" t="s">
        <v>682</v>
      </c>
      <c r="AC708" s="304">
        <f>IF(AND(G735&lt;=I735, I735&lt;&gt;0), 0, 1)</f>
        <v>1</v>
      </c>
      <c r="AD708" s="304"/>
      <c r="AE708" s="304"/>
      <c r="AF708" s="366" t="s">
        <v>683</v>
      </c>
      <c r="AG708" s="304"/>
      <c r="AH708" s="304"/>
      <c r="AI708" s="304"/>
      <c r="AJ708" s="304"/>
      <c r="AK708" s="304"/>
      <c r="AL708" s="304"/>
      <c r="AM708" s="304"/>
      <c r="AN708" s="304"/>
      <c r="AO708" s="304"/>
      <c r="AP708" s="304"/>
      <c r="AQ708" s="304"/>
      <c r="AR708" s="304"/>
      <c r="AS708" s="304"/>
    </row>
    <row r="709" spans="2:45" ht="18" customHeight="1" thickBot="1">
      <c r="B709" s="1176" t="s">
        <v>671</v>
      </c>
      <c r="C709" s="1177"/>
      <c r="D709" s="1280"/>
      <c r="E709" s="1281"/>
      <c r="F709" s="1281"/>
      <c r="G709" s="1281"/>
      <c r="H709" s="336" t="s">
        <v>673</v>
      </c>
      <c r="I709" s="369"/>
      <c r="J709" s="370"/>
      <c r="L709" s="403"/>
      <c r="M709" s="403"/>
      <c r="N709" s="403"/>
      <c r="O709" s="403"/>
      <c r="P709" s="403"/>
      <c r="Q709" s="403"/>
      <c r="R709" s="403"/>
      <c r="S709" s="403"/>
      <c r="T709" s="403"/>
      <c r="U709" s="403"/>
      <c r="V709" s="403"/>
      <c r="W709" s="403"/>
      <c r="X709" s="403"/>
      <c r="Y709" s="403"/>
      <c r="Z709" s="367"/>
      <c r="AA709" s="304"/>
      <c r="AB709" s="304" t="s">
        <v>685</v>
      </c>
      <c r="AC709" s="304">
        <f>IF(AND(AC708=0, AC707=1), 0, 1)</f>
        <v>1</v>
      </c>
      <c r="AD709" s="304"/>
      <c r="AE709" s="304"/>
      <c r="AF709" s="366" t="s">
        <v>599</v>
      </c>
      <c r="AG709" s="304"/>
      <c r="AH709" s="304"/>
      <c r="AI709" s="304"/>
      <c r="AJ709" s="304"/>
      <c r="AK709" s="304"/>
      <c r="AL709" s="304"/>
      <c r="AM709" s="304"/>
      <c r="AN709" s="304"/>
      <c r="AO709" s="304"/>
      <c r="AP709" s="304"/>
      <c r="AQ709" s="304"/>
      <c r="AR709" s="304"/>
      <c r="AS709" s="304"/>
    </row>
    <row r="710" spans="2:45" ht="18" customHeight="1" thickBot="1">
      <c r="B710" s="1176" t="s">
        <v>674</v>
      </c>
      <c r="C710" s="1177"/>
      <c r="D710" s="1262"/>
      <c r="E710" s="1263"/>
      <c r="F710" s="1263"/>
      <c r="G710" s="1263"/>
      <c r="H710" s="1263"/>
      <c r="I710" s="1263"/>
      <c r="J710" s="1264"/>
      <c r="L710" s="403"/>
      <c r="M710" s="403"/>
      <c r="N710" s="403"/>
      <c r="O710" s="403"/>
      <c r="P710" s="403"/>
      <c r="Q710" s="403"/>
      <c r="R710" s="403"/>
      <c r="S710" s="403"/>
      <c r="T710" s="403"/>
      <c r="U710" s="403"/>
      <c r="V710" s="403"/>
      <c r="W710" s="403"/>
      <c r="X710" s="403"/>
      <c r="Y710" s="403"/>
      <c r="Z710" s="367"/>
      <c r="AA710" s="304"/>
      <c r="AB710" s="304"/>
      <c r="AC710" s="304"/>
      <c r="AD710" s="304"/>
      <c r="AE710" s="304"/>
      <c r="AF710" s="366" t="s">
        <v>603</v>
      </c>
      <c r="AG710" s="304"/>
      <c r="AH710" s="304"/>
      <c r="AI710" s="304"/>
      <c r="AJ710" s="304"/>
      <c r="AK710" s="304"/>
      <c r="AL710" s="304"/>
      <c r="AM710" s="304"/>
      <c r="AN710" s="304"/>
      <c r="AO710" s="304"/>
      <c r="AP710" s="304"/>
      <c r="AQ710" s="304"/>
      <c r="AR710" s="304"/>
      <c r="AS710" s="304"/>
    </row>
    <row r="711" spans="2:45">
      <c r="B711" s="1265"/>
      <c r="C711" s="1266"/>
      <c r="D711" s="1266"/>
      <c r="E711" s="1266"/>
      <c r="F711" s="1267"/>
      <c r="G711" s="371" t="s">
        <v>713</v>
      </c>
      <c r="H711" s="372" t="s">
        <v>676</v>
      </c>
      <c r="I711" s="342"/>
      <c r="J711" s="373" t="s">
        <v>677</v>
      </c>
      <c r="L711" s="403"/>
      <c r="M711" s="403"/>
      <c r="N711" s="403"/>
      <c r="O711" s="403"/>
      <c r="P711" s="403"/>
      <c r="Q711" s="403"/>
      <c r="R711" s="403"/>
      <c r="S711" s="403"/>
      <c r="T711" s="403"/>
      <c r="U711" s="403"/>
      <c r="V711" s="403"/>
      <c r="W711" s="403"/>
      <c r="X711" s="403"/>
      <c r="Y711" s="403"/>
      <c r="Z711" s="367"/>
      <c r="AA711" s="304"/>
      <c r="AB711" s="304" t="s">
        <v>689</v>
      </c>
      <c r="AC711" s="374">
        <f>G735/12</f>
        <v>0</v>
      </c>
      <c r="AD711" s="304"/>
      <c r="AE711" s="304"/>
      <c r="AF711" s="366" t="s">
        <v>605</v>
      </c>
      <c r="AG711" s="304"/>
      <c r="AH711" s="304"/>
      <c r="AI711" s="304"/>
      <c r="AJ711" s="304"/>
      <c r="AK711" s="304"/>
      <c r="AL711" s="304"/>
      <c r="AM711" s="304"/>
      <c r="AN711" s="304"/>
      <c r="AO711" s="304"/>
      <c r="AP711" s="304"/>
      <c r="AQ711" s="304"/>
      <c r="AR711" s="304"/>
      <c r="AS711" s="304"/>
    </row>
    <row r="712" spans="2:45">
      <c r="B712" s="1268"/>
      <c r="C712" s="1266"/>
      <c r="D712" s="1266"/>
      <c r="E712" s="1266"/>
      <c r="F712" s="1267"/>
      <c r="G712" s="375" t="s">
        <v>714</v>
      </c>
      <c r="H712" s="376"/>
      <c r="I712" s="1272"/>
      <c r="J712" s="378"/>
      <c r="L712" s="403"/>
      <c r="M712" s="403"/>
      <c r="N712" s="403"/>
      <c r="O712" s="403"/>
      <c r="P712" s="403"/>
      <c r="Q712" s="403"/>
      <c r="R712" s="403"/>
      <c r="S712" s="403"/>
      <c r="T712" s="403"/>
      <c r="U712" s="403"/>
      <c r="V712" s="403"/>
      <c r="W712" s="403"/>
      <c r="X712" s="403"/>
      <c r="Y712" s="403"/>
      <c r="Z712" s="367"/>
      <c r="AA712" s="304"/>
      <c r="AB712" s="304" t="s">
        <v>691</v>
      </c>
      <c r="AC712" s="374">
        <f>(G735+I735)/24</f>
        <v>0</v>
      </c>
      <c r="AD712" s="304"/>
      <c r="AE712" s="304"/>
      <c r="AF712" s="304"/>
      <c r="AG712" s="304"/>
      <c r="AH712" s="304"/>
      <c r="AI712" s="304"/>
      <c r="AJ712" s="304"/>
      <c r="AK712" s="304"/>
      <c r="AL712" s="304"/>
      <c r="AM712" s="304"/>
      <c r="AN712" s="304"/>
      <c r="AO712" s="304"/>
      <c r="AP712" s="304"/>
      <c r="AQ712" s="304"/>
      <c r="AR712" s="304"/>
      <c r="AS712" s="304"/>
    </row>
    <row r="713" spans="2:45">
      <c r="B713" s="1268"/>
      <c r="C713" s="1266"/>
      <c r="D713" s="1266"/>
      <c r="E713" s="1266"/>
      <c r="F713" s="1267"/>
      <c r="G713" s="379" t="s">
        <v>715</v>
      </c>
      <c r="H713" s="380"/>
      <c r="I713" s="1272"/>
      <c r="J713" s="378"/>
      <c r="L713" s="403"/>
      <c r="M713" s="403"/>
      <c r="N713" s="403"/>
      <c r="O713" s="403"/>
      <c r="P713" s="403"/>
      <c r="Q713" s="403"/>
      <c r="R713" s="403"/>
      <c r="S713" s="403"/>
      <c r="T713" s="403"/>
      <c r="U713" s="403"/>
      <c r="V713" s="403"/>
      <c r="W713" s="403"/>
      <c r="X713" s="403"/>
      <c r="Y713" s="403"/>
      <c r="Z713" s="367"/>
      <c r="AA713" s="304"/>
      <c r="AB713" s="304"/>
      <c r="AC713" s="304"/>
      <c r="AD713" s="304"/>
      <c r="AE713" s="304"/>
      <c r="AF713" s="304"/>
      <c r="AG713" s="304"/>
      <c r="AH713" s="304"/>
      <c r="AI713" s="304"/>
      <c r="AJ713" s="304"/>
      <c r="AK713" s="304"/>
      <c r="AL713" s="304"/>
      <c r="AM713" s="304"/>
      <c r="AN713" s="304"/>
      <c r="AO713" s="304"/>
      <c r="AP713" s="304"/>
      <c r="AQ713" s="304"/>
      <c r="AR713" s="304"/>
      <c r="AS713" s="304"/>
    </row>
    <row r="714" spans="2:45" ht="15.75" thickBot="1">
      <c r="B714" s="1269"/>
      <c r="C714" s="1270"/>
      <c r="D714" s="1270"/>
      <c r="E714" s="1270"/>
      <c r="F714" s="1271"/>
      <c r="G714" s="379" t="s">
        <v>716</v>
      </c>
      <c r="H714" s="376"/>
      <c r="I714" s="1272"/>
      <c r="J714" s="378"/>
      <c r="L714" s="403"/>
      <c r="M714" s="403"/>
      <c r="N714" s="403"/>
      <c r="O714" s="403"/>
      <c r="P714" s="403"/>
      <c r="Q714" s="403"/>
      <c r="R714" s="403"/>
      <c r="S714" s="403"/>
      <c r="T714" s="403"/>
      <c r="U714" s="403"/>
      <c r="V714" s="403"/>
      <c r="W714" s="403"/>
      <c r="X714" s="403"/>
      <c r="Y714" s="403"/>
      <c r="Z714" s="367"/>
      <c r="AA714" s="304"/>
      <c r="AB714" s="304" t="s">
        <v>717</v>
      </c>
      <c r="AC714" s="304" t="str">
        <f>IF(OR(H712=0, H712&gt;100%), "Year End Profit %", (G718+G719+G720))</f>
        <v>Year End Profit %</v>
      </c>
      <c r="AD714" s="304"/>
      <c r="AE714" s="304"/>
      <c r="AF714" s="304"/>
      <c r="AG714" s="304"/>
      <c r="AH714" s="304"/>
      <c r="AI714" s="304"/>
      <c r="AJ714" s="304"/>
      <c r="AK714" s="304"/>
      <c r="AL714" s="304"/>
      <c r="AM714" s="304"/>
      <c r="AN714" s="304"/>
      <c r="AO714" s="304"/>
      <c r="AP714" s="304"/>
      <c r="AQ714" s="304"/>
      <c r="AR714" s="304"/>
      <c r="AS714" s="304"/>
    </row>
    <row r="715" spans="2:45" ht="18.75">
      <c r="B715" s="1229" t="s">
        <v>718</v>
      </c>
      <c r="C715" s="1273"/>
      <c r="D715" s="1273"/>
      <c r="E715" s="1273"/>
      <c r="F715" s="1273"/>
      <c r="G715" s="377" t="s">
        <v>719</v>
      </c>
      <c r="H715" s="381"/>
      <c r="I715" s="377" t="s">
        <v>719</v>
      </c>
      <c r="J715" s="382"/>
      <c r="L715" s="403"/>
      <c r="M715" s="403"/>
      <c r="N715" s="403"/>
      <c r="O715" s="403"/>
      <c r="P715" s="403"/>
      <c r="Q715" s="403"/>
      <c r="R715" s="403"/>
      <c r="S715" s="403"/>
      <c r="T715" s="403"/>
      <c r="U715" s="403"/>
      <c r="V715" s="403"/>
      <c r="W715" s="403"/>
      <c r="X715" s="403"/>
      <c r="Y715" s="403"/>
      <c r="Z715" s="367"/>
      <c r="AA715" s="304"/>
      <c r="AB715" s="304" t="s">
        <v>720</v>
      </c>
      <c r="AC715" s="304" t="str">
        <f>IF(OR(J712&gt;100%, J712=0), "Year End Profit %", (I718+I719+I720))</f>
        <v>Year End Profit %</v>
      </c>
      <c r="AD715" s="383"/>
      <c r="AE715" s="304"/>
      <c r="AF715" s="304"/>
      <c r="AG715" s="304"/>
      <c r="AH715" s="304"/>
      <c r="AI715" s="304"/>
      <c r="AJ715" s="304"/>
      <c r="AK715" s="304"/>
      <c r="AL715" s="304"/>
      <c r="AM715" s="304"/>
      <c r="AN715" s="304"/>
      <c r="AO715" s="304"/>
      <c r="AP715" s="304"/>
      <c r="AQ715" s="304"/>
      <c r="AR715" s="304"/>
      <c r="AS715" s="304"/>
    </row>
    <row r="716" spans="2:45">
      <c r="B716" s="1274" t="s">
        <v>721</v>
      </c>
      <c r="C716" s="1275"/>
      <c r="D716" s="1275"/>
      <c r="E716" s="1275"/>
      <c r="F716" s="1276"/>
      <c r="G716" s="346"/>
      <c r="H716" s="384">
        <f>G716</f>
        <v>0</v>
      </c>
      <c r="I716" s="364"/>
      <c r="J716" s="385">
        <f>I716</f>
        <v>0</v>
      </c>
      <c r="L716" s="403"/>
      <c r="M716" s="403"/>
      <c r="N716" s="403"/>
      <c r="O716" s="403"/>
      <c r="P716" s="403"/>
      <c r="Q716" s="403"/>
      <c r="R716" s="403"/>
      <c r="S716" s="403"/>
      <c r="T716" s="403"/>
      <c r="U716" s="403"/>
      <c r="V716" s="403"/>
      <c r="W716" s="403"/>
      <c r="X716" s="403"/>
      <c r="Y716" s="403"/>
      <c r="Z716" s="367"/>
      <c r="AA716" s="304"/>
      <c r="AB716" s="304"/>
      <c r="AC716" s="304"/>
      <c r="AD716" s="304"/>
      <c r="AE716" s="304"/>
      <c r="AF716" s="304"/>
      <c r="AG716" s="304"/>
      <c r="AH716" s="304"/>
      <c r="AI716" s="304"/>
      <c r="AJ716" s="304"/>
      <c r="AK716" s="304"/>
      <c r="AL716" s="304"/>
      <c r="AM716" s="304"/>
      <c r="AN716" s="304"/>
      <c r="AO716" s="304"/>
      <c r="AP716" s="304"/>
      <c r="AQ716" s="304"/>
      <c r="AR716" s="304"/>
      <c r="AS716" s="304"/>
    </row>
    <row r="717" spans="2:45">
      <c r="B717" s="1246" t="s">
        <v>722</v>
      </c>
      <c r="C717" s="1247"/>
      <c r="D717" s="1247"/>
      <c r="E717" s="1247"/>
      <c r="F717" s="1247"/>
      <c r="G717" s="377"/>
      <c r="H717" s="381"/>
      <c r="I717" s="386"/>
      <c r="J717" s="382"/>
      <c r="L717" s="403"/>
      <c r="M717" s="403"/>
      <c r="N717" s="403"/>
      <c r="O717" s="403"/>
      <c r="P717" s="403"/>
      <c r="Q717" s="403"/>
      <c r="R717" s="403"/>
      <c r="S717" s="403"/>
      <c r="T717" s="403"/>
      <c r="U717" s="403"/>
      <c r="V717" s="403"/>
      <c r="W717" s="403"/>
      <c r="X717" s="403"/>
      <c r="Y717" s="403"/>
      <c r="Z717" s="367"/>
      <c r="AA717" s="304"/>
      <c r="AB717" s="304"/>
      <c r="AC717" s="304"/>
      <c r="AD717" s="304"/>
      <c r="AE717" s="304"/>
      <c r="AF717" s="304"/>
      <c r="AG717" s="304"/>
      <c r="AH717" s="304"/>
      <c r="AI717" s="304"/>
      <c r="AJ717" s="304"/>
      <c r="AK717" s="304"/>
      <c r="AL717" s="304"/>
      <c r="AM717" s="304"/>
      <c r="AN717" s="304"/>
      <c r="AO717" s="304"/>
      <c r="AP717" s="304"/>
      <c r="AQ717" s="304"/>
      <c r="AR717" s="304"/>
      <c r="AS717" s="304"/>
    </row>
    <row r="718" spans="2:45">
      <c r="B718" s="1248" t="s">
        <v>723</v>
      </c>
      <c r="C718" s="1249"/>
      <c r="D718" s="1249"/>
      <c r="E718" s="1249"/>
      <c r="F718" s="1250"/>
      <c r="G718" s="346"/>
      <c r="H718" s="387" t="str">
        <f>AC714</f>
        <v>Year End Profit %</v>
      </c>
      <c r="I718" s="346"/>
      <c r="J718" s="388" t="str">
        <f>AC715</f>
        <v>Year End Profit %</v>
      </c>
      <c r="L718" s="403"/>
      <c r="M718" s="403"/>
      <c r="N718" s="403"/>
      <c r="O718" s="403"/>
      <c r="P718" s="403"/>
      <c r="Q718" s="403"/>
      <c r="R718" s="403"/>
      <c r="S718" s="403"/>
      <c r="T718" s="403"/>
      <c r="U718" s="403"/>
      <c r="V718" s="403"/>
      <c r="W718" s="403"/>
      <c r="X718" s="403"/>
      <c r="Y718" s="403"/>
      <c r="Z718" s="367"/>
      <c r="AA718" s="304"/>
      <c r="AB718" s="304"/>
      <c r="AC718" s="304"/>
      <c r="AD718" s="304"/>
      <c r="AE718" s="304"/>
      <c r="AF718" s="304"/>
      <c r="AG718" s="304"/>
      <c r="AH718" s="304"/>
      <c r="AI718" s="304"/>
      <c r="AJ718" s="304"/>
      <c r="AK718" s="304"/>
      <c r="AL718" s="304"/>
      <c r="AM718" s="304"/>
      <c r="AN718" s="304"/>
      <c r="AO718" s="304"/>
      <c r="AP718" s="304"/>
      <c r="AQ718" s="304"/>
      <c r="AR718" s="304"/>
      <c r="AS718" s="304"/>
    </row>
    <row r="719" spans="2:45">
      <c r="B719" s="1251" t="s">
        <v>724</v>
      </c>
      <c r="C719" s="1252"/>
      <c r="D719" s="1252"/>
      <c r="E719" s="1252"/>
      <c r="F719" s="1253"/>
      <c r="G719" s="346"/>
      <c r="H719" s="389"/>
      <c r="I719" s="346"/>
      <c r="J719" s="390"/>
      <c r="L719" s="403"/>
      <c r="M719" s="403"/>
      <c r="N719" s="403"/>
      <c r="O719" s="403"/>
      <c r="P719" s="403"/>
      <c r="Q719" s="403"/>
      <c r="R719" s="403"/>
      <c r="S719" s="403"/>
      <c r="T719" s="403"/>
      <c r="U719" s="403"/>
      <c r="V719" s="403"/>
      <c r="W719" s="403"/>
      <c r="X719" s="403"/>
      <c r="Y719" s="403"/>
      <c r="Z719" s="367"/>
      <c r="AA719" s="304"/>
      <c r="AB719" s="304"/>
      <c r="AC719" s="304"/>
      <c r="AD719" s="304"/>
      <c r="AE719" s="304"/>
      <c r="AF719" s="304"/>
      <c r="AG719" s="304"/>
      <c r="AH719" s="304"/>
      <c r="AI719" s="304"/>
      <c r="AJ719" s="304"/>
      <c r="AK719" s="304"/>
      <c r="AL719" s="304"/>
      <c r="AM719" s="304"/>
      <c r="AN719" s="304"/>
      <c r="AO719" s="304"/>
      <c r="AP719" s="304"/>
      <c r="AQ719" s="304"/>
      <c r="AR719" s="304"/>
      <c r="AS719" s="304"/>
    </row>
    <row r="720" spans="2:45">
      <c r="B720" s="1254" t="s">
        <v>725</v>
      </c>
      <c r="C720" s="1255"/>
      <c r="D720" s="1255"/>
      <c r="E720" s="1255"/>
      <c r="F720" s="1256"/>
      <c r="G720" s="346"/>
      <c r="H720" s="389"/>
      <c r="I720" s="346"/>
      <c r="J720" s="390"/>
      <c r="L720" s="403"/>
      <c r="M720" s="403"/>
      <c r="N720" s="403"/>
      <c r="O720" s="403"/>
      <c r="P720" s="403"/>
      <c r="Q720" s="403"/>
      <c r="R720" s="403"/>
      <c r="S720" s="403"/>
      <c r="T720" s="403"/>
      <c r="U720" s="403"/>
      <c r="V720" s="403"/>
      <c r="W720" s="403"/>
      <c r="X720" s="403"/>
      <c r="Y720" s="403"/>
      <c r="Z720" s="367"/>
      <c r="AA720" s="304"/>
      <c r="AB720" s="304"/>
      <c r="AC720" s="304"/>
      <c r="AD720" s="304"/>
      <c r="AE720" s="304"/>
      <c r="AF720" s="304"/>
      <c r="AG720" s="304"/>
      <c r="AH720" s="304"/>
      <c r="AI720" s="304"/>
      <c r="AJ720" s="304"/>
      <c r="AK720" s="304"/>
      <c r="AL720" s="304"/>
      <c r="AM720" s="304"/>
      <c r="AN720" s="304"/>
      <c r="AO720" s="304"/>
      <c r="AP720" s="304"/>
      <c r="AQ720" s="304"/>
      <c r="AR720" s="304"/>
      <c r="AS720" s="304"/>
    </row>
    <row r="721" spans="2:45">
      <c r="B721" s="1257" t="s">
        <v>726</v>
      </c>
      <c r="C721" s="1258"/>
      <c r="D721" s="1258"/>
      <c r="E721" s="1258"/>
      <c r="F721" s="1258"/>
      <c r="G721" s="391"/>
      <c r="H721" s="392"/>
      <c r="I721" s="391"/>
      <c r="J721" s="393"/>
      <c r="L721" s="403"/>
      <c r="M721" s="403"/>
      <c r="N721" s="403"/>
      <c r="O721" s="403"/>
      <c r="P721" s="403"/>
      <c r="Q721" s="403"/>
      <c r="R721" s="403"/>
      <c r="S721" s="403"/>
      <c r="T721" s="403"/>
      <c r="U721" s="403"/>
      <c r="V721" s="403"/>
      <c r="W721" s="403"/>
      <c r="X721" s="403"/>
      <c r="Y721" s="403"/>
      <c r="Z721" s="367"/>
      <c r="AA721" s="304"/>
      <c r="AB721" s="304"/>
      <c r="AC721" s="304"/>
      <c r="AD721" s="304"/>
      <c r="AE721" s="304"/>
      <c r="AF721" s="304"/>
      <c r="AG721" s="304"/>
      <c r="AH721" s="304"/>
      <c r="AI721" s="304"/>
      <c r="AJ721" s="304"/>
      <c r="AK721" s="304"/>
      <c r="AL721" s="304"/>
      <c r="AM721" s="304"/>
      <c r="AN721" s="304"/>
      <c r="AO721" s="304"/>
      <c r="AP721" s="304"/>
      <c r="AQ721" s="304"/>
      <c r="AR721" s="304"/>
      <c r="AS721" s="304"/>
    </row>
    <row r="722" spans="2:45">
      <c r="B722" s="1259" t="s">
        <v>727</v>
      </c>
      <c r="C722" s="1260"/>
      <c r="D722" s="1260"/>
      <c r="E722" s="1260"/>
      <c r="F722" s="1261"/>
      <c r="G722" s="394"/>
      <c r="H722" s="395">
        <f>(G722*H712)*-1</f>
        <v>0</v>
      </c>
      <c r="I722" s="394"/>
      <c r="J722" s="396">
        <f>(I722*J712)*-1</f>
        <v>0</v>
      </c>
      <c r="L722" s="403"/>
      <c r="M722" s="403"/>
      <c r="N722" s="403"/>
      <c r="O722" s="403"/>
      <c r="P722" s="403"/>
      <c r="Q722" s="403"/>
      <c r="R722" s="403"/>
      <c r="S722" s="403"/>
      <c r="T722" s="403"/>
      <c r="U722" s="403"/>
      <c r="V722" s="403"/>
      <c r="W722" s="403"/>
      <c r="X722" s="403"/>
      <c r="Y722" s="403"/>
      <c r="Z722" s="367"/>
      <c r="AA722" s="304"/>
      <c r="AB722" s="304"/>
      <c r="AC722" s="304"/>
      <c r="AD722" s="304"/>
      <c r="AE722" s="304"/>
      <c r="AF722" s="304"/>
      <c r="AG722" s="304"/>
      <c r="AH722" s="304"/>
      <c r="AI722" s="304"/>
      <c r="AJ722" s="304"/>
      <c r="AK722" s="304"/>
      <c r="AL722" s="304"/>
      <c r="AM722" s="304"/>
      <c r="AN722" s="304"/>
      <c r="AO722" s="304"/>
      <c r="AP722" s="304"/>
      <c r="AQ722" s="304"/>
      <c r="AR722" s="304"/>
      <c r="AS722" s="304"/>
    </row>
    <row r="723" spans="2:45">
      <c r="B723" s="1237" t="s">
        <v>728</v>
      </c>
      <c r="C723" s="1238"/>
      <c r="D723" s="1238"/>
      <c r="E723" s="1238"/>
      <c r="F723" s="1239"/>
      <c r="G723" s="394"/>
      <c r="H723" s="395">
        <f>(G723*H712)*-1</f>
        <v>0</v>
      </c>
      <c r="I723" s="394"/>
      <c r="J723" s="396">
        <f>(I723*J712)*-1</f>
        <v>0</v>
      </c>
      <c r="L723" s="403"/>
      <c r="M723" s="403"/>
      <c r="N723" s="403"/>
      <c r="O723" s="403"/>
      <c r="P723" s="403"/>
      <c r="Q723" s="403"/>
      <c r="R723" s="403"/>
      <c r="S723" s="403"/>
      <c r="T723" s="403"/>
      <c r="U723" s="403"/>
      <c r="V723" s="403"/>
      <c r="W723" s="403"/>
      <c r="X723" s="403"/>
      <c r="Y723" s="403"/>
      <c r="Z723" s="367"/>
      <c r="AA723" s="304"/>
      <c r="AB723" s="304"/>
      <c r="AC723" s="304"/>
      <c r="AD723" s="304"/>
      <c r="AE723" s="304"/>
      <c r="AF723" s="304"/>
      <c r="AG723" s="304"/>
      <c r="AH723" s="304"/>
      <c r="AI723" s="304"/>
      <c r="AJ723" s="304"/>
      <c r="AK723" s="304"/>
      <c r="AL723" s="304"/>
      <c r="AM723" s="304"/>
      <c r="AN723" s="304"/>
      <c r="AO723" s="304"/>
      <c r="AP723" s="304"/>
      <c r="AQ723" s="304"/>
      <c r="AR723" s="304"/>
      <c r="AS723" s="304"/>
    </row>
    <row r="724" spans="2:45">
      <c r="B724" s="1237" t="s">
        <v>729</v>
      </c>
      <c r="C724" s="1238"/>
      <c r="D724" s="1238"/>
      <c r="E724" s="1238"/>
      <c r="F724" s="1239"/>
      <c r="G724" s="394"/>
      <c r="H724" s="395">
        <f>(G724*H712)*-1</f>
        <v>0</v>
      </c>
      <c r="I724" s="394"/>
      <c r="J724" s="396">
        <f>(I724*J712)*-1</f>
        <v>0</v>
      </c>
      <c r="L724" s="403"/>
      <c r="M724" s="403"/>
      <c r="N724" s="403"/>
      <c r="O724" s="403"/>
      <c r="P724" s="403"/>
      <c r="Q724" s="403"/>
      <c r="R724" s="403"/>
      <c r="S724" s="403"/>
      <c r="T724" s="403"/>
      <c r="U724" s="403"/>
      <c r="V724" s="403"/>
      <c r="W724" s="403"/>
      <c r="X724" s="403"/>
      <c r="Y724" s="403"/>
      <c r="Z724" s="367"/>
      <c r="AA724" s="304"/>
      <c r="AB724" s="304"/>
      <c r="AC724" s="304"/>
      <c r="AD724" s="304"/>
      <c r="AE724" s="304"/>
      <c r="AF724" s="304"/>
      <c r="AG724" s="304"/>
      <c r="AH724" s="304"/>
      <c r="AI724" s="304"/>
      <c r="AJ724" s="304"/>
      <c r="AK724" s="304"/>
      <c r="AL724" s="304"/>
      <c r="AM724" s="304"/>
      <c r="AN724" s="304"/>
      <c r="AO724" s="304"/>
      <c r="AP724" s="304"/>
      <c r="AQ724" s="304"/>
      <c r="AR724" s="304"/>
      <c r="AS724" s="304"/>
    </row>
    <row r="725" spans="2:45">
      <c r="B725" s="1240" t="s">
        <v>730</v>
      </c>
      <c r="C725" s="1241"/>
      <c r="D725" s="1241"/>
      <c r="E725" s="1241"/>
      <c r="F725" s="1242"/>
      <c r="G725" s="394"/>
      <c r="H725" s="395">
        <f>(G725*H712)*-1</f>
        <v>0</v>
      </c>
      <c r="I725" s="394"/>
      <c r="J725" s="396">
        <f>(I725*J712)*-1</f>
        <v>0</v>
      </c>
      <c r="L725" s="403"/>
      <c r="M725" s="403"/>
      <c r="N725" s="403"/>
      <c r="O725" s="403"/>
      <c r="P725" s="403"/>
      <c r="Q725" s="403"/>
      <c r="R725" s="403"/>
      <c r="S725" s="403"/>
      <c r="T725" s="403"/>
      <c r="U725" s="403"/>
      <c r="V725" s="403"/>
      <c r="W725" s="403"/>
      <c r="X725" s="403"/>
      <c r="Y725" s="403"/>
      <c r="Z725" s="367"/>
      <c r="AA725" s="304"/>
      <c r="AB725" s="304"/>
      <c r="AC725" s="304"/>
      <c r="AD725" s="304"/>
      <c r="AE725" s="304"/>
      <c r="AF725" s="304"/>
      <c r="AG725" s="304"/>
      <c r="AH725" s="304"/>
      <c r="AI725" s="304"/>
      <c r="AJ725" s="304"/>
      <c r="AK725" s="304"/>
      <c r="AL725" s="304"/>
      <c r="AM725" s="304"/>
      <c r="AN725" s="304"/>
      <c r="AO725" s="304"/>
      <c r="AP725" s="304"/>
      <c r="AQ725" s="304"/>
      <c r="AR725" s="304"/>
      <c r="AS725" s="304"/>
    </row>
    <row r="726" spans="2:45">
      <c r="B726" s="1229" t="s">
        <v>731</v>
      </c>
      <c r="C726" s="1230"/>
      <c r="D726" s="1230"/>
      <c r="E726" s="1230"/>
      <c r="F726" s="1230"/>
      <c r="G726" s="350"/>
      <c r="H726" s="351"/>
      <c r="I726" s="350"/>
      <c r="J726" s="352"/>
      <c r="L726" s="403"/>
      <c r="M726" s="403"/>
      <c r="N726" s="403"/>
      <c r="O726" s="403"/>
      <c r="P726" s="403"/>
      <c r="Q726" s="403"/>
      <c r="R726" s="403"/>
      <c r="S726" s="403"/>
      <c r="T726" s="403"/>
      <c r="U726" s="403"/>
      <c r="V726" s="403"/>
      <c r="W726" s="403"/>
      <c r="X726" s="403"/>
      <c r="Y726" s="403"/>
      <c r="Z726" s="367"/>
      <c r="AA726" s="304"/>
      <c r="AB726" s="304"/>
      <c r="AC726" s="304"/>
      <c r="AD726" s="304"/>
      <c r="AE726" s="304"/>
      <c r="AF726" s="304"/>
      <c r="AG726" s="304"/>
      <c r="AH726" s="304"/>
      <c r="AI726" s="304"/>
      <c r="AJ726" s="304"/>
      <c r="AK726" s="304"/>
      <c r="AL726" s="304"/>
      <c r="AM726" s="304"/>
      <c r="AN726" s="304"/>
      <c r="AO726" s="304"/>
      <c r="AP726" s="304"/>
      <c r="AQ726" s="304"/>
      <c r="AR726" s="304"/>
      <c r="AS726" s="304"/>
    </row>
    <row r="727" spans="2:45">
      <c r="B727" s="1243" t="s">
        <v>732</v>
      </c>
      <c r="C727" s="1244"/>
      <c r="D727" s="1244"/>
      <c r="E727" s="1244"/>
      <c r="F727" s="1245"/>
      <c r="G727" s="346"/>
      <c r="H727" s="384">
        <f>G727*H712</f>
        <v>0</v>
      </c>
      <c r="I727" s="346"/>
      <c r="J727" s="385">
        <f>I727*J712</f>
        <v>0</v>
      </c>
      <c r="L727" s="403"/>
      <c r="M727" s="403"/>
      <c r="N727" s="403"/>
      <c r="O727" s="403"/>
      <c r="P727" s="403"/>
      <c r="Q727" s="403"/>
      <c r="R727" s="403"/>
      <c r="S727" s="403"/>
      <c r="T727" s="403"/>
      <c r="U727" s="403"/>
      <c r="V727" s="403"/>
      <c r="W727" s="403"/>
      <c r="X727" s="403"/>
      <c r="Y727" s="403"/>
      <c r="Z727" s="367"/>
      <c r="AA727" s="304"/>
      <c r="AB727" s="304"/>
      <c r="AC727" s="304"/>
      <c r="AD727" s="304"/>
      <c r="AE727" s="304"/>
      <c r="AF727" s="304"/>
      <c r="AG727" s="304"/>
      <c r="AH727" s="304"/>
      <c r="AI727" s="304"/>
      <c r="AJ727" s="304"/>
      <c r="AK727" s="304"/>
      <c r="AL727" s="304"/>
      <c r="AM727" s="304"/>
      <c r="AN727" s="304"/>
      <c r="AO727" s="304"/>
      <c r="AP727" s="304"/>
      <c r="AQ727" s="304"/>
      <c r="AR727" s="304"/>
      <c r="AS727" s="304"/>
    </row>
    <row r="728" spans="2:45">
      <c r="B728" s="1223" t="s">
        <v>733</v>
      </c>
      <c r="C728" s="1224"/>
      <c r="D728" s="1224"/>
      <c r="E728" s="1224"/>
      <c r="F728" s="1225"/>
      <c r="G728" s="346"/>
      <c r="H728" s="384">
        <f>G728*H712</f>
        <v>0</v>
      </c>
      <c r="I728" s="346"/>
      <c r="J728" s="385">
        <f>I728*J712</f>
        <v>0</v>
      </c>
      <c r="L728" s="403"/>
      <c r="M728" s="403"/>
      <c r="N728" s="403"/>
      <c r="O728" s="403"/>
      <c r="P728" s="403"/>
      <c r="Q728" s="403"/>
      <c r="R728" s="403"/>
      <c r="S728" s="403"/>
      <c r="T728" s="403"/>
      <c r="U728" s="403"/>
      <c r="V728" s="403"/>
      <c r="W728" s="403"/>
      <c r="X728" s="403"/>
      <c r="Y728" s="403"/>
      <c r="Z728" s="367"/>
      <c r="AA728" s="304"/>
      <c r="AB728" s="304"/>
      <c r="AC728" s="304"/>
      <c r="AD728" s="304"/>
      <c r="AE728" s="304"/>
      <c r="AF728" s="304"/>
      <c r="AG728" s="304"/>
      <c r="AH728" s="304"/>
      <c r="AI728" s="304"/>
      <c r="AJ728" s="304"/>
      <c r="AK728" s="304"/>
      <c r="AL728" s="304"/>
      <c r="AM728" s="304"/>
      <c r="AN728" s="304"/>
      <c r="AO728" s="304"/>
      <c r="AP728" s="304"/>
      <c r="AQ728" s="304"/>
      <c r="AR728" s="304"/>
      <c r="AS728" s="304"/>
    </row>
    <row r="729" spans="2:45">
      <c r="B729" s="1223" t="s">
        <v>734</v>
      </c>
      <c r="C729" s="1224"/>
      <c r="D729" s="1224"/>
      <c r="E729" s="1224"/>
      <c r="F729" s="1225"/>
      <c r="G729" s="346"/>
      <c r="H729" s="384">
        <f>G729*H712</f>
        <v>0</v>
      </c>
      <c r="I729" s="346"/>
      <c r="J729" s="385">
        <f>I729*J712</f>
        <v>0</v>
      </c>
      <c r="L729" s="403"/>
      <c r="M729" s="403"/>
      <c r="N729" s="403"/>
      <c r="O729" s="403"/>
      <c r="P729" s="403"/>
      <c r="Q729" s="403"/>
      <c r="R729" s="403"/>
      <c r="S729" s="403"/>
      <c r="T729" s="403"/>
      <c r="U729" s="403"/>
      <c r="V729" s="403"/>
      <c r="W729" s="403"/>
      <c r="X729" s="403"/>
      <c r="Y729" s="403"/>
      <c r="Z729" s="367"/>
      <c r="AA729" s="304"/>
      <c r="AB729" s="304"/>
      <c r="AC729" s="304"/>
      <c r="AD729" s="304"/>
      <c r="AE729" s="304"/>
      <c r="AF729" s="304"/>
      <c r="AG729" s="304"/>
      <c r="AH729" s="304"/>
      <c r="AI729" s="304"/>
      <c r="AJ729" s="304"/>
      <c r="AK729" s="304"/>
      <c r="AL729" s="304"/>
      <c r="AM729" s="304"/>
      <c r="AN729" s="304"/>
      <c r="AO729" s="304"/>
      <c r="AP729" s="304"/>
      <c r="AQ729" s="304"/>
      <c r="AR729" s="304"/>
      <c r="AS729" s="304"/>
    </row>
    <row r="730" spans="2:45">
      <c r="B730" s="1172" t="s">
        <v>735</v>
      </c>
      <c r="C730" s="1173"/>
      <c r="D730" s="1173"/>
      <c r="E730" s="1173"/>
      <c r="F730" s="1173"/>
      <c r="G730" s="351"/>
      <c r="H730" s="397"/>
      <c r="I730" s="351"/>
      <c r="J730" s="398"/>
      <c r="L730" s="403"/>
      <c r="M730" s="403"/>
      <c r="N730" s="403"/>
      <c r="O730" s="403"/>
      <c r="P730" s="403"/>
      <c r="Q730" s="403"/>
      <c r="R730" s="403"/>
      <c r="S730" s="403"/>
      <c r="T730" s="403"/>
      <c r="U730" s="403"/>
      <c r="V730" s="403"/>
      <c r="W730" s="403"/>
      <c r="X730" s="403"/>
      <c r="Y730" s="403"/>
      <c r="Z730" s="367"/>
      <c r="AA730" s="304"/>
      <c r="AB730" s="304"/>
      <c r="AC730" s="304"/>
      <c r="AD730" s="304"/>
      <c r="AE730" s="304"/>
      <c r="AF730" s="304"/>
      <c r="AG730" s="304"/>
      <c r="AH730" s="304"/>
      <c r="AI730" s="304"/>
      <c r="AJ730" s="304"/>
      <c r="AK730" s="304"/>
      <c r="AL730" s="304"/>
      <c r="AM730" s="304"/>
      <c r="AN730" s="304"/>
      <c r="AO730" s="304"/>
      <c r="AP730" s="304"/>
      <c r="AQ730" s="304"/>
      <c r="AR730" s="304"/>
      <c r="AS730" s="304"/>
    </row>
    <row r="731" spans="2:45">
      <c r="B731" s="1226" t="s">
        <v>736</v>
      </c>
      <c r="C731" s="1227"/>
      <c r="D731" s="1227"/>
      <c r="E731" s="1227"/>
      <c r="F731" s="1228"/>
      <c r="G731" s="346"/>
      <c r="H731" s="384">
        <f>G731*H712</f>
        <v>0</v>
      </c>
      <c r="I731" s="346"/>
      <c r="J731" s="385">
        <f>I731*J712</f>
        <v>0</v>
      </c>
      <c r="L731" s="403"/>
      <c r="M731" s="403"/>
      <c r="N731" s="403"/>
      <c r="O731" s="403"/>
      <c r="P731" s="403"/>
      <c r="Q731" s="403"/>
      <c r="R731" s="403"/>
      <c r="S731" s="403"/>
      <c r="T731" s="403"/>
      <c r="U731" s="403"/>
      <c r="V731" s="403"/>
      <c r="W731" s="403"/>
      <c r="X731" s="403"/>
      <c r="Y731" s="403"/>
      <c r="Z731" s="367"/>
      <c r="AA731" s="304"/>
      <c r="AB731" s="304"/>
      <c r="AC731" s="304"/>
      <c r="AD731" s="304"/>
      <c r="AE731" s="304"/>
      <c r="AF731" s="304"/>
      <c r="AG731" s="304"/>
      <c r="AH731" s="304"/>
      <c r="AI731" s="304"/>
      <c r="AJ731" s="304"/>
      <c r="AK731" s="304"/>
      <c r="AL731" s="304"/>
      <c r="AM731" s="304"/>
      <c r="AN731" s="304"/>
      <c r="AO731" s="304"/>
      <c r="AP731" s="304"/>
      <c r="AQ731" s="304"/>
      <c r="AR731" s="304"/>
      <c r="AS731" s="304"/>
    </row>
    <row r="732" spans="2:45">
      <c r="B732" s="1229" t="s">
        <v>737</v>
      </c>
      <c r="C732" s="1230"/>
      <c r="D732" s="1230"/>
      <c r="E732" s="1230"/>
      <c r="F732" s="1230"/>
      <c r="G732" s="350"/>
      <c r="H732" s="351"/>
      <c r="I732" s="350"/>
      <c r="J732" s="352"/>
      <c r="L732" s="403"/>
      <c r="M732" s="403"/>
      <c r="N732" s="403"/>
      <c r="O732" s="403"/>
      <c r="P732" s="403"/>
      <c r="Q732" s="403"/>
      <c r="R732" s="403"/>
      <c r="S732" s="403"/>
      <c r="T732" s="403"/>
      <c r="U732" s="403"/>
      <c r="V732" s="403"/>
      <c r="W732" s="403"/>
      <c r="X732" s="403"/>
      <c r="Y732" s="403"/>
      <c r="Z732" s="367"/>
      <c r="AA732" s="304"/>
      <c r="AB732" s="304"/>
      <c r="AC732" s="304"/>
      <c r="AD732" s="304"/>
      <c r="AE732" s="304"/>
      <c r="AF732" s="304"/>
      <c r="AG732" s="304"/>
      <c r="AH732" s="304"/>
      <c r="AI732" s="304"/>
      <c r="AJ732" s="304"/>
      <c r="AK732" s="304"/>
      <c r="AL732" s="304"/>
      <c r="AM732" s="304"/>
      <c r="AN732" s="304"/>
      <c r="AO732" s="304"/>
      <c r="AP732" s="304"/>
      <c r="AQ732" s="304"/>
      <c r="AR732" s="304"/>
      <c r="AS732" s="304"/>
    </row>
    <row r="733" spans="2:45" ht="29.1" customHeight="1">
      <c r="B733" s="1231" t="s">
        <v>738</v>
      </c>
      <c r="C733" s="1232"/>
      <c r="D733" s="1232"/>
      <c r="E733" s="1232"/>
      <c r="F733" s="1233"/>
      <c r="G733" s="399"/>
      <c r="H733" s="359">
        <f>H712*G733*-1</f>
        <v>0</v>
      </c>
      <c r="I733" s="399"/>
      <c r="J733" s="400">
        <f>(J712*I733)*-1</f>
        <v>0</v>
      </c>
      <c r="L733" s="403"/>
      <c r="M733" s="403"/>
      <c r="N733" s="403"/>
      <c r="O733" s="403"/>
      <c r="P733" s="403"/>
      <c r="Q733" s="403"/>
      <c r="R733" s="403"/>
      <c r="S733" s="403"/>
      <c r="T733" s="403"/>
      <c r="U733" s="403"/>
      <c r="V733" s="403"/>
      <c r="W733" s="403"/>
      <c r="X733" s="403"/>
      <c r="Y733" s="403"/>
      <c r="Z733" s="367"/>
      <c r="AA733" s="304"/>
      <c r="AB733" s="304"/>
      <c r="AC733" s="304"/>
      <c r="AD733" s="304"/>
      <c r="AE733" s="304"/>
      <c r="AF733" s="304"/>
      <c r="AG733" s="304"/>
      <c r="AH733" s="304"/>
      <c r="AI733" s="304"/>
      <c r="AJ733" s="304"/>
      <c r="AK733" s="304"/>
      <c r="AL733" s="304"/>
      <c r="AM733" s="304"/>
      <c r="AN733" s="304"/>
      <c r="AO733" s="304"/>
      <c r="AP733" s="304"/>
      <c r="AQ733" s="304"/>
      <c r="AR733" s="304"/>
      <c r="AS733" s="304"/>
    </row>
    <row r="734" spans="2:45" ht="29.1" customHeight="1">
      <c r="B734" s="1234" t="s">
        <v>739</v>
      </c>
      <c r="C734" s="1235"/>
      <c r="D734" s="1235"/>
      <c r="E734" s="1235"/>
      <c r="F734" s="1236"/>
      <c r="G734" s="346"/>
      <c r="H734" s="401">
        <f>(H712*G734)*-1</f>
        <v>0</v>
      </c>
      <c r="I734" s="346"/>
      <c r="J734" s="402">
        <f>(J712*I734)*-1</f>
        <v>0</v>
      </c>
      <c r="L734" s="403"/>
      <c r="M734" s="403"/>
      <c r="N734" s="403"/>
      <c r="O734" s="403"/>
      <c r="P734" s="403"/>
      <c r="Q734" s="403"/>
      <c r="R734" s="403"/>
      <c r="S734" s="403"/>
      <c r="T734" s="403"/>
      <c r="U734" s="403"/>
      <c r="V734" s="403"/>
      <c r="W734" s="403"/>
      <c r="X734" s="403"/>
      <c r="Y734" s="403"/>
      <c r="Z734" s="367"/>
      <c r="AA734" s="304"/>
      <c r="AB734" s="304"/>
      <c r="AC734" s="304"/>
      <c r="AD734" s="304"/>
      <c r="AE734" s="304"/>
      <c r="AF734" s="304"/>
      <c r="AG734" s="304"/>
      <c r="AH734" s="304"/>
      <c r="AI734" s="304"/>
      <c r="AJ734" s="304"/>
      <c r="AK734" s="304"/>
      <c r="AL734" s="304"/>
      <c r="AM734" s="304"/>
      <c r="AN734" s="304"/>
      <c r="AO734" s="304"/>
      <c r="AP734" s="304"/>
      <c r="AQ734" s="304"/>
      <c r="AR734" s="304"/>
      <c r="AS734" s="304"/>
    </row>
    <row r="735" spans="2:45">
      <c r="B735" s="1211" t="s">
        <v>740</v>
      </c>
      <c r="C735" s="1212"/>
      <c r="D735" s="1212"/>
      <c r="E735" s="1212"/>
      <c r="F735" s="1213"/>
      <c r="G735" s="1214">
        <f>SUM(H716:H734)</f>
        <v>0</v>
      </c>
      <c r="H735" s="1215"/>
      <c r="I735" s="1214">
        <f>SUM(J718:J734)+J716</f>
        <v>0</v>
      </c>
      <c r="J735" s="1216"/>
      <c r="L735" s="403"/>
      <c r="M735" s="403"/>
      <c r="N735" s="403"/>
      <c r="O735" s="403"/>
      <c r="P735" s="403"/>
      <c r="Q735" s="403"/>
      <c r="R735" s="403"/>
      <c r="S735" s="403"/>
      <c r="T735" s="403"/>
      <c r="U735" s="403"/>
      <c r="V735" s="403"/>
      <c r="W735" s="403"/>
      <c r="X735" s="403"/>
      <c r="Y735" s="403"/>
      <c r="Z735" s="367"/>
      <c r="AA735" s="304"/>
      <c r="AB735" s="304"/>
      <c r="AC735" s="304"/>
      <c r="AD735" s="304"/>
      <c r="AE735" s="304"/>
      <c r="AF735" s="304"/>
      <c r="AG735" s="304"/>
      <c r="AH735" s="304"/>
      <c r="AI735" s="304"/>
      <c r="AJ735" s="304"/>
      <c r="AK735" s="304"/>
      <c r="AL735" s="304"/>
      <c r="AM735" s="304"/>
      <c r="AN735" s="304"/>
      <c r="AO735" s="304"/>
      <c r="AP735" s="304"/>
      <c r="AQ735" s="304"/>
      <c r="AR735" s="304"/>
      <c r="AS735" s="304"/>
    </row>
    <row r="736" spans="2:45" ht="18.75">
      <c r="B736" s="1217" t="s">
        <v>696</v>
      </c>
      <c r="C736" s="1218"/>
      <c r="D736" s="1218"/>
      <c r="E736" s="1218"/>
      <c r="F736" s="1219"/>
      <c r="G736" s="1161" t="str">
        <f>IF(OR(AC709=0, I735=0), "12 Month Average", "24 Month Average")</f>
        <v>12 Month Average</v>
      </c>
      <c r="H736" s="1162"/>
      <c r="I736" s="1162"/>
      <c r="J736" s="1163"/>
      <c r="L736" s="403"/>
      <c r="M736" s="403"/>
      <c r="N736" s="403"/>
      <c r="O736" s="403"/>
      <c r="P736" s="403"/>
      <c r="Q736" s="403"/>
      <c r="R736" s="403"/>
      <c r="S736" s="403"/>
      <c r="T736" s="403"/>
      <c r="U736" s="403"/>
      <c r="V736" s="403"/>
      <c r="W736" s="403"/>
      <c r="X736" s="403"/>
      <c r="Y736" s="403"/>
      <c r="Z736" s="367"/>
      <c r="AA736" s="304"/>
      <c r="AB736" s="304"/>
      <c r="AC736" s="304"/>
      <c r="AD736" s="304"/>
      <c r="AE736" s="304"/>
      <c r="AF736" s="304"/>
      <c r="AG736" s="304"/>
      <c r="AH736" s="304"/>
      <c r="AI736" s="304"/>
      <c r="AJ736" s="304"/>
      <c r="AK736" s="304"/>
      <c r="AL736" s="304"/>
      <c r="AM736" s="304"/>
      <c r="AN736" s="304"/>
      <c r="AO736" s="304"/>
      <c r="AP736" s="304"/>
      <c r="AQ736" s="304"/>
      <c r="AR736" s="304"/>
      <c r="AS736" s="304"/>
    </row>
    <row r="737" spans="1:30" ht="34.5" thickBot="1">
      <c r="B737" s="1220" t="s">
        <v>697</v>
      </c>
      <c r="C737" s="1221"/>
      <c r="D737" s="1221"/>
      <c r="E737" s="1221"/>
      <c r="F737" s="1222"/>
      <c r="G737" s="1167">
        <f>IF(OR(AC709=0, I735=0), AC711, AC712)</f>
        <v>0</v>
      </c>
      <c r="H737" s="1168"/>
      <c r="I737" s="1168"/>
      <c r="J737" s="1169"/>
      <c r="L737" s="403"/>
      <c r="M737" s="403"/>
      <c r="N737" s="403"/>
      <c r="O737" s="403"/>
      <c r="P737" s="403"/>
      <c r="Q737" s="403"/>
      <c r="R737" s="403"/>
      <c r="S737" s="403"/>
      <c r="T737" s="403"/>
      <c r="U737" s="403"/>
      <c r="V737" s="403"/>
      <c r="W737" s="403"/>
      <c r="X737" s="403"/>
      <c r="Y737" s="403"/>
      <c r="Z737" s="367"/>
      <c r="AA737" s="304"/>
      <c r="AB737" s="304"/>
      <c r="AC737" s="304"/>
      <c r="AD737" s="304"/>
    </row>
    <row r="738" spans="1:30" ht="9" customHeight="1" thickBot="1">
      <c r="H738" s="330"/>
      <c r="I738" s="330"/>
      <c r="L738" s="403"/>
      <c r="M738" s="403"/>
      <c r="N738" s="403"/>
      <c r="O738" s="403"/>
      <c r="P738" s="403"/>
      <c r="Q738" s="403"/>
      <c r="R738" s="403"/>
      <c r="S738" s="403"/>
      <c r="T738" s="403"/>
      <c r="U738" s="403"/>
      <c r="V738" s="403"/>
      <c r="W738" s="403"/>
      <c r="X738" s="403"/>
      <c r="Y738" s="403"/>
      <c r="Z738" s="367"/>
      <c r="AA738" s="304"/>
      <c r="AB738" s="304"/>
      <c r="AC738" s="304"/>
      <c r="AD738" s="304"/>
    </row>
    <row r="739" spans="1:30" ht="105" customHeight="1" thickBot="1">
      <c r="B739" s="1208" t="s">
        <v>645</v>
      </c>
      <c r="C739" s="1209"/>
      <c r="D739" s="1209"/>
      <c r="E739" s="1209"/>
      <c r="F739" s="1209"/>
      <c r="G739" s="1209"/>
      <c r="H739" s="1209"/>
      <c r="I739" s="1209"/>
      <c r="J739" s="1210"/>
      <c r="L739" s="367"/>
      <c r="M739" s="367"/>
      <c r="N739" s="367"/>
      <c r="O739" s="367"/>
      <c r="P739" s="367"/>
      <c r="Q739" s="367"/>
      <c r="R739" s="367"/>
      <c r="S739" s="367"/>
      <c r="T739" s="367"/>
      <c r="U739" s="367"/>
      <c r="V739" s="367"/>
      <c r="W739" s="367"/>
      <c r="X739" s="367"/>
      <c r="Y739" s="367"/>
      <c r="Z739" s="367"/>
      <c r="AA739" s="304"/>
      <c r="AB739" s="304"/>
      <c r="AC739" s="304"/>
      <c r="AD739" s="304"/>
    </row>
    <row r="740" spans="1:30">
      <c r="A740" s="304"/>
      <c r="B740" s="304"/>
      <c r="C740" s="304"/>
      <c r="D740" s="304"/>
      <c r="E740" s="304"/>
      <c r="F740" s="304"/>
      <c r="G740" s="304"/>
      <c r="H740" s="304"/>
      <c r="I740" s="304"/>
      <c r="J740" s="304"/>
      <c r="K740" s="304"/>
      <c r="L740" s="367"/>
      <c r="M740" s="367"/>
      <c r="N740" s="367"/>
      <c r="O740" s="367"/>
      <c r="P740" s="367"/>
      <c r="Q740" s="367"/>
      <c r="R740" s="367"/>
      <c r="S740" s="367"/>
      <c r="T740" s="367"/>
      <c r="U740" s="367"/>
      <c r="V740" s="367"/>
      <c r="W740" s="367"/>
      <c r="X740" s="367"/>
      <c r="Y740" s="367"/>
      <c r="Z740" s="367"/>
      <c r="AA740" s="304"/>
      <c r="AB740" s="304"/>
      <c r="AC740" s="304"/>
      <c r="AD740" s="304"/>
    </row>
  </sheetData>
  <sheetProtection algorithmName="SHA-512" hashValue="s8ftlW1i2TDklgAHQDcLgtGZu0Erk+TEsOfEF+I10w+Omr9fZIKP2ldj+jA2fpD3HDdThwppSPrIrjgchjnklA==" saltValue="uE3WQ35dXVttd1FAAclgmA==" spinCount="100000" sheet="1" objects="1" scenarios="1" selectLockedCells="1"/>
  <mergeCells count="761">
    <mergeCell ref="I9:I11"/>
    <mergeCell ref="B12:F12"/>
    <mergeCell ref="B13:F13"/>
    <mergeCell ref="B14:F14"/>
    <mergeCell ref="B15:F15"/>
    <mergeCell ref="B16:F16"/>
    <mergeCell ref="B2:I2"/>
    <mergeCell ref="L2:Y35"/>
    <mergeCell ref="D4:G4"/>
    <mergeCell ref="D5:G5"/>
    <mergeCell ref="I5:J5"/>
    <mergeCell ref="B6:C6"/>
    <mergeCell ref="D6:G6"/>
    <mergeCell ref="B7:C7"/>
    <mergeCell ref="D7:J7"/>
    <mergeCell ref="B8:F11"/>
    <mergeCell ref="B23:F23"/>
    <mergeCell ref="B24:F24"/>
    <mergeCell ref="B25:F25"/>
    <mergeCell ref="B26:F26"/>
    <mergeCell ref="B27:F27"/>
    <mergeCell ref="B28:F28"/>
    <mergeCell ref="B17:F17"/>
    <mergeCell ref="B18:F18"/>
    <mergeCell ref="B19:F19"/>
    <mergeCell ref="B20:F20"/>
    <mergeCell ref="B21:F21"/>
    <mergeCell ref="B22:F22"/>
    <mergeCell ref="B33:F33"/>
    <mergeCell ref="G33:J33"/>
    <mergeCell ref="B34:F34"/>
    <mergeCell ref="G34:J34"/>
    <mergeCell ref="B36:J36"/>
    <mergeCell ref="B39:I39"/>
    <mergeCell ref="B29:F29"/>
    <mergeCell ref="B30:F30"/>
    <mergeCell ref="B31:F31"/>
    <mergeCell ref="B32:F32"/>
    <mergeCell ref="G32:H32"/>
    <mergeCell ref="I32:J32"/>
    <mergeCell ref="B45:F48"/>
    <mergeCell ref="I46:I48"/>
    <mergeCell ref="B49:F49"/>
    <mergeCell ref="B50:F50"/>
    <mergeCell ref="B51:F51"/>
    <mergeCell ref="B52:F52"/>
    <mergeCell ref="D41:G41"/>
    <mergeCell ref="D42:G42"/>
    <mergeCell ref="I42:J42"/>
    <mergeCell ref="B43:C43"/>
    <mergeCell ref="D43:G43"/>
    <mergeCell ref="B44:C44"/>
    <mergeCell ref="D44:J44"/>
    <mergeCell ref="B59:F59"/>
    <mergeCell ref="B60:F60"/>
    <mergeCell ref="B61:F61"/>
    <mergeCell ref="B62:F62"/>
    <mergeCell ref="B63:F63"/>
    <mergeCell ref="B64:F64"/>
    <mergeCell ref="B53:F53"/>
    <mergeCell ref="B54:F54"/>
    <mergeCell ref="B55:F55"/>
    <mergeCell ref="B56:F56"/>
    <mergeCell ref="B57:F57"/>
    <mergeCell ref="B58:F58"/>
    <mergeCell ref="I69:J69"/>
    <mergeCell ref="B70:F70"/>
    <mergeCell ref="G70:J70"/>
    <mergeCell ref="B71:F71"/>
    <mergeCell ref="G71:J71"/>
    <mergeCell ref="B73:J73"/>
    <mergeCell ref="B65:F65"/>
    <mergeCell ref="B66:F66"/>
    <mergeCell ref="B67:F67"/>
    <mergeCell ref="B68:F68"/>
    <mergeCell ref="B69:F69"/>
    <mergeCell ref="G69:H69"/>
    <mergeCell ref="B81:C81"/>
    <mergeCell ref="D81:J81"/>
    <mergeCell ref="B82:F85"/>
    <mergeCell ref="I83:I85"/>
    <mergeCell ref="B86:F86"/>
    <mergeCell ref="B87:F87"/>
    <mergeCell ref="B76:I76"/>
    <mergeCell ref="D78:G78"/>
    <mergeCell ref="D79:G79"/>
    <mergeCell ref="I79:J79"/>
    <mergeCell ref="B80:C80"/>
    <mergeCell ref="D80:G80"/>
    <mergeCell ref="B94:F94"/>
    <mergeCell ref="B95:F95"/>
    <mergeCell ref="B96:F96"/>
    <mergeCell ref="B97:F97"/>
    <mergeCell ref="B98:F98"/>
    <mergeCell ref="B99:F99"/>
    <mergeCell ref="B88:F88"/>
    <mergeCell ref="B89:F89"/>
    <mergeCell ref="B90:F90"/>
    <mergeCell ref="B91:F91"/>
    <mergeCell ref="B92:F92"/>
    <mergeCell ref="B93:F93"/>
    <mergeCell ref="B106:F106"/>
    <mergeCell ref="G106:H106"/>
    <mergeCell ref="I106:J106"/>
    <mergeCell ref="B107:F107"/>
    <mergeCell ref="G107:J107"/>
    <mergeCell ref="B108:F108"/>
    <mergeCell ref="G108:J108"/>
    <mergeCell ref="B100:F100"/>
    <mergeCell ref="B101:F101"/>
    <mergeCell ref="B102:F102"/>
    <mergeCell ref="B103:F103"/>
    <mergeCell ref="B104:F104"/>
    <mergeCell ref="B105:F105"/>
    <mergeCell ref="B118:C118"/>
    <mergeCell ref="D118:J118"/>
    <mergeCell ref="B119:F122"/>
    <mergeCell ref="I120:I122"/>
    <mergeCell ref="B123:F123"/>
    <mergeCell ref="B124:F124"/>
    <mergeCell ref="B110:J110"/>
    <mergeCell ref="B113:I113"/>
    <mergeCell ref="D115:G115"/>
    <mergeCell ref="D116:G116"/>
    <mergeCell ref="I116:J116"/>
    <mergeCell ref="B117:C117"/>
    <mergeCell ref="D117:G117"/>
    <mergeCell ref="B131:F131"/>
    <mergeCell ref="B132:F132"/>
    <mergeCell ref="B133:F133"/>
    <mergeCell ref="B134:F134"/>
    <mergeCell ref="B135:F135"/>
    <mergeCell ref="B136:F136"/>
    <mergeCell ref="B125:F125"/>
    <mergeCell ref="B126:F126"/>
    <mergeCell ref="B127:F127"/>
    <mergeCell ref="B128:F128"/>
    <mergeCell ref="B129:F129"/>
    <mergeCell ref="B130:F130"/>
    <mergeCell ref="B143:F143"/>
    <mergeCell ref="G143:H143"/>
    <mergeCell ref="I143:J143"/>
    <mergeCell ref="B144:F144"/>
    <mergeCell ref="G144:J144"/>
    <mergeCell ref="B145:F145"/>
    <mergeCell ref="G145:J145"/>
    <mergeCell ref="B137:F137"/>
    <mergeCell ref="B138:F138"/>
    <mergeCell ref="B139:F139"/>
    <mergeCell ref="B140:F140"/>
    <mergeCell ref="B141:F141"/>
    <mergeCell ref="B142:F142"/>
    <mergeCell ref="B155:C155"/>
    <mergeCell ref="D155:J155"/>
    <mergeCell ref="B156:F159"/>
    <mergeCell ref="I157:I159"/>
    <mergeCell ref="B160:F160"/>
    <mergeCell ref="B161:F161"/>
    <mergeCell ref="B147:J147"/>
    <mergeCell ref="B150:I150"/>
    <mergeCell ref="D152:G152"/>
    <mergeCell ref="D153:G153"/>
    <mergeCell ref="I153:J153"/>
    <mergeCell ref="B154:C154"/>
    <mergeCell ref="D154:G154"/>
    <mergeCell ref="B168:F168"/>
    <mergeCell ref="B169:F169"/>
    <mergeCell ref="B170:F170"/>
    <mergeCell ref="B171:F171"/>
    <mergeCell ref="B172:F172"/>
    <mergeCell ref="B173:F173"/>
    <mergeCell ref="B162:F162"/>
    <mergeCell ref="B163:F163"/>
    <mergeCell ref="B164:F164"/>
    <mergeCell ref="B165:F165"/>
    <mergeCell ref="B166:F166"/>
    <mergeCell ref="B167:F167"/>
    <mergeCell ref="B180:F180"/>
    <mergeCell ref="G180:H180"/>
    <mergeCell ref="I180:J180"/>
    <mergeCell ref="B181:F181"/>
    <mergeCell ref="G181:J181"/>
    <mergeCell ref="B182:F182"/>
    <mergeCell ref="G182:J182"/>
    <mergeCell ref="B174:F174"/>
    <mergeCell ref="B175:F175"/>
    <mergeCell ref="B176:F176"/>
    <mergeCell ref="B177:F177"/>
    <mergeCell ref="B178:F178"/>
    <mergeCell ref="B179:F179"/>
    <mergeCell ref="B192:C192"/>
    <mergeCell ref="D192:J192"/>
    <mergeCell ref="B193:F196"/>
    <mergeCell ref="I194:I196"/>
    <mergeCell ref="B197:F197"/>
    <mergeCell ref="B198:F198"/>
    <mergeCell ref="B184:J184"/>
    <mergeCell ref="B187:I187"/>
    <mergeCell ref="D189:G189"/>
    <mergeCell ref="D190:G190"/>
    <mergeCell ref="I190:J190"/>
    <mergeCell ref="B191:C191"/>
    <mergeCell ref="D191:G191"/>
    <mergeCell ref="B205:F205"/>
    <mergeCell ref="B206:F206"/>
    <mergeCell ref="B207:F207"/>
    <mergeCell ref="B208:F208"/>
    <mergeCell ref="B209:F209"/>
    <mergeCell ref="B210:F210"/>
    <mergeCell ref="B199:F199"/>
    <mergeCell ref="B200:F200"/>
    <mergeCell ref="B201:F201"/>
    <mergeCell ref="B202:F202"/>
    <mergeCell ref="B203:F203"/>
    <mergeCell ref="B204:F204"/>
    <mergeCell ref="B217:F217"/>
    <mergeCell ref="G217:H217"/>
    <mergeCell ref="I217:J217"/>
    <mergeCell ref="B218:F218"/>
    <mergeCell ref="G218:J218"/>
    <mergeCell ref="B219:F219"/>
    <mergeCell ref="G219:J219"/>
    <mergeCell ref="B211:F211"/>
    <mergeCell ref="B212:F212"/>
    <mergeCell ref="B213:F213"/>
    <mergeCell ref="B214:F214"/>
    <mergeCell ref="B215:F215"/>
    <mergeCell ref="B216:F216"/>
    <mergeCell ref="B229:C229"/>
    <mergeCell ref="D229:J229"/>
    <mergeCell ref="B230:F233"/>
    <mergeCell ref="I231:I233"/>
    <mergeCell ref="B234:F234"/>
    <mergeCell ref="B235:F235"/>
    <mergeCell ref="B221:J221"/>
    <mergeCell ref="B224:I224"/>
    <mergeCell ref="D226:G226"/>
    <mergeCell ref="D227:G227"/>
    <mergeCell ref="I227:J227"/>
    <mergeCell ref="B228:C228"/>
    <mergeCell ref="D228:G228"/>
    <mergeCell ref="B242:F242"/>
    <mergeCell ref="B243:F243"/>
    <mergeCell ref="B244:F244"/>
    <mergeCell ref="B245:F245"/>
    <mergeCell ref="B246:F246"/>
    <mergeCell ref="B247:F247"/>
    <mergeCell ref="B236:F236"/>
    <mergeCell ref="B237:F237"/>
    <mergeCell ref="B238:F238"/>
    <mergeCell ref="B239:F239"/>
    <mergeCell ref="B240:F240"/>
    <mergeCell ref="B241:F241"/>
    <mergeCell ref="B254:F254"/>
    <mergeCell ref="G254:H254"/>
    <mergeCell ref="I254:J254"/>
    <mergeCell ref="B255:F255"/>
    <mergeCell ref="G255:J255"/>
    <mergeCell ref="B256:F256"/>
    <mergeCell ref="G256:J256"/>
    <mergeCell ref="B248:F248"/>
    <mergeCell ref="B249:F249"/>
    <mergeCell ref="B250:F250"/>
    <mergeCell ref="B251:F251"/>
    <mergeCell ref="B252:F252"/>
    <mergeCell ref="B253:F253"/>
    <mergeCell ref="B266:C266"/>
    <mergeCell ref="D266:J266"/>
    <mergeCell ref="B267:F270"/>
    <mergeCell ref="I268:I270"/>
    <mergeCell ref="B271:F271"/>
    <mergeCell ref="B272:F272"/>
    <mergeCell ref="B258:J258"/>
    <mergeCell ref="B261:I261"/>
    <mergeCell ref="D263:G263"/>
    <mergeCell ref="D264:G264"/>
    <mergeCell ref="I264:J264"/>
    <mergeCell ref="B265:C265"/>
    <mergeCell ref="D265:G265"/>
    <mergeCell ref="B279:F279"/>
    <mergeCell ref="B280:F280"/>
    <mergeCell ref="B281:F281"/>
    <mergeCell ref="B282:F282"/>
    <mergeCell ref="B283:F283"/>
    <mergeCell ref="B284:F284"/>
    <mergeCell ref="B273:F273"/>
    <mergeCell ref="B274:F274"/>
    <mergeCell ref="B275:F275"/>
    <mergeCell ref="B276:F276"/>
    <mergeCell ref="B277:F277"/>
    <mergeCell ref="B278:F278"/>
    <mergeCell ref="B291:F291"/>
    <mergeCell ref="G291:H291"/>
    <mergeCell ref="I291:J291"/>
    <mergeCell ref="B292:F292"/>
    <mergeCell ref="G292:J292"/>
    <mergeCell ref="B293:F293"/>
    <mergeCell ref="G293:J293"/>
    <mergeCell ref="B285:F285"/>
    <mergeCell ref="B286:F286"/>
    <mergeCell ref="B287:F287"/>
    <mergeCell ref="B288:F288"/>
    <mergeCell ref="B289:F289"/>
    <mergeCell ref="B290:F290"/>
    <mergeCell ref="B303:C303"/>
    <mergeCell ref="D303:J303"/>
    <mergeCell ref="B304:F307"/>
    <mergeCell ref="I305:I307"/>
    <mergeCell ref="B308:F308"/>
    <mergeCell ref="B309:F309"/>
    <mergeCell ref="B295:J295"/>
    <mergeCell ref="B298:I298"/>
    <mergeCell ref="D300:G300"/>
    <mergeCell ref="D301:G301"/>
    <mergeCell ref="I301:J301"/>
    <mergeCell ref="B302:C302"/>
    <mergeCell ref="D302:G302"/>
    <mergeCell ref="B316:F316"/>
    <mergeCell ref="B317:F317"/>
    <mergeCell ref="B318:F318"/>
    <mergeCell ref="B319:F319"/>
    <mergeCell ref="B320:F320"/>
    <mergeCell ref="B321:F321"/>
    <mergeCell ref="B310:F310"/>
    <mergeCell ref="B311:F311"/>
    <mergeCell ref="B312:F312"/>
    <mergeCell ref="B313:F313"/>
    <mergeCell ref="B314:F314"/>
    <mergeCell ref="B315:F315"/>
    <mergeCell ref="B328:F328"/>
    <mergeCell ref="G328:H328"/>
    <mergeCell ref="I328:J328"/>
    <mergeCell ref="B329:F329"/>
    <mergeCell ref="G329:J329"/>
    <mergeCell ref="B330:F330"/>
    <mergeCell ref="G330:J330"/>
    <mergeCell ref="B322:F322"/>
    <mergeCell ref="B323:F323"/>
    <mergeCell ref="B324:F324"/>
    <mergeCell ref="B325:F325"/>
    <mergeCell ref="B326:F326"/>
    <mergeCell ref="B327:F327"/>
    <mergeCell ref="B340:C340"/>
    <mergeCell ref="D340:J340"/>
    <mergeCell ref="B341:F344"/>
    <mergeCell ref="I342:I344"/>
    <mergeCell ref="B345:F345"/>
    <mergeCell ref="B346:F346"/>
    <mergeCell ref="B332:J332"/>
    <mergeCell ref="B335:I335"/>
    <mergeCell ref="D337:G337"/>
    <mergeCell ref="D338:G338"/>
    <mergeCell ref="I338:J338"/>
    <mergeCell ref="B339:C339"/>
    <mergeCell ref="D339:G339"/>
    <mergeCell ref="B353:F353"/>
    <mergeCell ref="B354:F354"/>
    <mergeCell ref="B355:F355"/>
    <mergeCell ref="B356:F356"/>
    <mergeCell ref="B357:F357"/>
    <mergeCell ref="B358:F358"/>
    <mergeCell ref="B347:F347"/>
    <mergeCell ref="B348:F348"/>
    <mergeCell ref="B349:F349"/>
    <mergeCell ref="B350:F350"/>
    <mergeCell ref="B351:F351"/>
    <mergeCell ref="B352:F352"/>
    <mergeCell ref="B365:F365"/>
    <mergeCell ref="G365:H365"/>
    <mergeCell ref="I365:J365"/>
    <mergeCell ref="B366:F366"/>
    <mergeCell ref="G366:J366"/>
    <mergeCell ref="B367:F367"/>
    <mergeCell ref="G367:J367"/>
    <mergeCell ref="B359:F359"/>
    <mergeCell ref="B360:F360"/>
    <mergeCell ref="B361:F361"/>
    <mergeCell ref="B362:F362"/>
    <mergeCell ref="B363:F363"/>
    <mergeCell ref="B364:F364"/>
    <mergeCell ref="B377:C377"/>
    <mergeCell ref="D377:J377"/>
    <mergeCell ref="B378:F381"/>
    <mergeCell ref="I379:I381"/>
    <mergeCell ref="B382:F382"/>
    <mergeCell ref="B383:F383"/>
    <mergeCell ref="B369:J369"/>
    <mergeCell ref="B372:I372"/>
    <mergeCell ref="D374:G374"/>
    <mergeCell ref="D375:G375"/>
    <mergeCell ref="I375:J375"/>
    <mergeCell ref="B376:C376"/>
    <mergeCell ref="D376:G376"/>
    <mergeCell ref="B390:F390"/>
    <mergeCell ref="B391:F391"/>
    <mergeCell ref="B392:F392"/>
    <mergeCell ref="B393:F393"/>
    <mergeCell ref="B394:F394"/>
    <mergeCell ref="B395:F395"/>
    <mergeCell ref="B384:F384"/>
    <mergeCell ref="B385:F385"/>
    <mergeCell ref="B386:F386"/>
    <mergeCell ref="B387:F387"/>
    <mergeCell ref="B388:F388"/>
    <mergeCell ref="B389:F389"/>
    <mergeCell ref="B402:F402"/>
    <mergeCell ref="G402:H402"/>
    <mergeCell ref="I402:J402"/>
    <mergeCell ref="B403:F403"/>
    <mergeCell ref="G403:J403"/>
    <mergeCell ref="B404:F404"/>
    <mergeCell ref="G404:J404"/>
    <mergeCell ref="B396:F396"/>
    <mergeCell ref="B397:F397"/>
    <mergeCell ref="B398:F398"/>
    <mergeCell ref="B399:F399"/>
    <mergeCell ref="B400:F400"/>
    <mergeCell ref="B401:F401"/>
    <mergeCell ref="B414:C414"/>
    <mergeCell ref="D414:J414"/>
    <mergeCell ref="B415:F418"/>
    <mergeCell ref="I416:I418"/>
    <mergeCell ref="B419:F419"/>
    <mergeCell ref="B420:F420"/>
    <mergeCell ref="B406:J406"/>
    <mergeCell ref="B409:I409"/>
    <mergeCell ref="D411:G411"/>
    <mergeCell ref="D412:G412"/>
    <mergeCell ref="I412:J412"/>
    <mergeCell ref="B413:C413"/>
    <mergeCell ref="D413:G413"/>
    <mergeCell ref="B427:F427"/>
    <mergeCell ref="B428:F428"/>
    <mergeCell ref="B429:F429"/>
    <mergeCell ref="B430:F430"/>
    <mergeCell ref="B431:F431"/>
    <mergeCell ref="B432:F432"/>
    <mergeCell ref="B421:F421"/>
    <mergeCell ref="B422:F422"/>
    <mergeCell ref="B423:F423"/>
    <mergeCell ref="B424:F424"/>
    <mergeCell ref="B425:F425"/>
    <mergeCell ref="B426:F426"/>
    <mergeCell ref="B439:F439"/>
    <mergeCell ref="G439:H439"/>
    <mergeCell ref="I439:J439"/>
    <mergeCell ref="B440:F440"/>
    <mergeCell ref="G440:J440"/>
    <mergeCell ref="B441:F441"/>
    <mergeCell ref="G441:J441"/>
    <mergeCell ref="B433:F433"/>
    <mergeCell ref="B434:F434"/>
    <mergeCell ref="B435:F435"/>
    <mergeCell ref="B436:F436"/>
    <mergeCell ref="B437:F437"/>
    <mergeCell ref="B438:F438"/>
    <mergeCell ref="B451:C451"/>
    <mergeCell ref="D451:J451"/>
    <mergeCell ref="B452:F455"/>
    <mergeCell ref="I453:I455"/>
    <mergeCell ref="B456:F456"/>
    <mergeCell ref="B457:F457"/>
    <mergeCell ref="B443:J443"/>
    <mergeCell ref="B446:I446"/>
    <mergeCell ref="D448:G448"/>
    <mergeCell ref="D449:G449"/>
    <mergeCell ref="I449:J449"/>
    <mergeCell ref="B450:C450"/>
    <mergeCell ref="D450:G450"/>
    <mergeCell ref="B464:F464"/>
    <mergeCell ref="B465:F465"/>
    <mergeCell ref="B466:F466"/>
    <mergeCell ref="B467:F467"/>
    <mergeCell ref="B468:F468"/>
    <mergeCell ref="B469:F469"/>
    <mergeCell ref="B458:F458"/>
    <mergeCell ref="B459:F459"/>
    <mergeCell ref="B460:F460"/>
    <mergeCell ref="B461:F461"/>
    <mergeCell ref="B462:F462"/>
    <mergeCell ref="B463:F463"/>
    <mergeCell ref="B476:F476"/>
    <mergeCell ref="G476:H476"/>
    <mergeCell ref="I476:J476"/>
    <mergeCell ref="B477:F477"/>
    <mergeCell ref="G477:J477"/>
    <mergeCell ref="B478:F478"/>
    <mergeCell ref="G478:J478"/>
    <mergeCell ref="B470:F470"/>
    <mergeCell ref="B471:F471"/>
    <mergeCell ref="B472:F472"/>
    <mergeCell ref="B473:F473"/>
    <mergeCell ref="B474:F474"/>
    <mergeCell ref="B475:F475"/>
    <mergeCell ref="B488:C488"/>
    <mergeCell ref="D488:J488"/>
    <mergeCell ref="B489:F492"/>
    <mergeCell ref="I490:I492"/>
    <mergeCell ref="B493:F493"/>
    <mergeCell ref="B494:F494"/>
    <mergeCell ref="B480:J480"/>
    <mergeCell ref="B483:I483"/>
    <mergeCell ref="D485:G485"/>
    <mergeCell ref="D486:G486"/>
    <mergeCell ref="I486:J486"/>
    <mergeCell ref="B487:C487"/>
    <mergeCell ref="D487:G487"/>
    <mergeCell ref="B501:F501"/>
    <mergeCell ref="B502:F502"/>
    <mergeCell ref="B503:F503"/>
    <mergeCell ref="B504:F504"/>
    <mergeCell ref="B505:F505"/>
    <mergeCell ref="B506:F506"/>
    <mergeCell ref="B495:F495"/>
    <mergeCell ref="B496:F496"/>
    <mergeCell ref="B497:F497"/>
    <mergeCell ref="B498:F498"/>
    <mergeCell ref="B499:F499"/>
    <mergeCell ref="B500:F500"/>
    <mergeCell ref="B513:F513"/>
    <mergeCell ref="G513:H513"/>
    <mergeCell ref="I513:J513"/>
    <mergeCell ref="B514:F514"/>
    <mergeCell ref="G514:J514"/>
    <mergeCell ref="B515:F515"/>
    <mergeCell ref="G515:J515"/>
    <mergeCell ref="B507:F507"/>
    <mergeCell ref="B508:F508"/>
    <mergeCell ref="B509:F509"/>
    <mergeCell ref="B510:F510"/>
    <mergeCell ref="B511:F511"/>
    <mergeCell ref="B512:F512"/>
    <mergeCell ref="B525:C525"/>
    <mergeCell ref="D525:J525"/>
    <mergeCell ref="B526:F529"/>
    <mergeCell ref="I527:I529"/>
    <mergeCell ref="B530:F530"/>
    <mergeCell ref="B531:F531"/>
    <mergeCell ref="B517:J517"/>
    <mergeCell ref="B520:I520"/>
    <mergeCell ref="D522:G522"/>
    <mergeCell ref="D523:G523"/>
    <mergeCell ref="I523:J523"/>
    <mergeCell ref="B524:C524"/>
    <mergeCell ref="D524:G524"/>
    <mergeCell ref="B538:F538"/>
    <mergeCell ref="B539:F539"/>
    <mergeCell ref="B540:F540"/>
    <mergeCell ref="B541:F541"/>
    <mergeCell ref="B542:F542"/>
    <mergeCell ref="B543:F543"/>
    <mergeCell ref="B532:F532"/>
    <mergeCell ref="B533:F533"/>
    <mergeCell ref="B534:F534"/>
    <mergeCell ref="B535:F535"/>
    <mergeCell ref="B536:F536"/>
    <mergeCell ref="B537:F537"/>
    <mergeCell ref="B550:F550"/>
    <mergeCell ref="G550:H550"/>
    <mergeCell ref="I550:J550"/>
    <mergeCell ref="B551:F551"/>
    <mergeCell ref="G551:J551"/>
    <mergeCell ref="B552:F552"/>
    <mergeCell ref="G552:J552"/>
    <mergeCell ref="B544:F544"/>
    <mergeCell ref="B545:F545"/>
    <mergeCell ref="B546:F546"/>
    <mergeCell ref="B547:F547"/>
    <mergeCell ref="B548:F548"/>
    <mergeCell ref="B549:F549"/>
    <mergeCell ref="B562:C562"/>
    <mergeCell ref="D562:J562"/>
    <mergeCell ref="B563:F566"/>
    <mergeCell ref="I564:I566"/>
    <mergeCell ref="B567:F567"/>
    <mergeCell ref="B568:F568"/>
    <mergeCell ref="B554:J554"/>
    <mergeCell ref="B557:I557"/>
    <mergeCell ref="D559:G559"/>
    <mergeCell ref="D560:G560"/>
    <mergeCell ref="I560:J560"/>
    <mergeCell ref="B561:C561"/>
    <mergeCell ref="D561:G561"/>
    <mergeCell ref="B575:F575"/>
    <mergeCell ref="B576:F576"/>
    <mergeCell ref="B577:F577"/>
    <mergeCell ref="B578:F578"/>
    <mergeCell ref="B579:F579"/>
    <mergeCell ref="B580:F580"/>
    <mergeCell ref="B569:F569"/>
    <mergeCell ref="B570:F570"/>
    <mergeCell ref="B571:F571"/>
    <mergeCell ref="B572:F572"/>
    <mergeCell ref="B573:F573"/>
    <mergeCell ref="B574:F574"/>
    <mergeCell ref="B587:F587"/>
    <mergeCell ref="G587:H587"/>
    <mergeCell ref="I587:J587"/>
    <mergeCell ref="B588:F588"/>
    <mergeCell ref="G588:J588"/>
    <mergeCell ref="B589:F589"/>
    <mergeCell ref="G589:J589"/>
    <mergeCell ref="B581:F581"/>
    <mergeCell ref="B582:F582"/>
    <mergeCell ref="B583:F583"/>
    <mergeCell ref="B584:F584"/>
    <mergeCell ref="B585:F585"/>
    <mergeCell ref="B586:F586"/>
    <mergeCell ref="B599:C599"/>
    <mergeCell ref="D599:J599"/>
    <mergeCell ref="B600:F603"/>
    <mergeCell ref="I601:I603"/>
    <mergeCell ref="B604:F604"/>
    <mergeCell ref="B605:F605"/>
    <mergeCell ref="B591:J591"/>
    <mergeCell ref="B594:I594"/>
    <mergeCell ref="D596:G596"/>
    <mergeCell ref="D597:G597"/>
    <mergeCell ref="I597:J597"/>
    <mergeCell ref="B598:C598"/>
    <mergeCell ref="D598:G598"/>
    <mergeCell ref="B612:F612"/>
    <mergeCell ref="B613:F613"/>
    <mergeCell ref="B614:F614"/>
    <mergeCell ref="B615:F615"/>
    <mergeCell ref="B616:F616"/>
    <mergeCell ref="B617:F617"/>
    <mergeCell ref="B606:F606"/>
    <mergeCell ref="B607:F607"/>
    <mergeCell ref="B608:F608"/>
    <mergeCell ref="B609:F609"/>
    <mergeCell ref="B610:F610"/>
    <mergeCell ref="B611:F611"/>
    <mergeCell ref="B624:F624"/>
    <mergeCell ref="G624:H624"/>
    <mergeCell ref="I624:J624"/>
    <mergeCell ref="B625:F625"/>
    <mergeCell ref="G625:J625"/>
    <mergeCell ref="B626:F626"/>
    <mergeCell ref="G626:J626"/>
    <mergeCell ref="B618:F618"/>
    <mergeCell ref="B619:F619"/>
    <mergeCell ref="B620:F620"/>
    <mergeCell ref="B621:F621"/>
    <mergeCell ref="B622:F622"/>
    <mergeCell ref="B623:F623"/>
    <mergeCell ref="B636:C636"/>
    <mergeCell ref="D636:J636"/>
    <mergeCell ref="B637:F640"/>
    <mergeCell ref="I638:I640"/>
    <mergeCell ref="B641:F641"/>
    <mergeCell ref="B642:F642"/>
    <mergeCell ref="B628:J628"/>
    <mergeCell ref="B631:I631"/>
    <mergeCell ref="D633:G633"/>
    <mergeCell ref="D634:G634"/>
    <mergeCell ref="I634:J634"/>
    <mergeCell ref="B635:C635"/>
    <mergeCell ref="D635:G635"/>
    <mergeCell ref="B649:F649"/>
    <mergeCell ref="B650:F650"/>
    <mergeCell ref="B651:F651"/>
    <mergeCell ref="B652:F652"/>
    <mergeCell ref="B653:F653"/>
    <mergeCell ref="B654:F654"/>
    <mergeCell ref="B643:F643"/>
    <mergeCell ref="B644:F644"/>
    <mergeCell ref="B645:F645"/>
    <mergeCell ref="B646:F646"/>
    <mergeCell ref="B647:F647"/>
    <mergeCell ref="B648:F648"/>
    <mergeCell ref="B661:F661"/>
    <mergeCell ref="G661:H661"/>
    <mergeCell ref="I661:J661"/>
    <mergeCell ref="B662:F662"/>
    <mergeCell ref="G662:J662"/>
    <mergeCell ref="B663:F663"/>
    <mergeCell ref="G663:J663"/>
    <mergeCell ref="B655:F655"/>
    <mergeCell ref="B656:F656"/>
    <mergeCell ref="B657:F657"/>
    <mergeCell ref="B658:F658"/>
    <mergeCell ref="B659:F659"/>
    <mergeCell ref="B660:F660"/>
    <mergeCell ref="B673:C673"/>
    <mergeCell ref="D673:J673"/>
    <mergeCell ref="B674:F677"/>
    <mergeCell ref="I675:I677"/>
    <mergeCell ref="B678:F678"/>
    <mergeCell ref="B679:F679"/>
    <mergeCell ref="B665:J665"/>
    <mergeCell ref="B668:I668"/>
    <mergeCell ref="D670:G670"/>
    <mergeCell ref="D671:G671"/>
    <mergeCell ref="I671:J671"/>
    <mergeCell ref="B672:C672"/>
    <mergeCell ref="D672:G672"/>
    <mergeCell ref="B686:F686"/>
    <mergeCell ref="B687:F687"/>
    <mergeCell ref="B688:F688"/>
    <mergeCell ref="B689:F689"/>
    <mergeCell ref="B690:F690"/>
    <mergeCell ref="B691:F691"/>
    <mergeCell ref="B680:F680"/>
    <mergeCell ref="B681:F681"/>
    <mergeCell ref="B682:F682"/>
    <mergeCell ref="B683:F683"/>
    <mergeCell ref="B684:F684"/>
    <mergeCell ref="B685:F685"/>
    <mergeCell ref="B698:F698"/>
    <mergeCell ref="G698:H698"/>
    <mergeCell ref="I698:J698"/>
    <mergeCell ref="B699:F699"/>
    <mergeCell ref="G699:J699"/>
    <mergeCell ref="B700:F700"/>
    <mergeCell ref="G700:J700"/>
    <mergeCell ref="B692:F692"/>
    <mergeCell ref="B693:F693"/>
    <mergeCell ref="B694:F694"/>
    <mergeCell ref="B695:F695"/>
    <mergeCell ref="B696:F696"/>
    <mergeCell ref="B697:F697"/>
    <mergeCell ref="B710:C710"/>
    <mergeCell ref="D710:J710"/>
    <mergeCell ref="B711:F714"/>
    <mergeCell ref="I712:I714"/>
    <mergeCell ref="B715:F715"/>
    <mergeCell ref="B716:F716"/>
    <mergeCell ref="B702:J702"/>
    <mergeCell ref="B705:I705"/>
    <mergeCell ref="D707:G707"/>
    <mergeCell ref="D708:G708"/>
    <mergeCell ref="I708:J708"/>
    <mergeCell ref="B709:C709"/>
    <mergeCell ref="D709:G709"/>
    <mergeCell ref="B723:F723"/>
    <mergeCell ref="B724:F724"/>
    <mergeCell ref="B725:F725"/>
    <mergeCell ref="B726:F726"/>
    <mergeCell ref="B727:F727"/>
    <mergeCell ref="B728:F728"/>
    <mergeCell ref="B717:F717"/>
    <mergeCell ref="B718:F718"/>
    <mergeCell ref="B719:F719"/>
    <mergeCell ref="B720:F720"/>
    <mergeCell ref="B721:F721"/>
    <mergeCell ref="B722:F722"/>
    <mergeCell ref="B739:J739"/>
    <mergeCell ref="B735:F735"/>
    <mergeCell ref="G735:H735"/>
    <mergeCell ref="I735:J735"/>
    <mergeCell ref="B736:F736"/>
    <mergeCell ref="G736:J736"/>
    <mergeCell ref="B737:F737"/>
    <mergeCell ref="G737:J737"/>
    <mergeCell ref="B729:F729"/>
    <mergeCell ref="B730:F730"/>
    <mergeCell ref="B731:F731"/>
    <mergeCell ref="B732:F732"/>
    <mergeCell ref="B733:F733"/>
    <mergeCell ref="B734:F734"/>
  </mergeCells>
  <conditionalFormatting sqref="AD12">
    <cfRule type="containsText" dxfId="480" priority="198" operator="containsText" text="24 Month Average">
      <formula>NOT(ISERROR(SEARCH("24 Month Average",AD12)))</formula>
    </cfRule>
    <cfRule type="containsText" dxfId="479" priority="199" operator="containsText" text="12 Month Average">
      <formula>NOT(ISERROR(SEARCH("12 Month Average",AD12)))</formula>
    </cfRule>
    <cfRule type="containsText" dxfId="478" priority="200" operator="containsText" text="&quot;12 Month Average&quot; or &quot;24 Month Average&quot;">
      <formula>NOT(ISERROR(SEARCH("""12 Month Average"" or ""24 Month Average""",AD12)))</formula>
    </cfRule>
  </conditionalFormatting>
  <conditionalFormatting sqref="G33">
    <cfRule type="containsText" dxfId="477" priority="196" operator="containsText" text="Use This One">
      <formula>NOT(ISERROR(SEARCH("Use This One",G33)))</formula>
    </cfRule>
    <cfRule type="containsText" dxfId="476" priority="197" operator="containsText" text="Use This One">
      <formula>NOT(ISERROR(SEARCH("Use This One",G33)))</formula>
    </cfRule>
  </conditionalFormatting>
  <conditionalFormatting sqref="G33:J33">
    <cfRule type="containsText" dxfId="475" priority="193" operator="containsText" text="24 Month Average">
      <formula>NOT(ISERROR(SEARCH("24 Month Average",G33)))</formula>
    </cfRule>
    <cfRule type="containsText" dxfId="474" priority="194" operator="containsText" text="12 Month Average">
      <formula>NOT(ISERROR(SEARCH("12 Month Average",G33)))</formula>
    </cfRule>
    <cfRule type="containsText" dxfId="473" priority="195" operator="containsText" text="&quot;12 Month Average&quot; or &quot;24 Month Average&quot;">
      <formula>NOT(ISERROR(SEARCH("""12 Month Average"" or ""24 Month Average""",G33)))</formula>
    </cfRule>
  </conditionalFormatting>
  <conditionalFormatting sqref="H15">
    <cfRule type="containsText" dxfId="472" priority="192" operator="containsText" text="Year End Profit %">
      <formula>NOT(ISERROR(SEARCH("Year End Profit %",H15)))</formula>
    </cfRule>
  </conditionalFormatting>
  <conditionalFormatting sqref="J15">
    <cfRule type="containsText" dxfId="471" priority="191" operator="containsText" text="Year End Profit %">
      <formula>NOT(ISERROR(SEARCH("Year End Profit %",J15)))</formula>
    </cfRule>
  </conditionalFormatting>
  <conditionalFormatting sqref="AD49">
    <cfRule type="containsText" dxfId="470" priority="188" operator="containsText" text="24 Month Average">
      <formula>NOT(ISERROR(SEARCH("24 Month Average",AD49)))</formula>
    </cfRule>
    <cfRule type="containsText" dxfId="469" priority="189" operator="containsText" text="12 Month Average">
      <formula>NOT(ISERROR(SEARCH("12 Month Average",AD49)))</formula>
    </cfRule>
    <cfRule type="containsText" dxfId="468" priority="190" operator="containsText" text="&quot;12 Month Average&quot; or &quot;24 Month Average&quot;">
      <formula>NOT(ISERROR(SEARCH("""12 Month Average"" or ""24 Month Average""",AD49)))</formula>
    </cfRule>
  </conditionalFormatting>
  <conditionalFormatting sqref="G70">
    <cfRule type="containsText" dxfId="467" priority="186" operator="containsText" text="Use This One">
      <formula>NOT(ISERROR(SEARCH("Use This One",G70)))</formula>
    </cfRule>
    <cfRule type="containsText" dxfId="466" priority="187" operator="containsText" text="Use This One">
      <formula>NOT(ISERROR(SEARCH("Use This One",G70)))</formula>
    </cfRule>
  </conditionalFormatting>
  <conditionalFormatting sqref="G70:J70">
    <cfRule type="containsText" dxfId="465" priority="183" operator="containsText" text="24 Month Average">
      <formula>NOT(ISERROR(SEARCH("24 Month Average",G70)))</formula>
    </cfRule>
    <cfRule type="containsText" dxfId="464" priority="184" operator="containsText" text="12 Month Average">
      <formula>NOT(ISERROR(SEARCH("12 Month Average",G70)))</formula>
    </cfRule>
    <cfRule type="containsText" dxfId="463" priority="185" operator="containsText" text="&quot;12 Month Average&quot; or &quot;24 Month Average&quot;">
      <formula>NOT(ISERROR(SEARCH("""12 Month Average"" or ""24 Month Average""",G70)))</formula>
    </cfRule>
  </conditionalFormatting>
  <conditionalFormatting sqref="H52">
    <cfRule type="containsText" dxfId="462" priority="182" operator="containsText" text="Year End Profit %">
      <formula>NOT(ISERROR(SEARCH("Year End Profit %",H52)))</formula>
    </cfRule>
  </conditionalFormatting>
  <conditionalFormatting sqref="J52">
    <cfRule type="containsText" dxfId="461" priority="181" operator="containsText" text="Year End Profit %">
      <formula>NOT(ISERROR(SEARCH("Year End Profit %",J52)))</formula>
    </cfRule>
  </conditionalFormatting>
  <conditionalFormatting sqref="AD86">
    <cfRule type="containsText" dxfId="460" priority="178" operator="containsText" text="24 Month Average">
      <formula>NOT(ISERROR(SEARCH("24 Month Average",AD86)))</formula>
    </cfRule>
    <cfRule type="containsText" dxfId="459" priority="179" operator="containsText" text="12 Month Average">
      <formula>NOT(ISERROR(SEARCH("12 Month Average",AD86)))</formula>
    </cfRule>
    <cfRule type="containsText" dxfId="458" priority="180" operator="containsText" text="&quot;12 Month Average&quot; or &quot;24 Month Average&quot;">
      <formula>NOT(ISERROR(SEARCH("""12 Month Average"" or ""24 Month Average""",AD86)))</formula>
    </cfRule>
  </conditionalFormatting>
  <conditionalFormatting sqref="G107">
    <cfRule type="containsText" dxfId="457" priority="176" operator="containsText" text="Use This One">
      <formula>NOT(ISERROR(SEARCH("Use This One",G107)))</formula>
    </cfRule>
    <cfRule type="containsText" dxfId="456" priority="177" operator="containsText" text="Use This One">
      <formula>NOT(ISERROR(SEARCH("Use This One",G107)))</formula>
    </cfRule>
  </conditionalFormatting>
  <conditionalFormatting sqref="G107:J107">
    <cfRule type="containsText" dxfId="455" priority="173" operator="containsText" text="24 Month Average">
      <formula>NOT(ISERROR(SEARCH("24 Month Average",G107)))</formula>
    </cfRule>
    <cfRule type="containsText" dxfId="454" priority="174" operator="containsText" text="12 Month Average">
      <formula>NOT(ISERROR(SEARCH("12 Month Average",G107)))</formula>
    </cfRule>
    <cfRule type="containsText" dxfId="453" priority="175" operator="containsText" text="&quot;12 Month Average&quot; or &quot;24 Month Average&quot;">
      <formula>NOT(ISERROR(SEARCH("""12 Month Average"" or ""24 Month Average""",G107)))</formula>
    </cfRule>
  </conditionalFormatting>
  <conditionalFormatting sqref="H89">
    <cfRule type="containsText" dxfId="452" priority="172" operator="containsText" text="Year End Profit %">
      <formula>NOT(ISERROR(SEARCH("Year End Profit %",H89)))</formula>
    </cfRule>
  </conditionalFormatting>
  <conditionalFormatting sqref="J89">
    <cfRule type="containsText" dxfId="451" priority="171" operator="containsText" text="Year End Profit %">
      <formula>NOT(ISERROR(SEARCH("Year End Profit %",J89)))</formula>
    </cfRule>
  </conditionalFormatting>
  <conditionalFormatting sqref="AD123">
    <cfRule type="containsText" dxfId="450" priority="168" operator="containsText" text="24 Month Average">
      <formula>NOT(ISERROR(SEARCH("24 Month Average",AD123)))</formula>
    </cfRule>
    <cfRule type="containsText" dxfId="449" priority="169" operator="containsText" text="12 Month Average">
      <formula>NOT(ISERROR(SEARCH("12 Month Average",AD123)))</formula>
    </cfRule>
    <cfRule type="containsText" dxfId="448" priority="170" operator="containsText" text="&quot;12 Month Average&quot; or &quot;24 Month Average&quot;">
      <formula>NOT(ISERROR(SEARCH("""12 Month Average"" or ""24 Month Average""",AD123)))</formula>
    </cfRule>
  </conditionalFormatting>
  <conditionalFormatting sqref="G144">
    <cfRule type="containsText" dxfId="447" priority="166" operator="containsText" text="Use This One">
      <formula>NOT(ISERROR(SEARCH("Use This One",G144)))</formula>
    </cfRule>
    <cfRule type="containsText" dxfId="446" priority="167" operator="containsText" text="Use This One">
      <formula>NOT(ISERROR(SEARCH("Use This One",G144)))</formula>
    </cfRule>
  </conditionalFormatting>
  <conditionalFormatting sqref="G144:J144">
    <cfRule type="containsText" dxfId="445" priority="163" operator="containsText" text="24 Month Average">
      <formula>NOT(ISERROR(SEARCH("24 Month Average",G144)))</formula>
    </cfRule>
    <cfRule type="containsText" dxfId="444" priority="164" operator="containsText" text="12 Month Average">
      <formula>NOT(ISERROR(SEARCH("12 Month Average",G144)))</formula>
    </cfRule>
    <cfRule type="containsText" dxfId="443" priority="165" operator="containsText" text="&quot;12 Month Average&quot; or &quot;24 Month Average&quot;">
      <formula>NOT(ISERROR(SEARCH("""12 Month Average"" or ""24 Month Average""",G144)))</formula>
    </cfRule>
  </conditionalFormatting>
  <conditionalFormatting sqref="H126">
    <cfRule type="containsText" dxfId="442" priority="162" operator="containsText" text="Year End Profit %">
      <formula>NOT(ISERROR(SEARCH("Year End Profit %",H126)))</formula>
    </cfRule>
  </conditionalFormatting>
  <conditionalFormatting sqref="J126">
    <cfRule type="containsText" dxfId="441" priority="161" operator="containsText" text="Year End Profit %">
      <formula>NOT(ISERROR(SEARCH("Year End Profit %",J126)))</formula>
    </cfRule>
  </conditionalFormatting>
  <conditionalFormatting sqref="AD160">
    <cfRule type="containsText" dxfId="440" priority="158" operator="containsText" text="24 Month Average">
      <formula>NOT(ISERROR(SEARCH("24 Month Average",AD160)))</formula>
    </cfRule>
    <cfRule type="containsText" dxfId="439" priority="159" operator="containsText" text="12 Month Average">
      <formula>NOT(ISERROR(SEARCH("12 Month Average",AD160)))</formula>
    </cfRule>
    <cfRule type="containsText" dxfId="438" priority="160" operator="containsText" text="&quot;12 Month Average&quot; or &quot;24 Month Average&quot;">
      <formula>NOT(ISERROR(SEARCH("""12 Month Average"" or ""24 Month Average""",AD160)))</formula>
    </cfRule>
  </conditionalFormatting>
  <conditionalFormatting sqref="G181">
    <cfRule type="containsText" dxfId="437" priority="156" operator="containsText" text="Use This One">
      <formula>NOT(ISERROR(SEARCH("Use This One",G181)))</formula>
    </cfRule>
    <cfRule type="containsText" dxfId="436" priority="157" operator="containsText" text="Use This One">
      <formula>NOT(ISERROR(SEARCH("Use This One",G181)))</formula>
    </cfRule>
  </conditionalFormatting>
  <conditionalFormatting sqref="G181:J181">
    <cfRule type="containsText" dxfId="435" priority="153" operator="containsText" text="24 Month Average">
      <formula>NOT(ISERROR(SEARCH("24 Month Average",G181)))</formula>
    </cfRule>
    <cfRule type="containsText" dxfId="434" priority="154" operator="containsText" text="12 Month Average">
      <formula>NOT(ISERROR(SEARCH("12 Month Average",G181)))</formula>
    </cfRule>
    <cfRule type="containsText" dxfId="433" priority="155" operator="containsText" text="&quot;12 Month Average&quot; or &quot;24 Month Average&quot;">
      <formula>NOT(ISERROR(SEARCH("""12 Month Average"" or ""24 Month Average""",G181)))</formula>
    </cfRule>
  </conditionalFormatting>
  <conditionalFormatting sqref="H163">
    <cfRule type="containsText" dxfId="432" priority="152" operator="containsText" text="Year End Profit %">
      <formula>NOT(ISERROR(SEARCH("Year End Profit %",H163)))</formula>
    </cfRule>
  </conditionalFormatting>
  <conditionalFormatting sqref="J163">
    <cfRule type="containsText" dxfId="431" priority="151" operator="containsText" text="Year End Profit %">
      <formula>NOT(ISERROR(SEARCH("Year End Profit %",J163)))</formula>
    </cfRule>
  </conditionalFormatting>
  <conditionalFormatting sqref="AD197">
    <cfRule type="containsText" dxfId="430" priority="148" operator="containsText" text="24 Month Average">
      <formula>NOT(ISERROR(SEARCH("24 Month Average",AD197)))</formula>
    </cfRule>
    <cfRule type="containsText" dxfId="429" priority="149" operator="containsText" text="12 Month Average">
      <formula>NOT(ISERROR(SEARCH("12 Month Average",AD197)))</formula>
    </cfRule>
    <cfRule type="containsText" dxfId="428" priority="150" operator="containsText" text="&quot;12 Month Average&quot; or &quot;24 Month Average&quot;">
      <formula>NOT(ISERROR(SEARCH("""12 Month Average"" or ""24 Month Average""",AD197)))</formula>
    </cfRule>
  </conditionalFormatting>
  <conditionalFormatting sqref="G218">
    <cfRule type="containsText" dxfId="427" priority="146" operator="containsText" text="Use This One">
      <formula>NOT(ISERROR(SEARCH("Use This One",G218)))</formula>
    </cfRule>
    <cfRule type="containsText" dxfId="426" priority="147" operator="containsText" text="Use This One">
      <formula>NOT(ISERROR(SEARCH("Use This One",G218)))</formula>
    </cfRule>
  </conditionalFormatting>
  <conditionalFormatting sqref="G218:J218">
    <cfRule type="containsText" dxfId="425" priority="143" operator="containsText" text="24 Month Average">
      <formula>NOT(ISERROR(SEARCH("24 Month Average",G218)))</formula>
    </cfRule>
    <cfRule type="containsText" dxfId="424" priority="144" operator="containsText" text="12 Month Average">
      <formula>NOT(ISERROR(SEARCH("12 Month Average",G218)))</formula>
    </cfRule>
    <cfRule type="containsText" dxfId="423" priority="145" operator="containsText" text="&quot;12 Month Average&quot; or &quot;24 Month Average&quot;">
      <formula>NOT(ISERROR(SEARCH("""12 Month Average"" or ""24 Month Average""",G218)))</formula>
    </cfRule>
  </conditionalFormatting>
  <conditionalFormatting sqref="H200">
    <cfRule type="containsText" dxfId="422" priority="142" operator="containsText" text="Year End Profit %">
      <formula>NOT(ISERROR(SEARCH("Year End Profit %",H200)))</formula>
    </cfRule>
  </conditionalFormatting>
  <conditionalFormatting sqref="J200">
    <cfRule type="containsText" dxfId="421" priority="141" operator="containsText" text="Year End Profit %">
      <formula>NOT(ISERROR(SEARCH("Year End Profit %",J200)))</formula>
    </cfRule>
  </conditionalFormatting>
  <conditionalFormatting sqref="AD234">
    <cfRule type="containsText" dxfId="420" priority="138" operator="containsText" text="24 Month Average">
      <formula>NOT(ISERROR(SEARCH("24 Month Average",AD234)))</formula>
    </cfRule>
    <cfRule type="containsText" dxfId="419" priority="139" operator="containsText" text="12 Month Average">
      <formula>NOT(ISERROR(SEARCH("12 Month Average",AD234)))</formula>
    </cfRule>
    <cfRule type="containsText" dxfId="418" priority="140" operator="containsText" text="&quot;12 Month Average&quot; or &quot;24 Month Average&quot;">
      <formula>NOT(ISERROR(SEARCH("""12 Month Average"" or ""24 Month Average""",AD234)))</formula>
    </cfRule>
  </conditionalFormatting>
  <conditionalFormatting sqref="G255">
    <cfRule type="containsText" dxfId="417" priority="136" operator="containsText" text="Use This One">
      <formula>NOT(ISERROR(SEARCH("Use This One",G255)))</formula>
    </cfRule>
    <cfRule type="containsText" dxfId="416" priority="137" operator="containsText" text="Use This One">
      <formula>NOT(ISERROR(SEARCH("Use This One",G255)))</formula>
    </cfRule>
  </conditionalFormatting>
  <conditionalFormatting sqref="G255:J255">
    <cfRule type="containsText" dxfId="415" priority="133" operator="containsText" text="24 Month Average">
      <formula>NOT(ISERROR(SEARCH("24 Month Average",G255)))</formula>
    </cfRule>
    <cfRule type="containsText" dxfId="414" priority="134" operator="containsText" text="12 Month Average">
      <formula>NOT(ISERROR(SEARCH("12 Month Average",G255)))</formula>
    </cfRule>
    <cfRule type="containsText" dxfId="413" priority="135" operator="containsText" text="&quot;12 Month Average&quot; or &quot;24 Month Average&quot;">
      <formula>NOT(ISERROR(SEARCH("""12 Month Average"" or ""24 Month Average""",G255)))</formula>
    </cfRule>
  </conditionalFormatting>
  <conditionalFormatting sqref="H237">
    <cfRule type="containsText" dxfId="412" priority="132" operator="containsText" text="Year End Profit %">
      <formula>NOT(ISERROR(SEARCH("Year End Profit %",H237)))</formula>
    </cfRule>
  </conditionalFormatting>
  <conditionalFormatting sqref="J237">
    <cfRule type="containsText" dxfId="411" priority="131" operator="containsText" text="Year End Profit %">
      <formula>NOT(ISERROR(SEARCH("Year End Profit %",J237)))</formula>
    </cfRule>
  </conditionalFormatting>
  <conditionalFormatting sqref="AD271">
    <cfRule type="containsText" dxfId="410" priority="128" operator="containsText" text="24 Month Average">
      <formula>NOT(ISERROR(SEARCH("24 Month Average",AD271)))</formula>
    </cfRule>
    <cfRule type="containsText" dxfId="409" priority="129" operator="containsText" text="12 Month Average">
      <formula>NOT(ISERROR(SEARCH("12 Month Average",AD271)))</formula>
    </cfRule>
    <cfRule type="containsText" dxfId="408" priority="130" operator="containsText" text="&quot;12 Month Average&quot; or &quot;24 Month Average&quot;">
      <formula>NOT(ISERROR(SEARCH("""12 Month Average"" or ""24 Month Average""",AD271)))</formula>
    </cfRule>
  </conditionalFormatting>
  <conditionalFormatting sqref="G292">
    <cfRule type="containsText" dxfId="407" priority="126" operator="containsText" text="Use This One">
      <formula>NOT(ISERROR(SEARCH("Use This One",G292)))</formula>
    </cfRule>
    <cfRule type="containsText" dxfId="406" priority="127" operator="containsText" text="Use This One">
      <formula>NOT(ISERROR(SEARCH("Use This One",G292)))</formula>
    </cfRule>
  </conditionalFormatting>
  <conditionalFormatting sqref="G292:J292">
    <cfRule type="containsText" dxfId="405" priority="123" operator="containsText" text="24 Month Average">
      <formula>NOT(ISERROR(SEARCH("24 Month Average",G292)))</formula>
    </cfRule>
    <cfRule type="containsText" dxfId="404" priority="124" operator="containsText" text="12 Month Average">
      <formula>NOT(ISERROR(SEARCH("12 Month Average",G292)))</formula>
    </cfRule>
    <cfRule type="containsText" dxfId="403" priority="125" operator="containsText" text="&quot;12 Month Average&quot; or &quot;24 Month Average&quot;">
      <formula>NOT(ISERROR(SEARCH("""12 Month Average"" or ""24 Month Average""",G292)))</formula>
    </cfRule>
  </conditionalFormatting>
  <conditionalFormatting sqref="H274">
    <cfRule type="containsText" dxfId="402" priority="122" operator="containsText" text="Year End Profit %">
      <formula>NOT(ISERROR(SEARCH("Year End Profit %",H274)))</formula>
    </cfRule>
  </conditionalFormatting>
  <conditionalFormatting sqref="J274">
    <cfRule type="containsText" dxfId="401" priority="121" operator="containsText" text="Year End Profit %">
      <formula>NOT(ISERROR(SEARCH("Year End Profit %",J274)))</formula>
    </cfRule>
  </conditionalFormatting>
  <conditionalFormatting sqref="AD308">
    <cfRule type="containsText" dxfId="400" priority="118" operator="containsText" text="24 Month Average">
      <formula>NOT(ISERROR(SEARCH("24 Month Average",AD308)))</formula>
    </cfRule>
    <cfRule type="containsText" dxfId="399" priority="119" operator="containsText" text="12 Month Average">
      <formula>NOT(ISERROR(SEARCH("12 Month Average",AD308)))</formula>
    </cfRule>
    <cfRule type="containsText" dxfId="398" priority="120" operator="containsText" text="&quot;12 Month Average&quot; or &quot;24 Month Average&quot;">
      <formula>NOT(ISERROR(SEARCH("""12 Month Average"" or ""24 Month Average""",AD308)))</formula>
    </cfRule>
  </conditionalFormatting>
  <conditionalFormatting sqref="G329">
    <cfRule type="containsText" dxfId="397" priority="116" operator="containsText" text="Use This One">
      <formula>NOT(ISERROR(SEARCH("Use This One",G329)))</formula>
    </cfRule>
    <cfRule type="containsText" dxfId="396" priority="117" operator="containsText" text="Use This One">
      <formula>NOT(ISERROR(SEARCH("Use This One",G329)))</formula>
    </cfRule>
  </conditionalFormatting>
  <conditionalFormatting sqref="G329:J329">
    <cfRule type="containsText" dxfId="395" priority="113" operator="containsText" text="24 Month Average">
      <formula>NOT(ISERROR(SEARCH("24 Month Average",G329)))</formula>
    </cfRule>
    <cfRule type="containsText" dxfId="394" priority="114" operator="containsText" text="12 Month Average">
      <formula>NOT(ISERROR(SEARCH("12 Month Average",G329)))</formula>
    </cfRule>
    <cfRule type="containsText" dxfId="393" priority="115" operator="containsText" text="&quot;12 Month Average&quot; or &quot;24 Month Average&quot;">
      <formula>NOT(ISERROR(SEARCH("""12 Month Average"" or ""24 Month Average""",G329)))</formula>
    </cfRule>
  </conditionalFormatting>
  <conditionalFormatting sqref="H311">
    <cfRule type="containsText" dxfId="392" priority="112" operator="containsText" text="Year End Profit %">
      <formula>NOT(ISERROR(SEARCH("Year End Profit %",H311)))</formula>
    </cfRule>
  </conditionalFormatting>
  <conditionalFormatting sqref="J311">
    <cfRule type="containsText" dxfId="391" priority="111" operator="containsText" text="Year End Profit %">
      <formula>NOT(ISERROR(SEARCH("Year End Profit %",J311)))</formula>
    </cfRule>
  </conditionalFormatting>
  <conditionalFormatting sqref="AD345">
    <cfRule type="containsText" dxfId="390" priority="108" operator="containsText" text="24 Month Average">
      <formula>NOT(ISERROR(SEARCH("24 Month Average",AD345)))</formula>
    </cfRule>
    <cfRule type="containsText" dxfId="389" priority="109" operator="containsText" text="12 Month Average">
      <formula>NOT(ISERROR(SEARCH("12 Month Average",AD345)))</formula>
    </cfRule>
    <cfRule type="containsText" dxfId="388" priority="110" operator="containsText" text="&quot;12 Month Average&quot; or &quot;24 Month Average&quot;">
      <formula>NOT(ISERROR(SEARCH("""12 Month Average"" or ""24 Month Average""",AD345)))</formula>
    </cfRule>
  </conditionalFormatting>
  <conditionalFormatting sqref="G366">
    <cfRule type="containsText" dxfId="387" priority="106" operator="containsText" text="Use This One">
      <formula>NOT(ISERROR(SEARCH("Use This One",G366)))</formula>
    </cfRule>
    <cfRule type="containsText" dxfId="386" priority="107" operator="containsText" text="Use This One">
      <formula>NOT(ISERROR(SEARCH("Use This One",G366)))</formula>
    </cfRule>
  </conditionalFormatting>
  <conditionalFormatting sqref="G366:J366">
    <cfRule type="containsText" dxfId="385" priority="103" operator="containsText" text="24 Month Average">
      <formula>NOT(ISERROR(SEARCH("24 Month Average",G366)))</formula>
    </cfRule>
    <cfRule type="containsText" dxfId="384" priority="104" operator="containsText" text="12 Month Average">
      <formula>NOT(ISERROR(SEARCH("12 Month Average",G366)))</formula>
    </cfRule>
    <cfRule type="containsText" dxfId="383" priority="105" operator="containsText" text="&quot;12 Month Average&quot; or &quot;24 Month Average&quot;">
      <formula>NOT(ISERROR(SEARCH("""12 Month Average"" or ""24 Month Average""",G366)))</formula>
    </cfRule>
  </conditionalFormatting>
  <conditionalFormatting sqref="H348">
    <cfRule type="containsText" dxfId="382" priority="102" operator="containsText" text="Year End Profit %">
      <formula>NOT(ISERROR(SEARCH("Year End Profit %",H348)))</formula>
    </cfRule>
  </conditionalFormatting>
  <conditionalFormatting sqref="J348">
    <cfRule type="containsText" dxfId="381" priority="101" operator="containsText" text="Year End Profit %">
      <formula>NOT(ISERROR(SEARCH("Year End Profit %",J348)))</formula>
    </cfRule>
  </conditionalFormatting>
  <conditionalFormatting sqref="AD382">
    <cfRule type="containsText" dxfId="380" priority="98" operator="containsText" text="24 Month Average">
      <formula>NOT(ISERROR(SEARCH("24 Month Average",AD382)))</formula>
    </cfRule>
    <cfRule type="containsText" dxfId="379" priority="99" operator="containsText" text="12 Month Average">
      <formula>NOT(ISERROR(SEARCH("12 Month Average",AD382)))</formula>
    </cfRule>
    <cfRule type="containsText" dxfId="378" priority="100" operator="containsText" text="&quot;12 Month Average&quot; or &quot;24 Month Average&quot;">
      <formula>NOT(ISERROR(SEARCH("""12 Month Average"" or ""24 Month Average""",AD382)))</formula>
    </cfRule>
  </conditionalFormatting>
  <conditionalFormatting sqref="G403">
    <cfRule type="containsText" dxfId="377" priority="96" operator="containsText" text="Use This One">
      <formula>NOT(ISERROR(SEARCH("Use This One",G403)))</formula>
    </cfRule>
    <cfRule type="containsText" dxfId="376" priority="97" operator="containsText" text="Use This One">
      <formula>NOT(ISERROR(SEARCH("Use This One",G403)))</formula>
    </cfRule>
  </conditionalFormatting>
  <conditionalFormatting sqref="G403:J403">
    <cfRule type="containsText" dxfId="375" priority="93" operator="containsText" text="24 Month Average">
      <formula>NOT(ISERROR(SEARCH("24 Month Average",G403)))</formula>
    </cfRule>
    <cfRule type="containsText" dxfId="374" priority="94" operator="containsText" text="12 Month Average">
      <formula>NOT(ISERROR(SEARCH("12 Month Average",G403)))</formula>
    </cfRule>
    <cfRule type="containsText" dxfId="373" priority="95" operator="containsText" text="&quot;12 Month Average&quot; or &quot;24 Month Average&quot;">
      <formula>NOT(ISERROR(SEARCH("""12 Month Average"" or ""24 Month Average""",G403)))</formula>
    </cfRule>
  </conditionalFormatting>
  <conditionalFormatting sqref="H385">
    <cfRule type="containsText" dxfId="372" priority="92" operator="containsText" text="Year End Profit %">
      <formula>NOT(ISERROR(SEARCH("Year End Profit %",H385)))</formula>
    </cfRule>
  </conditionalFormatting>
  <conditionalFormatting sqref="J385">
    <cfRule type="containsText" dxfId="371" priority="91" operator="containsText" text="Year End Profit %">
      <formula>NOT(ISERROR(SEARCH("Year End Profit %",J385)))</formula>
    </cfRule>
  </conditionalFormatting>
  <conditionalFormatting sqref="AD419">
    <cfRule type="containsText" dxfId="370" priority="88" operator="containsText" text="24 Month Average">
      <formula>NOT(ISERROR(SEARCH("24 Month Average",AD419)))</formula>
    </cfRule>
    <cfRule type="containsText" dxfId="369" priority="89" operator="containsText" text="12 Month Average">
      <formula>NOT(ISERROR(SEARCH("12 Month Average",AD419)))</formula>
    </cfRule>
    <cfRule type="containsText" dxfId="368" priority="90" operator="containsText" text="&quot;12 Month Average&quot; or &quot;24 Month Average&quot;">
      <formula>NOT(ISERROR(SEARCH("""12 Month Average"" or ""24 Month Average""",AD419)))</formula>
    </cfRule>
  </conditionalFormatting>
  <conditionalFormatting sqref="G440">
    <cfRule type="containsText" dxfId="367" priority="86" operator="containsText" text="Use This One">
      <formula>NOT(ISERROR(SEARCH("Use This One",G440)))</formula>
    </cfRule>
    <cfRule type="containsText" dxfId="366" priority="87" operator="containsText" text="Use This One">
      <formula>NOT(ISERROR(SEARCH("Use This One",G440)))</formula>
    </cfRule>
  </conditionalFormatting>
  <conditionalFormatting sqref="G440:J440">
    <cfRule type="containsText" dxfId="365" priority="83" operator="containsText" text="24 Month Average">
      <formula>NOT(ISERROR(SEARCH("24 Month Average",G440)))</formula>
    </cfRule>
    <cfRule type="containsText" dxfId="364" priority="84" operator="containsText" text="12 Month Average">
      <formula>NOT(ISERROR(SEARCH("12 Month Average",G440)))</formula>
    </cfRule>
    <cfRule type="containsText" dxfId="363" priority="85" operator="containsText" text="&quot;12 Month Average&quot; or &quot;24 Month Average&quot;">
      <formula>NOT(ISERROR(SEARCH("""12 Month Average"" or ""24 Month Average""",G440)))</formula>
    </cfRule>
  </conditionalFormatting>
  <conditionalFormatting sqref="H422">
    <cfRule type="containsText" dxfId="362" priority="82" operator="containsText" text="Year End Profit %">
      <formula>NOT(ISERROR(SEARCH("Year End Profit %",H422)))</formula>
    </cfRule>
  </conditionalFormatting>
  <conditionalFormatting sqref="J422">
    <cfRule type="containsText" dxfId="361" priority="81" operator="containsText" text="Year End Profit %">
      <formula>NOT(ISERROR(SEARCH("Year End Profit %",J422)))</formula>
    </cfRule>
  </conditionalFormatting>
  <conditionalFormatting sqref="AD456">
    <cfRule type="containsText" dxfId="360" priority="78" operator="containsText" text="24 Month Average">
      <formula>NOT(ISERROR(SEARCH("24 Month Average",AD456)))</formula>
    </cfRule>
    <cfRule type="containsText" dxfId="359" priority="79" operator="containsText" text="12 Month Average">
      <formula>NOT(ISERROR(SEARCH("12 Month Average",AD456)))</formula>
    </cfRule>
    <cfRule type="containsText" dxfId="358" priority="80" operator="containsText" text="&quot;12 Month Average&quot; or &quot;24 Month Average&quot;">
      <formula>NOT(ISERROR(SEARCH("""12 Month Average"" or ""24 Month Average""",AD456)))</formula>
    </cfRule>
  </conditionalFormatting>
  <conditionalFormatting sqref="G477">
    <cfRule type="containsText" dxfId="357" priority="76" operator="containsText" text="Use This One">
      <formula>NOT(ISERROR(SEARCH("Use This One",G477)))</formula>
    </cfRule>
    <cfRule type="containsText" dxfId="356" priority="77" operator="containsText" text="Use This One">
      <formula>NOT(ISERROR(SEARCH("Use This One",G477)))</formula>
    </cfRule>
  </conditionalFormatting>
  <conditionalFormatting sqref="G477:J477">
    <cfRule type="containsText" dxfId="355" priority="73" operator="containsText" text="24 Month Average">
      <formula>NOT(ISERROR(SEARCH("24 Month Average",G477)))</formula>
    </cfRule>
    <cfRule type="containsText" dxfId="354" priority="74" operator="containsText" text="12 Month Average">
      <formula>NOT(ISERROR(SEARCH("12 Month Average",G477)))</formula>
    </cfRule>
    <cfRule type="containsText" dxfId="353" priority="75" operator="containsText" text="&quot;12 Month Average&quot; or &quot;24 Month Average&quot;">
      <formula>NOT(ISERROR(SEARCH("""12 Month Average"" or ""24 Month Average""",G477)))</formula>
    </cfRule>
  </conditionalFormatting>
  <conditionalFormatting sqref="H459">
    <cfRule type="containsText" dxfId="352" priority="72" operator="containsText" text="Year End Profit %">
      <formula>NOT(ISERROR(SEARCH("Year End Profit %",H459)))</formula>
    </cfRule>
  </conditionalFormatting>
  <conditionalFormatting sqref="J459">
    <cfRule type="containsText" dxfId="351" priority="71" operator="containsText" text="Year End Profit %">
      <formula>NOT(ISERROR(SEARCH("Year End Profit %",J459)))</formula>
    </cfRule>
  </conditionalFormatting>
  <conditionalFormatting sqref="AD493">
    <cfRule type="containsText" dxfId="350" priority="68" operator="containsText" text="24 Month Average">
      <formula>NOT(ISERROR(SEARCH("24 Month Average",AD493)))</formula>
    </cfRule>
    <cfRule type="containsText" dxfId="349" priority="69" operator="containsText" text="12 Month Average">
      <formula>NOT(ISERROR(SEARCH("12 Month Average",AD493)))</formula>
    </cfRule>
    <cfRule type="containsText" dxfId="348" priority="70" operator="containsText" text="&quot;12 Month Average&quot; or &quot;24 Month Average&quot;">
      <formula>NOT(ISERROR(SEARCH("""12 Month Average"" or ""24 Month Average""",AD493)))</formula>
    </cfRule>
  </conditionalFormatting>
  <conditionalFormatting sqref="G514">
    <cfRule type="containsText" dxfId="347" priority="66" operator="containsText" text="Use This One">
      <formula>NOT(ISERROR(SEARCH("Use This One",G514)))</formula>
    </cfRule>
    <cfRule type="containsText" dxfId="346" priority="67" operator="containsText" text="Use This One">
      <formula>NOT(ISERROR(SEARCH("Use This One",G514)))</formula>
    </cfRule>
  </conditionalFormatting>
  <conditionalFormatting sqref="G514:J514">
    <cfRule type="containsText" dxfId="345" priority="63" operator="containsText" text="24 Month Average">
      <formula>NOT(ISERROR(SEARCH("24 Month Average",G514)))</formula>
    </cfRule>
    <cfRule type="containsText" dxfId="344" priority="64" operator="containsText" text="12 Month Average">
      <formula>NOT(ISERROR(SEARCH("12 Month Average",G514)))</formula>
    </cfRule>
    <cfRule type="containsText" dxfId="343" priority="65" operator="containsText" text="&quot;12 Month Average&quot; or &quot;24 Month Average&quot;">
      <formula>NOT(ISERROR(SEARCH("""12 Month Average"" or ""24 Month Average""",G514)))</formula>
    </cfRule>
  </conditionalFormatting>
  <conditionalFormatting sqref="H496">
    <cfRule type="containsText" dxfId="342" priority="62" operator="containsText" text="Year End Profit %">
      <formula>NOT(ISERROR(SEARCH("Year End Profit %",H496)))</formula>
    </cfRule>
  </conditionalFormatting>
  <conditionalFormatting sqref="J496">
    <cfRule type="containsText" dxfId="341" priority="61" operator="containsText" text="Year End Profit %">
      <formula>NOT(ISERROR(SEARCH("Year End Profit %",J496)))</formula>
    </cfRule>
  </conditionalFormatting>
  <conditionalFormatting sqref="AD530">
    <cfRule type="containsText" dxfId="340" priority="58" operator="containsText" text="24 Month Average">
      <formula>NOT(ISERROR(SEARCH("24 Month Average",AD530)))</formula>
    </cfRule>
    <cfRule type="containsText" dxfId="339" priority="59" operator="containsText" text="12 Month Average">
      <formula>NOT(ISERROR(SEARCH("12 Month Average",AD530)))</formula>
    </cfRule>
    <cfRule type="containsText" dxfId="338" priority="60" operator="containsText" text="&quot;12 Month Average&quot; or &quot;24 Month Average&quot;">
      <formula>NOT(ISERROR(SEARCH("""12 Month Average"" or ""24 Month Average""",AD530)))</formula>
    </cfRule>
  </conditionalFormatting>
  <conditionalFormatting sqref="G551">
    <cfRule type="containsText" dxfId="337" priority="56" operator="containsText" text="Use This One">
      <formula>NOT(ISERROR(SEARCH("Use This One",G551)))</formula>
    </cfRule>
    <cfRule type="containsText" dxfId="336" priority="57" operator="containsText" text="Use This One">
      <formula>NOT(ISERROR(SEARCH("Use This One",G551)))</formula>
    </cfRule>
  </conditionalFormatting>
  <conditionalFormatting sqref="G551:J551">
    <cfRule type="containsText" dxfId="335" priority="53" operator="containsText" text="24 Month Average">
      <formula>NOT(ISERROR(SEARCH("24 Month Average",G551)))</formula>
    </cfRule>
    <cfRule type="containsText" dxfId="334" priority="54" operator="containsText" text="12 Month Average">
      <formula>NOT(ISERROR(SEARCH("12 Month Average",G551)))</formula>
    </cfRule>
    <cfRule type="containsText" dxfId="333" priority="55" operator="containsText" text="&quot;12 Month Average&quot; or &quot;24 Month Average&quot;">
      <formula>NOT(ISERROR(SEARCH("""12 Month Average"" or ""24 Month Average""",G551)))</formula>
    </cfRule>
  </conditionalFormatting>
  <conditionalFormatting sqref="H533">
    <cfRule type="containsText" dxfId="332" priority="52" operator="containsText" text="Year End Profit %">
      <formula>NOT(ISERROR(SEARCH("Year End Profit %",H533)))</formula>
    </cfRule>
  </conditionalFormatting>
  <conditionalFormatting sqref="J533">
    <cfRule type="containsText" dxfId="331" priority="51" operator="containsText" text="Year End Profit %">
      <formula>NOT(ISERROR(SEARCH("Year End Profit %",J533)))</formula>
    </cfRule>
  </conditionalFormatting>
  <conditionalFormatting sqref="AD567">
    <cfRule type="containsText" dxfId="330" priority="48" operator="containsText" text="24 Month Average">
      <formula>NOT(ISERROR(SEARCH("24 Month Average",AD567)))</formula>
    </cfRule>
    <cfRule type="containsText" dxfId="329" priority="49" operator="containsText" text="12 Month Average">
      <formula>NOT(ISERROR(SEARCH("12 Month Average",AD567)))</formula>
    </cfRule>
    <cfRule type="containsText" dxfId="328" priority="50" operator="containsText" text="&quot;12 Month Average&quot; or &quot;24 Month Average&quot;">
      <formula>NOT(ISERROR(SEARCH("""12 Month Average"" or ""24 Month Average""",AD567)))</formula>
    </cfRule>
  </conditionalFormatting>
  <conditionalFormatting sqref="G588">
    <cfRule type="containsText" dxfId="327" priority="46" operator="containsText" text="Use This One">
      <formula>NOT(ISERROR(SEARCH("Use This One",G588)))</formula>
    </cfRule>
    <cfRule type="containsText" dxfId="326" priority="47" operator="containsText" text="Use This One">
      <formula>NOT(ISERROR(SEARCH("Use This One",G588)))</formula>
    </cfRule>
  </conditionalFormatting>
  <conditionalFormatting sqref="G588:J588">
    <cfRule type="containsText" dxfId="325" priority="43" operator="containsText" text="24 Month Average">
      <formula>NOT(ISERROR(SEARCH("24 Month Average",G588)))</formula>
    </cfRule>
    <cfRule type="containsText" dxfId="324" priority="44" operator="containsText" text="12 Month Average">
      <formula>NOT(ISERROR(SEARCH("12 Month Average",G588)))</formula>
    </cfRule>
    <cfRule type="containsText" dxfId="323" priority="45" operator="containsText" text="&quot;12 Month Average&quot; or &quot;24 Month Average&quot;">
      <formula>NOT(ISERROR(SEARCH("""12 Month Average"" or ""24 Month Average""",G588)))</formula>
    </cfRule>
  </conditionalFormatting>
  <conditionalFormatting sqref="H570">
    <cfRule type="containsText" dxfId="322" priority="42" operator="containsText" text="Year End Profit %">
      <formula>NOT(ISERROR(SEARCH("Year End Profit %",H570)))</formula>
    </cfRule>
  </conditionalFormatting>
  <conditionalFormatting sqref="J570">
    <cfRule type="containsText" dxfId="321" priority="41" operator="containsText" text="Year End Profit %">
      <formula>NOT(ISERROR(SEARCH("Year End Profit %",J570)))</formula>
    </cfRule>
  </conditionalFormatting>
  <conditionalFormatting sqref="AD604">
    <cfRule type="containsText" dxfId="320" priority="38" operator="containsText" text="24 Month Average">
      <formula>NOT(ISERROR(SEARCH("24 Month Average",AD604)))</formula>
    </cfRule>
    <cfRule type="containsText" dxfId="319" priority="39" operator="containsText" text="12 Month Average">
      <formula>NOT(ISERROR(SEARCH("12 Month Average",AD604)))</formula>
    </cfRule>
    <cfRule type="containsText" dxfId="318" priority="40" operator="containsText" text="&quot;12 Month Average&quot; or &quot;24 Month Average&quot;">
      <formula>NOT(ISERROR(SEARCH("""12 Month Average"" or ""24 Month Average""",AD604)))</formula>
    </cfRule>
  </conditionalFormatting>
  <conditionalFormatting sqref="G625">
    <cfRule type="containsText" dxfId="317" priority="36" operator="containsText" text="Use This One">
      <formula>NOT(ISERROR(SEARCH("Use This One",G625)))</formula>
    </cfRule>
    <cfRule type="containsText" dxfId="316" priority="37" operator="containsText" text="Use This One">
      <formula>NOT(ISERROR(SEARCH("Use This One",G625)))</formula>
    </cfRule>
  </conditionalFormatting>
  <conditionalFormatting sqref="G625:J625">
    <cfRule type="containsText" dxfId="315" priority="33" operator="containsText" text="24 Month Average">
      <formula>NOT(ISERROR(SEARCH("24 Month Average",G625)))</formula>
    </cfRule>
    <cfRule type="containsText" dxfId="314" priority="34" operator="containsText" text="12 Month Average">
      <formula>NOT(ISERROR(SEARCH("12 Month Average",G625)))</formula>
    </cfRule>
    <cfRule type="containsText" dxfId="313" priority="35" operator="containsText" text="&quot;12 Month Average&quot; or &quot;24 Month Average&quot;">
      <formula>NOT(ISERROR(SEARCH("""12 Month Average"" or ""24 Month Average""",G625)))</formula>
    </cfRule>
  </conditionalFormatting>
  <conditionalFormatting sqref="H607">
    <cfRule type="containsText" dxfId="312" priority="32" operator="containsText" text="Year End Profit %">
      <formula>NOT(ISERROR(SEARCH("Year End Profit %",H607)))</formula>
    </cfRule>
  </conditionalFormatting>
  <conditionalFormatting sqref="J607">
    <cfRule type="containsText" dxfId="311" priority="31" operator="containsText" text="Year End Profit %">
      <formula>NOT(ISERROR(SEARCH("Year End Profit %",J607)))</formula>
    </cfRule>
  </conditionalFormatting>
  <conditionalFormatting sqref="AD641">
    <cfRule type="containsText" dxfId="310" priority="28" operator="containsText" text="24 Month Average">
      <formula>NOT(ISERROR(SEARCH("24 Month Average",AD641)))</formula>
    </cfRule>
    <cfRule type="containsText" dxfId="309" priority="29" operator="containsText" text="12 Month Average">
      <formula>NOT(ISERROR(SEARCH("12 Month Average",AD641)))</formula>
    </cfRule>
    <cfRule type="containsText" dxfId="308" priority="30" operator="containsText" text="&quot;12 Month Average&quot; or &quot;24 Month Average&quot;">
      <formula>NOT(ISERROR(SEARCH("""12 Month Average"" or ""24 Month Average""",AD641)))</formula>
    </cfRule>
  </conditionalFormatting>
  <conditionalFormatting sqref="G662">
    <cfRule type="containsText" dxfId="307" priority="26" operator="containsText" text="Use This One">
      <formula>NOT(ISERROR(SEARCH("Use This One",G662)))</formula>
    </cfRule>
    <cfRule type="containsText" dxfId="306" priority="27" operator="containsText" text="Use This One">
      <formula>NOT(ISERROR(SEARCH("Use This One",G662)))</formula>
    </cfRule>
  </conditionalFormatting>
  <conditionalFormatting sqref="G662:J662">
    <cfRule type="containsText" dxfId="305" priority="23" operator="containsText" text="24 Month Average">
      <formula>NOT(ISERROR(SEARCH("24 Month Average",G662)))</formula>
    </cfRule>
    <cfRule type="containsText" dxfId="304" priority="24" operator="containsText" text="12 Month Average">
      <formula>NOT(ISERROR(SEARCH("12 Month Average",G662)))</formula>
    </cfRule>
    <cfRule type="containsText" dxfId="303" priority="25" operator="containsText" text="&quot;12 Month Average&quot; or &quot;24 Month Average&quot;">
      <formula>NOT(ISERROR(SEARCH("""12 Month Average"" or ""24 Month Average""",G662)))</formula>
    </cfRule>
  </conditionalFormatting>
  <conditionalFormatting sqref="H644">
    <cfRule type="containsText" dxfId="302" priority="22" operator="containsText" text="Year End Profit %">
      <formula>NOT(ISERROR(SEARCH("Year End Profit %",H644)))</formula>
    </cfRule>
  </conditionalFormatting>
  <conditionalFormatting sqref="J644">
    <cfRule type="containsText" dxfId="301" priority="21" operator="containsText" text="Year End Profit %">
      <formula>NOT(ISERROR(SEARCH("Year End Profit %",J644)))</formula>
    </cfRule>
  </conditionalFormatting>
  <conditionalFormatting sqref="AD678">
    <cfRule type="containsText" dxfId="300" priority="18" operator="containsText" text="24 Month Average">
      <formula>NOT(ISERROR(SEARCH("24 Month Average",AD678)))</formula>
    </cfRule>
    <cfRule type="containsText" dxfId="299" priority="19" operator="containsText" text="12 Month Average">
      <formula>NOT(ISERROR(SEARCH("12 Month Average",AD678)))</formula>
    </cfRule>
    <cfRule type="containsText" dxfId="298" priority="20" operator="containsText" text="&quot;12 Month Average&quot; or &quot;24 Month Average&quot;">
      <formula>NOT(ISERROR(SEARCH("""12 Month Average"" or ""24 Month Average""",AD678)))</formula>
    </cfRule>
  </conditionalFormatting>
  <conditionalFormatting sqref="G699">
    <cfRule type="containsText" dxfId="297" priority="16" operator="containsText" text="Use This One">
      <formula>NOT(ISERROR(SEARCH("Use This One",G699)))</formula>
    </cfRule>
    <cfRule type="containsText" dxfId="296" priority="17" operator="containsText" text="Use This One">
      <formula>NOT(ISERROR(SEARCH("Use This One",G699)))</formula>
    </cfRule>
  </conditionalFormatting>
  <conditionalFormatting sqref="G699:J699">
    <cfRule type="containsText" dxfId="295" priority="13" operator="containsText" text="24 Month Average">
      <formula>NOT(ISERROR(SEARCH("24 Month Average",G699)))</formula>
    </cfRule>
    <cfRule type="containsText" dxfId="294" priority="14" operator="containsText" text="12 Month Average">
      <formula>NOT(ISERROR(SEARCH("12 Month Average",G699)))</formula>
    </cfRule>
    <cfRule type="containsText" dxfId="293" priority="15" operator="containsText" text="&quot;12 Month Average&quot; or &quot;24 Month Average&quot;">
      <formula>NOT(ISERROR(SEARCH("""12 Month Average"" or ""24 Month Average""",G699)))</formula>
    </cfRule>
  </conditionalFormatting>
  <conditionalFormatting sqref="H681">
    <cfRule type="containsText" dxfId="292" priority="12" operator="containsText" text="Year End Profit %">
      <formula>NOT(ISERROR(SEARCH("Year End Profit %",H681)))</formula>
    </cfRule>
  </conditionalFormatting>
  <conditionalFormatting sqref="J681">
    <cfRule type="containsText" dxfId="291" priority="11" operator="containsText" text="Year End Profit %">
      <formula>NOT(ISERROR(SEARCH("Year End Profit %",J681)))</formula>
    </cfRule>
  </conditionalFormatting>
  <conditionalFormatting sqref="AD715">
    <cfRule type="containsText" dxfId="290" priority="8" operator="containsText" text="24 Month Average">
      <formula>NOT(ISERROR(SEARCH("24 Month Average",AD715)))</formula>
    </cfRule>
    <cfRule type="containsText" dxfId="289" priority="9" operator="containsText" text="12 Month Average">
      <formula>NOT(ISERROR(SEARCH("12 Month Average",AD715)))</formula>
    </cfRule>
    <cfRule type="containsText" dxfId="288" priority="10" operator="containsText" text="&quot;12 Month Average&quot; or &quot;24 Month Average&quot;">
      <formula>NOT(ISERROR(SEARCH("""12 Month Average"" or ""24 Month Average""",AD715)))</formula>
    </cfRule>
  </conditionalFormatting>
  <conditionalFormatting sqref="G736">
    <cfRule type="containsText" dxfId="287" priority="6" operator="containsText" text="Use This One">
      <formula>NOT(ISERROR(SEARCH("Use This One",G736)))</formula>
    </cfRule>
    <cfRule type="containsText" dxfId="286" priority="7" operator="containsText" text="Use This One">
      <formula>NOT(ISERROR(SEARCH("Use This One",G736)))</formula>
    </cfRule>
  </conditionalFormatting>
  <conditionalFormatting sqref="G736:J736">
    <cfRule type="containsText" dxfId="285" priority="3" operator="containsText" text="24 Month Average">
      <formula>NOT(ISERROR(SEARCH("24 Month Average",G736)))</formula>
    </cfRule>
    <cfRule type="containsText" dxfId="284" priority="4" operator="containsText" text="12 Month Average">
      <formula>NOT(ISERROR(SEARCH("12 Month Average",G736)))</formula>
    </cfRule>
    <cfRule type="containsText" dxfId="283" priority="5" operator="containsText" text="&quot;12 Month Average&quot; or &quot;24 Month Average&quot;">
      <formula>NOT(ISERROR(SEARCH("""12 Month Average"" or ""24 Month Average""",G736)))</formula>
    </cfRule>
  </conditionalFormatting>
  <conditionalFormatting sqref="H718">
    <cfRule type="containsText" dxfId="282" priority="2" operator="containsText" text="Year End Profit %">
      <formula>NOT(ISERROR(SEARCH("Year End Profit %",H718)))</formula>
    </cfRule>
  </conditionalFormatting>
  <conditionalFormatting sqref="J718">
    <cfRule type="containsText" dxfId="281" priority="1" operator="containsText" text="Year End Profit %">
      <formula>NOT(ISERROR(SEARCH("Year End Profit %",J718)))</formula>
    </cfRule>
  </conditionalFormatting>
  <dataValidations count="1">
    <dataValidation type="list" allowBlank="1" showInputMessage="1" showErrorMessage="1" sqref="D5:G5 D42:G42 D79:G79 D116:G116 D153:G153 D190:G190 D227:G227 D264:G264 D301:G301 D338:G338 D375:G375 D412:G412 D449:G449 D486:G486 D523:G523 D560:G560 D597:G597 D634:G634 D671:G671 D708:G708" xr:uid="{C2E9A59F-9D99-4663-8831-244C65C64B13}">
      <formula1>$AF$4:$AF$8</formula1>
    </dataValidation>
  </dataValidations>
  <pageMargins left="0.25" right="0.25" top="0.75" bottom="0.75" header="0.3" footer="0.3"/>
  <pageSetup scale="86" fitToHeight="0" orientation="portrait" r:id="rId1"/>
  <rowBreaks count="19" manualBreakCount="19">
    <brk id="37" max="16383" man="1"/>
    <brk id="74" max="16383" man="1"/>
    <brk id="111" max="16383" man="1"/>
    <brk id="148" max="16383" man="1"/>
    <brk id="185" max="16383" man="1"/>
    <brk id="222" max="16383" man="1"/>
    <brk id="259" max="16383" man="1"/>
    <brk id="296" max="16383" man="1"/>
    <brk id="333" max="16383" man="1"/>
    <brk id="370" max="16383" man="1"/>
    <brk id="407" max="16383" man="1"/>
    <brk id="444" max="16383" man="1"/>
    <brk id="481" max="16383" man="1"/>
    <brk id="518" max="16383" man="1"/>
    <brk id="555" max="16383" man="1"/>
    <brk id="592" max="16383" man="1"/>
    <brk id="629" max="16383" man="1"/>
    <brk id="666" max="16383" man="1"/>
    <brk id="703" max="16383"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2B58-1888-4F0A-8F0A-753867E536BA}">
  <sheetPr codeName="Sheet5">
    <tabColor rgb="FF7030A0"/>
    <pageSetUpPr fitToPage="1"/>
  </sheetPr>
  <dimension ref="B1:AO620"/>
  <sheetViews>
    <sheetView zoomScale="85" zoomScaleNormal="85" workbookViewId="0">
      <selection activeCell="B7" sqref="B7:F8"/>
    </sheetView>
  </sheetViews>
  <sheetFormatPr defaultColWidth="9.140625" defaultRowHeight="15"/>
  <cols>
    <col min="1" max="1" width="3.7109375" style="78" customWidth="1"/>
    <col min="2" max="6" width="9.140625" style="78"/>
    <col min="7" max="10" width="16.7109375" style="78" customWidth="1"/>
    <col min="11" max="11" width="3.7109375" style="78" customWidth="1"/>
    <col min="12" max="13" width="9.140625" style="78"/>
    <col min="14" max="14" width="11.28515625" style="78" customWidth="1"/>
    <col min="15" max="15" width="10.140625" style="78" customWidth="1"/>
    <col min="16" max="22" width="9.140625" style="78"/>
    <col min="23" max="23" width="9.140625" style="280"/>
    <col min="24" max="24" width="34.42578125" style="280" bestFit="1" customWidth="1"/>
    <col min="25" max="25" width="13.140625" style="280" bestFit="1" customWidth="1"/>
    <col min="26" max="26" width="34.42578125" style="78" bestFit="1" customWidth="1"/>
    <col min="27" max="16384" width="9.140625" style="78"/>
  </cols>
  <sheetData>
    <row r="1" spans="2:29" ht="13.5" customHeight="1" thickBot="1"/>
    <row r="2" spans="2:29" s="404" customFormat="1" ht="69" customHeight="1">
      <c r="B2" s="1187" t="s">
        <v>741</v>
      </c>
      <c r="C2" s="1188"/>
      <c r="D2" s="1188"/>
      <c r="E2" s="1188"/>
      <c r="F2" s="1188"/>
      <c r="G2" s="1188"/>
      <c r="H2" s="1188"/>
      <c r="I2" s="1188"/>
      <c r="J2" s="331" t="str">
        <f>'[3]Reference Sheet'!$B$2</f>
        <v>Rev. 4.12.2016</v>
      </c>
      <c r="L2" s="1318" t="s">
        <v>742</v>
      </c>
      <c r="M2" s="1319"/>
      <c r="N2" s="1319"/>
      <c r="O2" s="1319"/>
      <c r="P2" s="1319"/>
      <c r="Q2" s="1319"/>
      <c r="R2" s="1319"/>
      <c r="S2" s="1319"/>
      <c r="T2" s="1320"/>
      <c r="U2" s="367"/>
      <c r="V2" s="367"/>
      <c r="W2" s="405"/>
      <c r="X2" s="405"/>
      <c r="Y2" s="405"/>
      <c r="Z2" s="367"/>
      <c r="AA2" s="367"/>
      <c r="AB2" s="367"/>
      <c r="AC2" s="367"/>
    </row>
    <row r="3" spans="2:29" s="404" customFormat="1" ht="16.5" customHeight="1" thickBot="1">
      <c r="B3" s="332"/>
      <c r="C3" s="368" t="s">
        <v>710</v>
      </c>
      <c r="D3" s="1310"/>
      <c r="E3" s="1311"/>
      <c r="F3" s="1311"/>
      <c r="G3" s="1311"/>
      <c r="H3" s="333"/>
      <c r="I3" s="333"/>
      <c r="J3" s="334"/>
      <c r="L3" s="1321"/>
      <c r="M3" s="1322"/>
      <c r="N3" s="1322"/>
      <c r="O3" s="1322"/>
      <c r="P3" s="1322"/>
      <c r="Q3" s="1322"/>
      <c r="R3" s="1322"/>
      <c r="S3" s="1322"/>
      <c r="T3" s="1323"/>
      <c r="U3" s="367"/>
      <c r="V3" s="367"/>
      <c r="W3" s="280"/>
      <c r="X3" s="280"/>
      <c r="Y3" s="280"/>
      <c r="Z3" s="304"/>
      <c r="AA3" s="304"/>
      <c r="AB3" s="367"/>
      <c r="AC3" s="367"/>
    </row>
    <row r="4" spans="2:29" s="404" customFormat="1" ht="15" customHeight="1" thickBot="1">
      <c r="B4" s="332"/>
      <c r="C4" s="368" t="s">
        <v>711</v>
      </c>
      <c r="D4" s="1312"/>
      <c r="E4" s="1313"/>
      <c r="F4" s="1313"/>
      <c r="G4" s="1313"/>
      <c r="H4" s="368" t="s">
        <v>712</v>
      </c>
      <c r="I4" s="1310"/>
      <c r="J4" s="1314"/>
      <c r="L4" s="1321"/>
      <c r="M4" s="1322"/>
      <c r="N4" s="1322"/>
      <c r="O4" s="1322"/>
      <c r="P4" s="1322"/>
      <c r="Q4" s="1322"/>
      <c r="R4" s="1322"/>
      <c r="S4" s="1322"/>
      <c r="T4" s="1323"/>
      <c r="U4" s="367"/>
      <c r="V4" s="367"/>
      <c r="W4" s="280"/>
      <c r="X4" s="280" t="s">
        <v>680</v>
      </c>
      <c r="Y4" s="280">
        <f>IF(AND(J8=0, J10=0, J18=0, J19=0, J22=0, J24=0, I26=0), 0, 1)</f>
        <v>0</v>
      </c>
      <c r="Z4" s="304"/>
      <c r="AA4" s="304"/>
      <c r="AB4" s="367"/>
      <c r="AC4" s="367"/>
    </row>
    <row r="5" spans="2:29" ht="16.5" thickBot="1">
      <c r="B5" s="1176" t="s">
        <v>671</v>
      </c>
      <c r="C5" s="1177"/>
      <c r="D5" s="1315"/>
      <c r="E5" s="1316"/>
      <c r="F5" s="1316"/>
      <c r="G5" s="1316"/>
      <c r="H5" s="336" t="s">
        <v>673</v>
      </c>
      <c r="I5" s="1315"/>
      <c r="J5" s="1317"/>
      <c r="L5" s="1321"/>
      <c r="M5" s="1322"/>
      <c r="N5" s="1322"/>
      <c r="O5" s="1322"/>
      <c r="P5" s="1322"/>
      <c r="Q5" s="1322"/>
      <c r="R5" s="1322"/>
      <c r="S5" s="1322"/>
      <c r="T5" s="1323"/>
      <c r="U5" s="304"/>
      <c r="V5" s="304"/>
      <c r="X5" s="280" t="s">
        <v>682</v>
      </c>
      <c r="Y5" s="280">
        <f>IF(AND(G26&lt;=I26, I26&lt;&gt;0), 0, 1)</f>
        <v>1</v>
      </c>
      <c r="Z5" s="304"/>
      <c r="AA5" s="304"/>
      <c r="AB5" s="304"/>
      <c r="AC5" s="304"/>
    </row>
    <row r="6" spans="2:29" ht="16.5" customHeight="1" thickBot="1">
      <c r="B6" s="1176" t="s">
        <v>674</v>
      </c>
      <c r="C6" s="1177"/>
      <c r="D6" s="1262"/>
      <c r="E6" s="1263"/>
      <c r="F6" s="1263"/>
      <c r="G6" s="1263"/>
      <c r="H6" s="1263"/>
      <c r="I6" s="1263"/>
      <c r="J6" s="1264"/>
      <c r="L6" s="1321"/>
      <c r="M6" s="1322"/>
      <c r="N6" s="1322"/>
      <c r="O6" s="1322"/>
      <c r="P6" s="1322"/>
      <c r="Q6" s="1322"/>
      <c r="R6" s="1322"/>
      <c r="S6" s="1322"/>
      <c r="T6" s="1323"/>
      <c r="U6" s="304"/>
      <c r="V6" s="304"/>
      <c r="X6" s="280" t="s">
        <v>685</v>
      </c>
      <c r="Y6" s="280">
        <f>IF(AND(Y5=0, Y4=1), 0, 1)</f>
        <v>1</v>
      </c>
      <c r="Z6" s="304"/>
      <c r="AA6" s="304"/>
      <c r="AB6" s="304"/>
      <c r="AC6" s="304"/>
    </row>
    <row r="7" spans="2:29" ht="16.5" customHeight="1">
      <c r="B7" s="1265"/>
      <c r="C7" s="1266"/>
      <c r="D7" s="1266"/>
      <c r="E7" s="1266"/>
      <c r="F7" s="1267"/>
      <c r="G7" s="406" t="s">
        <v>713</v>
      </c>
      <c r="H7" s="372" t="s">
        <v>676</v>
      </c>
      <c r="I7" s="377"/>
      <c r="J7" s="407" t="s">
        <v>677</v>
      </c>
      <c r="L7" s="1321"/>
      <c r="M7" s="1322"/>
      <c r="N7" s="1322"/>
      <c r="O7" s="1322"/>
      <c r="P7" s="1322"/>
      <c r="Q7" s="1322"/>
      <c r="R7" s="1322"/>
      <c r="S7" s="1322"/>
      <c r="T7" s="1323"/>
      <c r="U7" s="304"/>
      <c r="V7" s="304"/>
      <c r="Z7" s="304"/>
      <c r="AA7" s="304"/>
      <c r="AB7" s="304"/>
      <c r="AC7" s="304"/>
    </row>
    <row r="8" spans="2:29" ht="16.5" customHeight="1" thickBot="1">
      <c r="B8" s="1269"/>
      <c r="C8" s="1270"/>
      <c r="D8" s="1270"/>
      <c r="E8" s="1270"/>
      <c r="F8" s="1271"/>
      <c r="G8" s="408" t="s">
        <v>743</v>
      </c>
      <c r="H8" s="409"/>
      <c r="I8" s="377"/>
      <c r="J8" s="410"/>
      <c r="L8" s="1321"/>
      <c r="M8" s="1322"/>
      <c r="N8" s="1322"/>
      <c r="O8" s="1322"/>
      <c r="P8" s="1322"/>
      <c r="Q8" s="1322"/>
      <c r="R8" s="1322"/>
      <c r="S8" s="1322"/>
      <c r="T8" s="1323"/>
      <c r="U8" s="304"/>
      <c r="V8" s="304"/>
      <c r="X8" s="280" t="s">
        <v>689</v>
      </c>
      <c r="Y8" s="362">
        <f>G26/12</f>
        <v>0</v>
      </c>
      <c r="Z8" s="304"/>
      <c r="AA8" s="304"/>
      <c r="AB8" s="304"/>
      <c r="AC8" s="304"/>
    </row>
    <row r="9" spans="2:29">
      <c r="B9" s="1229" t="s">
        <v>744</v>
      </c>
      <c r="C9" s="1273"/>
      <c r="D9" s="1273"/>
      <c r="E9" s="1273"/>
      <c r="F9" s="1273"/>
      <c r="G9" s="377" t="s">
        <v>719</v>
      </c>
      <c r="H9" s="381"/>
      <c r="I9" s="386" t="s">
        <v>719</v>
      </c>
      <c r="J9" s="382"/>
      <c r="L9" s="1321"/>
      <c r="M9" s="1322"/>
      <c r="N9" s="1322"/>
      <c r="O9" s="1322"/>
      <c r="P9" s="1322"/>
      <c r="Q9" s="1322"/>
      <c r="R9" s="1322"/>
      <c r="S9" s="1322"/>
      <c r="T9" s="1323"/>
      <c r="U9" s="304"/>
      <c r="V9" s="304"/>
      <c r="X9" s="280" t="s">
        <v>691</v>
      </c>
      <c r="Y9" s="362">
        <f>(G26+I26)/24</f>
        <v>0</v>
      </c>
      <c r="Z9" s="304"/>
      <c r="AA9" s="304"/>
      <c r="AB9" s="304"/>
      <c r="AC9" s="304"/>
    </row>
    <row r="10" spans="2:29">
      <c r="B10" s="1305" t="s">
        <v>745</v>
      </c>
      <c r="C10" s="1306"/>
      <c r="D10" s="1306"/>
      <c r="E10" s="1306"/>
      <c r="F10" s="1307"/>
      <c r="G10" s="346"/>
      <c r="H10" s="359">
        <f>G10</f>
        <v>0</v>
      </c>
      <c r="I10" s="411"/>
      <c r="J10" s="400">
        <f>I10</f>
        <v>0</v>
      </c>
      <c r="L10" s="1321"/>
      <c r="M10" s="1322"/>
      <c r="N10" s="1322"/>
      <c r="O10" s="1322"/>
      <c r="P10" s="1322"/>
      <c r="Q10" s="1322"/>
      <c r="R10" s="1322"/>
      <c r="S10" s="1322"/>
      <c r="T10" s="1323"/>
      <c r="U10" s="304"/>
      <c r="V10" s="304"/>
      <c r="Z10" s="304"/>
      <c r="AA10" s="304"/>
      <c r="AB10" s="304"/>
      <c r="AC10" s="304"/>
    </row>
    <row r="11" spans="2:29">
      <c r="B11" s="1308" t="s">
        <v>722</v>
      </c>
      <c r="C11" s="1309"/>
      <c r="D11" s="1309"/>
      <c r="E11" s="1309"/>
      <c r="F11" s="1309"/>
      <c r="G11" s="412"/>
      <c r="H11" s="413"/>
      <c r="I11" s="414"/>
      <c r="J11" s="415"/>
      <c r="L11" s="1321"/>
      <c r="M11" s="1322"/>
      <c r="N11" s="1322"/>
      <c r="O11" s="1322"/>
      <c r="P11" s="1322"/>
      <c r="Q11" s="1322"/>
      <c r="R11" s="1322"/>
      <c r="S11" s="1322"/>
      <c r="T11" s="1323"/>
      <c r="U11" s="304"/>
      <c r="V11" s="304"/>
      <c r="Z11" s="304"/>
      <c r="AA11" s="304"/>
      <c r="AB11" s="304"/>
      <c r="AC11" s="304"/>
    </row>
    <row r="12" spans="2:29">
      <c r="B12" s="1248" t="s">
        <v>746</v>
      </c>
      <c r="C12" s="1249"/>
      <c r="D12" s="1249"/>
      <c r="E12" s="1249"/>
      <c r="F12" s="1250"/>
      <c r="G12" s="346"/>
      <c r="H12" s="387" t="str">
        <f>IF(OR(H8=0, H8&gt;100%), "Ownership %", (G12+G13))</f>
        <v>Ownership %</v>
      </c>
      <c r="I12" s="346"/>
      <c r="J12" s="388" t="str">
        <f>IF(OR(J8=0, J8&gt;100%), "Ownership %", (I12+I13))</f>
        <v>Ownership %</v>
      </c>
      <c r="L12" s="1321"/>
      <c r="M12" s="1322"/>
      <c r="N12" s="1322"/>
      <c r="O12" s="1322"/>
      <c r="P12" s="1322"/>
      <c r="Q12" s="1322"/>
      <c r="R12" s="1322"/>
      <c r="S12" s="1322"/>
      <c r="T12" s="1323"/>
      <c r="U12" s="304"/>
      <c r="V12" s="304"/>
      <c r="X12" s="280" t="str">
        <f>IF(OR(Y6=0, I26=0), "12 Month Average", "24 Month Average")</f>
        <v>12 Month Average</v>
      </c>
      <c r="Z12" s="304"/>
      <c r="AA12" s="304"/>
      <c r="AB12" s="304"/>
      <c r="AC12" s="304"/>
    </row>
    <row r="13" spans="2:29">
      <c r="B13" s="1295" t="s">
        <v>747</v>
      </c>
      <c r="C13" s="1296"/>
      <c r="D13" s="1296"/>
      <c r="E13" s="1296"/>
      <c r="F13" s="1296"/>
      <c r="G13" s="346"/>
      <c r="H13" s="389"/>
      <c r="I13" s="346"/>
      <c r="J13" s="390"/>
      <c r="L13" s="1321"/>
      <c r="M13" s="1322"/>
      <c r="N13" s="1322"/>
      <c r="O13" s="1322"/>
      <c r="P13" s="1322"/>
      <c r="Q13" s="1322"/>
      <c r="R13" s="1322"/>
      <c r="S13" s="1322"/>
      <c r="T13" s="1323"/>
      <c r="U13" s="304"/>
      <c r="V13" s="304"/>
      <c r="X13" s="280">
        <f xml:space="preserve"> IF(OR(Y6=0, I26=0),Y8,Y9)</f>
        <v>0</v>
      </c>
      <c r="Z13" s="304"/>
      <c r="AA13" s="304"/>
      <c r="AB13" s="304"/>
      <c r="AC13" s="304"/>
    </row>
    <row r="14" spans="2:29">
      <c r="B14" s="1297" t="s">
        <v>748</v>
      </c>
      <c r="C14" s="1298"/>
      <c r="D14" s="1298"/>
      <c r="E14" s="1298"/>
      <c r="F14" s="1298"/>
      <c r="G14" s="416"/>
      <c r="H14" s="416"/>
      <c r="I14" s="416"/>
      <c r="J14" s="417"/>
      <c r="L14" s="1321"/>
      <c r="M14" s="1322"/>
      <c r="N14" s="1322"/>
      <c r="O14" s="1322"/>
      <c r="P14" s="1322"/>
      <c r="Q14" s="1322"/>
      <c r="R14" s="1322"/>
      <c r="S14" s="1322"/>
      <c r="T14" s="1323"/>
      <c r="U14" s="304"/>
      <c r="V14" s="304"/>
      <c r="Z14" s="304"/>
      <c r="AA14" s="304"/>
      <c r="AB14" s="304"/>
      <c r="AC14" s="304"/>
    </row>
    <row r="15" spans="2:29">
      <c r="B15" s="1299" t="s">
        <v>749</v>
      </c>
      <c r="C15" s="1300"/>
      <c r="D15" s="1300"/>
      <c r="E15" s="1300"/>
      <c r="F15" s="1301"/>
      <c r="G15" s="418"/>
      <c r="H15" s="419">
        <f>(G15*H8)*-1</f>
        <v>0</v>
      </c>
      <c r="I15" s="418"/>
      <c r="J15" s="420">
        <f>(I15*J8)*-1</f>
        <v>0</v>
      </c>
      <c r="L15" s="1321"/>
      <c r="M15" s="1322"/>
      <c r="N15" s="1322"/>
      <c r="O15" s="1322"/>
      <c r="P15" s="1322"/>
      <c r="Q15" s="1322"/>
      <c r="R15" s="1322"/>
      <c r="S15" s="1322"/>
      <c r="T15" s="1323"/>
      <c r="U15" s="304"/>
      <c r="V15" s="304"/>
      <c r="X15" s="280" t="s">
        <v>717</v>
      </c>
      <c r="Y15" s="280" t="str">
        <f>IF(OR(H8=0, H8&gt;100%), "Ownership %", (G12+G13))</f>
        <v>Ownership %</v>
      </c>
      <c r="Z15" s="304"/>
      <c r="AA15" s="304"/>
      <c r="AB15" s="304"/>
      <c r="AC15" s="304"/>
    </row>
    <row r="16" spans="2:29">
      <c r="B16" s="1302" t="s">
        <v>750</v>
      </c>
      <c r="C16" s="1303"/>
      <c r="D16" s="1303"/>
      <c r="E16" s="1303"/>
      <c r="F16" s="1304"/>
      <c r="G16" s="418"/>
      <c r="H16" s="419">
        <f>(G16*H8)*-1</f>
        <v>0</v>
      </c>
      <c r="I16" s="418"/>
      <c r="J16" s="420">
        <f>(I16*J8)*-1</f>
        <v>0</v>
      </c>
      <c r="L16" s="1321"/>
      <c r="M16" s="1322"/>
      <c r="N16" s="1322"/>
      <c r="O16" s="1322"/>
      <c r="P16" s="1322"/>
      <c r="Q16" s="1322"/>
      <c r="R16" s="1322"/>
      <c r="S16" s="1322"/>
      <c r="T16" s="1323"/>
      <c r="U16" s="304"/>
      <c r="V16" s="304"/>
      <c r="X16" s="280" t="s">
        <v>720</v>
      </c>
      <c r="Y16" s="280" t="str">
        <f>IF(OR(L19&gt;100%, L19=0), "Ownership %", I12+I13)</f>
        <v>Ownership %</v>
      </c>
      <c r="Z16" s="304"/>
      <c r="AA16" s="304"/>
      <c r="AB16" s="304"/>
      <c r="AC16" s="304"/>
    </row>
    <row r="17" spans="2:41">
      <c r="B17" s="1229" t="s">
        <v>751</v>
      </c>
      <c r="C17" s="1230"/>
      <c r="D17" s="1230"/>
      <c r="E17" s="1230"/>
      <c r="F17" s="1230"/>
      <c r="G17" s="351"/>
      <c r="H17" s="351"/>
      <c r="I17" s="351"/>
      <c r="J17" s="352"/>
      <c r="L17" s="1321"/>
      <c r="M17" s="1322"/>
      <c r="N17" s="1322"/>
      <c r="O17" s="1322"/>
      <c r="P17" s="1322"/>
      <c r="Q17" s="1322"/>
      <c r="R17" s="1322"/>
      <c r="S17" s="1322"/>
      <c r="T17" s="1323"/>
      <c r="U17" s="304"/>
      <c r="V17" s="304"/>
      <c r="Z17" s="304"/>
      <c r="AA17" s="304"/>
      <c r="AB17" s="304"/>
      <c r="AC17" s="304"/>
    </row>
    <row r="18" spans="2:41">
      <c r="B18" s="1243" t="s">
        <v>752</v>
      </c>
      <c r="C18" s="1244"/>
      <c r="D18" s="1244"/>
      <c r="E18" s="1244"/>
      <c r="F18" s="1245"/>
      <c r="G18" s="346"/>
      <c r="H18" s="359">
        <f>G18*H8</f>
        <v>0</v>
      </c>
      <c r="I18" s="346"/>
      <c r="J18" s="400">
        <f>I18*J8</f>
        <v>0</v>
      </c>
      <c r="L18" s="1321"/>
      <c r="M18" s="1322"/>
      <c r="N18" s="1322"/>
      <c r="O18" s="1322"/>
      <c r="P18" s="1322"/>
      <c r="Q18" s="1322"/>
      <c r="R18" s="1322"/>
      <c r="S18" s="1322"/>
      <c r="T18" s="1323"/>
      <c r="U18" s="304"/>
      <c r="V18" s="304"/>
      <c r="X18" s="349" t="s">
        <v>596</v>
      </c>
      <c r="AA18" s="304"/>
      <c r="AB18" s="304"/>
      <c r="AC18" s="304"/>
    </row>
    <row r="19" spans="2:41">
      <c r="B19" s="1223" t="s">
        <v>753</v>
      </c>
      <c r="C19" s="1224"/>
      <c r="D19" s="1224"/>
      <c r="E19" s="1224"/>
      <c r="F19" s="1225"/>
      <c r="G19" s="346"/>
      <c r="H19" s="359">
        <f>G19*H8</f>
        <v>0</v>
      </c>
      <c r="I19" s="346"/>
      <c r="J19" s="400">
        <f>I19*J8</f>
        <v>0</v>
      </c>
      <c r="L19" s="1321"/>
      <c r="M19" s="1322"/>
      <c r="N19" s="1322"/>
      <c r="O19" s="1322"/>
      <c r="P19" s="1322"/>
      <c r="Q19" s="1322"/>
      <c r="R19" s="1322"/>
      <c r="S19" s="1322"/>
      <c r="T19" s="1323"/>
      <c r="U19" s="304"/>
      <c r="V19" s="304"/>
      <c r="X19" s="349" t="s">
        <v>683</v>
      </c>
      <c r="AA19" s="304"/>
      <c r="AB19" s="304"/>
      <c r="AC19" s="304"/>
    </row>
    <row r="20" spans="2:41">
      <c r="B20" s="1223" t="s">
        <v>754</v>
      </c>
      <c r="C20" s="1224"/>
      <c r="D20" s="1224"/>
      <c r="E20" s="1224"/>
      <c r="F20" s="1225"/>
      <c r="G20" s="421"/>
      <c r="H20" s="359">
        <f>G20*H8</f>
        <v>0</v>
      </c>
      <c r="I20" s="421"/>
      <c r="J20" s="400">
        <f>I20*J8</f>
        <v>0</v>
      </c>
      <c r="L20" s="1321"/>
      <c r="M20" s="1322"/>
      <c r="N20" s="1322"/>
      <c r="O20" s="1322"/>
      <c r="P20" s="1322"/>
      <c r="Q20" s="1322"/>
      <c r="R20" s="1322"/>
      <c r="S20" s="1322"/>
      <c r="T20" s="1323"/>
      <c r="U20" s="304"/>
      <c r="V20" s="304"/>
      <c r="X20" s="349" t="s">
        <v>599</v>
      </c>
      <c r="AA20" s="304"/>
      <c r="AB20" s="304"/>
      <c r="AC20" s="304"/>
    </row>
    <row r="21" spans="2:41">
      <c r="B21" s="1288" t="s">
        <v>755</v>
      </c>
      <c r="C21" s="1289"/>
      <c r="D21" s="1289"/>
      <c r="E21" s="1289"/>
      <c r="F21" s="1289"/>
      <c r="G21" s="1290"/>
      <c r="H21" s="1290"/>
      <c r="I21" s="1290"/>
      <c r="J21" s="1291"/>
      <c r="L21" s="1321"/>
      <c r="M21" s="1322"/>
      <c r="N21" s="1322"/>
      <c r="O21" s="1322"/>
      <c r="P21" s="1322"/>
      <c r="Q21" s="1322"/>
      <c r="R21" s="1322"/>
      <c r="S21" s="1322"/>
      <c r="T21" s="1323"/>
      <c r="U21" s="304"/>
      <c r="V21" s="304"/>
      <c r="X21" s="349" t="s">
        <v>603</v>
      </c>
      <c r="AA21" s="304"/>
      <c r="AB21" s="304"/>
      <c r="AC21" s="304"/>
    </row>
    <row r="22" spans="2:41" ht="16.5" customHeight="1">
      <c r="B22" s="1292" t="s">
        <v>756</v>
      </c>
      <c r="C22" s="1293"/>
      <c r="D22" s="1293"/>
      <c r="E22" s="1293"/>
      <c r="F22" s="1294"/>
      <c r="G22" s="422"/>
      <c r="H22" s="401">
        <f>G22*H8</f>
        <v>0</v>
      </c>
      <c r="I22" s="422"/>
      <c r="J22" s="402">
        <f>I22*J8</f>
        <v>0</v>
      </c>
      <c r="L22" s="1321"/>
      <c r="M22" s="1322"/>
      <c r="N22" s="1322"/>
      <c r="O22" s="1322"/>
      <c r="P22" s="1322"/>
      <c r="Q22" s="1322"/>
      <c r="R22" s="1322"/>
      <c r="S22" s="1322"/>
      <c r="T22" s="1323"/>
      <c r="U22" s="304"/>
      <c r="V22" s="304"/>
      <c r="X22" s="349" t="s">
        <v>605</v>
      </c>
      <c r="AA22" s="304"/>
      <c r="AB22" s="304"/>
      <c r="AC22" s="304"/>
    </row>
    <row r="23" spans="2:41">
      <c r="B23" s="1229" t="s">
        <v>757</v>
      </c>
      <c r="C23" s="1230"/>
      <c r="D23" s="1230"/>
      <c r="E23" s="1230"/>
      <c r="F23" s="1230"/>
      <c r="G23" s="351"/>
      <c r="H23" s="351"/>
      <c r="I23" s="351"/>
      <c r="J23" s="352"/>
      <c r="L23" s="1321"/>
      <c r="M23" s="1322"/>
      <c r="N23" s="1322"/>
      <c r="O23" s="1322"/>
      <c r="P23" s="1322"/>
      <c r="Q23" s="1322"/>
      <c r="R23" s="1322"/>
      <c r="S23" s="1322"/>
      <c r="T23" s="1323"/>
      <c r="U23" s="304"/>
      <c r="V23" s="304"/>
      <c r="Z23" s="304"/>
      <c r="AA23" s="304"/>
      <c r="AB23" s="304"/>
      <c r="AC23" s="304"/>
    </row>
    <row r="24" spans="2:41" ht="30.75" customHeight="1">
      <c r="B24" s="1231" t="s">
        <v>758</v>
      </c>
      <c r="C24" s="1232"/>
      <c r="D24" s="1232"/>
      <c r="E24" s="1232"/>
      <c r="F24" s="1233"/>
      <c r="G24" s="399"/>
      <c r="H24" s="359">
        <f>(G24*H8)*-1</f>
        <v>0</v>
      </c>
      <c r="I24" s="399"/>
      <c r="J24" s="400">
        <f>(I24*J8)*-1</f>
        <v>0</v>
      </c>
      <c r="L24" s="1321"/>
      <c r="M24" s="1322"/>
      <c r="N24" s="1322"/>
      <c r="O24" s="1322"/>
      <c r="P24" s="1322"/>
      <c r="Q24" s="1322"/>
      <c r="R24" s="1322"/>
      <c r="S24" s="1322"/>
      <c r="T24" s="1323"/>
      <c r="U24" s="304"/>
      <c r="V24" s="304"/>
      <c r="Z24" s="304"/>
      <c r="AA24" s="304"/>
      <c r="AB24" s="304"/>
      <c r="AC24" s="304"/>
    </row>
    <row r="25" spans="2:41" ht="31.5" customHeight="1">
      <c r="B25" s="1234" t="s">
        <v>759</v>
      </c>
      <c r="C25" s="1235"/>
      <c r="D25" s="1235"/>
      <c r="E25" s="1235"/>
      <c r="F25" s="1236"/>
      <c r="G25" s="346"/>
      <c r="H25" s="401">
        <f>(G25*H8)*-1</f>
        <v>0</v>
      </c>
      <c r="I25" s="346"/>
      <c r="J25" s="402">
        <f>(I25*J8)*-1</f>
        <v>0</v>
      </c>
      <c r="L25" s="1321"/>
      <c r="M25" s="1322"/>
      <c r="N25" s="1322"/>
      <c r="O25" s="1322"/>
      <c r="P25" s="1322"/>
      <c r="Q25" s="1322"/>
      <c r="R25" s="1322"/>
      <c r="S25" s="1322"/>
      <c r="T25" s="1323"/>
      <c r="U25" s="304"/>
      <c r="V25" s="304"/>
      <c r="Z25" s="304"/>
      <c r="AA25" s="304"/>
      <c r="AB25" s="304"/>
      <c r="AC25" s="304"/>
      <c r="AD25" s="304"/>
      <c r="AE25" s="304"/>
      <c r="AF25" s="304"/>
      <c r="AG25" s="304"/>
      <c r="AH25" s="304"/>
      <c r="AI25" s="304"/>
      <c r="AJ25" s="304"/>
      <c r="AK25" s="304"/>
      <c r="AL25" s="304"/>
      <c r="AM25" s="304"/>
      <c r="AN25" s="304"/>
      <c r="AO25" s="304"/>
    </row>
    <row r="26" spans="2:41" ht="32.25" customHeight="1">
      <c r="B26" s="1158" t="s">
        <v>740</v>
      </c>
      <c r="C26" s="1287"/>
      <c r="D26" s="1287"/>
      <c r="E26" s="1287"/>
      <c r="F26" s="1287"/>
      <c r="G26" s="1156">
        <f>SUM(H10:H25)</f>
        <v>0</v>
      </c>
      <c r="H26" s="1155"/>
      <c r="I26" s="1214">
        <f>SUM(J10:J25)</f>
        <v>0</v>
      </c>
      <c r="J26" s="1216"/>
      <c r="L26" s="1321"/>
      <c r="M26" s="1322"/>
      <c r="N26" s="1322"/>
      <c r="O26" s="1322"/>
      <c r="P26" s="1322"/>
      <c r="Q26" s="1322"/>
      <c r="R26" s="1322"/>
      <c r="S26" s="1322"/>
      <c r="T26" s="1323"/>
      <c r="U26" s="304"/>
      <c r="V26" s="304"/>
      <c r="Z26" s="304"/>
      <c r="AA26" s="304"/>
      <c r="AB26" s="304"/>
      <c r="AC26" s="304"/>
      <c r="AD26" s="304"/>
      <c r="AE26" s="304"/>
      <c r="AF26" s="304"/>
      <c r="AG26" s="304"/>
      <c r="AH26" s="304"/>
      <c r="AI26" s="304"/>
      <c r="AJ26" s="304"/>
      <c r="AK26" s="304"/>
      <c r="AL26" s="304"/>
      <c r="AM26" s="304"/>
      <c r="AN26" s="304"/>
      <c r="AO26" s="304"/>
    </row>
    <row r="27" spans="2:41" ht="21.75" thickBot="1">
      <c r="B27" s="1217" t="s">
        <v>760</v>
      </c>
      <c r="C27" s="1218"/>
      <c r="D27" s="1218"/>
      <c r="E27" s="1218"/>
      <c r="F27" s="1219"/>
      <c r="G27" s="1282" t="str">
        <f>IF(OR(Y6=0, I26=0), "12 Month Average", "24 Month Average")</f>
        <v>12 Month Average</v>
      </c>
      <c r="H27" s="1283"/>
      <c r="I27" s="1283"/>
      <c r="J27" s="1284"/>
      <c r="L27" s="1324"/>
      <c r="M27" s="1325"/>
      <c r="N27" s="1325"/>
      <c r="O27" s="1325"/>
      <c r="P27" s="1325"/>
      <c r="Q27" s="1325"/>
      <c r="R27" s="1325"/>
      <c r="S27" s="1325"/>
      <c r="T27" s="1326"/>
      <c r="U27" s="304"/>
      <c r="V27" s="304"/>
      <c r="Z27" s="304"/>
      <c r="AA27" s="304"/>
      <c r="AB27" s="304"/>
      <c r="AC27" s="304"/>
      <c r="AD27" s="304"/>
      <c r="AE27" s="304"/>
      <c r="AF27" s="304"/>
      <c r="AG27" s="304"/>
      <c r="AH27" s="304"/>
      <c r="AI27" s="304"/>
      <c r="AJ27" s="304"/>
      <c r="AK27" s="304"/>
      <c r="AL27" s="304"/>
      <c r="AM27" s="304"/>
      <c r="AN27" s="304"/>
      <c r="AO27" s="304"/>
    </row>
    <row r="28" spans="2:41" ht="34.5" thickBot="1">
      <c r="B28" s="1220" t="s">
        <v>697</v>
      </c>
      <c r="C28" s="1221"/>
      <c r="D28" s="1221"/>
      <c r="E28" s="1221"/>
      <c r="F28" s="1222"/>
      <c r="G28" s="1167">
        <f xml:space="preserve"> IF(OR(Y6=0, I26=0),Y8,Y9)</f>
        <v>0</v>
      </c>
      <c r="H28" s="1168"/>
      <c r="I28" s="1168"/>
      <c r="J28" s="1169"/>
      <c r="N28" s="304"/>
      <c r="O28" s="304"/>
      <c r="P28" s="304"/>
      <c r="Q28" s="304"/>
      <c r="R28" s="304"/>
      <c r="S28" s="304"/>
      <c r="T28" s="304"/>
      <c r="U28" s="304"/>
      <c r="V28" s="304"/>
      <c r="Z28" s="304"/>
      <c r="AA28" s="304"/>
      <c r="AB28" s="304"/>
      <c r="AC28" s="304"/>
      <c r="AD28" s="304"/>
      <c r="AE28" s="304"/>
      <c r="AF28" s="304"/>
      <c r="AG28" s="304"/>
      <c r="AH28" s="304"/>
      <c r="AI28" s="304"/>
      <c r="AJ28" s="304"/>
      <c r="AK28" s="304"/>
      <c r="AL28" s="304"/>
      <c r="AM28" s="304"/>
      <c r="AN28" s="304"/>
      <c r="AO28" s="304"/>
    </row>
    <row r="29" spans="2:41" s="304" customFormat="1" ht="3" customHeight="1" thickBot="1">
      <c r="B29" s="78"/>
      <c r="C29" s="78"/>
      <c r="D29" s="78"/>
      <c r="E29" s="78"/>
      <c r="F29" s="78"/>
      <c r="G29" s="78"/>
      <c r="H29" s="330"/>
      <c r="I29" s="330"/>
      <c r="J29" s="78"/>
      <c r="W29" s="280"/>
      <c r="X29" s="280"/>
      <c r="Y29" s="280"/>
    </row>
    <row r="30" spans="2:41" s="304" customFormat="1" ht="135" customHeight="1" thickBot="1">
      <c r="B30" s="1148" t="s">
        <v>761</v>
      </c>
      <c r="C30" s="1285"/>
      <c r="D30" s="1285"/>
      <c r="E30" s="1285"/>
      <c r="F30" s="1285"/>
      <c r="G30" s="1285"/>
      <c r="H30" s="1285"/>
      <c r="I30" s="1285"/>
      <c r="J30" s="1286"/>
      <c r="W30" s="280"/>
      <c r="X30" s="280"/>
      <c r="Y30" s="280"/>
    </row>
    <row r="31" spans="2:41" s="280" customFormat="1">
      <c r="B31" s="423"/>
      <c r="C31" s="423"/>
      <c r="D31" s="423"/>
      <c r="E31" s="423"/>
      <c r="F31" s="423"/>
      <c r="G31" s="423"/>
      <c r="H31" s="423"/>
      <c r="I31" s="423"/>
      <c r="J31" s="423"/>
    </row>
    <row r="32" spans="2:41" ht="13.5" customHeight="1" thickBot="1"/>
    <row r="33" spans="2:29" s="404" customFormat="1" ht="69" customHeight="1">
      <c r="B33" s="1187" t="s">
        <v>741</v>
      </c>
      <c r="C33" s="1188"/>
      <c r="D33" s="1188"/>
      <c r="E33" s="1188"/>
      <c r="F33" s="1188"/>
      <c r="G33" s="1188"/>
      <c r="H33" s="1188"/>
      <c r="I33" s="1188"/>
      <c r="J33" s="331" t="str">
        <f>'[3]Reference Sheet'!$B$2</f>
        <v>Rev. 4.12.2016</v>
      </c>
      <c r="L33" s="424"/>
      <c r="M33" s="424"/>
      <c r="N33" s="424"/>
      <c r="O33" s="424"/>
      <c r="P33" s="424"/>
      <c r="Q33" s="424"/>
      <c r="R33" s="424"/>
      <c r="S33" s="424"/>
      <c r="T33" s="424"/>
      <c r="U33" s="367"/>
      <c r="V33" s="367"/>
      <c r="W33" s="405"/>
      <c r="X33" s="405"/>
      <c r="Y33" s="405"/>
      <c r="Z33" s="367"/>
      <c r="AA33" s="367"/>
      <c r="AB33" s="367"/>
      <c r="AC33" s="367"/>
    </row>
    <row r="34" spans="2:29" s="404" customFormat="1" ht="16.5" customHeight="1" thickBot="1">
      <c r="B34" s="332"/>
      <c r="C34" s="368" t="s">
        <v>710</v>
      </c>
      <c r="D34" s="1310"/>
      <c r="E34" s="1311"/>
      <c r="F34" s="1311"/>
      <c r="G34" s="1311"/>
      <c r="H34" s="333"/>
      <c r="I34" s="333"/>
      <c r="J34" s="334"/>
      <c r="L34" s="424"/>
      <c r="M34" s="424"/>
      <c r="N34" s="424"/>
      <c r="O34" s="424"/>
      <c r="P34" s="424"/>
      <c r="Q34" s="424"/>
      <c r="R34" s="424"/>
      <c r="S34" s="424"/>
      <c r="T34" s="424"/>
      <c r="U34" s="367"/>
      <c r="V34" s="367"/>
      <c r="W34" s="280"/>
      <c r="X34" s="280"/>
      <c r="Y34" s="280"/>
      <c r="Z34" s="304"/>
      <c r="AA34" s="304"/>
      <c r="AB34" s="367"/>
      <c r="AC34" s="367"/>
    </row>
    <row r="35" spans="2:29" s="404" customFormat="1" ht="15" customHeight="1" thickBot="1">
      <c r="B35" s="332"/>
      <c r="C35" s="368" t="s">
        <v>711</v>
      </c>
      <c r="D35" s="1312"/>
      <c r="E35" s="1313"/>
      <c r="F35" s="1313"/>
      <c r="G35" s="1313"/>
      <c r="H35" s="368" t="s">
        <v>712</v>
      </c>
      <c r="I35" s="1310"/>
      <c r="J35" s="1314"/>
      <c r="L35" s="424"/>
      <c r="M35" s="424"/>
      <c r="N35" s="424"/>
      <c r="O35" s="424"/>
      <c r="P35" s="424"/>
      <c r="Q35" s="424"/>
      <c r="R35" s="424"/>
      <c r="S35" s="424"/>
      <c r="T35" s="424"/>
      <c r="U35" s="367"/>
      <c r="V35" s="367"/>
      <c r="W35" s="280"/>
      <c r="X35" s="280" t="s">
        <v>680</v>
      </c>
      <c r="Y35" s="280">
        <f>IF(AND(J39=0, J41=0, J49=0, J50=0, J53=0, J55=0, I57=0), 0, 1)</f>
        <v>0</v>
      </c>
      <c r="Z35" s="304"/>
      <c r="AA35" s="304"/>
      <c r="AB35" s="367"/>
      <c r="AC35" s="367"/>
    </row>
    <row r="36" spans="2:29" ht="16.5" thickBot="1">
      <c r="B36" s="1176" t="s">
        <v>671</v>
      </c>
      <c r="C36" s="1177"/>
      <c r="D36" s="1315"/>
      <c r="E36" s="1316"/>
      <c r="F36" s="1316"/>
      <c r="G36" s="1316"/>
      <c r="H36" s="336" t="s">
        <v>673</v>
      </c>
      <c r="I36" s="1315"/>
      <c r="J36" s="1317"/>
      <c r="L36" s="424"/>
      <c r="M36" s="424"/>
      <c r="N36" s="424"/>
      <c r="O36" s="424"/>
      <c r="P36" s="424"/>
      <c r="Q36" s="424"/>
      <c r="R36" s="424"/>
      <c r="S36" s="424"/>
      <c r="T36" s="424"/>
      <c r="U36" s="304"/>
      <c r="V36" s="304"/>
      <c r="X36" s="280" t="s">
        <v>682</v>
      </c>
      <c r="Y36" s="280">
        <f>IF(AND(G57&lt;=I57, I57&lt;&gt;0), 0, 1)</f>
        <v>1</v>
      </c>
      <c r="Z36" s="304"/>
      <c r="AA36" s="304"/>
      <c r="AB36" s="304"/>
      <c r="AC36" s="304"/>
    </row>
    <row r="37" spans="2:29" ht="16.5" customHeight="1" thickBot="1">
      <c r="B37" s="1176" t="s">
        <v>674</v>
      </c>
      <c r="C37" s="1177"/>
      <c r="D37" s="1262"/>
      <c r="E37" s="1263"/>
      <c r="F37" s="1263"/>
      <c r="G37" s="1263"/>
      <c r="H37" s="1263"/>
      <c r="I37" s="1263"/>
      <c r="J37" s="1264"/>
      <c r="L37" s="424"/>
      <c r="M37" s="424"/>
      <c r="N37" s="424"/>
      <c r="O37" s="424"/>
      <c r="P37" s="424"/>
      <c r="Q37" s="424"/>
      <c r="R37" s="424"/>
      <c r="S37" s="424"/>
      <c r="T37" s="424"/>
      <c r="U37" s="304"/>
      <c r="V37" s="304"/>
      <c r="X37" s="280" t="s">
        <v>685</v>
      </c>
      <c r="Y37" s="280">
        <f>IF(AND(Y36=0, Y35=1), 0, 1)</f>
        <v>1</v>
      </c>
      <c r="Z37" s="304"/>
      <c r="AA37" s="304"/>
      <c r="AB37" s="304"/>
      <c r="AC37" s="304"/>
    </row>
    <row r="38" spans="2:29" ht="16.5" customHeight="1">
      <c r="B38" s="1265"/>
      <c r="C38" s="1266"/>
      <c r="D38" s="1266"/>
      <c r="E38" s="1266"/>
      <c r="F38" s="1267"/>
      <c r="G38" s="406" t="s">
        <v>713</v>
      </c>
      <c r="H38" s="372" t="s">
        <v>676</v>
      </c>
      <c r="I38" s="377"/>
      <c r="J38" s="407" t="s">
        <v>677</v>
      </c>
      <c r="L38" s="424"/>
      <c r="M38" s="424"/>
      <c r="N38" s="424"/>
      <c r="O38" s="424"/>
      <c r="P38" s="424"/>
      <c r="Q38" s="424"/>
      <c r="R38" s="424"/>
      <c r="S38" s="424"/>
      <c r="T38" s="424"/>
      <c r="U38" s="304"/>
      <c r="V38" s="304"/>
      <c r="Z38" s="304"/>
      <c r="AA38" s="304"/>
      <c r="AB38" s="304"/>
      <c r="AC38" s="304"/>
    </row>
    <row r="39" spans="2:29" ht="16.5" customHeight="1" thickBot="1">
      <c r="B39" s="1269"/>
      <c r="C39" s="1270"/>
      <c r="D39" s="1270"/>
      <c r="E39" s="1270"/>
      <c r="F39" s="1271"/>
      <c r="G39" s="408" t="s">
        <v>743</v>
      </c>
      <c r="H39" s="409"/>
      <c r="I39" s="377"/>
      <c r="J39" s="410"/>
      <c r="L39" s="424"/>
      <c r="M39" s="424"/>
      <c r="N39" s="424"/>
      <c r="O39" s="424"/>
      <c r="P39" s="424"/>
      <c r="Q39" s="424"/>
      <c r="R39" s="424"/>
      <c r="S39" s="424"/>
      <c r="T39" s="424"/>
      <c r="U39" s="304"/>
      <c r="V39" s="304"/>
      <c r="X39" s="280" t="s">
        <v>689</v>
      </c>
      <c r="Y39" s="362">
        <f>G57/12</f>
        <v>0</v>
      </c>
      <c r="Z39" s="304"/>
      <c r="AA39" s="304"/>
      <c r="AB39" s="304"/>
      <c r="AC39" s="304"/>
    </row>
    <row r="40" spans="2:29">
      <c r="B40" s="1229" t="s">
        <v>744</v>
      </c>
      <c r="C40" s="1273"/>
      <c r="D40" s="1273"/>
      <c r="E40" s="1273"/>
      <c r="F40" s="1273"/>
      <c r="G40" s="377" t="s">
        <v>719</v>
      </c>
      <c r="H40" s="381"/>
      <c r="I40" s="386" t="s">
        <v>719</v>
      </c>
      <c r="J40" s="382"/>
      <c r="L40" s="424"/>
      <c r="M40" s="424"/>
      <c r="N40" s="424"/>
      <c r="O40" s="424"/>
      <c r="P40" s="424"/>
      <c r="Q40" s="424"/>
      <c r="R40" s="424"/>
      <c r="S40" s="424"/>
      <c r="T40" s="424"/>
      <c r="U40" s="304"/>
      <c r="V40" s="304"/>
      <c r="X40" s="280" t="s">
        <v>691</v>
      </c>
      <c r="Y40" s="362">
        <f>(G57+I57)/24</f>
        <v>0</v>
      </c>
      <c r="Z40" s="304"/>
      <c r="AA40" s="304"/>
      <c r="AB40" s="304"/>
      <c r="AC40" s="304"/>
    </row>
    <row r="41" spans="2:29">
      <c r="B41" s="1305" t="s">
        <v>745</v>
      </c>
      <c r="C41" s="1306"/>
      <c r="D41" s="1306"/>
      <c r="E41" s="1306"/>
      <c r="F41" s="1307"/>
      <c r="G41" s="346"/>
      <c r="H41" s="359">
        <f>G41</f>
        <v>0</v>
      </c>
      <c r="I41" s="411"/>
      <c r="J41" s="400">
        <f>I41</f>
        <v>0</v>
      </c>
      <c r="L41" s="424"/>
      <c r="M41" s="424"/>
      <c r="N41" s="424"/>
      <c r="O41" s="424"/>
      <c r="P41" s="424"/>
      <c r="Q41" s="424"/>
      <c r="R41" s="424"/>
      <c r="S41" s="424"/>
      <c r="T41" s="424"/>
      <c r="U41" s="304"/>
      <c r="V41" s="304"/>
      <c r="Z41" s="304"/>
      <c r="AA41" s="304"/>
      <c r="AB41" s="304"/>
      <c r="AC41" s="304"/>
    </row>
    <row r="42" spans="2:29">
      <c r="B42" s="1308" t="s">
        <v>722</v>
      </c>
      <c r="C42" s="1309"/>
      <c r="D42" s="1309"/>
      <c r="E42" s="1309"/>
      <c r="F42" s="1309"/>
      <c r="G42" s="412"/>
      <c r="H42" s="413"/>
      <c r="I42" s="414"/>
      <c r="J42" s="415"/>
      <c r="L42" s="424"/>
      <c r="M42" s="424"/>
      <c r="N42" s="424"/>
      <c r="O42" s="424"/>
      <c r="P42" s="424"/>
      <c r="Q42" s="424"/>
      <c r="R42" s="424"/>
      <c r="S42" s="424"/>
      <c r="T42" s="424"/>
      <c r="U42" s="304"/>
      <c r="V42" s="304"/>
      <c r="Z42" s="304"/>
      <c r="AA42" s="304"/>
      <c r="AB42" s="304"/>
      <c r="AC42" s="304"/>
    </row>
    <row r="43" spans="2:29">
      <c r="B43" s="1248" t="s">
        <v>746</v>
      </c>
      <c r="C43" s="1249"/>
      <c r="D43" s="1249"/>
      <c r="E43" s="1249"/>
      <c r="F43" s="1250"/>
      <c r="G43" s="346"/>
      <c r="H43" s="387" t="str">
        <f>IF(OR(H39=0, H39&gt;100%), "Ownership %", (G43+G44))</f>
        <v>Ownership %</v>
      </c>
      <c r="I43" s="346"/>
      <c r="J43" s="388" t="str">
        <f>IF(OR(J39=0, J39&gt;100%), "Ownership %", (I43+I44))</f>
        <v>Ownership %</v>
      </c>
      <c r="L43" s="424"/>
      <c r="M43" s="424"/>
      <c r="N43" s="424"/>
      <c r="O43" s="424"/>
      <c r="P43" s="424"/>
      <c r="Q43" s="424"/>
      <c r="R43" s="424"/>
      <c r="S43" s="424"/>
      <c r="T43" s="424"/>
      <c r="U43" s="304"/>
      <c r="V43" s="304"/>
      <c r="X43" s="280" t="str">
        <f>IF(OR(Y37=0, I57=0), "12 Month Average", "24 Month Average")</f>
        <v>12 Month Average</v>
      </c>
      <c r="Z43" s="304"/>
      <c r="AA43" s="304"/>
      <c r="AB43" s="304"/>
      <c r="AC43" s="304"/>
    </row>
    <row r="44" spans="2:29">
      <c r="B44" s="1295" t="s">
        <v>747</v>
      </c>
      <c r="C44" s="1296"/>
      <c r="D44" s="1296"/>
      <c r="E44" s="1296"/>
      <c r="F44" s="1296"/>
      <c r="G44" s="346"/>
      <c r="H44" s="389"/>
      <c r="I44" s="346"/>
      <c r="J44" s="390"/>
      <c r="L44" s="424"/>
      <c r="M44" s="424"/>
      <c r="N44" s="424"/>
      <c r="O44" s="424"/>
      <c r="P44" s="424"/>
      <c r="Q44" s="424"/>
      <c r="R44" s="424"/>
      <c r="S44" s="424"/>
      <c r="T44" s="424"/>
      <c r="U44" s="304"/>
      <c r="V44" s="304"/>
      <c r="X44" s="280">
        <f xml:space="preserve"> IF(OR(Y37=0, I57=0),Y39,Y40)</f>
        <v>0</v>
      </c>
      <c r="Z44" s="304"/>
      <c r="AA44" s="304"/>
      <c r="AB44" s="304"/>
      <c r="AC44" s="304"/>
    </row>
    <row r="45" spans="2:29">
      <c r="B45" s="1297" t="s">
        <v>748</v>
      </c>
      <c r="C45" s="1298"/>
      <c r="D45" s="1298"/>
      <c r="E45" s="1298"/>
      <c r="F45" s="1298"/>
      <c r="G45" s="416"/>
      <c r="H45" s="416"/>
      <c r="I45" s="416"/>
      <c r="J45" s="417"/>
      <c r="L45" s="424"/>
      <c r="M45" s="424"/>
      <c r="N45" s="424"/>
      <c r="O45" s="424"/>
      <c r="P45" s="424"/>
      <c r="Q45" s="424"/>
      <c r="R45" s="424"/>
      <c r="S45" s="424"/>
      <c r="T45" s="424"/>
      <c r="U45" s="304"/>
      <c r="V45" s="304"/>
      <c r="Z45" s="304"/>
      <c r="AA45" s="304"/>
      <c r="AB45" s="304"/>
      <c r="AC45" s="304"/>
    </row>
    <row r="46" spans="2:29">
      <c r="B46" s="1299" t="s">
        <v>749</v>
      </c>
      <c r="C46" s="1300"/>
      <c r="D46" s="1300"/>
      <c r="E46" s="1300"/>
      <c r="F46" s="1301"/>
      <c r="G46" s="418"/>
      <c r="H46" s="419">
        <f>(G46*H39)*-1</f>
        <v>0</v>
      </c>
      <c r="I46" s="418"/>
      <c r="J46" s="420">
        <f>(I46*J39)*-1</f>
        <v>0</v>
      </c>
      <c r="L46" s="424"/>
      <c r="M46" s="424"/>
      <c r="N46" s="424"/>
      <c r="O46" s="424"/>
      <c r="P46" s="424"/>
      <c r="Q46" s="424"/>
      <c r="R46" s="424"/>
      <c r="S46" s="424"/>
      <c r="T46" s="424"/>
      <c r="U46" s="304"/>
      <c r="V46" s="304"/>
      <c r="X46" s="280" t="s">
        <v>717</v>
      </c>
      <c r="Y46" s="280" t="str">
        <f>IF(OR(H39=0, H39&gt;100%), "Ownership %", (G43+G44))</f>
        <v>Ownership %</v>
      </c>
      <c r="Z46" s="304"/>
      <c r="AA46" s="304"/>
      <c r="AB46" s="304"/>
      <c r="AC46" s="304"/>
    </row>
    <row r="47" spans="2:29">
      <c r="B47" s="1302" t="s">
        <v>750</v>
      </c>
      <c r="C47" s="1303"/>
      <c r="D47" s="1303"/>
      <c r="E47" s="1303"/>
      <c r="F47" s="1304"/>
      <c r="G47" s="418"/>
      <c r="H47" s="419">
        <f>(G47*H39)*-1</f>
        <v>0</v>
      </c>
      <c r="I47" s="418"/>
      <c r="J47" s="420">
        <f>(I47*J39)*-1</f>
        <v>0</v>
      </c>
      <c r="L47" s="424"/>
      <c r="M47" s="424"/>
      <c r="N47" s="424"/>
      <c r="O47" s="424"/>
      <c r="P47" s="424"/>
      <c r="Q47" s="424"/>
      <c r="R47" s="424"/>
      <c r="S47" s="424"/>
      <c r="T47" s="424"/>
      <c r="U47" s="304"/>
      <c r="V47" s="304"/>
      <c r="X47" s="280" t="s">
        <v>720</v>
      </c>
      <c r="Y47" s="280" t="str">
        <f>IF(OR(L50&gt;100%, L50=0), "Ownership %", I43+I44)</f>
        <v>Ownership %</v>
      </c>
      <c r="Z47" s="304"/>
      <c r="AA47" s="304"/>
      <c r="AB47" s="304"/>
      <c r="AC47" s="304"/>
    </row>
    <row r="48" spans="2:29">
      <c r="B48" s="1229" t="s">
        <v>751</v>
      </c>
      <c r="C48" s="1230"/>
      <c r="D48" s="1230"/>
      <c r="E48" s="1230"/>
      <c r="F48" s="1230"/>
      <c r="G48" s="351"/>
      <c r="H48" s="351"/>
      <c r="I48" s="351"/>
      <c r="J48" s="352"/>
      <c r="L48" s="424"/>
      <c r="M48" s="424"/>
      <c r="N48" s="424"/>
      <c r="O48" s="424"/>
      <c r="P48" s="424"/>
      <c r="Q48" s="424"/>
      <c r="R48" s="424"/>
      <c r="S48" s="424"/>
      <c r="T48" s="424"/>
      <c r="U48" s="304"/>
      <c r="V48" s="304"/>
      <c r="Z48" s="304"/>
      <c r="AA48" s="304"/>
      <c r="AB48" s="304"/>
      <c r="AC48" s="304"/>
    </row>
    <row r="49" spans="2:41">
      <c r="B49" s="1243" t="s">
        <v>752</v>
      </c>
      <c r="C49" s="1244"/>
      <c r="D49" s="1244"/>
      <c r="E49" s="1244"/>
      <c r="F49" s="1245"/>
      <c r="G49" s="346"/>
      <c r="H49" s="359">
        <f>G49*H39</f>
        <v>0</v>
      </c>
      <c r="I49" s="346"/>
      <c r="J49" s="400">
        <f>I49*J39</f>
        <v>0</v>
      </c>
      <c r="L49" s="424"/>
      <c r="M49" s="424"/>
      <c r="N49" s="424"/>
      <c r="O49" s="424"/>
      <c r="P49" s="424"/>
      <c r="Q49" s="424"/>
      <c r="R49" s="424"/>
      <c r="S49" s="424"/>
      <c r="T49" s="424"/>
      <c r="U49" s="304"/>
      <c r="V49" s="304"/>
      <c r="X49" s="349" t="s">
        <v>596</v>
      </c>
      <c r="AA49" s="304"/>
      <c r="AB49" s="304"/>
      <c r="AC49" s="304"/>
    </row>
    <row r="50" spans="2:41">
      <c r="B50" s="1223" t="s">
        <v>753</v>
      </c>
      <c r="C50" s="1224"/>
      <c r="D50" s="1224"/>
      <c r="E50" s="1224"/>
      <c r="F50" s="1225"/>
      <c r="G50" s="346"/>
      <c r="H50" s="359">
        <f>G50*H39</f>
        <v>0</v>
      </c>
      <c r="I50" s="346"/>
      <c r="J50" s="400">
        <f>I50*J39</f>
        <v>0</v>
      </c>
      <c r="L50" s="424"/>
      <c r="M50" s="424"/>
      <c r="N50" s="424"/>
      <c r="O50" s="424"/>
      <c r="P50" s="424"/>
      <c r="Q50" s="424"/>
      <c r="R50" s="424"/>
      <c r="S50" s="424"/>
      <c r="T50" s="424"/>
      <c r="U50" s="304"/>
      <c r="V50" s="304"/>
      <c r="X50" s="349" t="s">
        <v>683</v>
      </c>
      <c r="AA50" s="304"/>
      <c r="AB50" s="304"/>
      <c r="AC50" s="304"/>
    </row>
    <row r="51" spans="2:41">
      <c r="B51" s="1223" t="s">
        <v>754</v>
      </c>
      <c r="C51" s="1224"/>
      <c r="D51" s="1224"/>
      <c r="E51" s="1224"/>
      <c r="F51" s="1225"/>
      <c r="G51" s="421"/>
      <c r="H51" s="359">
        <f>G51*H39</f>
        <v>0</v>
      </c>
      <c r="I51" s="421"/>
      <c r="J51" s="400">
        <f>I51*J39</f>
        <v>0</v>
      </c>
      <c r="L51" s="424"/>
      <c r="M51" s="424"/>
      <c r="N51" s="424"/>
      <c r="O51" s="424"/>
      <c r="P51" s="424"/>
      <c r="Q51" s="424"/>
      <c r="R51" s="424"/>
      <c r="S51" s="424"/>
      <c r="T51" s="424"/>
      <c r="U51" s="304"/>
      <c r="V51" s="304"/>
      <c r="X51" s="349" t="s">
        <v>599</v>
      </c>
      <c r="AA51" s="304"/>
      <c r="AB51" s="304"/>
      <c r="AC51" s="304"/>
    </row>
    <row r="52" spans="2:41">
      <c r="B52" s="1288" t="s">
        <v>755</v>
      </c>
      <c r="C52" s="1289"/>
      <c r="D52" s="1289"/>
      <c r="E52" s="1289"/>
      <c r="F52" s="1289"/>
      <c r="G52" s="1290"/>
      <c r="H52" s="1290"/>
      <c r="I52" s="1290"/>
      <c r="J52" s="1291"/>
      <c r="L52" s="424"/>
      <c r="M52" s="424"/>
      <c r="N52" s="424"/>
      <c r="O52" s="424"/>
      <c r="P52" s="424"/>
      <c r="Q52" s="424"/>
      <c r="R52" s="424"/>
      <c r="S52" s="424"/>
      <c r="T52" s="424"/>
      <c r="U52" s="304"/>
      <c r="V52" s="304"/>
      <c r="X52" s="349" t="s">
        <v>603</v>
      </c>
      <c r="AA52" s="304"/>
      <c r="AB52" s="304"/>
      <c r="AC52" s="304"/>
    </row>
    <row r="53" spans="2:41" ht="16.5" customHeight="1">
      <c r="B53" s="1292" t="s">
        <v>756</v>
      </c>
      <c r="C53" s="1293"/>
      <c r="D53" s="1293"/>
      <c r="E53" s="1293"/>
      <c r="F53" s="1294"/>
      <c r="G53" s="422"/>
      <c r="H53" s="401">
        <f>G53*H39</f>
        <v>0</v>
      </c>
      <c r="I53" s="422"/>
      <c r="J53" s="402">
        <f>I53*J39</f>
        <v>0</v>
      </c>
      <c r="L53" s="424"/>
      <c r="M53" s="424"/>
      <c r="N53" s="424"/>
      <c r="O53" s="424"/>
      <c r="P53" s="424"/>
      <c r="Q53" s="424"/>
      <c r="R53" s="424"/>
      <c r="S53" s="424"/>
      <c r="T53" s="424"/>
      <c r="U53" s="304"/>
      <c r="V53" s="304"/>
      <c r="X53" s="349" t="s">
        <v>605</v>
      </c>
      <c r="AA53" s="304"/>
      <c r="AB53" s="304"/>
      <c r="AC53" s="304"/>
    </row>
    <row r="54" spans="2:41">
      <c r="B54" s="1229" t="s">
        <v>757</v>
      </c>
      <c r="C54" s="1230"/>
      <c r="D54" s="1230"/>
      <c r="E54" s="1230"/>
      <c r="F54" s="1230"/>
      <c r="G54" s="351"/>
      <c r="H54" s="351"/>
      <c r="I54" s="351"/>
      <c r="J54" s="352"/>
      <c r="L54" s="424"/>
      <c r="M54" s="424"/>
      <c r="N54" s="424"/>
      <c r="O54" s="424"/>
      <c r="P54" s="424"/>
      <c r="Q54" s="424"/>
      <c r="R54" s="424"/>
      <c r="S54" s="424"/>
      <c r="T54" s="424"/>
      <c r="U54" s="304"/>
      <c r="V54" s="304"/>
      <c r="Z54" s="304"/>
      <c r="AA54" s="304"/>
      <c r="AB54" s="304"/>
      <c r="AC54" s="304"/>
    </row>
    <row r="55" spans="2:41" ht="30.75" customHeight="1">
      <c r="B55" s="1231" t="s">
        <v>758</v>
      </c>
      <c r="C55" s="1232"/>
      <c r="D55" s="1232"/>
      <c r="E55" s="1232"/>
      <c r="F55" s="1233"/>
      <c r="G55" s="399"/>
      <c r="H55" s="359">
        <f>(G55*H39)*-1</f>
        <v>0</v>
      </c>
      <c r="I55" s="399"/>
      <c r="J55" s="400">
        <f>(I55*J39)*-1</f>
        <v>0</v>
      </c>
      <c r="L55" s="424"/>
      <c r="M55" s="424"/>
      <c r="N55" s="424"/>
      <c r="O55" s="424"/>
      <c r="P55" s="424"/>
      <c r="Q55" s="424"/>
      <c r="R55" s="424"/>
      <c r="S55" s="424"/>
      <c r="T55" s="424"/>
      <c r="U55" s="304"/>
      <c r="V55" s="304"/>
      <c r="Z55" s="304"/>
      <c r="AA55" s="304"/>
      <c r="AB55" s="304"/>
      <c r="AC55" s="304"/>
    </row>
    <row r="56" spans="2:41" ht="31.5" customHeight="1">
      <c r="B56" s="1234" t="s">
        <v>759</v>
      </c>
      <c r="C56" s="1235"/>
      <c r="D56" s="1235"/>
      <c r="E56" s="1235"/>
      <c r="F56" s="1236"/>
      <c r="G56" s="346"/>
      <c r="H56" s="401">
        <f>(G56*H39)*-1</f>
        <v>0</v>
      </c>
      <c r="I56" s="346"/>
      <c r="J56" s="402">
        <f>(I56*J39)*-1</f>
        <v>0</v>
      </c>
      <c r="L56" s="424"/>
      <c r="M56" s="424"/>
      <c r="N56" s="424"/>
      <c r="O56" s="424"/>
      <c r="P56" s="424"/>
      <c r="Q56" s="424"/>
      <c r="R56" s="424"/>
      <c r="S56" s="424"/>
      <c r="T56" s="424"/>
      <c r="U56" s="304"/>
      <c r="V56" s="304"/>
      <c r="Z56" s="304"/>
      <c r="AA56" s="304"/>
      <c r="AB56" s="304"/>
      <c r="AC56" s="304"/>
      <c r="AD56" s="304"/>
      <c r="AE56" s="304"/>
      <c r="AF56" s="304"/>
      <c r="AG56" s="304"/>
      <c r="AH56" s="304"/>
      <c r="AI56" s="304"/>
      <c r="AJ56" s="304"/>
      <c r="AK56" s="304"/>
      <c r="AL56" s="304"/>
      <c r="AM56" s="304"/>
      <c r="AN56" s="304"/>
      <c r="AO56" s="304"/>
    </row>
    <row r="57" spans="2:41" ht="32.25" customHeight="1">
      <c r="B57" s="1158" t="s">
        <v>740</v>
      </c>
      <c r="C57" s="1287"/>
      <c r="D57" s="1287"/>
      <c r="E57" s="1287"/>
      <c r="F57" s="1287"/>
      <c r="G57" s="1156">
        <f>SUM(H41:H56)</f>
        <v>0</v>
      </c>
      <c r="H57" s="1155"/>
      <c r="I57" s="1214">
        <f>SUM(J41:J56)</f>
        <v>0</v>
      </c>
      <c r="J57" s="1216"/>
      <c r="L57" s="424"/>
      <c r="M57" s="424"/>
      <c r="N57" s="424"/>
      <c r="O57" s="424"/>
      <c r="P57" s="424"/>
      <c r="Q57" s="424"/>
      <c r="R57" s="424"/>
      <c r="S57" s="424"/>
      <c r="T57" s="424"/>
      <c r="U57" s="304"/>
      <c r="V57" s="304"/>
      <c r="Z57" s="304"/>
      <c r="AA57" s="304"/>
      <c r="AB57" s="304"/>
      <c r="AC57" s="304"/>
      <c r="AD57" s="304"/>
      <c r="AE57" s="304"/>
      <c r="AF57" s="304"/>
      <c r="AG57" s="304"/>
      <c r="AH57" s="304"/>
      <c r="AI57" s="304"/>
      <c r="AJ57" s="304"/>
      <c r="AK57" s="304"/>
      <c r="AL57" s="304"/>
      <c r="AM57" s="304"/>
      <c r="AN57" s="304"/>
      <c r="AO57" s="304"/>
    </row>
    <row r="58" spans="2:41" ht="21">
      <c r="B58" s="1217" t="s">
        <v>760</v>
      </c>
      <c r="C58" s="1218"/>
      <c r="D58" s="1218"/>
      <c r="E58" s="1218"/>
      <c r="F58" s="1219"/>
      <c r="G58" s="1282" t="str">
        <f>IF(OR(Y37=0, I57=0), "12 Month Average", "24 Month Average")</f>
        <v>12 Month Average</v>
      </c>
      <c r="H58" s="1283"/>
      <c r="I58" s="1283"/>
      <c r="J58" s="1284"/>
      <c r="L58" s="424"/>
      <c r="M58" s="424"/>
      <c r="N58" s="424"/>
      <c r="O58" s="424"/>
      <c r="P58" s="424"/>
      <c r="Q58" s="424"/>
      <c r="R58" s="424"/>
      <c r="S58" s="424"/>
      <c r="T58" s="424"/>
      <c r="U58" s="304"/>
      <c r="V58" s="304"/>
      <c r="Z58" s="304"/>
      <c r="AA58" s="304"/>
      <c r="AB58" s="304"/>
      <c r="AC58" s="304"/>
      <c r="AD58" s="304"/>
      <c r="AE58" s="304"/>
      <c r="AF58" s="304"/>
      <c r="AG58" s="304"/>
      <c r="AH58" s="304"/>
      <c r="AI58" s="304"/>
      <c r="AJ58" s="304"/>
      <c r="AK58" s="304"/>
      <c r="AL58" s="304"/>
      <c r="AM58" s="304"/>
      <c r="AN58" s="304"/>
      <c r="AO58" s="304"/>
    </row>
    <row r="59" spans="2:41" ht="34.5" thickBot="1">
      <c r="B59" s="1220" t="s">
        <v>697</v>
      </c>
      <c r="C59" s="1221"/>
      <c r="D59" s="1221"/>
      <c r="E59" s="1221"/>
      <c r="F59" s="1222"/>
      <c r="G59" s="1167">
        <f xml:space="preserve"> IF(OR(Y37=0, I57=0),Y39,Y40)</f>
        <v>0</v>
      </c>
      <c r="H59" s="1168"/>
      <c r="I59" s="1168"/>
      <c r="J59" s="1169"/>
      <c r="N59" s="304"/>
      <c r="O59" s="304"/>
      <c r="P59" s="304"/>
      <c r="Q59" s="304"/>
      <c r="R59" s="304"/>
      <c r="S59" s="304"/>
      <c r="T59" s="304"/>
      <c r="U59" s="304"/>
      <c r="V59" s="304"/>
      <c r="Z59" s="304"/>
      <c r="AA59" s="304"/>
      <c r="AB59" s="304"/>
      <c r="AC59" s="304"/>
      <c r="AD59" s="304"/>
      <c r="AE59" s="304"/>
      <c r="AF59" s="304"/>
      <c r="AG59" s="304"/>
      <c r="AH59" s="304"/>
      <c r="AI59" s="304"/>
      <c r="AJ59" s="304"/>
      <c r="AK59" s="304"/>
      <c r="AL59" s="304"/>
      <c r="AM59" s="304"/>
      <c r="AN59" s="304"/>
      <c r="AO59" s="304"/>
    </row>
    <row r="60" spans="2:41" s="304" customFormat="1" ht="3" customHeight="1" thickBot="1">
      <c r="B60" s="78"/>
      <c r="C60" s="78"/>
      <c r="D60" s="78"/>
      <c r="E60" s="78"/>
      <c r="F60" s="78"/>
      <c r="G60" s="78"/>
      <c r="H60" s="330"/>
      <c r="I60" s="330"/>
      <c r="J60" s="78"/>
      <c r="W60" s="280"/>
      <c r="X60" s="280"/>
      <c r="Y60" s="280"/>
    </row>
    <row r="61" spans="2:41" s="304" customFormat="1" ht="135" customHeight="1" thickBot="1">
      <c r="B61" s="1148" t="s">
        <v>761</v>
      </c>
      <c r="C61" s="1285"/>
      <c r="D61" s="1285"/>
      <c r="E61" s="1285"/>
      <c r="F61" s="1285"/>
      <c r="G61" s="1285"/>
      <c r="H61" s="1285"/>
      <c r="I61" s="1285"/>
      <c r="J61" s="1286"/>
      <c r="W61" s="280"/>
      <c r="X61" s="280"/>
      <c r="Y61" s="280"/>
    </row>
    <row r="62" spans="2:41" s="280" customFormat="1">
      <c r="B62" s="423"/>
      <c r="C62" s="423"/>
      <c r="D62" s="423"/>
      <c r="E62" s="423"/>
      <c r="F62" s="423"/>
      <c r="G62" s="423"/>
      <c r="H62" s="423"/>
      <c r="I62" s="423"/>
      <c r="J62" s="423"/>
    </row>
    <row r="63" spans="2:41" ht="13.5" customHeight="1" thickBot="1"/>
    <row r="64" spans="2:41" s="404" customFormat="1" ht="69" customHeight="1">
      <c r="B64" s="1187" t="s">
        <v>741</v>
      </c>
      <c r="C64" s="1188"/>
      <c r="D64" s="1188"/>
      <c r="E64" s="1188"/>
      <c r="F64" s="1188"/>
      <c r="G64" s="1188"/>
      <c r="H64" s="1188"/>
      <c r="I64" s="1188"/>
      <c r="J64" s="331" t="str">
        <f>'[3]Reference Sheet'!$B$2</f>
        <v>Rev. 4.12.2016</v>
      </c>
      <c r="L64" s="424"/>
      <c r="M64" s="424"/>
      <c r="N64" s="424"/>
      <c r="O64" s="424"/>
      <c r="P64" s="424"/>
      <c r="Q64" s="424"/>
      <c r="R64" s="424"/>
      <c r="S64" s="424"/>
      <c r="T64" s="424"/>
      <c r="U64" s="367"/>
      <c r="V64" s="367"/>
      <c r="W64" s="405"/>
      <c r="X64" s="405"/>
      <c r="Y64" s="405"/>
      <c r="Z64" s="367"/>
      <c r="AA64" s="367"/>
      <c r="AB64" s="367"/>
      <c r="AC64" s="367"/>
    </row>
    <row r="65" spans="2:29" s="404" customFormat="1" ht="16.5" customHeight="1" thickBot="1">
      <c r="B65" s="332"/>
      <c r="C65" s="368" t="s">
        <v>710</v>
      </c>
      <c r="D65" s="1310"/>
      <c r="E65" s="1311"/>
      <c r="F65" s="1311"/>
      <c r="G65" s="1311"/>
      <c r="H65" s="333"/>
      <c r="I65" s="333"/>
      <c r="J65" s="334"/>
      <c r="L65" s="424"/>
      <c r="M65" s="424"/>
      <c r="N65" s="424"/>
      <c r="O65" s="424"/>
      <c r="P65" s="424"/>
      <c r="Q65" s="424"/>
      <c r="R65" s="424"/>
      <c r="S65" s="424"/>
      <c r="T65" s="424"/>
      <c r="U65" s="367"/>
      <c r="V65" s="367"/>
      <c r="W65" s="280"/>
      <c r="X65" s="280"/>
      <c r="Y65" s="280"/>
      <c r="Z65" s="304"/>
      <c r="AA65" s="304"/>
      <c r="AB65" s="367"/>
      <c r="AC65" s="367"/>
    </row>
    <row r="66" spans="2:29" s="404" customFormat="1" ht="15" customHeight="1" thickBot="1">
      <c r="B66" s="332"/>
      <c r="C66" s="368" t="s">
        <v>711</v>
      </c>
      <c r="D66" s="1312"/>
      <c r="E66" s="1313"/>
      <c r="F66" s="1313"/>
      <c r="G66" s="1313"/>
      <c r="H66" s="368" t="s">
        <v>712</v>
      </c>
      <c r="I66" s="1310"/>
      <c r="J66" s="1314"/>
      <c r="L66" s="424"/>
      <c r="M66" s="424"/>
      <c r="N66" s="424"/>
      <c r="O66" s="424"/>
      <c r="P66" s="424"/>
      <c r="Q66" s="424"/>
      <c r="R66" s="424"/>
      <c r="S66" s="424"/>
      <c r="T66" s="424"/>
      <c r="U66" s="367"/>
      <c r="V66" s="367"/>
      <c r="W66" s="280"/>
      <c r="X66" s="280" t="s">
        <v>680</v>
      </c>
      <c r="Y66" s="280">
        <f>IF(AND(J70=0, J72=0, J80=0, J81=0, J84=0, J86=0, I88=0), 0, 1)</f>
        <v>0</v>
      </c>
      <c r="Z66" s="304"/>
      <c r="AA66" s="304"/>
      <c r="AB66" s="367"/>
      <c r="AC66" s="367"/>
    </row>
    <row r="67" spans="2:29" ht="16.5" thickBot="1">
      <c r="B67" s="1176" t="s">
        <v>671</v>
      </c>
      <c r="C67" s="1177"/>
      <c r="D67" s="1315"/>
      <c r="E67" s="1316"/>
      <c r="F67" s="1316"/>
      <c r="G67" s="1316"/>
      <c r="H67" s="336" t="s">
        <v>673</v>
      </c>
      <c r="I67" s="1315"/>
      <c r="J67" s="1317"/>
      <c r="L67" s="424"/>
      <c r="M67" s="424"/>
      <c r="N67" s="424"/>
      <c r="O67" s="424"/>
      <c r="P67" s="424"/>
      <c r="Q67" s="424"/>
      <c r="R67" s="424"/>
      <c r="S67" s="424"/>
      <c r="T67" s="424"/>
      <c r="U67" s="304"/>
      <c r="V67" s="304"/>
      <c r="X67" s="280" t="s">
        <v>682</v>
      </c>
      <c r="Y67" s="280">
        <f>IF(AND(G88&lt;=I88, I88&lt;&gt;0), 0, 1)</f>
        <v>1</v>
      </c>
      <c r="Z67" s="304"/>
      <c r="AA67" s="304"/>
      <c r="AB67" s="304"/>
      <c r="AC67" s="304"/>
    </row>
    <row r="68" spans="2:29" ht="16.5" customHeight="1" thickBot="1">
      <c r="B68" s="1176" t="s">
        <v>674</v>
      </c>
      <c r="C68" s="1177"/>
      <c r="D68" s="1262"/>
      <c r="E68" s="1263"/>
      <c r="F68" s="1263"/>
      <c r="G68" s="1263"/>
      <c r="H68" s="1263"/>
      <c r="I68" s="1263"/>
      <c r="J68" s="1264"/>
      <c r="L68" s="424"/>
      <c r="M68" s="424"/>
      <c r="N68" s="424"/>
      <c r="O68" s="424"/>
      <c r="P68" s="424"/>
      <c r="Q68" s="424"/>
      <c r="R68" s="424"/>
      <c r="S68" s="424"/>
      <c r="T68" s="424"/>
      <c r="U68" s="304"/>
      <c r="V68" s="304"/>
      <c r="X68" s="280" t="s">
        <v>685</v>
      </c>
      <c r="Y68" s="280">
        <f>IF(AND(Y67=0, Y66=1), 0, 1)</f>
        <v>1</v>
      </c>
      <c r="Z68" s="304"/>
      <c r="AA68" s="304"/>
      <c r="AB68" s="304"/>
      <c r="AC68" s="304"/>
    </row>
    <row r="69" spans="2:29" ht="16.5" customHeight="1">
      <c r="B69" s="1265"/>
      <c r="C69" s="1266"/>
      <c r="D69" s="1266"/>
      <c r="E69" s="1266"/>
      <c r="F69" s="1267"/>
      <c r="G69" s="406" t="s">
        <v>713</v>
      </c>
      <c r="H69" s="372" t="s">
        <v>676</v>
      </c>
      <c r="I69" s="377"/>
      <c r="J69" s="407" t="s">
        <v>677</v>
      </c>
      <c r="L69" s="424"/>
      <c r="M69" s="424"/>
      <c r="N69" s="424"/>
      <c r="O69" s="424"/>
      <c r="P69" s="424"/>
      <c r="Q69" s="424"/>
      <c r="R69" s="424"/>
      <c r="S69" s="424"/>
      <c r="T69" s="424"/>
      <c r="U69" s="304"/>
      <c r="V69" s="304"/>
      <c r="Z69" s="304"/>
      <c r="AA69" s="304"/>
      <c r="AB69" s="304"/>
      <c r="AC69" s="304"/>
    </row>
    <row r="70" spans="2:29" ht="16.5" customHeight="1" thickBot="1">
      <c r="B70" s="1269"/>
      <c r="C70" s="1270"/>
      <c r="D70" s="1270"/>
      <c r="E70" s="1270"/>
      <c r="F70" s="1271"/>
      <c r="G70" s="408" t="s">
        <v>743</v>
      </c>
      <c r="H70" s="409"/>
      <c r="I70" s="377"/>
      <c r="J70" s="410"/>
      <c r="L70" s="424"/>
      <c r="M70" s="424"/>
      <c r="N70" s="424"/>
      <c r="O70" s="424"/>
      <c r="P70" s="424"/>
      <c r="Q70" s="424"/>
      <c r="R70" s="424"/>
      <c r="S70" s="424"/>
      <c r="T70" s="424"/>
      <c r="U70" s="304"/>
      <c r="V70" s="304"/>
      <c r="X70" s="280" t="s">
        <v>689</v>
      </c>
      <c r="Y70" s="362">
        <f>G88/12</f>
        <v>0</v>
      </c>
      <c r="Z70" s="304"/>
      <c r="AA70" s="304"/>
      <c r="AB70" s="304"/>
      <c r="AC70" s="304"/>
    </row>
    <row r="71" spans="2:29">
      <c r="B71" s="1229" t="s">
        <v>744</v>
      </c>
      <c r="C71" s="1273"/>
      <c r="D71" s="1273"/>
      <c r="E71" s="1273"/>
      <c r="F71" s="1273"/>
      <c r="G71" s="377" t="s">
        <v>719</v>
      </c>
      <c r="H71" s="381"/>
      <c r="I71" s="386" t="s">
        <v>719</v>
      </c>
      <c r="J71" s="382"/>
      <c r="L71" s="424"/>
      <c r="M71" s="424"/>
      <c r="N71" s="424"/>
      <c r="O71" s="424"/>
      <c r="P71" s="424"/>
      <c r="Q71" s="424"/>
      <c r="R71" s="424"/>
      <c r="S71" s="424"/>
      <c r="T71" s="424"/>
      <c r="U71" s="304"/>
      <c r="V71" s="304"/>
      <c r="X71" s="280" t="s">
        <v>691</v>
      </c>
      <c r="Y71" s="362">
        <f>(G88+I88)/24</f>
        <v>0</v>
      </c>
      <c r="Z71" s="304"/>
      <c r="AA71" s="304"/>
      <c r="AB71" s="304"/>
      <c r="AC71" s="304"/>
    </row>
    <row r="72" spans="2:29">
      <c r="B72" s="1305" t="s">
        <v>745</v>
      </c>
      <c r="C72" s="1306"/>
      <c r="D72" s="1306"/>
      <c r="E72" s="1306"/>
      <c r="F72" s="1307"/>
      <c r="G72" s="346"/>
      <c r="H72" s="359">
        <f>G72</f>
        <v>0</v>
      </c>
      <c r="I72" s="411"/>
      <c r="J72" s="400">
        <f>I72</f>
        <v>0</v>
      </c>
      <c r="L72" s="424"/>
      <c r="M72" s="424"/>
      <c r="N72" s="424"/>
      <c r="O72" s="424"/>
      <c r="P72" s="424"/>
      <c r="Q72" s="424"/>
      <c r="R72" s="424"/>
      <c r="S72" s="424"/>
      <c r="T72" s="424"/>
      <c r="U72" s="304"/>
      <c r="V72" s="304"/>
      <c r="Z72" s="304"/>
      <c r="AA72" s="304"/>
      <c r="AB72" s="304"/>
      <c r="AC72" s="304"/>
    </row>
    <row r="73" spans="2:29">
      <c r="B73" s="1308" t="s">
        <v>722</v>
      </c>
      <c r="C73" s="1309"/>
      <c r="D73" s="1309"/>
      <c r="E73" s="1309"/>
      <c r="F73" s="1309"/>
      <c r="G73" s="412"/>
      <c r="H73" s="413"/>
      <c r="I73" s="414"/>
      <c r="J73" s="415"/>
      <c r="L73" s="424"/>
      <c r="M73" s="424"/>
      <c r="N73" s="424"/>
      <c r="O73" s="424"/>
      <c r="P73" s="424"/>
      <c r="Q73" s="424"/>
      <c r="R73" s="424"/>
      <c r="S73" s="424"/>
      <c r="T73" s="424"/>
      <c r="U73" s="304"/>
      <c r="V73" s="304"/>
      <c r="Z73" s="304"/>
      <c r="AA73" s="304"/>
      <c r="AB73" s="304"/>
      <c r="AC73" s="304"/>
    </row>
    <row r="74" spans="2:29">
      <c r="B74" s="1248" t="s">
        <v>746</v>
      </c>
      <c r="C74" s="1249"/>
      <c r="D74" s="1249"/>
      <c r="E74" s="1249"/>
      <c r="F74" s="1250"/>
      <c r="G74" s="346"/>
      <c r="H74" s="387" t="str">
        <f>IF(OR(H70=0, H70&gt;100%), "Ownership %", (G74+G75))</f>
        <v>Ownership %</v>
      </c>
      <c r="I74" s="346"/>
      <c r="J74" s="388" t="str">
        <f>IF(OR(J70=0, J70&gt;100%), "Ownership %", (I74+I75))</f>
        <v>Ownership %</v>
      </c>
      <c r="L74" s="424"/>
      <c r="M74" s="424"/>
      <c r="N74" s="424"/>
      <c r="O74" s="424"/>
      <c r="P74" s="424"/>
      <c r="Q74" s="424"/>
      <c r="R74" s="424"/>
      <c r="S74" s="424"/>
      <c r="T74" s="424"/>
      <c r="U74" s="304"/>
      <c r="V74" s="304"/>
      <c r="X74" s="280" t="str">
        <f>IF(OR(Y68=0, I88=0), "12 Month Average", "24 Month Average")</f>
        <v>12 Month Average</v>
      </c>
      <c r="Z74" s="304"/>
      <c r="AA74" s="304"/>
      <c r="AB74" s="304"/>
      <c r="AC74" s="304"/>
    </row>
    <row r="75" spans="2:29">
      <c r="B75" s="1295" t="s">
        <v>747</v>
      </c>
      <c r="C75" s="1296"/>
      <c r="D75" s="1296"/>
      <c r="E75" s="1296"/>
      <c r="F75" s="1296"/>
      <c r="G75" s="346"/>
      <c r="H75" s="389"/>
      <c r="I75" s="346"/>
      <c r="J75" s="390"/>
      <c r="L75" s="424"/>
      <c r="M75" s="424"/>
      <c r="N75" s="424"/>
      <c r="O75" s="424"/>
      <c r="P75" s="424"/>
      <c r="Q75" s="424"/>
      <c r="R75" s="424"/>
      <c r="S75" s="424"/>
      <c r="T75" s="424"/>
      <c r="U75" s="304"/>
      <c r="V75" s="304"/>
      <c r="X75" s="280">
        <f xml:space="preserve"> IF(OR(Y68=0, I88=0),Y70,Y71)</f>
        <v>0</v>
      </c>
      <c r="Z75" s="304"/>
      <c r="AA75" s="304"/>
      <c r="AB75" s="304"/>
      <c r="AC75" s="304"/>
    </row>
    <row r="76" spans="2:29">
      <c r="B76" s="1297" t="s">
        <v>748</v>
      </c>
      <c r="C76" s="1298"/>
      <c r="D76" s="1298"/>
      <c r="E76" s="1298"/>
      <c r="F76" s="1298"/>
      <c r="G76" s="416"/>
      <c r="H76" s="416"/>
      <c r="I76" s="416"/>
      <c r="J76" s="417"/>
      <c r="L76" s="424"/>
      <c r="M76" s="424"/>
      <c r="N76" s="424"/>
      <c r="O76" s="424"/>
      <c r="P76" s="424"/>
      <c r="Q76" s="424"/>
      <c r="R76" s="424"/>
      <c r="S76" s="424"/>
      <c r="T76" s="424"/>
      <c r="U76" s="304"/>
      <c r="V76" s="304"/>
      <c r="Z76" s="304"/>
      <c r="AA76" s="304"/>
      <c r="AB76" s="304"/>
      <c r="AC76" s="304"/>
    </row>
    <row r="77" spans="2:29">
      <c r="B77" s="1299" t="s">
        <v>749</v>
      </c>
      <c r="C77" s="1300"/>
      <c r="D77" s="1300"/>
      <c r="E77" s="1300"/>
      <c r="F77" s="1301"/>
      <c r="G77" s="418"/>
      <c r="H77" s="419">
        <f>(G77*H70)*-1</f>
        <v>0</v>
      </c>
      <c r="I77" s="418"/>
      <c r="J77" s="420">
        <f>(I77*J70)*-1</f>
        <v>0</v>
      </c>
      <c r="L77" s="424"/>
      <c r="M77" s="424"/>
      <c r="N77" s="424"/>
      <c r="O77" s="424"/>
      <c r="P77" s="424"/>
      <c r="Q77" s="424"/>
      <c r="R77" s="424"/>
      <c r="S77" s="424"/>
      <c r="T77" s="424"/>
      <c r="U77" s="304"/>
      <c r="V77" s="304"/>
      <c r="X77" s="280" t="s">
        <v>717</v>
      </c>
      <c r="Y77" s="280" t="str">
        <f>IF(OR(H70=0, H70&gt;100%), "Ownership %", (G74+G75))</f>
        <v>Ownership %</v>
      </c>
      <c r="Z77" s="304"/>
      <c r="AA77" s="304"/>
      <c r="AB77" s="304"/>
      <c r="AC77" s="304"/>
    </row>
    <row r="78" spans="2:29">
      <c r="B78" s="1302" t="s">
        <v>750</v>
      </c>
      <c r="C78" s="1303"/>
      <c r="D78" s="1303"/>
      <c r="E78" s="1303"/>
      <c r="F78" s="1304"/>
      <c r="G78" s="418"/>
      <c r="H78" s="419">
        <f>(G78*H70)*-1</f>
        <v>0</v>
      </c>
      <c r="I78" s="418"/>
      <c r="J78" s="420">
        <f>(I78*J70)*-1</f>
        <v>0</v>
      </c>
      <c r="L78" s="424"/>
      <c r="M78" s="424"/>
      <c r="N78" s="424"/>
      <c r="O78" s="424"/>
      <c r="P78" s="424"/>
      <c r="Q78" s="424"/>
      <c r="R78" s="424"/>
      <c r="S78" s="424"/>
      <c r="T78" s="424"/>
      <c r="U78" s="304"/>
      <c r="V78" s="304"/>
      <c r="X78" s="280" t="s">
        <v>720</v>
      </c>
      <c r="Y78" s="280" t="str">
        <f>IF(OR(L81&gt;100%, L81=0), "Ownership %", I74+I75)</f>
        <v>Ownership %</v>
      </c>
      <c r="Z78" s="304"/>
      <c r="AA78" s="304"/>
      <c r="AB78" s="304"/>
      <c r="AC78" s="304"/>
    </row>
    <row r="79" spans="2:29">
      <c r="B79" s="1229" t="s">
        <v>751</v>
      </c>
      <c r="C79" s="1230"/>
      <c r="D79" s="1230"/>
      <c r="E79" s="1230"/>
      <c r="F79" s="1230"/>
      <c r="G79" s="351"/>
      <c r="H79" s="351"/>
      <c r="I79" s="351"/>
      <c r="J79" s="352"/>
      <c r="L79" s="424"/>
      <c r="M79" s="424"/>
      <c r="N79" s="424"/>
      <c r="O79" s="424"/>
      <c r="P79" s="424"/>
      <c r="Q79" s="424"/>
      <c r="R79" s="424"/>
      <c r="S79" s="424"/>
      <c r="T79" s="424"/>
      <c r="U79" s="304"/>
      <c r="V79" s="304"/>
      <c r="Z79" s="304"/>
      <c r="AA79" s="304"/>
      <c r="AB79" s="304"/>
      <c r="AC79" s="304"/>
    </row>
    <row r="80" spans="2:29">
      <c r="B80" s="1243" t="s">
        <v>752</v>
      </c>
      <c r="C80" s="1244"/>
      <c r="D80" s="1244"/>
      <c r="E80" s="1244"/>
      <c r="F80" s="1245"/>
      <c r="G80" s="346"/>
      <c r="H80" s="359">
        <f>G80*H70</f>
        <v>0</v>
      </c>
      <c r="I80" s="346"/>
      <c r="J80" s="400">
        <f>I80*J70</f>
        <v>0</v>
      </c>
      <c r="L80" s="424"/>
      <c r="M80" s="424"/>
      <c r="N80" s="424"/>
      <c r="O80" s="424"/>
      <c r="P80" s="424"/>
      <c r="Q80" s="424"/>
      <c r="R80" s="424"/>
      <c r="S80" s="424"/>
      <c r="T80" s="424"/>
      <c r="U80" s="304"/>
      <c r="V80" s="304"/>
      <c r="X80" s="349" t="s">
        <v>596</v>
      </c>
      <c r="AA80" s="304"/>
      <c r="AB80" s="304"/>
      <c r="AC80" s="304"/>
    </row>
    <row r="81" spans="2:41">
      <c r="B81" s="1223" t="s">
        <v>753</v>
      </c>
      <c r="C81" s="1224"/>
      <c r="D81" s="1224"/>
      <c r="E81" s="1224"/>
      <c r="F81" s="1225"/>
      <c r="G81" s="346"/>
      <c r="H81" s="359">
        <f>G81*H70</f>
        <v>0</v>
      </c>
      <c r="I81" s="346"/>
      <c r="J81" s="400">
        <f>I81*J70</f>
        <v>0</v>
      </c>
      <c r="L81" s="424"/>
      <c r="M81" s="424"/>
      <c r="N81" s="424"/>
      <c r="O81" s="424"/>
      <c r="P81" s="424"/>
      <c r="Q81" s="424"/>
      <c r="R81" s="424"/>
      <c r="S81" s="424"/>
      <c r="T81" s="424"/>
      <c r="U81" s="304"/>
      <c r="V81" s="304"/>
      <c r="X81" s="349" t="s">
        <v>683</v>
      </c>
      <c r="AA81" s="304"/>
      <c r="AB81" s="304"/>
      <c r="AC81" s="304"/>
    </row>
    <row r="82" spans="2:41">
      <c r="B82" s="1223" t="s">
        <v>754</v>
      </c>
      <c r="C82" s="1224"/>
      <c r="D82" s="1224"/>
      <c r="E82" s="1224"/>
      <c r="F82" s="1225"/>
      <c r="G82" s="421"/>
      <c r="H82" s="359">
        <f>G82*H70</f>
        <v>0</v>
      </c>
      <c r="I82" s="421"/>
      <c r="J82" s="400">
        <f>I82*J70</f>
        <v>0</v>
      </c>
      <c r="L82" s="424"/>
      <c r="M82" s="424"/>
      <c r="N82" s="424"/>
      <c r="O82" s="424"/>
      <c r="P82" s="424"/>
      <c r="Q82" s="424"/>
      <c r="R82" s="424"/>
      <c r="S82" s="424"/>
      <c r="T82" s="424"/>
      <c r="U82" s="304"/>
      <c r="V82" s="304"/>
      <c r="X82" s="349" t="s">
        <v>599</v>
      </c>
      <c r="AA82" s="304"/>
      <c r="AB82" s="304"/>
      <c r="AC82" s="304"/>
    </row>
    <row r="83" spans="2:41">
      <c r="B83" s="1288" t="s">
        <v>755</v>
      </c>
      <c r="C83" s="1289"/>
      <c r="D83" s="1289"/>
      <c r="E83" s="1289"/>
      <c r="F83" s="1289"/>
      <c r="G83" s="1290"/>
      <c r="H83" s="1290"/>
      <c r="I83" s="1290"/>
      <c r="J83" s="1291"/>
      <c r="L83" s="424"/>
      <c r="M83" s="424"/>
      <c r="N83" s="424"/>
      <c r="O83" s="424"/>
      <c r="P83" s="424"/>
      <c r="Q83" s="424"/>
      <c r="R83" s="424"/>
      <c r="S83" s="424"/>
      <c r="T83" s="424"/>
      <c r="U83" s="304"/>
      <c r="V83" s="304"/>
      <c r="X83" s="349" t="s">
        <v>603</v>
      </c>
      <c r="AA83" s="304"/>
      <c r="AB83" s="304"/>
      <c r="AC83" s="304"/>
    </row>
    <row r="84" spans="2:41" ht="16.5" customHeight="1">
      <c r="B84" s="1292" t="s">
        <v>756</v>
      </c>
      <c r="C84" s="1293"/>
      <c r="D84" s="1293"/>
      <c r="E84" s="1293"/>
      <c r="F84" s="1294"/>
      <c r="G84" s="422"/>
      <c r="H84" s="401">
        <f>G84*H70</f>
        <v>0</v>
      </c>
      <c r="I84" s="422"/>
      <c r="J84" s="402">
        <f>I84*J70</f>
        <v>0</v>
      </c>
      <c r="L84" s="424"/>
      <c r="M84" s="424"/>
      <c r="N84" s="424"/>
      <c r="O84" s="424"/>
      <c r="P84" s="424"/>
      <c r="Q84" s="424"/>
      <c r="R84" s="424"/>
      <c r="S84" s="424"/>
      <c r="T84" s="424"/>
      <c r="U84" s="304"/>
      <c r="V84" s="304"/>
      <c r="X84" s="349" t="s">
        <v>605</v>
      </c>
      <c r="AA84" s="304"/>
      <c r="AB84" s="304"/>
      <c r="AC84" s="304"/>
    </row>
    <row r="85" spans="2:41">
      <c r="B85" s="1229" t="s">
        <v>757</v>
      </c>
      <c r="C85" s="1230"/>
      <c r="D85" s="1230"/>
      <c r="E85" s="1230"/>
      <c r="F85" s="1230"/>
      <c r="G85" s="351"/>
      <c r="H85" s="351"/>
      <c r="I85" s="351"/>
      <c r="J85" s="352"/>
      <c r="L85" s="424"/>
      <c r="M85" s="424"/>
      <c r="N85" s="424"/>
      <c r="O85" s="424"/>
      <c r="P85" s="424"/>
      <c r="Q85" s="424"/>
      <c r="R85" s="424"/>
      <c r="S85" s="424"/>
      <c r="T85" s="424"/>
      <c r="U85" s="304"/>
      <c r="V85" s="304"/>
      <c r="Z85" s="304"/>
      <c r="AA85" s="304"/>
      <c r="AB85" s="304"/>
      <c r="AC85" s="304"/>
    </row>
    <row r="86" spans="2:41" ht="30.75" customHeight="1">
      <c r="B86" s="1231" t="s">
        <v>758</v>
      </c>
      <c r="C86" s="1232"/>
      <c r="D86" s="1232"/>
      <c r="E86" s="1232"/>
      <c r="F86" s="1233"/>
      <c r="G86" s="399"/>
      <c r="H86" s="359">
        <f>(G86*H70)*-1</f>
        <v>0</v>
      </c>
      <c r="I86" s="399"/>
      <c r="J86" s="400">
        <f>(I86*J70)*-1</f>
        <v>0</v>
      </c>
      <c r="L86" s="424"/>
      <c r="M86" s="424"/>
      <c r="N86" s="424"/>
      <c r="O86" s="424"/>
      <c r="P86" s="424"/>
      <c r="Q86" s="424"/>
      <c r="R86" s="424"/>
      <c r="S86" s="424"/>
      <c r="T86" s="424"/>
      <c r="U86" s="304"/>
      <c r="V86" s="304"/>
      <c r="Z86" s="304"/>
      <c r="AA86" s="304"/>
      <c r="AB86" s="304"/>
      <c r="AC86" s="304"/>
    </row>
    <row r="87" spans="2:41" ht="31.5" customHeight="1">
      <c r="B87" s="1234" t="s">
        <v>759</v>
      </c>
      <c r="C87" s="1235"/>
      <c r="D87" s="1235"/>
      <c r="E87" s="1235"/>
      <c r="F87" s="1236"/>
      <c r="G87" s="346"/>
      <c r="H87" s="401">
        <f>(G87*H70)*-1</f>
        <v>0</v>
      </c>
      <c r="I87" s="346"/>
      <c r="J87" s="402">
        <f>(I87*J70)*-1</f>
        <v>0</v>
      </c>
      <c r="L87" s="424"/>
      <c r="M87" s="424"/>
      <c r="N87" s="424"/>
      <c r="O87" s="424"/>
      <c r="P87" s="424"/>
      <c r="Q87" s="424"/>
      <c r="R87" s="424"/>
      <c r="S87" s="424"/>
      <c r="T87" s="424"/>
      <c r="U87" s="304"/>
      <c r="V87" s="304"/>
      <c r="Z87" s="304"/>
      <c r="AA87" s="304"/>
      <c r="AB87" s="304"/>
      <c r="AC87" s="304"/>
      <c r="AD87" s="304"/>
      <c r="AE87" s="304"/>
      <c r="AF87" s="304"/>
      <c r="AG87" s="304"/>
      <c r="AH87" s="304"/>
      <c r="AI87" s="304"/>
      <c r="AJ87" s="304"/>
      <c r="AK87" s="304"/>
      <c r="AL87" s="304"/>
      <c r="AM87" s="304"/>
      <c r="AN87" s="304"/>
      <c r="AO87" s="304"/>
    </row>
    <row r="88" spans="2:41" ht="32.25" customHeight="1">
      <c r="B88" s="1158" t="s">
        <v>740</v>
      </c>
      <c r="C88" s="1287"/>
      <c r="D88" s="1287"/>
      <c r="E88" s="1287"/>
      <c r="F88" s="1287"/>
      <c r="G88" s="1156">
        <f>SUM(H72:H87)</f>
        <v>0</v>
      </c>
      <c r="H88" s="1155"/>
      <c r="I88" s="1214">
        <f>SUM(J72:J87)</f>
        <v>0</v>
      </c>
      <c r="J88" s="1216"/>
      <c r="L88" s="424"/>
      <c r="M88" s="424"/>
      <c r="N88" s="424"/>
      <c r="O88" s="424"/>
      <c r="P88" s="424"/>
      <c r="Q88" s="424"/>
      <c r="R88" s="424"/>
      <c r="S88" s="424"/>
      <c r="T88" s="424"/>
      <c r="U88" s="304"/>
      <c r="V88" s="304"/>
      <c r="Z88" s="304"/>
      <c r="AA88" s="304"/>
      <c r="AB88" s="304"/>
      <c r="AC88" s="304"/>
      <c r="AD88" s="304"/>
      <c r="AE88" s="304"/>
      <c r="AF88" s="304"/>
      <c r="AG88" s="304"/>
      <c r="AH88" s="304"/>
      <c r="AI88" s="304"/>
      <c r="AJ88" s="304"/>
      <c r="AK88" s="304"/>
      <c r="AL88" s="304"/>
      <c r="AM88" s="304"/>
      <c r="AN88" s="304"/>
      <c r="AO88" s="304"/>
    </row>
    <row r="89" spans="2:41" ht="21">
      <c r="B89" s="1217" t="s">
        <v>760</v>
      </c>
      <c r="C89" s="1218"/>
      <c r="D89" s="1218"/>
      <c r="E89" s="1218"/>
      <c r="F89" s="1219"/>
      <c r="G89" s="1282" t="str">
        <f>IF(OR(Y68=0, I88=0), "12 Month Average", "24 Month Average")</f>
        <v>12 Month Average</v>
      </c>
      <c r="H89" s="1283"/>
      <c r="I89" s="1283"/>
      <c r="J89" s="1284"/>
      <c r="L89" s="424"/>
      <c r="M89" s="424"/>
      <c r="N89" s="424"/>
      <c r="O89" s="424"/>
      <c r="P89" s="424"/>
      <c r="Q89" s="424"/>
      <c r="R89" s="424"/>
      <c r="S89" s="424"/>
      <c r="T89" s="424"/>
      <c r="U89" s="304"/>
      <c r="V89" s="304"/>
      <c r="Z89" s="304"/>
      <c r="AA89" s="304"/>
      <c r="AB89" s="304"/>
      <c r="AC89" s="304"/>
      <c r="AD89" s="304"/>
      <c r="AE89" s="304"/>
      <c r="AF89" s="304"/>
      <c r="AG89" s="304"/>
      <c r="AH89" s="304"/>
      <c r="AI89" s="304"/>
      <c r="AJ89" s="304"/>
      <c r="AK89" s="304"/>
      <c r="AL89" s="304"/>
      <c r="AM89" s="304"/>
      <c r="AN89" s="304"/>
      <c r="AO89" s="304"/>
    </row>
    <row r="90" spans="2:41" ht="34.5" thickBot="1">
      <c r="B90" s="1220" t="s">
        <v>697</v>
      </c>
      <c r="C90" s="1221"/>
      <c r="D90" s="1221"/>
      <c r="E90" s="1221"/>
      <c r="F90" s="1222"/>
      <c r="G90" s="1167">
        <f xml:space="preserve"> IF(OR(Y68=0, I88=0),Y70,Y71)</f>
        <v>0</v>
      </c>
      <c r="H90" s="1168"/>
      <c r="I90" s="1168"/>
      <c r="J90" s="1169"/>
      <c r="N90" s="304"/>
      <c r="O90" s="304"/>
      <c r="P90" s="304"/>
      <c r="Q90" s="304"/>
      <c r="R90" s="304"/>
      <c r="S90" s="304"/>
      <c r="T90" s="304"/>
      <c r="U90" s="304"/>
      <c r="V90" s="304"/>
      <c r="Z90" s="304"/>
      <c r="AA90" s="304"/>
      <c r="AB90" s="304"/>
      <c r="AC90" s="304"/>
      <c r="AD90" s="304"/>
      <c r="AE90" s="304"/>
      <c r="AF90" s="304"/>
      <c r="AG90" s="304"/>
      <c r="AH90" s="304"/>
      <c r="AI90" s="304"/>
      <c r="AJ90" s="304"/>
      <c r="AK90" s="304"/>
      <c r="AL90" s="304"/>
      <c r="AM90" s="304"/>
      <c r="AN90" s="304"/>
      <c r="AO90" s="304"/>
    </row>
    <row r="91" spans="2:41" s="304" customFormat="1" ht="3" customHeight="1" thickBot="1">
      <c r="B91" s="78"/>
      <c r="C91" s="78"/>
      <c r="D91" s="78"/>
      <c r="E91" s="78"/>
      <c r="F91" s="78"/>
      <c r="G91" s="78"/>
      <c r="H91" s="330"/>
      <c r="I91" s="330"/>
      <c r="J91" s="78"/>
      <c r="W91" s="280"/>
      <c r="X91" s="280"/>
      <c r="Y91" s="280"/>
    </row>
    <row r="92" spans="2:41" s="304" customFormat="1" ht="135" customHeight="1" thickBot="1">
      <c r="B92" s="1148" t="s">
        <v>761</v>
      </c>
      <c r="C92" s="1285"/>
      <c r="D92" s="1285"/>
      <c r="E92" s="1285"/>
      <c r="F92" s="1285"/>
      <c r="G92" s="1285"/>
      <c r="H92" s="1285"/>
      <c r="I92" s="1285"/>
      <c r="J92" s="1286"/>
      <c r="W92" s="280"/>
      <c r="X92" s="280"/>
      <c r="Y92" s="280"/>
    </row>
    <row r="93" spans="2:41" s="280" customFormat="1">
      <c r="B93" s="423"/>
      <c r="C93" s="423"/>
      <c r="D93" s="423"/>
      <c r="E93" s="423"/>
      <c r="F93" s="423"/>
      <c r="G93" s="423"/>
      <c r="H93" s="423"/>
      <c r="I93" s="423"/>
      <c r="J93" s="423"/>
    </row>
    <row r="94" spans="2:41" ht="13.5" customHeight="1" thickBot="1"/>
    <row r="95" spans="2:41" s="404" customFormat="1" ht="69" customHeight="1">
      <c r="B95" s="1187" t="s">
        <v>741</v>
      </c>
      <c r="C95" s="1188"/>
      <c r="D95" s="1188"/>
      <c r="E95" s="1188"/>
      <c r="F95" s="1188"/>
      <c r="G95" s="1188"/>
      <c r="H95" s="1188"/>
      <c r="I95" s="1188"/>
      <c r="J95" s="331" t="str">
        <f>'[3]Reference Sheet'!$B$2</f>
        <v>Rev. 4.12.2016</v>
      </c>
      <c r="L95" s="424"/>
      <c r="M95" s="424"/>
      <c r="N95" s="424"/>
      <c r="O95" s="424"/>
      <c r="P95" s="424"/>
      <c r="Q95" s="424"/>
      <c r="R95" s="424"/>
      <c r="S95" s="424"/>
      <c r="T95" s="424"/>
      <c r="U95" s="367"/>
      <c r="V95" s="367"/>
      <c r="W95" s="405"/>
      <c r="X95" s="405"/>
      <c r="Y95" s="405"/>
      <c r="Z95" s="367"/>
      <c r="AA95" s="367"/>
      <c r="AB95" s="367"/>
      <c r="AC95" s="367"/>
    </row>
    <row r="96" spans="2:41" s="404" customFormat="1" ht="16.5" customHeight="1" thickBot="1">
      <c r="B96" s="332"/>
      <c r="C96" s="368" t="s">
        <v>710</v>
      </c>
      <c r="D96" s="1310"/>
      <c r="E96" s="1311"/>
      <c r="F96" s="1311"/>
      <c r="G96" s="1311"/>
      <c r="H96" s="333"/>
      <c r="I96" s="333"/>
      <c r="J96" s="334"/>
      <c r="L96" s="424"/>
      <c r="M96" s="424"/>
      <c r="N96" s="424"/>
      <c r="O96" s="424"/>
      <c r="P96" s="424"/>
      <c r="Q96" s="424"/>
      <c r="R96" s="424"/>
      <c r="S96" s="424"/>
      <c r="T96" s="424"/>
      <c r="U96" s="367"/>
      <c r="V96" s="367"/>
      <c r="W96" s="280"/>
      <c r="X96" s="280"/>
      <c r="Y96" s="280"/>
      <c r="Z96" s="304"/>
      <c r="AA96" s="304"/>
      <c r="AB96" s="367"/>
      <c r="AC96" s="367"/>
    </row>
    <row r="97" spans="2:29" s="404" customFormat="1" ht="15" customHeight="1" thickBot="1">
      <c r="B97" s="332"/>
      <c r="C97" s="368" t="s">
        <v>711</v>
      </c>
      <c r="D97" s="1312"/>
      <c r="E97" s="1313"/>
      <c r="F97" s="1313"/>
      <c r="G97" s="1313"/>
      <c r="H97" s="368" t="s">
        <v>712</v>
      </c>
      <c r="I97" s="1310"/>
      <c r="J97" s="1314"/>
      <c r="L97" s="424"/>
      <c r="M97" s="424"/>
      <c r="N97" s="424"/>
      <c r="O97" s="424"/>
      <c r="P97" s="424"/>
      <c r="Q97" s="424"/>
      <c r="R97" s="424"/>
      <c r="S97" s="424"/>
      <c r="T97" s="424"/>
      <c r="U97" s="367"/>
      <c r="V97" s="367"/>
      <c r="W97" s="280"/>
      <c r="X97" s="280" t="s">
        <v>680</v>
      </c>
      <c r="Y97" s="280">
        <f>IF(AND(J101=0, J103=0, J111=0, J112=0, J115=0, J117=0, I119=0), 0, 1)</f>
        <v>0</v>
      </c>
      <c r="Z97" s="304"/>
      <c r="AA97" s="304"/>
      <c r="AB97" s="367"/>
      <c r="AC97" s="367"/>
    </row>
    <row r="98" spans="2:29" ht="16.5" thickBot="1">
      <c r="B98" s="1176" t="s">
        <v>671</v>
      </c>
      <c r="C98" s="1177"/>
      <c r="D98" s="1315"/>
      <c r="E98" s="1316"/>
      <c r="F98" s="1316"/>
      <c r="G98" s="1316"/>
      <c r="H98" s="336" t="s">
        <v>673</v>
      </c>
      <c r="I98" s="1315"/>
      <c r="J98" s="1317"/>
      <c r="L98" s="424"/>
      <c r="M98" s="424"/>
      <c r="N98" s="424"/>
      <c r="O98" s="424"/>
      <c r="P98" s="424"/>
      <c r="Q98" s="424"/>
      <c r="R98" s="424"/>
      <c r="S98" s="424"/>
      <c r="T98" s="424"/>
      <c r="U98" s="304"/>
      <c r="V98" s="304"/>
      <c r="X98" s="280" t="s">
        <v>682</v>
      </c>
      <c r="Y98" s="280">
        <f>IF(AND(G119&lt;=I119, I119&lt;&gt;0), 0, 1)</f>
        <v>1</v>
      </c>
      <c r="Z98" s="304"/>
      <c r="AA98" s="304"/>
      <c r="AB98" s="304"/>
      <c r="AC98" s="304"/>
    </row>
    <row r="99" spans="2:29" ht="16.5" customHeight="1" thickBot="1">
      <c r="B99" s="1176" t="s">
        <v>674</v>
      </c>
      <c r="C99" s="1177"/>
      <c r="D99" s="1262"/>
      <c r="E99" s="1263"/>
      <c r="F99" s="1263"/>
      <c r="G99" s="1263"/>
      <c r="H99" s="1263"/>
      <c r="I99" s="1263"/>
      <c r="J99" s="1264"/>
      <c r="L99" s="424"/>
      <c r="M99" s="424"/>
      <c r="N99" s="424"/>
      <c r="O99" s="424"/>
      <c r="P99" s="424"/>
      <c r="Q99" s="424"/>
      <c r="R99" s="424"/>
      <c r="S99" s="424"/>
      <c r="T99" s="424"/>
      <c r="U99" s="304"/>
      <c r="V99" s="304"/>
      <c r="X99" s="280" t="s">
        <v>685</v>
      </c>
      <c r="Y99" s="280">
        <f>IF(AND(Y98=0, Y97=1), 0, 1)</f>
        <v>1</v>
      </c>
      <c r="Z99" s="304"/>
      <c r="AA99" s="304"/>
      <c r="AB99" s="304"/>
      <c r="AC99" s="304"/>
    </row>
    <row r="100" spans="2:29" ht="16.5" customHeight="1">
      <c r="B100" s="1265"/>
      <c r="C100" s="1266"/>
      <c r="D100" s="1266"/>
      <c r="E100" s="1266"/>
      <c r="F100" s="1267"/>
      <c r="G100" s="406" t="s">
        <v>713</v>
      </c>
      <c r="H100" s="372" t="s">
        <v>676</v>
      </c>
      <c r="I100" s="377"/>
      <c r="J100" s="407" t="s">
        <v>677</v>
      </c>
      <c r="L100" s="424"/>
      <c r="M100" s="424"/>
      <c r="N100" s="424"/>
      <c r="O100" s="424"/>
      <c r="P100" s="424"/>
      <c r="Q100" s="424"/>
      <c r="R100" s="424"/>
      <c r="S100" s="424"/>
      <c r="T100" s="424"/>
      <c r="U100" s="304"/>
      <c r="V100" s="304"/>
      <c r="Z100" s="304"/>
      <c r="AA100" s="304"/>
      <c r="AB100" s="304"/>
      <c r="AC100" s="304"/>
    </row>
    <row r="101" spans="2:29" ht="16.5" customHeight="1" thickBot="1">
      <c r="B101" s="1269"/>
      <c r="C101" s="1270"/>
      <c r="D101" s="1270"/>
      <c r="E101" s="1270"/>
      <c r="F101" s="1271"/>
      <c r="G101" s="408" t="s">
        <v>743</v>
      </c>
      <c r="H101" s="409"/>
      <c r="I101" s="377"/>
      <c r="J101" s="410"/>
      <c r="L101" s="424"/>
      <c r="M101" s="424"/>
      <c r="N101" s="424"/>
      <c r="O101" s="424"/>
      <c r="P101" s="424"/>
      <c r="Q101" s="424"/>
      <c r="R101" s="424"/>
      <c r="S101" s="424"/>
      <c r="T101" s="424"/>
      <c r="U101" s="304"/>
      <c r="V101" s="304"/>
      <c r="X101" s="280" t="s">
        <v>689</v>
      </c>
      <c r="Y101" s="362">
        <f>G119/12</f>
        <v>0</v>
      </c>
      <c r="Z101" s="304"/>
      <c r="AA101" s="304"/>
      <c r="AB101" s="304"/>
      <c r="AC101" s="304"/>
    </row>
    <row r="102" spans="2:29">
      <c r="B102" s="1229" t="s">
        <v>744</v>
      </c>
      <c r="C102" s="1273"/>
      <c r="D102" s="1273"/>
      <c r="E102" s="1273"/>
      <c r="F102" s="1273"/>
      <c r="G102" s="377" t="s">
        <v>719</v>
      </c>
      <c r="H102" s="381"/>
      <c r="I102" s="386" t="s">
        <v>719</v>
      </c>
      <c r="J102" s="382"/>
      <c r="L102" s="424"/>
      <c r="M102" s="424"/>
      <c r="N102" s="424"/>
      <c r="O102" s="424"/>
      <c r="P102" s="424"/>
      <c r="Q102" s="424"/>
      <c r="R102" s="424"/>
      <c r="S102" s="424"/>
      <c r="T102" s="424"/>
      <c r="U102" s="304"/>
      <c r="V102" s="304"/>
      <c r="X102" s="280" t="s">
        <v>691</v>
      </c>
      <c r="Y102" s="362">
        <f>(G119+I119)/24</f>
        <v>0</v>
      </c>
      <c r="Z102" s="304"/>
      <c r="AA102" s="304"/>
      <c r="AB102" s="304"/>
      <c r="AC102" s="304"/>
    </row>
    <row r="103" spans="2:29">
      <c r="B103" s="1305" t="s">
        <v>745</v>
      </c>
      <c r="C103" s="1306"/>
      <c r="D103" s="1306"/>
      <c r="E103" s="1306"/>
      <c r="F103" s="1307"/>
      <c r="G103" s="346"/>
      <c r="H103" s="359">
        <f>G103</f>
        <v>0</v>
      </c>
      <c r="I103" s="411"/>
      <c r="J103" s="400">
        <f>I103</f>
        <v>0</v>
      </c>
      <c r="L103" s="424"/>
      <c r="M103" s="424"/>
      <c r="N103" s="424"/>
      <c r="O103" s="424"/>
      <c r="P103" s="424"/>
      <c r="Q103" s="424"/>
      <c r="R103" s="424"/>
      <c r="S103" s="424"/>
      <c r="T103" s="424"/>
      <c r="U103" s="304"/>
      <c r="V103" s="304"/>
      <c r="Z103" s="304"/>
      <c r="AA103" s="304"/>
      <c r="AB103" s="304"/>
      <c r="AC103" s="304"/>
    </row>
    <row r="104" spans="2:29">
      <c r="B104" s="1308" t="s">
        <v>722</v>
      </c>
      <c r="C104" s="1309"/>
      <c r="D104" s="1309"/>
      <c r="E104" s="1309"/>
      <c r="F104" s="1309"/>
      <c r="G104" s="412"/>
      <c r="H104" s="413"/>
      <c r="I104" s="414"/>
      <c r="J104" s="415"/>
      <c r="L104" s="424"/>
      <c r="M104" s="424"/>
      <c r="N104" s="424"/>
      <c r="O104" s="424"/>
      <c r="P104" s="424"/>
      <c r="Q104" s="424"/>
      <c r="R104" s="424"/>
      <c r="S104" s="424"/>
      <c r="T104" s="424"/>
      <c r="U104" s="304"/>
      <c r="V104" s="304"/>
      <c r="Z104" s="304"/>
      <c r="AA104" s="304"/>
      <c r="AB104" s="304"/>
      <c r="AC104" s="304"/>
    </row>
    <row r="105" spans="2:29">
      <c r="B105" s="1248" t="s">
        <v>746</v>
      </c>
      <c r="C105" s="1249"/>
      <c r="D105" s="1249"/>
      <c r="E105" s="1249"/>
      <c r="F105" s="1250"/>
      <c r="G105" s="346"/>
      <c r="H105" s="387" t="str">
        <f>IF(OR(H101=0, H101&gt;100%), "Ownership %", (G105+G106))</f>
        <v>Ownership %</v>
      </c>
      <c r="I105" s="346"/>
      <c r="J105" s="388" t="str">
        <f>IF(OR(J101=0, J101&gt;100%), "Ownership %", (I105+I106))</f>
        <v>Ownership %</v>
      </c>
      <c r="L105" s="424"/>
      <c r="M105" s="424"/>
      <c r="N105" s="424"/>
      <c r="O105" s="424"/>
      <c r="P105" s="424"/>
      <c r="Q105" s="424"/>
      <c r="R105" s="424"/>
      <c r="S105" s="424"/>
      <c r="T105" s="424"/>
      <c r="U105" s="304"/>
      <c r="V105" s="304"/>
      <c r="X105" s="280" t="str">
        <f>IF(OR(Y99=0, I119=0), "12 Month Average", "24 Month Average")</f>
        <v>12 Month Average</v>
      </c>
      <c r="Z105" s="304"/>
      <c r="AA105" s="304"/>
      <c r="AB105" s="304"/>
      <c r="AC105" s="304"/>
    </row>
    <row r="106" spans="2:29">
      <c r="B106" s="1295" t="s">
        <v>747</v>
      </c>
      <c r="C106" s="1296"/>
      <c r="D106" s="1296"/>
      <c r="E106" s="1296"/>
      <c r="F106" s="1296"/>
      <c r="G106" s="346"/>
      <c r="H106" s="389"/>
      <c r="I106" s="346"/>
      <c r="J106" s="390"/>
      <c r="L106" s="424"/>
      <c r="M106" s="424"/>
      <c r="N106" s="424"/>
      <c r="O106" s="424"/>
      <c r="P106" s="424"/>
      <c r="Q106" s="424"/>
      <c r="R106" s="424"/>
      <c r="S106" s="424"/>
      <c r="T106" s="424"/>
      <c r="U106" s="304"/>
      <c r="V106" s="304"/>
      <c r="X106" s="280">
        <f xml:space="preserve"> IF(OR(Y99=0, I119=0),Y101,Y102)</f>
        <v>0</v>
      </c>
      <c r="Z106" s="304"/>
      <c r="AA106" s="304"/>
      <c r="AB106" s="304"/>
      <c r="AC106" s="304"/>
    </row>
    <row r="107" spans="2:29">
      <c r="B107" s="1297" t="s">
        <v>748</v>
      </c>
      <c r="C107" s="1298"/>
      <c r="D107" s="1298"/>
      <c r="E107" s="1298"/>
      <c r="F107" s="1298"/>
      <c r="G107" s="416"/>
      <c r="H107" s="416"/>
      <c r="I107" s="416"/>
      <c r="J107" s="417"/>
      <c r="L107" s="424"/>
      <c r="M107" s="424"/>
      <c r="N107" s="424"/>
      <c r="O107" s="424"/>
      <c r="P107" s="424"/>
      <c r="Q107" s="424"/>
      <c r="R107" s="424"/>
      <c r="S107" s="424"/>
      <c r="T107" s="424"/>
      <c r="U107" s="304"/>
      <c r="V107" s="304"/>
      <c r="Z107" s="304"/>
      <c r="AA107" s="304"/>
      <c r="AB107" s="304"/>
      <c r="AC107" s="304"/>
    </row>
    <row r="108" spans="2:29">
      <c r="B108" s="1299" t="s">
        <v>749</v>
      </c>
      <c r="C108" s="1300"/>
      <c r="D108" s="1300"/>
      <c r="E108" s="1300"/>
      <c r="F108" s="1301"/>
      <c r="G108" s="418"/>
      <c r="H108" s="419">
        <f>(G108*H101)*-1</f>
        <v>0</v>
      </c>
      <c r="I108" s="418"/>
      <c r="J108" s="420">
        <f>(I108*J101)*-1</f>
        <v>0</v>
      </c>
      <c r="L108" s="424"/>
      <c r="M108" s="424"/>
      <c r="N108" s="424"/>
      <c r="O108" s="424"/>
      <c r="P108" s="424"/>
      <c r="Q108" s="424"/>
      <c r="R108" s="424"/>
      <c r="S108" s="424"/>
      <c r="T108" s="424"/>
      <c r="U108" s="304"/>
      <c r="V108" s="304"/>
      <c r="X108" s="280" t="s">
        <v>717</v>
      </c>
      <c r="Y108" s="280" t="str">
        <f>IF(OR(H101=0, H101&gt;100%), "Ownership %", (G105+G106))</f>
        <v>Ownership %</v>
      </c>
      <c r="Z108" s="304"/>
      <c r="AA108" s="304"/>
      <c r="AB108" s="304"/>
      <c r="AC108" s="304"/>
    </row>
    <row r="109" spans="2:29">
      <c r="B109" s="1302" t="s">
        <v>750</v>
      </c>
      <c r="C109" s="1303"/>
      <c r="D109" s="1303"/>
      <c r="E109" s="1303"/>
      <c r="F109" s="1304"/>
      <c r="G109" s="418"/>
      <c r="H109" s="419">
        <f>(G109*H101)*-1</f>
        <v>0</v>
      </c>
      <c r="I109" s="418"/>
      <c r="J109" s="420">
        <f>(I109*J101)*-1</f>
        <v>0</v>
      </c>
      <c r="L109" s="424"/>
      <c r="M109" s="424"/>
      <c r="N109" s="424"/>
      <c r="O109" s="424"/>
      <c r="P109" s="424"/>
      <c r="Q109" s="424"/>
      <c r="R109" s="424"/>
      <c r="S109" s="424"/>
      <c r="T109" s="424"/>
      <c r="U109" s="304"/>
      <c r="V109" s="304"/>
      <c r="X109" s="280" t="s">
        <v>720</v>
      </c>
      <c r="Y109" s="280" t="str">
        <f>IF(OR(L112&gt;100%, L112=0), "Ownership %", I105+I106)</f>
        <v>Ownership %</v>
      </c>
      <c r="Z109" s="304"/>
      <c r="AA109" s="304"/>
      <c r="AB109" s="304"/>
      <c r="AC109" s="304"/>
    </row>
    <row r="110" spans="2:29">
      <c r="B110" s="1229" t="s">
        <v>751</v>
      </c>
      <c r="C110" s="1230"/>
      <c r="D110" s="1230"/>
      <c r="E110" s="1230"/>
      <c r="F110" s="1230"/>
      <c r="G110" s="351"/>
      <c r="H110" s="351"/>
      <c r="I110" s="351"/>
      <c r="J110" s="352"/>
      <c r="L110" s="424"/>
      <c r="M110" s="424"/>
      <c r="N110" s="424"/>
      <c r="O110" s="424"/>
      <c r="P110" s="424"/>
      <c r="Q110" s="424"/>
      <c r="R110" s="424"/>
      <c r="S110" s="424"/>
      <c r="T110" s="424"/>
      <c r="U110" s="304"/>
      <c r="V110" s="304"/>
      <c r="Z110" s="304"/>
      <c r="AA110" s="304"/>
      <c r="AB110" s="304"/>
      <c r="AC110" s="304"/>
    </row>
    <row r="111" spans="2:29">
      <c r="B111" s="1243" t="s">
        <v>752</v>
      </c>
      <c r="C111" s="1244"/>
      <c r="D111" s="1244"/>
      <c r="E111" s="1244"/>
      <c r="F111" s="1245"/>
      <c r="G111" s="346"/>
      <c r="H111" s="359">
        <f>G111*H101</f>
        <v>0</v>
      </c>
      <c r="I111" s="346"/>
      <c r="J111" s="400">
        <f>I111*J101</f>
        <v>0</v>
      </c>
      <c r="L111" s="424"/>
      <c r="M111" s="424"/>
      <c r="N111" s="424"/>
      <c r="O111" s="424"/>
      <c r="P111" s="424"/>
      <c r="Q111" s="424"/>
      <c r="R111" s="424"/>
      <c r="S111" s="424"/>
      <c r="T111" s="424"/>
      <c r="U111" s="304"/>
      <c r="V111" s="304"/>
      <c r="X111" s="349" t="s">
        <v>596</v>
      </c>
      <c r="AA111" s="304"/>
      <c r="AB111" s="304"/>
      <c r="AC111" s="304"/>
    </row>
    <row r="112" spans="2:29">
      <c r="B112" s="1223" t="s">
        <v>753</v>
      </c>
      <c r="C112" s="1224"/>
      <c r="D112" s="1224"/>
      <c r="E112" s="1224"/>
      <c r="F112" s="1225"/>
      <c r="G112" s="346"/>
      <c r="H112" s="359">
        <f>G112*H101</f>
        <v>0</v>
      </c>
      <c r="I112" s="346"/>
      <c r="J112" s="400">
        <f>I112*J101</f>
        <v>0</v>
      </c>
      <c r="L112" s="424"/>
      <c r="M112" s="424"/>
      <c r="N112" s="424"/>
      <c r="O112" s="424"/>
      <c r="P112" s="424"/>
      <c r="Q112" s="424"/>
      <c r="R112" s="424"/>
      <c r="S112" s="424"/>
      <c r="T112" s="424"/>
      <c r="U112" s="304"/>
      <c r="V112" s="304"/>
      <c r="X112" s="349" t="s">
        <v>683</v>
      </c>
      <c r="AA112" s="304"/>
      <c r="AB112" s="304"/>
      <c r="AC112" s="304"/>
    </row>
    <row r="113" spans="2:41">
      <c r="B113" s="1223" t="s">
        <v>754</v>
      </c>
      <c r="C113" s="1224"/>
      <c r="D113" s="1224"/>
      <c r="E113" s="1224"/>
      <c r="F113" s="1225"/>
      <c r="G113" s="421"/>
      <c r="H113" s="359">
        <f>G113*H101</f>
        <v>0</v>
      </c>
      <c r="I113" s="421"/>
      <c r="J113" s="400">
        <f>I113*J101</f>
        <v>0</v>
      </c>
      <c r="L113" s="424"/>
      <c r="M113" s="424"/>
      <c r="N113" s="424"/>
      <c r="O113" s="424"/>
      <c r="P113" s="424"/>
      <c r="Q113" s="424"/>
      <c r="R113" s="424"/>
      <c r="S113" s="424"/>
      <c r="T113" s="424"/>
      <c r="U113" s="304"/>
      <c r="V113" s="304"/>
      <c r="X113" s="349" t="s">
        <v>599</v>
      </c>
      <c r="AA113" s="304"/>
      <c r="AB113" s="304"/>
      <c r="AC113" s="304"/>
    </row>
    <row r="114" spans="2:41">
      <c r="B114" s="1288" t="s">
        <v>755</v>
      </c>
      <c r="C114" s="1289"/>
      <c r="D114" s="1289"/>
      <c r="E114" s="1289"/>
      <c r="F114" s="1289"/>
      <c r="G114" s="1290"/>
      <c r="H114" s="1290"/>
      <c r="I114" s="1290"/>
      <c r="J114" s="1291"/>
      <c r="L114" s="424"/>
      <c r="M114" s="424"/>
      <c r="N114" s="424"/>
      <c r="O114" s="424"/>
      <c r="P114" s="424"/>
      <c r="Q114" s="424"/>
      <c r="R114" s="424"/>
      <c r="S114" s="424"/>
      <c r="T114" s="424"/>
      <c r="U114" s="304"/>
      <c r="V114" s="304"/>
      <c r="X114" s="349" t="s">
        <v>603</v>
      </c>
      <c r="AA114" s="304"/>
      <c r="AB114" s="304"/>
      <c r="AC114" s="304"/>
    </row>
    <row r="115" spans="2:41" ht="16.5" customHeight="1">
      <c r="B115" s="1292" t="s">
        <v>756</v>
      </c>
      <c r="C115" s="1293"/>
      <c r="D115" s="1293"/>
      <c r="E115" s="1293"/>
      <c r="F115" s="1294"/>
      <c r="G115" s="422"/>
      <c r="H115" s="401">
        <f>G115*H101</f>
        <v>0</v>
      </c>
      <c r="I115" s="422"/>
      <c r="J115" s="402">
        <f>I115*J101</f>
        <v>0</v>
      </c>
      <c r="L115" s="424"/>
      <c r="M115" s="424"/>
      <c r="N115" s="424"/>
      <c r="O115" s="424"/>
      <c r="P115" s="424"/>
      <c r="Q115" s="424"/>
      <c r="R115" s="424"/>
      <c r="S115" s="424"/>
      <c r="T115" s="424"/>
      <c r="U115" s="304"/>
      <c r="V115" s="304"/>
      <c r="X115" s="349" t="s">
        <v>605</v>
      </c>
      <c r="AA115" s="304"/>
      <c r="AB115" s="304"/>
      <c r="AC115" s="304"/>
    </row>
    <row r="116" spans="2:41">
      <c r="B116" s="1229" t="s">
        <v>757</v>
      </c>
      <c r="C116" s="1230"/>
      <c r="D116" s="1230"/>
      <c r="E116" s="1230"/>
      <c r="F116" s="1230"/>
      <c r="G116" s="351"/>
      <c r="H116" s="351"/>
      <c r="I116" s="351"/>
      <c r="J116" s="352"/>
      <c r="L116" s="424"/>
      <c r="M116" s="424"/>
      <c r="N116" s="424"/>
      <c r="O116" s="424"/>
      <c r="P116" s="424"/>
      <c r="Q116" s="424"/>
      <c r="R116" s="424"/>
      <c r="S116" s="424"/>
      <c r="T116" s="424"/>
      <c r="U116" s="304"/>
      <c r="V116" s="304"/>
      <c r="Z116" s="304"/>
      <c r="AA116" s="304"/>
      <c r="AB116" s="304"/>
      <c r="AC116" s="304"/>
    </row>
    <row r="117" spans="2:41" ht="30.75" customHeight="1">
      <c r="B117" s="1231" t="s">
        <v>758</v>
      </c>
      <c r="C117" s="1232"/>
      <c r="D117" s="1232"/>
      <c r="E117" s="1232"/>
      <c r="F117" s="1233"/>
      <c r="G117" s="399"/>
      <c r="H117" s="359">
        <f>(G117*H101)*-1</f>
        <v>0</v>
      </c>
      <c r="I117" s="399"/>
      <c r="J117" s="400">
        <f>(I117*J101)*-1</f>
        <v>0</v>
      </c>
      <c r="L117" s="424"/>
      <c r="M117" s="424"/>
      <c r="N117" s="424"/>
      <c r="O117" s="424"/>
      <c r="P117" s="424"/>
      <c r="Q117" s="424"/>
      <c r="R117" s="424"/>
      <c r="S117" s="424"/>
      <c r="T117" s="424"/>
      <c r="U117" s="304"/>
      <c r="V117" s="304"/>
      <c r="Z117" s="304"/>
      <c r="AA117" s="304"/>
      <c r="AB117" s="304"/>
      <c r="AC117" s="304"/>
    </row>
    <row r="118" spans="2:41" ht="31.5" customHeight="1">
      <c r="B118" s="1234" t="s">
        <v>759</v>
      </c>
      <c r="C118" s="1235"/>
      <c r="D118" s="1235"/>
      <c r="E118" s="1235"/>
      <c r="F118" s="1236"/>
      <c r="G118" s="346"/>
      <c r="H118" s="401">
        <f>(G118*H101)*-1</f>
        <v>0</v>
      </c>
      <c r="I118" s="346"/>
      <c r="J118" s="402">
        <f>(I118*J101)*-1</f>
        <v>0</v>
      </c>
      <c r="L118" s="424"/>
      <c r="M118" s="424"/>
      <c r="N118" s="424"/>
      <c r="O118" s="424"/>
      <c r="P118" s="424"/>
      <c r="Q118" s="424"/>
      <c r="R118" s="424"/>
      <c r="S118" s="424"/>
      <c r="T118" s="424"/>
      <c r="U118" s="304"/>
      <c r="V118" s="304"/>
      <c r="Z118" s="304"/>
      <c r="AA118" s="304"/>
      <c r="AB118" s="304"/>
      <c r="AC118" s="304"/>
      <c r="AD118" s="304"/>
      <c r="AE118" s="304"/>
      <c r="AF118" s="304"/>
      <c r="AG118" s="304"/>
      <c r="AH118" s="304"/>
      <c r="AI118" s="304"/>
      <c r="AJ118" s="304"/>
      <c r="AK118" s="304"/>
      <c r="AL118" s="304"/>
      <c r="AM118" s="304"/>
      <c r="AN118" s="304"/>
      <c r="AO118" s="304"/>
    </row>
    <row r="119" spans="2:41" ht="32.25" customHeight="1">
      <c r="B119" s="1158" t="s">
        <v>740</v>
      </c>
      <c r="C119" s="1287"/>
      <c r="D119" s="1287"/>
      <c r="E119" s="1287"/>
      <c r="F119" s="1287"/>
      <c r="G119" s="1156">
        <f>SUM(H103:H118)</f>
        <v>0</v>
      </c>
      <c r="H119" s="1155"/>
      <c r="I119" s="1214">
        <f>SUM(J103:J118)</f>
        <v>0</v>
      </c>
      <c r="J119" s="1216"/>
      <c r="L119" s="424"/>
      <c r="M119" s="424"/>
      <c r="N119" s="424"/>
      <c r="O119" s="424"/>
      <c r="P119" s="424"/>
      <c r="Q119" s="424"/>
      <c r="R119" s="424"/>
      <c r="S119" s="424"/>
      <c r="T119" s="424"/>
      <c r="U119" s="304"/>
      <c r="V119" s="304"/>
      <c r="Z119" s="304"/>
      <c r="AA119" s="304"/>
      <c r="AB119" s="304"/>
      <c r="AC119" s="304"/>
      <c r="AD119" s="304"/>
      <c r="AE119" s="304"/>
      <c r="AF119" s="304"/>
      <c r="AG119" s="304"/>
      <c r="AH119" s="304"/>
      <c r="AI119" s="304"/>
      <c r="AJ119" s="304"/>
      <c r="AK119" s="304"/>
      <c r="AL119" s="304"/>
      <c r="AM119" s="304"/>
      <c r="AN119" s="304"/>
      <c r="AO119" s="304"/>
    </row>
    <row r="120" spans="2:41" ht="21">
      <c r="B120" s="1217" t="s">
        <v>760</v>
      </c>
      <c r="C120" s="1218"/>
      <c r="D120" s="1218"/>
      <c r="E120" s="1218"/>
      <c r="F120" s="1219"/>
      <c r="G120" s="1282" t="str">
        <f>IF(OR(Y99=0, I119=0), "12 Month Average", "24 Month Average")</f>
        <v>12 Month Average</v>
      </c>
      <c r="H120" s="1283"/>
      <c r="I120" s="1283"/>
      <c r="J120" s="1284"/>
      <c r="L120" s="424"/>
      <c r="M120" s="424"/>
      <c r="N120" s="424"/>
      <c r="O120" s="424"/>
      <c r="P120" s="424"/>
      <c r="Q120" s="424"/>
      <c r="R120" s="424"/>
      <c r="S120" s="424"/>
      <c r="T120" s="424"/>
      <c r="U120" s="304"/>
      <c r="V120" s="304"/>
      <c r="Z120" s="304"/>
      <c r="AA120" s="304"/>
      <c r="AB120" s="304"/>
      <c r="AC120" s="304"/>
      <c r="AD120" s="304"/>
      <c r="AE120" s="304"/>
      <c r="AF120" s="304"/>
      <c r="AG120" s="304"/>
      <c r="AH120" s="304"/>
      <c r="AI120" s="304"/>
      <c r="AJ120" s="304"/>
      <c r="AK120" s="304"/>
      <c r="AL120" s="304"/>
      <c r="AM120" s="304"/>
      <c r="AN120" s="304"/>
      <c r="AO120" s="304"/>
    </row>
    <row r="121" spans="2:41" ht="34.5" thickBot="1">
      <c r="B121" s="1220" t="s">
        <v>697</v>
      </c>
      <c r="C121" s="1221"/>
      <c r="D121" s="1221"/>
      <c r="E121" s="1221"/>
      <c r="F121" s="1222"/>
      <c r="G121" s="1167">
        <f xml:space="preserve"> IF(OR(Y99=0, I119=0),Y101,Y102)</f>
        <v>0</v>
      </c>
      <c r="H121" s="1168"/>
      <c r="I121" s="1168"/>
      <c r="J121" s="1169"/>
      <c r="N121" s="304"/>
      <c r="O121" s="304"/>
      <c r="P121" s="304"/>
      <c r="Q121" s="304"/>
      <c r="R121" s="304"/>
      <c r="S121" s="304"/>
      <c r="T121" s="304"/>
      <c r="U121" s="304"/>
      <c r="V121" s="304"/>
      <c r="Z121" s="304"/>
      <c r="AA121" s="304"/>
      <c r="AB121" s="304"/>
      <c r="AC121" s="304"/>
      <c r="AD121" s="304"/>
      <c r="AE121" s="304"/>
      <c r="AF121" s="304"/>
      <c r="AG121" s="304"/>
      <c r="AH121" s="304"/>
      <c r="AI121" s="304"/>
      <c r="AJ121" s="304"/>
      <c r="AK121" s="304"/>
      <c r="AL121" s="304"/>
      <c r="AM121" s="304"/>
      <c r="AN121" s="304"/>
      <c r="AO121" s="304"/>
    </row>
    <row r="122" spans="2:41" s="304" customFormat="1" ht="3" customHeight="1" thickBot="1">
      <c r="B122" s="78"/>
      <c r="C122" s="78"/>
      <c r="D122" s="78"/>
      <c r="E122" s="78"/>
      <c r="F122" s="78"/>
      <c r="G122" s="78"/>
      <c r="H122" s="330"/>
      <c r="I122" s="330"/>
      <c r="J122" s="78"/>
      <c r="W122" s="280"/>
      <c r="X122" s="280"/>
      <c r="Y122" s="280"/>
    </row>
    <row r="123" spans="2:41" s="304" customFormat="1" ht="135" customHeight="1" thickBot="1">
      <c r="B123" s="1148" t="s">
        <v>761</v>
      </c>
      <c r="C123" s="1285"/>
      <c r="D123" s="1285"/>
      <c r="E123" s="1285"/>
      <c r="F123" s="1285"/>
      <c r="G123" s="1285"/>
      <c r="H123" s="1285"/>
      <c r="I123" s="1285"/>
      <c r="J123" s="1286"/>
      <c r="W123" s="280"/>
      <c r="X123" s="280"/>
      <c r="Y123" s="280"/>
    </row>
    <row r="124" spans="2:41" s="280" customFormat="1">
      <c r="B124" s="423"/>
      <c r="C124" s="423"/>
      <c r="D124" s="423"/>
      <c r="E124" s="423"/>
      <c r="F124" s="423"/>
      <c r="G124" s="423"/>
      <c r="H124" s="423"/>
      <c r="I124" s="423"/>
      <c r="J124" s="423"/>
    </row>
    <row r="125" spans="2:41" ht="13.5" customHeight="1" thickBot="1"/>
    <row r="126" spans="2:41" s="404" customFormat="1" ht="69" customHeight="1">
      <c r="B126" s="1187" t="s">
        <v>741</v>
      </c>
      <c r="C126" s="1188"/>
      <c r="D126" s="1188"/>
      <c r="E126" s="1188"/>
      <c r="F126" s="1188"/>
      <c r="G126" s="1188"/>
      <c r="H126" s="1188"/>
      <c r="I126" s="1188"/>
      <c r="J126" s="331" t="str">
        <f>'[3]Reference Sheet'!$B$2</f>
        <v>Rev. 4.12.2016</v>
      </c>
      <c r="L126" s="424"/>
      <c r="M126" s="424"/>
      <c r="N126" s="424"/>
      <c r="O126" s="424"/>
      <c r="P126" s="424"/>
      <c r="Q126" s="424"/>
      <c r="R126" s="424"/>
      <c r="S126" s="424"/>
      <c r="T126" s="424"/>
      <c r="U126" s="367"/>
      <c r="V126" s="367"/>
      <c r="W126" s="405"/>
      <c r="X126" s="405"/>
      <c r="Y126" s="405"/>
      <c r="Z126" s="367"/>
      <c r="AA126" s="367"/>
      <c r="AB126" s="367"/>
      <c r="AC126" s="367"/>
    </row>
    <row r="127" spans="2:41" s="404" customFormat="1" ht="16.5" customHeight="1" thickBot="1">
      <c r="B127" s="332"/>
      <c r="C127" s="368" t="s">
        <v>710</v>
      </c>
      <c r="D127" s="1310"/>
      <c r="E127" s="1311"/>
      <c r="F127" s="1311"/>
      <c r="G127" s="1311"/>
      <c r="H127" s="333"/>
      <c r="I127" s="333"/>
      <c r="J127" s="334"/>
      <c r="L127" s="424"/>
      <c r="M127" s="424"/>
      <c r="N127" s="424"/>
      <c r="O127" s="424"/>
      <c r="P127" s="424"/>
      <c r="Q127" s="424"/>
      <c r="R127" s="424"/>
      <c r="S127" s="424"/>
      <c r="T127" s="424"/>
      <c r="U127" s="367"/>
      <c r="V127" s="367"/>
      <c r="W127" s="280"/>
      <c r="X127" s="280"/>
      <c r="Y127" s="280"/>
      <c r="Z127" s="304"/>
      <c r="AA127" s="304"/>
      <c r="AB127" s="367"/>
      <c r="AC127" s="367"/>
    </row>
    <row r="128" spans="2:41" s="404" customFormat="1" ht="15" customHeight="1" thickBot="1">
      <c r="B128" s="332"/>
      <c r="C128" s="368" t="s">
        <v>711</v>
      </c>
      <c r="D128" s="1312"/>
      <c r="E128" s="1313"/>
      <c r="F128" s="1313"/>
      <c r="G128" s="1313"/>
      <c r="H128" s="368" t="s">
        <v>712</v>
      </c>
      <c r="I128" s="1310"/>
      <c r="J128" s="1314"/>
      <c r="L128" s="424"/>
      <c r="M128" s="424"/>
      <c r="N128" s="424"/>
      <c r="O128" s="424"/>
      <c r="P128" s="424"/>
      <c r="Q128" s="424"/>
      <c r="R128" s="424"/>
      <c r="S128" s="424"/>
      <c r="T128" s="424"/>
      <c r="U128" s="367"/>
      <c r="V128" s="367"/>
      <c r="W128" s="280"/>
      <c r="X128" s="280" t="s">
        <v>680</v>
      </c>
      <c r="Y128" s="280">
        <f>IF(AND(J132=0, J134=0, J142=0, J143=0, J146=0, J148=0, I150=0), 0, 1)</f>
        <v>0</v>
      </c>
      <c r="Z128" s="304"/>
      <c r="AA128" s="304"/>
      <c r="AB128" s="367"/>
      <c r="AC128" s="367"/>
    </row>
    <row r="129" spans="2:29" ht="16.5" thickBot="1">
      <c r="B129" s="1176" t="s">
        <v>671</v>
      </c>
      <c r="C129" s="1177"/>
      <c r="D129" s="1315"/>
      <c r="E129" s="1316"/>
      <c r="F129" s="1316"/>
      <c r="G129" s="1316"/>
      <c r="H129" s="336" t="s">
        <v>673</v>
      </c>
      <c r="I129" s="1315"/>
      <c r="J129" s="1317"/>
      <c r="L129" s="424"/>
      <c r="M129" s="424"/>
      <c r="N129" s="424"/>
      <c r="O129" s="424"/>
      <c r="P129" s="424"/>
      <c r="Q129" s="424"/>
      <c r="R129" s="424"/>
      <c r="S129" s="424"/>
      <c r="T129" s="424"/>
      <c r="U129" s="304"/>
      <c r="V129" s="304"/>
      <c r="X129" s="280" t="s">
        <v>682</v>
      </c>
      <c r="Y129" s="280">
        <f>IF(AND(G150&lt;=I150, I150&lt;&gt;0), 0, 1)</f>
        <v>1</v>
      </c>
      <c r="Z129" s="304"/>
      <c r="AA129" s="304"/>
      <c r="AB129" s="304"/>
      <c r="AC129" s="304"/>
    </row>
    <row r="130" spans="2:29" ht="16.5" customHeight="1" thickBot="1">
      <c r="B130" s="1176" t="s">
        <v>674</v>
      </c>
      <c r="C130" s="1177"/>
      <c r="D130" s="1262"/>
      <c r="E130" s="1263"/>
      <c r="F130" s="1263"/>
      <c r="G130" s="1263"/>
      <c r="H130" s="1263"/>
      <c r="I130" s="1263"/>
      <c r="J130" s="1264"/>
      <c r="L130" s="424"/>
      <c r="M130" s="424"/>
      <c r="N130" s="424"/>
      <c r="O130" s="424"/>
      <c r="P130" s="424"/>
      <c r="Q130" s="424"/>
      <c r="R130" s="424"/>
      <c r="S130" s="424"/>
      <c r="T130" s="424"/>
      <c r="U130" s="304"/>
      <c r="V130" s="304"/>
      <c r="X130" s="280" t="s">
        <v>685</v>
      </c>
      <c r="Y130" s="280">
        <f>IF(AND(Y129=0, Y128=1), 0, 1)</f>
        <v>1</v>
      </c>
      <c r="Z130" s="304"/>
      <c r="AA130" s="304"/>
      <c r="AB130" s="304"/>
      <c r="AC130" s="304"/>
    </row>
    <row r="131" spans="2:29" ht="16.5" customHeight="1">
      <c r="B131" s="1265"/>
      <c r="C131" s="1266"/>
      <c r="D131" s="1266"/>
      <c r="E131" s="1266"/>
      <c r="F131" s="1267"/>
      <c r="G131" s="406" t="s">
        <v>713</v>
      </c>
      <c r="H131" s="372" t="s">
        <v>676</v>
      </c>
      <c r="I131" s="377"/>
      <c r="J131" s="407" t="s">
        <v>677</v>
      </c>
      <c r="L131" s="424"/>
      <c r="M131" s="424"/>
      <c r="N131" s="424"/>
      <c r="O131" s="424"/>
      <c r="P131" s="424"/>
      <c r="Q131" s="424"/>
      <c r="R131" s="424"/>
      <c r="S131" s="424"/>
      <c r="T131" s="424"/>
      <c r="U131" s="304"/>
      <c r="V131" s="304"/>
      <c r="Z131" s="304"/>
      <c r="AA131" s="304"/>
      <c r="AB131" s="304"/>
      <c r="AC131" s="304"/>
    </row>
    <row r="132" spans="2:29" ht="16.5" customHeight="1" thickBot="1">
      <c r="B132" s="1269"/>
      <c r="C132" s="1270"/>
      <c r="D132" s="1270"/>
      <c r="E132" s="1270"/>
      <c r="F132" s="1271"/>
      <c r="G132" s="408" t="s">
        <v>743</v>
      </c>
      <c r="H132" s="409"/>
      <c r="I132" s="377"/>
      <c r="J132" s="410"/>
      <c r="L132" s="424"/>
      <c r="M132" s="424"/>
      <c r="N132" s="424"/>
      <c r="O132" s="424"/>
      <c r="P132" s="424"/>
      <c r="Q132" s="424"/>
      <c r="R132" s="424"/>
      <c r="S132" s="424"/>
      <c r="T132" s="424"/>
      <c r="U132" s="304"/>
      <c r="V132" s="304"/>
      <c r="X132" s="280" t="s">
        <v>689</v>
      </c>
      <c r="Y132" s="362">
        <f>G150/12</f>
        <v>0</v>
      </c>
      <c r="Z132" s="304"/>
      <c r="AA132" s="304"/>
      <c r="AB132" s="304"/>
      <c r="AC132" s="304"/>
    </row>
    <row r="133" spans="2:29">
      <c r="B133" s="1229" t="s">
        <v>744</v>
      </c>
      <c r="C133" s="1273"/>
      <c r="D133" s="1273"/>
      <c r="E133" s="1273"/>
      <c r="F133" s="1273"/>
      <c r="G133" s="377" t="s">
        <v>719</v>
      </c>
      <c r="H133" s="381"/>
      <c r="I133" s="386" t="s">
        <v>719</v>
      </c>
      <c r="J133" s="382"/>
      <c r="L133" s="424"/>
      <c r="M133" s="424"/>
      <c r="N133" s="424"/>
      <c r="O133" s="424"/>
      <c r="P133" s="424"/>
      <c r="Q133" s="424"/>
      <c r="R133" s="424"/>
      <c r="S133" s="424"/>
      <c r="T133" s="424"/>
      <c r="U133" s="304"/>
      <c r="V133" s="304"/>
      <c r="X133" s="280" t="s">
        <v>691</v>
      </c>
      <c r="Y133" s="362">
        <f>(G150+I150)/24</f>
        <v>0</v>
      </c>
      <c r="Z133" s="304"/>
      <c r="AA133" s="304"/>
      <c r="AB133" s="304"/>
      <c r="AC133" s="304"/>
    </row>
    <row r="134" spans="2:29">
      <c r="B134" s="1305" t="s">
        <v>745</v>
      </c>
      <c r="C134" s="1306"/>
      <c r="D134" s="1306"/>
      <c r="E134" s="1306"/>
      <c r="F134" s="1307"/>
      <c r="G134" s="346"/>
      <c r="H134" s="359">
        <f>G134</f>
        <v>0</v>
      </c>
      <c r="I134" s="411"/>
      <c r="J134" s="400">
        <f>I134</f>
        <v>0</v>
      </c>
      <c r="L134" s="424"/>
      <c r="M134" s="424"/>
      <c r="N134" s="424"/>
      <c r="O134" s="424"/>
      <c r="P134" s="424"/>
      <c r="Q134" s="424"/>
      <c r="R134" s="424"/>
      <c r="S134" s="424"/>
      <c r="T134" s="424"/>
      <c r="U134" s="304"/>
      <c r="V134" s="304"/>
      <c r="Z134" s="304"/>
      <c r="AA134" s="304"/>
      <c r="AB134" s="304"/>
      <c r="AC134" s="304"/>
    </row>
    <row r="135" spans="2:29">
      <c r="B135" s="1308" t="s">
        <v>722</v>
      </c>
      <c r="C135" s="1309"/>
      <c r="D135" s="1309"/>
      <c r="E135" s="1309"/>
      <c r="F135" s="1309"/>
      <c r="G135" s="412"/>
      <c r="H135" s="413"/>
      <c r="I135" s="414"/>
      <c r="J135" s="415"/>
      <c r="L135" s="424"/>
      <c r="M135" s="424"/>
      <c r="N135" s="424"/>
      <c r="O135" s="424"/>
      <c r="P135" s="424"/>
      <c r="Q135" s="424"/>
      <c r="R135" s="424"/>
      <c r="S135" s="424"/>
      <c r="T135" s="424"/>
      <c r="U135" s="304"/>
      <c r="V135" s="304"/>
      <c r="Z135" s="304"/>
      <c r="AA135" s="304"/>
      <c r="AB135" s="304"/>
      <c r="AC135" s="304"/>
    </row>
    <row r="136" spans="2:29">
      <c r="B136" s="1248" t="s">
        <v>746</v>
      </c>
      <c r="C136" s="1249"/>
      <c r="D136" s="1249"/>
      <c r="E136" s="1249"/>
      <c r="F136" s="1250"/>
      <c r="G136" s="346"/>
      <c r="H136" s="387" t="str">
        <f>IF(OR(H132=0, H132&gt;100%), "Ownership %", (G136+G137))</f>
        <v>Ownership %</v>
      </c>
      <c r="I136" s="346"/>
      <c r="J136" s="388" t="str">
        <f>IF(OR(J132=0, J132&gt;100%), "Ownership %", (I136+I137))</f>
        <v>Ownership %</v>
      </c>
      <c r="L136" s="424"/>
      <c r="M136" s="424"/>
      <c r="N136" s="424"/>
      <c r="O136" s="424"/>
      <c r="P136" s="424"/>
      <c r="Q136" s="424"/>
      <c r="R136" s="424"/>
      <c r="S136" s="424"/>
      <c r="T136" s="424"/>
      <c r="U136" s="304"/>
      <c r="V136" s="304"/>
      <c r="X136" s="280" t="str">
        <f>IF(OR(Y130=0, I150=0), "12 Month Average", "24 Month Average")</f>
        <v>12 Month Average</v>
      </c>
      <c r="Z136" s="304"/>
      <c r="AA136" s="304"/>
      <c r="AB136" s="304"/>
      <c r="AC136" s="304"/>
    </row>
    <row r="137" spans="2:29">
      <c r="B137" s="1295" t="s">
        <v>747</v>
      </c>
      <c r="C137" s="1296"/>
      <c r="D137" s="1296"/>
      <c r="E137" s="1296"/>
      <c r="F137" s="1296"/>
      <c r="G137" s="346"/>
      <c r="H137" s="389"/>
      <c r="I137" s="346"/>
      <c r="J137" s="390"/>
      <c r="L137" s="424"/>
      <c r="M137" s="424"/>
      <c r="N137" s="424"/>
      <c r="O137" s="424"/>
      <c r="P137" s="424"/>
      <c r="Q137" s="424"/>
      <c r="R137" s="424"/>
      <c r="S137" s="424"/>
      <c r="T137" s="424"/>
      <c r="U137" s="304"/>
      <c r="V137" s="304"/>
      <c r="X137" s="280">
        <f xml:space="preserve"> IF(OR(Y130=0, I150=0),Y132,Y133)</f>
        <v>0</v>
      </c>
      <c r="Z137" s="304"/>
      <c r="AA137" s="304"/>
      <c r="AB137" s="304"/>
      <c r="AC137" s="304"/>
    </row>
    <row r="138" spans="2:29">
      <c r="B138" s="1297" t="s">
        <v>748</v>
      </c>
      <c r="C138" s="1298"/>
      <c r="D138" s="1298"/>
      <c r="E138" s="1298"/>
      <c r="F138" s="1298"/>
      <c r="G138" s="416"/>
      <c r="H138" s="416"/>
      <c r="I138" s="416"/>
      <c r="J138" s="417"/>
      <c r="L138" s="424"/>
      <c r="M138" s="424"/>
      <c r="N138" s="424"/>
      <c r="O138" s="424"/>
      <c r="P138" s="424"/>
      <c r="Q138" s="424"/>
      <c r="R138" s="424"/>
      <c r="S138" s="424"/>
      <c r="T138" s="424"/>
      <c r="U138" s="304"/>
      <c r="V138" s="304"/>
      <c r="Z138" s="304"/>
      <c r="AA138" s="304"/>
      <c r="AB138" s="304"/>
      <c r="AC138" s="304"/>
    </row>
    <row r="139" spans="2:29">
      <c r="B139" s="1299" t="s">
        <v>749</v>
      </c>
      <c r="C139" s="1300"/>
      <c r="D139" s="1300"/>
      <c r="E139" s="1300"/>
      <c r="F139" s="1301"/>
      <c r="G139" s="418"/>
      <c r="H139" s="419">
        <f>(G139*H132)*-1</f>
        <v>0</v>
      </c>
      <c r="I139" s="418"/>
      <c r="J139" s="420">
        <f>(I139*J132)*-1</f>
        <v>0</v>
      </c>
      <c r="L139" s="424"/>
      <c r="M139" s="424"/>
      <c r="N139" s="424"/>
      <c r="O139" s="424"/>
      <c r="P139" s="424"/>
      <c r="Q139" s="424"/>
      <c r="R139" s="424"/>
      <c r="S139" s="424"/>
      <c r="T139" s="424"/>
      <c r="U139" s="304"/>
      <c r="V139" s="304"/>
      <c r="X139" s="280" t="s">
        <v>717</v>
      </c>
      <c r="Y139" s="280" t="str">
        <f>IF(OR(H132=0, H132&gt;100%), "Ownership %", (G136+G137))</f>
        <v>Ownership %</v>
      </c>
      <c r="Z139" s="304"/>
      <c r="AA139" s="304"/>
      <c r="AB139" s="304"/>
      <c r="AC139" s="304"/>
    </row>
    <row r="140" spans="2:29">
      <c r="B140" s="1302" t="s">
        <v>750</v>
      </c>
      <c r="C140" s="1303"/>
      <c r="D140" s="1303"/>
      <c r="E140" s="1303"/>
      <c r="F140" s="1304"/>
      <c r="G140" s="418"/>
      <c r="H140" s="419">
        <f>(G140*H132)*-1</f>
        <v>0</v>
      </c>
      <c r="I140" s="418"/>
      <c r="J140" s="420">
        <f>(I140*J132)*-1</f>
        <v>0</v>
      </c>
      <c r="L140" s="424"/>
      <c r="M140" s="424"/>
      <c r="N140" s="424"/>
      <c r="O140" s="424"/>
      <c r="P140" s="424"/>
      <c r="Q140" s="424"/>
      <c r="R140" s="424"/>
      <c r="S140" s="424"/>
      <c r="T140" s="424"/>
      <c r="U140" s="304"/>
      <c r="V140" s="304"/>
      <c r="X140" s="280" t="s">
        <v>720</v>
      </c>
      <c r="Y140" s="280" t="str">
        <f>IF(OR(L143&gt;100%, L143=0), "Ownership %", I136+I137)</f>
        <v>Ownership %</v>
      </c>
      <c r="Z140" s="304"/>
      <c r="AA140" s="304"/>
      <c r="AB140" s="304"/>
      <c r="AC140" s="304"/>
    </row>
    <row r="141" spans="2:29">
      <c r="B141" s="1229" t="s">
        <v>751</v>
      </c>
      <c r="C141" s="1230"/>
      <c r="D141" s="1230"/>
      <c r="E141" s="1230"/>
      <c r="F141" s="1230"/>
      <c r="G141" s="351"/>
      <c r="H141" s="351"/>
      <c r="I141" s="351"/>
      <c r="J141" s="352"/>
      <c r="L141" s="424"/>
      <c r="M141" s="424"/>
      <c r="N141" s="424"/>
      <c r="O141" s="424"/>
      <c r="P141" s="424"/>
      <c r="Q141" s="424"/>
      <c r="R141" s="424"/>
      <c r="S141" s="424"/>
      <c r="T141" s="424"/>
      <c r="U141" s="304"/>
      <c r="V141" s="304"/>
      <c r="Z141" s="304"/>
      <c r="AA141" s="304"/>
      <c r="AB141" s="304"/>
      <c r="AC141" s="304"/>
    </row>
    <row r="142" spans="2:29">
      <c r="B142" s="1243" t="s">
        <v>752</v>
      </c>
      <c r="C142" s="1244"/>
      <c r="D142" s="1244"/>
      <c r="E142" s="1244"/>
      <c r="F142" s="1245"/>
      <c r="G142" s="346"/>
      <c r="H142" s="359">
        <f>G142*H132</f>
        <v>0</v>
      </c>
      <c r="I142" s="346"/>
      <c r="J142" s="400">
        <f>I142*J132</f>
        <v>0</v>
      </c>
      <c r="L142" s="424"/>
      <c r="M142" s="424"/>
      <c r="N142" s="424"/>
      <c r="O142" s="424"/>
      <c r="P142" s="424"/>
      <c r="Q142" s="424"/>
      <c r="R142" s="424"/>
      <c r="S142" s="424"/>
      <c r="T142" s="424"/>
      <c r="U142" s="304"/>
      <c r="V142" s="304"/>
      <c r="X142" s="349" t="s">
        <v>596</v>
      </c>
      <c r="AA142" s="304"/>
      <c r="AB142" s="304"/>
      <c r="AC142" s="304"/>
    </row>
    <row r="143" spans="2:29">
      <c r="B143" s="1223" t="s">
        <v>753</v>
      </c>
      <c r="C143" s="1224"/>
      <c r="D143" s="1224"/>
      <c r="E143" s="1224"/>
      <c r="F143" s="1225"/>
      <c r="G143" s="346"/>
      <c r="H143" s="359">
        <f>G143*H132</f>
        <v>0</v>
      </c>
      <c r="I143" s="346"/>
      <c r="J143" s="400">
        <f>I143*J132</f>
        <v>0</v>
      </c>
      <c r="L143" s="424"/>
      <c r="M143" s="424"/>
      <c r="N143" s="424"/>
      <c r="O143" s="424"/>
      <c r="P143" s="424"/>
      <c r="Q143" s="424"/>
      <c r="R143" s="424"/>
      <c r="S143" s="424"/>
      <c r="T143" s="424"/>
      <c r="U143" s="304"/>
      <c r="V143" s="304"/>
      <c r="X143" s="349" t="s">
        <v>683</v>
      </c>
      <c r="AA143" s="304"/>
      <c r="AB143" s="304"/>
      <c r="AC143" s="304"/>
    </row>
    <row r="144" spans="2:29">
      <c r="B144" s="1223" t="s">
        <v>754</v>
      </c>
      <c r="C144" s="1224"/>
      <c r="D144" s="1224"/>
      <c r="E144" s="1224"/>
      <c r="F144" s="1225"/>
      <c r="G144" s="421"/>
      <c r="H144" s="359">
        <f>G144*H132</f>
        <v>0</v>
      </c>
      <c r="I144" s="421"/>
      <c r="J144" s="400">
        <f>I144*J132</f>
        <v>0</v>
      </c>
      <c r="L144" s="424"/>
      <c r="M144" s="424"/>
      <c r="N144" s="424"/>
      <c r="O144" s="424"/>
      <c r="P144" s="424"/>
      <c r="Q144" s="424"/>
      <c r="R144" s="424"/>
      <c r="S144" s="424"/>
      <c r="T144" s="424"/>
      <c r="U144" s="304"/>
      <c r="V144" s="304"/>
      <c r="X144" s="349" t="s">
        <v>599</v>
      </c>
      <c r="AA144" s="304"/>
      <c r="AB144" s="304"/>
      <c r="AC144" s="304"/>
    </row>
    <row r="145" spans="2:41">
      <c r="B145" s="1288" t="s">
        <v>755</v>
      </c>
      <c r="C145" s="1289"/>
      <c r="D145" s="1289"/>
      <c r="E145" s="1289"/>
      <c r="F145" s="1289"/>
      <c r="G145" s="1290"/>
      <c r="H145" s="1290"/>
      <c r="I145" s="1290"/>
      <c r="J145" s="1291"/>
      <c r="L145" s="424"/>
      <c r="M145" s="424"/>
      <c r="N145" s="424"/>
      <c r="O145" s="424"/>
      <c r="P145" s="424"/>
      <c r="Q145" s="424"/>
      <c r="R145" s="424"/>
      <c r="S145" s="424"/>
      <c r="T145" s="424"/>
      <c r="U145" s="304"/>
      <c r="V145" s="304"/>
      <c r="X145" s="349" t="s">
        <v>603</v>
      </c>
      <c r="AA145" s="304"/>
      <c r="AB145" s="304"/>
      <c r="AC145" s="304"/>
    </row>
    <row r="146" spans="2:41" ht="16.5" customHeight="1">
      <c r="B146" s="1292" t="s">
        <v>756</v>
      </c>
      <c r="C146" s="1293"/>
      <c r="D146" s="1293"/>
      <c r="E146" s="1293"/>
      <c r="F146" s="1294"/>
      <c r="G146" s="422"/>
      <c r="H146" s="401">
        <f>G146*H132</f>
        <v>0</v>
      </c>
      <c r="I146" s="422"/>
      <c r="J146" s="402">
        <f>I146*J132</f>
        <v>0</v>
      </c>
      <c r="L146" s="424"/>
      <c r="M146" s="424"/>
      <c r="N146" s="424"/>
      <c r="O146" s="424"/>
      <c r="P146" s="424"/>
      <c r="Q146" s="424"/>
      <c r="R146" s="424"/>
      <c r="S146" s="424"/>
      <c r="T146" s="424"/>
      <c r="U146" s="304"/>
      <c r="V146" s="304"/>
      <c r="X146" s="349" t="s">
        <v>605</v>
      </c>
      <c r="AA146" s="304"/>
      <c r="AB146" s="304"/>
      <c r="AC146" s="304"/>
    </row>
    <row r="147" spans="2:41">
      <c r="B147" s="1229" t="s">
        <v>757</v>
      </c>
      <c r="C147" s="1230"/>
      <c r="D147" s="1230"/>
      <c r="E147" s="1230"/>
      <c r="F147" s="1230"/>
      <c r="G147" s="351"/>
      <c r="H147" s="351"/>
      <c r="I147" s="351"/>
      <c r="J147" s="352"/>
      <c r="L147" s="424"/>
      <c r="M147" s="424"/>
      <c r="N147" s="424"/>
      <c r="O147" s="424"/>
      <c r="P147" s="424"/>
      <c r="Q147" s="424"/>
      <c r="R147" s="424"/>
      <c r="S147" s="424"/>
      <c r="T147" s="424"/>
      <c r="U147" s="304"/>
      <c r="V147" s="304"/>
      <c r="Z147" s="304"/>
      <c r="AA147" s="304"/>
      <c r="AB147" s="304"/>
      <c r="AC147" s="304"/>
    </row>
    <row r="148" spans="2:41" ht="30.75" customHeight="1">
      <c r="B148" s="1231" t="s">
        <v>758</v>
      </c>
      <c r="C148" s="1232"/>
      <c r="D148" s="1232"/>
      <c r="E148" s="1232"/>
      <c r="F148" s="1233"/>
      <c r="G148" s="399"/>
      <c r="H148" s="359">
        <f>(G148*H132)*-1</f>
        <v>0</v>
      </c>
      <c r="I148" s="399"/>
      <c r="J148" s="400">
        <f>(I148*J132)*-1</f>
        <v>0</v>
      </c>
      <c r="L148" s="424"/>
      <c r="M148" s="424"/>
      <c r="N148" s="424"/>
      <c r="O148" s="424"/>
      <c r="P148" s="424"/>
      <c r="Q148" s="424"/>
      <c r="R148" s="424"/>
      <c r="S148" s="424"/>
      <c r="T148" s="424"/>
      <c r="U148" s="304"/>
      <c r="V148" s="304"/>
      <c r="Z148" s="304"/>
      <c r="AA148" s="304"/>
      <c r="AB148" s="304"/>
      <c r="AC148" s="304"/>
    </row>
    <row r="149" spans="2:41" ht="31.5" customHeight="1">
      <c r="B149" s="1234" t="s">
        <v>759</v>
      </c>
      <c r="C149" s="1235"/>
      <c r="D149" s="1235"/>
      <c r="E149" s="1235"/>
      <c r="F149" s="1236"/>
      <c r="G149" s="346"/>
      <c r="H149" s="401">
        <f>(G149*H132)*-1</f>
        <v>0</v>
      </c>
      <c r="I149" s="346"/>
      <c r="J149" s="402">
        <f>(I149*J132)*-1</f>
        <v>0</v>
      </c>
      <c r="L149" s="424"/>
      <c r="M149" s="424"/>
      <c r="N149" s="424"/>
      <c r="O149" s="424"/>
      <c r="P149" s="424"/>
      <c r="Q149" s="424"/>
      <c r="R149" s="424"/>
      <c r="S149" s="424"/>
      <c r="T149" s="424"/>
      <c r="U149" s="304"/>
      <c r="V149" s="304"/>
      <c r="Z149" s="304"/>
      <c r="AA149" s="304"/>
      <c r="AB149" s="304"/>
      <c r="AC149" s="304"/>
      <c r="AD149" s="304"/>
      <c r="AE149" s="304"/>
      <c r="AF149" s="304"/>
      <c r="AG149" s="304"/>
      <c r="AH149" s="304"/>
      <c r="AI149" s="304"/>
      <c r="AJ149" s="304"/>
      <c r="AK149" s="304"/>
      <c r="AL149" s="304"/>
      <c r="AM149" s="304"/>
      <c r="AN149" s="304"/>
      <c r="AO149" s="304"/>
    </row>
    <row r="150" spans="2:41" ht="32.25" customHeight="1">
      <c r="B150" s="1158" t="s">
        <v>740</v>
      </c>
      <c r="C150" s="1287"/>
      <c r="D150" s="1287"/>
      <c r="E150" s="1287"/>
      <c r="F150" s="1287"/>
      <c r="G150" s="1156">
        <f>SUM(H134:H149)</f>
        <v>0</v>
      </c>
      <c r="H150" s="1155"/>
      <c r="I150" s="1214">
        <f>SUM(J134:J149)</f>
        <v>0</v>
      </c>
      <c r="J150" s="1216"/>
      <c r="L150" s="424"/>
      <c r="M150" s="424"/>
      <c r="N150" s="424"/>
      <c r="O150" s="424"/>
      <c r="P150" s="424"/>
      <c r="Q150" s="424"/>
      <c r="R150" s="424"/>
      <c r="S150" s="424"/>
      <c r="T150" s="424"/>
      <c r="U150" s="304"/>
      <c r="V150" s="304"/>
      <c r="Z150" s="304"/>
      <c r="AA150" s="304"/>
      <c r="AB150" s="304"/>
      <c r="AC150" s="304"/>
      <c r="AD150" s="304"/>
      <c r="AE150" s="304"/>
      <c r="AF150" s="304"/>
      <c r="AG150" s="304"/>
      <c r="AH150" s="304"/>
      <c r="AI150" s="304"/>
      <c r="AJ150" s="304"/>
      <c r="AK150" s="304"/>
      <c r="AL150" s="304"/>
      <c r="AM150" s="304"/>
      <c r="AN150" s="304"/>
      <c r="AO150" s="304"/>
    </row>
    <row r="151" spans="2:41" ht="21">
      <c r="B151" s="1217" t="s">
        <v>760</v>
      </c>
      <c r="C151" s="1218"/>
      <c r="D151" s="1218"/>
      <c r="E151" s="1218"/>
      <c r="F151" s="1219"/>
      <c r="G151" s="1282" t="str">
        <f>IF(OR(Y130=0, I150=0), "12 Month Average", "24 Month Average")</f>
        <v>12 Month Average</v>
      </c>
      <c r="H151" s="1283"/>
      <c r="I151" s="1283"/>
      <c r="J151" s="1284"/>
      <c r="L151" s="424"/>
      <c r="M151" s="424"/>
      <c r="N151" s="424"/>
      <c r="O151" s="424"/>
      <c r="P151" s="424"/>
      <c r="Q151" s="424"/>
      <c r="R151" s="424"/>
      <c r="S151" s="424"/>
      <c r="T151" s="424"/>
      <c r="U151" s="304"/>
      <c r="V151" s="304"/>
      <c r="Z151" s="304"/>
      <c r="AA151" s="304"/>
      <c r="AB151" s="304"/>
      <c r="AC151" s="304"/>
      <c r="AD151" s="304"/>
      <c r="AE151" s="304"/>
      <c r="AF151" s="304"/>
      <c r="AG151" s="304"/>
      <c r="AH151" s="304"/>
      <c r="AI151" s="304"/>
      <c r="AJ151" s="304"/>
      <c r="AK151" s="304"/>
      <c r="AL151" s="304"/>
      <c r="AM151" s="304"/>
      <c r="AN151" s="304"/>
      <c r="AO151" s="304"/>
    </row>
    <row r="152" spans="2:41" ht="34.5" thickBot="1">
      <c r="B152" s="1220" t="s">
        <v>697</v>
      </c>
      <c r="C152" s="1221"/>
      <c r="D152" s="1221"/>
      <c r="E152" s="1221"/>
      <c r="F152" s="1222"/>
      <c r="G152" s="1167">
        <f xml:space="preserve"> IF(OR(Y130=0, I150=0),Y132,Y133)</f>
        <v>0</v>
      </c>
      <c r="H152" s="1168"/>
      <c r="I152" s="1168"/>
      <c r="J152" s="1169"/>
      <c r="N152" s="304"/>
      <c r="O152" s="304"/>
      <c r="P152" s="304"/>
      <c r="Q152" s="304"/>
      <c r="R152" s="304"/>
      <c r="S152" s="304"/>
      <c r="T152" s="304"/>
      <c r="U152" s="304"/>
      <c r="V152" s="304"/>
      <c r="Z152" s="304"/>
      <c r="AA152" s="304"/>
      <c r="AB152" s="304"/>
      <c r="AC152" s="304"/>
      <c r="AD152" s="304"/>
      <c r="AE152" s="304"/>
      <c r="AF152" s="304"/>
      <c r="AG152" s="304"/>
      <c r="AH152" s="304"/>
      <c r="AI152" s="304"/>
      <c r="AJ152" s="304"/>
      <c r="AK152" s="304"/>
      <c r="AL152" s="304"/>
      <c r="AM152" s="304"/>
      <c r="AN152" s="304"/>
      <c r="AO152" s="304"/>
    </row>
    <row r="153" spans="2:41" s="304" customFormat="1" ht="3" customHeight="1" thickBot="1">
      <c r="B153" s="78"/>
      <c r="C153" s="78"/>
      <c r="D153" s="78"/>
      <c r="E153" s="78"/>
      <c r="F153" s="78"/>
      <c r="G153" s="78"/>
      <c r="H153" s="330"/>
      <c r="I153" s="330"/>
      <c r="J153" s="78"/>
      <c r="W153" s="280"/>
      <c r="X153" s="280"/>
      <c r="Y153" s="280"/>
    </row>
    <row r="154" spans="2:41" s="304" customFormat="1" ht="135" customHeight="1" thickBot="1">
      <c r="B154" s="1148" t="s">
        <v>761</v>
      </c>
      <c r="C154" s="1285"/>
      <c r="D154" s="1285"/>
      <c r="E154" s="1285"/>
      <c r="F154" s="1285"/>
      <c r="G154" s="1285"/>
      <c r="H154" s="1285"/>
      <c r="I154" s="1285"/>
      <c r="J154" s="1286"/>
      <c r="W154" s="280"/>
      <c r="X154" s="280"/>
      <c r="Y154" s="280"/>
    </row>
    <row r="155" spans="2:41" s="280" customFormat="1">
      <c r="B155" s="423"/>
      <c r="C155" s="423"/>
      <c r="D155" s="423"/>
      <c r="E155" s="423"/>
      <c r="F155" s="423"/>
      <c r="G155" s="423"/>
      <c r="H155" s="423"/>
      <c r="I155" s="423"/>
      <c r="J155" s="423"/>
    </row>
    <row r="156" spans="2:41" ht="13.5" customHeight="1" thickBot="1"/>
    <row r="157" spans="2:41" s="404" customFormat="1" ht="69" customHeight="1">
      <c r="B157" s="1187" t="s">
        <v>741</v>
      </c>
      <c r="C157" s="1188"/>
      <c r="D157" s="1188"/>
      <c r="E157" s="1188"/>
      <c r="F157" s="1188"/>
      <c r="G157" s="1188"/>
      <c r="H157" s="1188"/>
      <c r="I157" s="1188"/>
      <c r="J157" s="331" t="str">
        <f>'[3]Reference Sheet'!$B$2</f>
        <v>Rev. 4.12.2016</v>
      </c>
      <c r="L157" s="424"/>
      <c r="M157" s="424"/>
      <c r="N157" s="424"/>
      <c r="O157" s="424"/>
      <c r="P157" s="424"/>
      <c r="Q157" s="424"/>
      <c r="R157" s="424"/>
      <c r="S157" s="424"/>
      <c r="T157" s="424"/>
      <c r="U157" s="367"/>
      <c r="V157" s="367"/>
      <c r="W157" s="405"/>
      <c r="X157" s="405"/>
      <c r="Y157" s="405"/>
      <c r="Z157" s="367"/>
      <c r="AA157" s="367"/>
      <c r="AB157" s="367"/>
      <c r="AC157" s="367"/>
    </row>
    <row r="158" spans="2:41" s="404" customFormat="1" ht="16.5" customHeight="1" thickBot="1">
      <c r="B158" s="332"/>
      <c r="C158" s="368" t="s">
        <v>710</v>
      </c>
      <c r="D158" s="1310"/>
      <c r="E158" s="1311"/>
      <c r="F158" s="1311"/>
      <c r="G158" s="1311"/>
      <c r="H158" s="333"/>
      <c r="I158" s="333"/>
      <c r="J158" s="334"/>
      <c r="L158" s="424"/>
      <c r="M158" s="424"/>
      <c r="N158" s="424"/>
      <c r="O158" s="424"/>
      <c r="P158" s="424"/>
      <c r="Q158" s="424"/>
      <c r="R158" s="424"/>
      <c r="S158" s="424"/>
      <c r="T158" s="424"/>
      <c r="U158" s="367"/>
      <c r="V158" s="367"/>
      <c r="W158" s="280"/>
      <c r="X158" s="280"/>
      <c r="Y158" s="280"/>
      <c r="Z158" s="304"/>
      <c r="AA158" s="304"/>
      <c r="AB158" s="367"/>
      <c r="AC158" s="367"/>
    </row>
    <row r="159" spans="2:41" s="404" customFormat="1" ht="15" customHeight="1" thickBot="1">
      <c r="B159" s="332"/>
      <c r="C159" s="368" t="s">
        <v>711</v>
      </c>
      <c r="D159" s="1312"/>
      <c r="E159" s="1313"/>
      <c r="F159" s="1313"/>
      <c r="G159" s="1313"/>
      <c r="H159" s="368" t="s">
        <v>712</v>
      </c>
      <c r="I159" s="1310"/>
      <c r="J159" s="1314"/>
      <c r="L159" s="424"/>
      <c r="M159" s="424"/>
      <c r="N159" s="424"/>
      <c r="O159" s="424"/>
      <c r="P159" s="424"/>
      <c r="Q159" s="424"/>
      <c r="R159" s="424"/>
      <c r="S159" s="424"/>
      <c r="T159" s="424"/>
      <c r="U159" s="367"/>
      <c r="V159" s="367"/>
      <c r="W159" s="280"/>
      <c r="X159" s="280" t="s">
        <v>680</v>
      </c>
      <c r="Y159" s="280">
        <f>IF(AND(J163=0, J165=0, J173=0, J174=0, J177=0, J179=0, I181=0), 0, 1)</f>
        <v>0</v>
      </c>
      <c r="Z159" s="304"/>
      <c r="AA159" s="304"/>
      <c r="AB159" s="367"/>
      <c r="AC159" s="367"/>
    </row>
    <row r="160" spans="2:41" ht="16.5" thickBot="1">
      <c r="B160" s="1176" t="s">
        <v>671</v>
      </c>
      <c r="C160" s="1177"/>
      <c r="D160" s="1315"/>
      <c r="E160" s="1316"/>
      <c r="F160" s="1316"/>
      <c r="G160" s="1316"/>
      <c r="H160" s="336" t="s">
        <v>673</v>
      </c>
      <c r="I160" s="1315"/>
      <c r="J160" s="1317"/>
      <c r="L160" s="424"/>
      <c r="M160" s="424"/>
      <c r="N160" s="424"/>
      <c r="O160" s="424"/>
      <c r="P160" s="424"/>
      <c r="Q160" s="424"/>
      <c r="R160" s="424"/>
      <c r="S160" s="424"/>
      <c r="T160" s="424"/>
      <c r="U160" s="304"/>
      <c r="V160" s="304"/>
      <c r="X160" s="280" t="s">
        <v>682</v>
      </c>
      <c r="Y160" s="280">
        <f>IF(AND(G181&lt;=I181, I181&lt;&gt;0), 0, 1)</f>
        <v>1</v>
      </c>
      <c r="Z160" s="304"/>
      <c r="AA160" s="304"/>
      <c r="AB160" s="304"/>
      <c r="AC160" s="304"/>
    </row>
    <row r="161" spans="2:29" ht="16.5" customHeight="1" thickBot="1">
      <c r="B161" s="1176" t="s">
        <v>674</v>
      </c>
      <c r="C161" s="1177"/>
      <c r="D161" s="1262"/>
      <c r="E161" s="1263"/>
      <c r="F161" s="1263"/>
      <c r="G161" s="1263"/>
      <c r="H161" s="1263"/>
      <c r="I161" s="1263"/>
      <c r="J161" s="1264"/>
      <c r="L161" s="424"/>
      <c r="M161" s="424"/>
      <c r="N161" s="424"/>
      <c r="O161" s="424"/>
      <c r="P161" s="424"/>
      <c r="Q161" s="424"/>
      <c r="R161" s="424"/>
      <c r="S161" s="424"/>
      <c r="T161" s="424"/>
      <c r="U161" s="304"/>
      <c r="V161" s="304"/>
      <c r="X161" s="280" t="s">
        <v>685</v>
      </c>
      <c r="Y161" s="280">
        <f>IF(AND(Y160=0, Y159=1), 0, 1)</f>
        <v>1</v>
      </c>
      <c r="Z161" s="304"/>
      <c r="AA161" s="304"/>
      <c r="AB161" s="304"/>
      <c r="AC161" s="304"/>
    </row>
    <row r="162" spans="2:29" ht="16.5" customHeight="1">
      <c r="B162" s="1265"/>
      <c r="C162" s="1266"/>
      <c r="D162" s="1266"/>
      <c r="E162" s="1266"/>
      <c r="F162" s="1267"/>
      <c r="G162" s="406" t="s">
        <v>713</v>
      </c>
      <c r="H162" s="372" t="s">
        <v>676</v>
      </c>
      <c r="I162" s="377"/>
      <c r="J162" s="407" t="s">
        <v>677</v>
      </c>
      <c r="L162" s="424"/>
      <c r="M162" s="424"/>
      <c r="N162" s="424"/>
      <c r="O162" s="424"/>
      <c r="P162" s="424"/>
      <c r="Q162" s="424"/>
      <c r="R162" s="424"/>
      <c r="S162" s="424"/>
      <c r="T162" s="424"/>
      <c r="U162" s="304"/>
      <c r="V162" s="304"/>
      <c r="Z162" s="304"/>
      <c r="AA162" s="304"/>
      <c r="AB162" s="304"/>
      <c r="AC162" s="304"/>
    </row>
    <row r="163" spans="2:29" ht="16.5" customHeight="1" thickBot="1">
      <c r="B163" s="1269"/>
      <c r="C163" s="1270"/>
      <c r="D163" s="1270"/>
      <c r="E163" s="1270"/>
      <c r="F163" s="1271"/>
      <c r="G163" s="408" t="s">
        <v>743</v>
      </c>
      <c r="H163" s="409"/>
      <c r="I163" s="377"/>
      <c r="J163" s="410"/>
      <c r="L163" s="424"/>
      <c r="M163" s="424"/>
      <c r="N163" s="424"/>
      <c r="O163" s="424"/>
      <c r="P163" s="424"/>
      <c r="Q163" s="424"/>
      <c r="R163" s="424"/>
      <c r="S163" s="424"/>
      <c r="T163" s="424"/>
      <c r="U163" s="304"/>
      <c r="V163" s="304"/>
      <c r="X163" s="280" t="s">
        <v>689</v>
      </c>
      <c r="Y163" s="362">
        <f>G181/12</f>
        <v>0</v>
      </c>
      <c r="Z163" s="304"/>
      <c r="AA163" s="304"/>
      <c r="AB163" s="304"/>
      <c r="AC163" s="304"/>
    </row>
    <row r="164" spans="2:29">
      <c r="B164" s="1229" t="s">
        <v>744</v>
      </c>
      <c r="C164" s="1273"/>
      <c r="D164" s="1273"/>
      <c r="E164" s="1273"/>
      <c r="F164" s="1273"/>
      <c r="G164" s="377" t="s">
        <v>719</v>
      </c>
      <c r="H164" s="381"/>
      <c r="I164" s="386" t="s">
        <v>719</v>
      </c>
      <c r="J164" s="382"/>
      <c r="L164" s="424"/>
      <c r="M164" s="424"/>
      <c r="N164" s="424"/>
      <c r="O164" s="424"/>
      <c r="P164" s="424"/>
      <c r="Q164" s="424"/>
      <c r="R164" s="424"/>
      <c r="S164" s="424"/>
      <c r="T164" s="424"/>
      <c r="U164" s="304"/>
      <c r="V164" s="304"/>
      <c r="X164" s="280" t="s">
        <v>691</v>
      </c>
      <c r="Y164" s="362">
        <f>(G181+I181)/24</f>
        <v>0</v>
      </c>
      <c r="Z164" s="304"/>
      <c r="AA164" s="304"/>
      <c r="AB164" s="304"/>
      <c r="AC164" s="304"/>
    </row>
    <row r="165" spans="2:29">
      <c r="B165" s="1305" t="s">
        <v>745</v>
      </c>
      <c r="C165" s="1306"/>
      <c r="D165" s="1306"/>
      <c r="E165" s="1306"/>
      <c r="F165" s="1307"/>
      <c r="G165" s="346"/>
      <c r="H165" s="359">
        <f>G165</f>
        <v>0</v>
      </c>
      <c r="I165" s="411"/>
      <c r="J165" s="400">
        <f>I165</f>
        <v>0</v>
      </c>
      <c r="L165" s="424"/>
      <c r="M165" s="424"/>
      <c r="N165" s="424"/>
      <c r="O165" s="424"/>
      <c r="P165" s="424"/>
      <c r="Q165" s="424"/>
      <c r="R165" s="424"/>
      <c r="S165" s="424"/>
      <c r="T165" s="424"/>
      <c r="U165" s="304"/>
      <c r="V165" s="304"/>
      <c r="Z165" s="304"/>
      <c r="AA165" s="304"/>
      <c r="AB165" s="304"/>
      <c r="AC165" s="304"/>
    </row>
    <row r="166" spans="2:29">
      <c r="B166" s="1308" t="s">
        <v>722</v>
      </c>
      <c r="C166" s="1309"/>
      <c r="D166" s="1309"/>
      <c r="E166" s="1309"/>
      <c r="F166" s="1309"/>
      <c r="G166" s="412"/>
      <c r="H166" s="413"/>
      <c r="I166" s="414"/>
      <c r="J166" s="415"/>
      <c r="L166" s="424"/>
      <c r="M166" s="424"/>
      <c r="N166" s="424"/>
      <c r="O166" s="424"/>
      <c r="P166" s="424"/>
      <c r="Q166" s="424"/>
      <c r="R166" s="424"/>
      <c r="S166" s="424"/>
      <c r="T166" s="424"/>
      <c r="U166" s="304"/>
      <c r="V166" s="304"/>
      <c r="Z166" s="304"/>
      <c r="AA166" s="304"/>
      <c r="AB166" s="304"/>
      <c r="AC166" s="304"/>
    </row>
    <row r="167" spans="2:29">
      <c r="B167" s="1248" t="s">
        <v>746</v>
      </c>
      <c r="C167" s="1249"/>
      <c r="D167" s="1249"/>
      <c r="E167" s="1249"/>
      <c r="F167" s="1250"/>
      <c r="G167" s="346"/>
      <c r="H167" s="387" t="str">
        <f>IF(OR(H163=0, H163&gt;100%), "Ownership %", (G167+G168))</f>
        <v>Ownership %</v>
      </c>
      <c r="I167" s="346"/>
      <c r="J167" s="388" t="str">
        <f>IF(OR(J163=0, J163&gt;100%), "Ownership %", (I167+I168))</f>
        <v>Ownership %</v>
      </c>
      <c r="L167" s="424"/>
      <c r="M167" s="424"/>
      <c r="N167" s="424"/>
      <c r="O167" s="424"/>
      <c r="P167" s="424"/>
      <c r="Q167" s="424"/>
      <c r="R167" s="424"/>
      <c r="S167" s="424"/>
      <c r="T167" s="424"/>
      <c r="U167" s="304"/>
      <c r="V167" s="304"/>
      <c r="X167" s="280" t="str">
        <f>IF(OR(Y161=0, I181=0), "12 Month Average", "24 Month Average")</f>
        <v>12 Month Average</v>
      </c>
      <c r="Z167" s="304"/>
      <c r="AA167" s="304"/>
      <c r="AB167" s="304"/>
      <c r="AC167" s="304"/>
    </row>
    <row r="168" spans="2:29">
      <c r="B168" s="1295" t="s">
        <v>747</v>
      </c>
      <c r="C168" s="1296"/>
      <c r="D168" s="1296"/>
      <c r="E168" s="1296"/>
      <c r="F168" s="1296"/>
      <c r="G168" s="346"/>
      <c r="H168" s="389"/>
      <c r="I168" s="346"/>
      <c r="J168" s="390"/>
      <c r="L168" s="424"/>
      <c r="M168" s="424"/>
      <c r="N168" s="424"/>
      <c r="O168" s="424"/>
      <c r="P168" s="424"/>
      <c r="Q168" s="424"/>
      <c r="R168" s="424"/>
      <c r="S168" s="424"/>
      <c r="T168" s="424"/>
      <c r="U168" s="304"/>
      <c r="V168" s="304"/>
      <c r="X168" s="280">
        <f xml:space="preserve"> IF(OR(Y161=0, I181=0),Y163,Y164)</f>
        <v>0</v>
      </c>
      <c r="Z168" s="304"/>
      <c r="AA168" s="304"/>
      <c r="AB168" s="304"/>
      <c r="AC168" s="304"/>
    </row>
    <row r="169" spans="2:29">
      <c r="B169" s="1297" t="s">
        <v>748</v>
      </c>
      <c r="C169" s="1298"/>
      <c r="D169" s="1298"/>
      <c r="E169" s="1298"/>
      <c r="F169" s="1298"/>
      <c r="G169" s="416"/>
      <c r="H169" s="416"/>
      <c r="I169" s="416"/>
      <c r="J169" s="417"/>
      <c r="L169" s="424"/>
      <c r="M169" s="424"/>
      <c r="N169" s="424"/>
      <c r="O169" s="424"/>
      <c r="P169" s="424"/>
      <c r="Q169" s="424"/>
      <c r="R169" s="424"/>
      <c r="S169" s="424"/>
      <c r="T169" s="424"/>
      <c r="U169" s="304"/>
      <c r="V169" s="304"/>
      <c r="Z169" s="304"/>
      <c r="AA169" s="304"/>
      <c r="AB169" s="304"/>
      <c r="AC169" s="304"/>
    </row>
    <row r="170" spans="2:29">
      <c r="B170" s="1299" t="s">
        <v>749</v>
      </c>
      <c r="C170" s="1300"/>
      <c r="D170" s="1300"/>
      <c r="E170" s="1300"/>
      <c r="F170" s="1301"/>
      <c r="G170" s="418"/>
      <c r="H170" s="419">
        <f>(G170*H163)*-1</f>
        <v>0</v>
      </c>
      <c r="I170" s="418"/>
      <c r="J170" s="420">
        <f>(I170*J163)*-1</f>
        <v>0</v>
      </c>
      <c r="L170" s="424"/>
      <c r="M170" s="424"/>
      <c r="N170" s="424"/>
      <c r="O170" s="424"/>
      <c r="P170" s="424"/>
      <c r="Q170" s="424"/>
      <c r="R170" s="424"/>
      <c r="S170" s="424"/>
      <c r="T170" s="424"/>
      <c r="U170" s="304"/>
      <c r="V170" s="304"/>
      <c r="X170" s="280" t="s">
        <v>717</v>
      </c>
      <c r="Y170" s="280" t="str">
        <f>IF(OR(H163=0, H163&gt;100%), "Ownership %", (G167+G168))</f>
        <v>Ownership %</v>
      </c>
      <c r="Z170" s="304"/>
      <c r="AA170" s="304"/>
      <c r="AB170" s="304"/>
      <c r="AC170" s="304"/>
    </row>
    <row r="171" spans="2:29">
      <c r="B171" s="1302" t="s">
        <v>750</v>
      </c>
      <c r="C171" s="1303"/>
      <c r="D171" s="1303"/>
      <c r="E171" s="1303"/>
      <c r="F171" s="1304"/>
      <c r="G171" s="418"/>
      <c r="H171" s="419">
        <f>(G171*H163)*-1</f>
        <v>0</v>
      </c>
      <c r="I171" s="418"/>
      <c r="J171" s="420">
        <f>(I171*J163)*-1</f>
        <v>0</v>
      </c>
      <c r="L171" s="424"/>
      <c r="M171" s="424"/>
      <c r="N171" s="424"/>
      <c r="O171" s="424"/>
      <c r="P171" s="424"/>
      <c r="Q171" s="424"/>
      <c r="R171" s="424"/>
      <c r="S171" s="424"/>
      <c r="T171" s="424"/>
      <c r="U171" s="304"/>
      <c r="V171" s="304"/>
      <c r="X171" s="280" t="s">
        <v>720</v>
      </c>
      <c r="Y171" s="280" t="str">
        <f>IF(OR(L174&gt;100%, L174=0), "Ownership %", I167+I168)</f>
        <v>Ownership %</v>
      </c>
      <c r="Z171" s="304"/>
      <c r="AA171" s="304"/>
      <c r="AB171" s="304"/>
      <c r="AC171" s="304"/>
    </row>
    <row r="172" spans="2:29">
      <c r="B172" s="1229" t="s">
        <v>751</v>
      </c>
      <c r="C172" s="1230"/>
      <c r="D172" s="1230"/>
      <c r="E172" s="1230"/>
      <c r="F172" s="1230"/>
      <c r="G172" s="351"/>
      <c r="H172" s="351"/>
      <c r="I172" s="351"/>
      <c r="J172" s="352"/>
      <c r="L172" s="424"/>
      <c r="M172" s="424"/>
      <c r="N172" s="424"/>
      <c r="O172" s="424"/>
      <c r="P172" s="424"/>
      <c r="Q172" s="424"/>
      <c r="R172" s="424"/>
      <c r="S172" s="424"/>
      <c r="T172" s="424"/>
      <c r="U172" s="304"/>
      <c r="V172" s="304"/>
      <c r="Z172" s="304"/>
      <c r="AA172" s="304"/>
      <c r="AB172" s="304"/>
      <c r="AC172" s="304"/>
    </row>
    <row r="173" spans="2:29">
      <c r="B173" s="1243" t="s">
        <v>752</v>
      </c>
      <c r="C173" s="1244"/>
      <c r="D173" s="1244"/>
      <c r="E173" s="1244"/>
      <c r="F173" s="1245"/>
      <c r="G173" s="346"/>
      <c r="H173" s="359">
        <f>G173*H163</f>
        <v>0</v>
      </c>
      <c r="I173" s="346"/>
      <c r="J173" s="400">
        <f>I173*J163</f>
        <v>0</v>
      </c>
      <c r="L173" s="424"/>
      <c r="M173" s="424"/>
      <c r="N173" s="424"/>
      <c r="O173" s="424"/>
      <c r="P173" s="424"/>
      <c r="Q173" s="424"/>
      <c r="R173" s="424"/>
      <c r="S173" s="424"/>
      <c r="T173" s="424"/>
      <c r="U173" s="304"/>
      <c r="V173" s="304"/>
      <c r="X173" s="349" t="s">
        <v>596</v>
      </c>
      <c r="AA173" s="304"/>
      <c r="AB173" s="304"/>
      <c r="AC173" s="304"/>
    </row>
    <row r="174" spans="2:29">
      <c r="B174" s="1223" t="s">
        <v>753</v>
      </c>
      <c r="C174" s="1224"/>
      <c r="D174" s="1224"/>
      <c r="E174" s="1224"/>
      <c r="F174" s="1225"/>
      <c r="G174" s="346"/>
      <c r="H174" s="359">
        <f>G174*H163</f>
        <v>0</v>
      </c>
      <c r="I174" s="346"/>
      <c r="J174" s="400">
        <f>I174*J163</f>
        <v>0</v>
      </c>
      <c r="L174" s="424"/>
      <c r="M174" s="424"/>
      <c r="N174" s="424"/>
      <c r="O174" s="424"/>
      <c r="P174" s="424"/>
      <c r="Q174" s="424"/>
      <c r="R174" s="424"/>
      <c r="S174" s="424"/>
      <c r="T174" s="424"/>
      <c r="U174" s="304"/>
      <c r="V174" s="304"/>
      <c r="X174" s="349" t="s">
        <v>683</v>
      </c>
      <c r="AA174" s="304"/>
      <c r="AB174" s="304"/>
      <c r="AC174" s="304"/>
    </row>
    <row r="175" spans="2:29">
      <c r="B175" s="1223" t="s">
        <v>754</v>
      </c>
      <c r="C175" s="1224"/>
      <c r="D175" s="1224"/>
      <c r="E175" s="1224"/>
      <c r="F175" s="1225"/>
      <c r="G175" s="421"/>
      <c r="H175" s="359">
        <f>G175*H163</f>
        <v>0</v>
      </c>
      <c r="I175" s="421"/>
      <c r="J175" s="400">
        <f>I175*J163</f>
        <v>0</v>
      </c>
      <c r="L175" s="424"/>
      <c r="M175" s="424"/>
      <c r="N175" s="424"/>
      <c r="O175" s="424"/>
      <c r="P175" s="424"/>
      <c r="Q175" s="424"/>
      <c r="R175" s="424"/>
      <c r="S175" s="424"/>
      <c r="T175" s="424"/>
      <c r="U175" s="304"/>
      <c r="V175" s="304"/>
      <c r="X175" s="349" t="s">
        <v>599</v>
      </c>
      <c r="AA175" s="304"/>
      <c r="AB175" s="304"/>
      <c r="AC175" s="304"/>
    </row>
    <row r="176" spans="2:29">
      <c r="B176" s="1288" t="s">
        <v>755</v>
      </c>
      <c r="C176" s="1289"/>
      <c r="D176" s="1289"/>
      <c r="E176" s="1289"/>
      <c r="F176" s="1289"/>
      <c r="G176" s="1290"/>
      <c r="H176" s="1290"/>
      <c r="I176" s="1290"/>
      <c r="J176" s="1291"/>
      <c r="L176" s="424"/>
      <c r="M176" s="424"/>
      <c r="N176" s="424"/>
      <c r="O176" s="424"/>
      <c r="P176" s="424"/>
      <c r="Q176" s="424"/>
      <c r="R176" s="424"/>
      <c r="S176" s="424"/>
      <c r="T176" s="424"/>
      <c r="U176" s="304"/>
      <c r="V176" s="304"/>
      <c r="X176" s="349" t="s">
        <v>603</v>
      </c>
      <c r="AA176" s="304"/>
      <c r="AB176" s="304"/>
      <c r="AC176" s="304"/>
    </row>
    <row r="177" spans="2:41" ht="16.5" customHeight="1">
      <c r="B177" s="1292" t="s">
        <v>756</v>
      </c>
      <c r="C177" s="1293"/>
      <c r="D177" s="1293"/>
      <c r="E177" s="1293"/>
      <c r="F177" s="1294"/>
      <c r="G177" s="422"/>
      <c r="H177" s="401">
        <f>G177*H163</f>
        <v>0</v>
      </c>
      <c r="I177" s="422"/>
      <c r="J177" s="402">
        <f>I177*J163</f>
        <v>0</v>
      </c>
      <c r="L177" s="424"/>
      <c r="M177" s="424"/>
      <c r="N177" s="424"/>
      <c r="O177" s="424"/>
      <c r="P177" s="424"/>
      <c r="Q177" s="424"/>
      <c r="R177" s="424"/>
      <c r="S177" s="424"/>
      <c r="T177" s="424"/>
      <c r="U177" s="304"/>
      <c r="V177" s="304"/>
      <c r="X177" s="349" t="s">
        <v>605</v>
      </c>
      <c r="AA177" s="304"/>
      <c r="AB177" s="304"/>
      <c r="AC177" s="304"/>
    </row>
    <row r="178" spans="2:41">
      <c r="B178" s="1229" t="s">
        <v>757</v>
      </c>
      <c r="C178" s="1230"/>
      <c r="D178" s="1230"/>
      <c r="E178" s="1230"/>
      <c r="F178" s="1230"/>
      <c r="G178" s="351"/>
      <c r="H178" s="351"/>
      <c r="I178" s="351"/>
      <c r="J178" s="352"/>
      <c r="L178" s="424"/>
      <c r="M178" s="424"/>
      <c r="N178" s="424"/>
      <c r="O178" s="424"/>
      <c r="P178" s="424"/>
      <c r="Q178" s="424"/>
      <c r="R178" s="424"/>
      <c r="S178" s="424"/>
      <c r="T178" s="424"/>
      <c r="U178" s="304"/>
      <c r="V178" s="304"/>
      <c r="Z178" s="304"/>
      <c r="AA178" s="304"/>
      <c r="AB178" s="304"/>
      <c r="AC178" s="304"/>
    </row>
    <row r="179" spans="2:41" ht="30.75" customHeight="1">
      <c r="B179" s="1231" t="s">
        <v>758</v>
      </c>
      <c r="C179" s="1232"/>
      <c r="D179" s="1232"/>
      <c r="E179" s="1232"/>
      <c r="F179" s="1233"/>
      <c r="G179" s="399"/>
      <c r="H179" s="359">
        <f>(G179*H163)*-1</f>
        <v>0</v>
      </c>
      <c r="I179" s="399"/>
      <c r="J179" s="400">
        <f>(I179*J163)*-1</f>
        <v>0</v>
      </c>
      <c r="L179" s="424"/>
      <c r="M179" s="424"/>
      <c r="N179" s="424"/>
      <c r="O179" s="424"/>
      <c r="P179" s="424"/>
      <c r="Q179" s="424"/>
      <c r="R179" s="424"/>
      <c r="S179" s="424"/>
      <c r="T179" s="424"/>
      <c r="U179" s="304"/>
      <c r="V179" s="304"/>
      <c r="Z179" s="304"/>
      <c r="AA179" s="304"/>
      <c r="AB179" s="304"/>
      <c r="AC179" s="304"/>
    </row>
    <row r="180" spans="2:41" ht="31.5" customHeight="1">
      <c r="B180" s="1234" t="s">
        <v>759</v>
      </c>
      <c r="C180" s="1235"/>
      <c r="D180" s="1235"/>
      <c r="E180" s="1235"/>
      <c r="F180" s="1236"/>
      <c r="G180" s="346"/>
      <c r="H180" s="401">
        <f>(G180*H163)*-1</f>
        <v>0</v>
      </c>
      <c r="I180" s="346"/>
      <c r="J180" s="402">
        <f>(I180*J163)*-1</f>
        <v>0</v>
      </c>
      <c r="L180" s="424"/>
      <c r="M180" s="424"/>
      <c r="N180" s="424"/>
      <c r="O180" s="424"/>
      <c r="P180" s="424"/>
      <c r="Q180" s="424"/>
      <c r="R180" s="424"/>
      <c r="S180" s="424"/>
      <c r="T180" s="424"/>
      <c r="U180" s="304"/>
      <c r="V180" s="304"/>
      <c r="Z180" s="304"/>
      <c r="AA180" s="304"/>
      <c r="AB180" s="304"/>
      <c r="AC180" s="304"/>
      <c r="AD180" s="304"/>
      <c r="AE180" s="304"/>
      <c r="AF180" s="304"/>
      <c r="AG180" s="304"/>
      <c r="AH180" s="304"/>
      <c r="AI180" s="304"/>
      <c r="AJ180" s="304"/>
      <c r="AK180" s="304"/>
      <c r="AL180" s="304"/>
      <c r="AM180" s="304"/>
      <c r="AN180" s="304"/>
      <c r="AO180" s="304"/>
    </row>
    <row r="181" spans="2:41" ht="32.25" customHeight="1">
      <c r="B181" s="1158" t="s">
        <v>740</v>
      </c>
      <c r="C181" s="1287"/>
      <c r="D181" s="1287"/>
      <c r="E181" s="1287"/>
      <c r="F181" s="1287"/>
      <c r="G181" s="1156">
        <f>SUM(H165:H180)</f>
        <v>0</v>
      </c>
      <c r="H181" s="1155"/>
      <c r="I181" s="1214">
        <f>SUM(J165:J180)</f>
        <v>0</v>
      </c>
      <c r="J181" s="1216"/>
      <c r="L181" s="424"/>
      <c r="M181" s="424"/>
      <c r="N181" s="424"/>
      <c r="O181" s="424"/>
      <c r="P181" s="424"/>
      <c r="Q181" s="424"/>
      <c r="R181" s="424"/>
      <c r="S181" s="424"/>
      <c r="T181" s="424"/>
      <c r="U181" s="304"/>
      <c r="V181" s="304"/>
      <c r="Z181" s="304"/>
      <c r="AA181" s="304"/>
      <c r="AB181" s="304"/>
      <c r="AC181" s="304"/>
      <c r="AD181" s="304"/>
      <c r="AE181" s="304"/>
      <c r="AF181" s="304"/>
      <c r="AG181" s="304"/>
      <c r="AH181" s="304"/>
      <c r="AI181" s="304"/>
      <c r="AJ181" s="304"/>
      <c r="AK181" s="304"/>
      <c r="AL181" s="304"/>
      <c r="AM181" s="304"/>
      <c r="AN181" s="304"/>
      <c r="AO181" s="304"/>
    </row>
    <row r="182" spans="2:41" ht="21">
      <c r="B182" s="1217" t="s">
        <v>760</v>
      </c>
      <c r="C182" s="1218"/>
      <c r="D182" s="1218"/>
      <c r="E182" s="1218"/>
      <c r="F182" s="1219"/>
      <c r="G182" s="1282" t="str">
        <f>IF(OR(Y161=0, I181=0), "12 Month Average", "24 Month Average")</f>
        <v>12 Month Average</v>
      </c>
      <c r="H182" s="1283"/>
      <c r="I182" s="1283"/>
      <c r="J182" s="1284"/>
      <c r="L182" s="424"/>
      <c r="M182" s="424"/>
      <c r="N182" s="424"/>
      <c r="O182" s="424"/>
      <c r="P182" s="424"/>
      <c r="Q182" s="424"/>
      <c r="R182" s="424"/>
      <c r="S182" s="424"/>
      <c r="T182" s="424"/>
      <c r="U182" s="304"/>
      <c r="V182" s="304"/>
      <c r="Z182" s="304"/>
      <c r="AA182" s="304"/>
      <c r="AB182" s="304"/>
      <c r="AC182" s="304"/>
      <c r="AD182" s="304"/>
      <c r="AE182" s="304"/>
      <c r="AF182" s="304"/>
      <c r="AG182" s="304"/>
      <c r="AH182" s="304"/>
      <c r="AI182" s="304"/>
      <c r="AJ182" s="304"/>
      <c r="AK182" s="304"/>
      <c r="AL182" s="304"/>
      <c r="AM182" s="304"/>
      <c r="AN182" s="304"/>
      <c r="AO182" s="304"/>
    </row>
    <row r="183" spans="2:41" ht="34.5" thickBot="1">
      <c r="B183" s="1220" t="s">
        <v>697</v>
      </c>
      <c r="C183" s="1221"/>
      <c r="D183" s="1221"/>
      <c r="E183" s="1221"/>
      <c r="F183" s="1222"/>
      <c r="G183" s="1167">
        <f xml:space="preserve"> IF(OR(Y161=0, I181=0),Y163,Y164)</f>
        <v>0</v>
      </c>
      <c r="H183" s="1168"/>
      <c r="I183" s="1168"/>
      <c r="J183" s="1169"/>
      <c r="N183" s="304"/>
      <c r="O183" s="304"/>
      <c r="P183" s="304"/>
      <c r="Q183" s="304"/>
      <c r="R183" s="304"/>
      <c r="S183" s="304"/>
      <c r="T183" s="304"/>
      <c r="U183" s="304"/>
      <c r="V183" s="304"/>
      <c r="Z183" s="304"/>
      <c r="AA183" s="304"/>
      <c r="AB183" s="304"/>
      <c r="AC183" s="304"/>
      <c r="AD183" s="304"/>
      <c r="AE183" s="304"/>
      <c r="AF183" s="304"/>
      <c r="AG183" s="304"/>
      <c r="AH183" s="304"/>
      <c r="AI183" s="304"/>
      <c r="AJ183" s="304"/>
      <c r="AK183" s="304"/>
      <c r="AL183" s="304"/>
      <c r="AM183" s="304"/>
      <c r="AN183" s="304"/>
      <c r="AO183" s="304"/>
    </row>
    <row r="184" spans="2:41" s="304" customFormat="1" ht="3" customHeight="1" thickBot="1">
      <c r="B184" s="78"/>
      <c r="C184" s="78"/>
      <c r="D184" s="78"/>
      <c r="E184" s="78"/>
      <c r="F184" s="78"/>
      <c r="G184" s="78"/>
      <c r="H184" s="330"/>
      <c r="I184" s="330"/>
      <c r="J184" s="78"/>
      <c r="W184" s="280"/>
      <c r="X184" s="280"/>
      <c r="Y184" s="280"/>
    </row>
    <row r="185" spans="2:41" s="304" customFormat="1" ht="135" customHeight="1" thickBot="1">
      <c r="B185" s="1148" t="s">
        <v>761</v>
      </c>
      <c r="C185" s="1285"/>
      <c r="D185" s="1285"/>
      <c r="E185" s="1285"/>
      <c r="F185" s="1285"/>
      <c r="G185" s="1285"/>
      <c r="H185" s="1285"/>
      <c r="I185" s="1285"/>
      <c r="J185" s="1286"/>
      <c r="W185" s="280"/>
      <c r="X185" s="280"/>
      <c r="Y185" s="280"/>
    </row>
    <row r="186" spans="2:41" s="280" customFormat="1">
      <c r="B186" s="423"/>
      <c r="C186" s="423"/>
      <c r="D186" s="423"/>
      <c r="E186" s="423"/>
      <c r="F186" s="423"/>
      <c r="G186" s="423"/>
      <c r="H186" s="423"/>
      <c r="I186" s="423"/>
      <c r="J186" s="423"/>
    </row>
    <row r="187" spans="2:41" ht="13.5" customHeight="1" thickBot="1"/>
    <row r="188" spans="2:41" s="404" customFormat="1" ht="69" customHeight="1">
      <c r="B188" s="1187" t="s">
        <v>741</v>
      </c>
      <c r="C188" s="1188"/>
      <c r="D188" s="1188"/>
      <c r="E188" s="1188"/>
      <c r="F188" s="1188"/>
      <c r="G188" s="1188"/>
      <c r="H188" s="1188"/>
      <c r="I188" s="1188"/>
      <c r="J188" s="331" t="str">
        <f>'[3]Reference Sheet'!$B$2</f>
        <v>Rev. 4.12.2016</v>
      </c>
      <c r="L188" s="424"/>
      <c r="M188" s="424"/>
      <c r="N188" s="424"/>
      <c r="O188" s="424"/>
      <c r="P188" s="424"/>
      <c r="Q188" s="424"/>
      <c r="R188" s="424"/>
      <c r="S188" s="424"/>
      <c r="T188" s="424"/>
      <c r="U188" s="367"/>
      <c r="V188" s="367"/>
      <c r="W188" s="405"/>
      <c r="X188" s="405"/>
      <c r="Y188" s="405"/>
      <c r="Z188" s="367"/>
      <c r="AA188" s="367"/>
      <c r="AB188" s="367"/>
      <c r="AC188" s="367"/>
    </row>
    <row r="189" spans="2:41" s="404" customFormat="1" ht="16.5" customHeight="1" thickBot="1">
      <c r="B189" s="332"/>
      <c r="C189" s="368" t="s">
        <v>710</v>
      </c>
      <c r="D189" s="1310"/>
      <c r="E189" s="1311"/>
      <c r="F189" s="1311"/>
      <c r="G189" s="1311"/>
      <c r="H189" s="333"/>
      <c r="I189" s="333"/>
      <c r="J189" s="334"/>
      <c r="L189" s="424"/>
      <c r="M189" s="424"/>
      <c r="N189" s="424"/>
      <c r="O189" s="424"/>
      <c r="P189" s="424"/>
      <c r="Q189" s="424"/>
      <c r="R189" s="424"/>
      <c r="S189" s="424"/>
      <c r="T189" s="424"/>
      <c r="U189" s="367"/>
      <c r="V189" s="367"/>
      <c r="W189" s="280"/>
      <c r="X189" s="280"/>
      <c r="Y189" s="280"/>
      <c r="Z189" s="304"/>
      <c r="AA189" s="304"/>
      <c r="AB189" s="367"/>
      <c r="AC189" s="367"/>
    </row>
    <row r="190" spans="2:41" s="404" customFormat="1" ht="15" customHeight="1" thickBot="1">
      <c r="B190" s="332"/>
      <c r="C190" s="368" t="s">
        <v>711</v>
      </c>
      <c r="D190" s="1312"/>
      <c r="E190" s="1313"/>
      <c r="F190" s="1313"/>
      <c r="G190" s="1313"/>
      <c r="H190" s="368" t="s">
        <v>712</v>
      </c>
      <c r="I190" s="1310"/>
      <c r="J190" s="1314"/>
      <c r="L190" s="424"/>
      <c r="M190" s="424"/>
      <c r="N190" s="424"/>
      <c r="O190" s="424"/>
      <c r="P190" s="424"/>
      <c r="Q190" s="424"/>
      <c r="R190" s="424"/>
      <c r="S190" s="424"/>
      <c r="T190" s="424"/>
      <c r="U190" s="367"/>
      <c r="V190" s="367"/>
      <c r="W190" s="280"/>
      <c r="X190" s="280" t="s">
        <v>680</v>
      </c>
      <c r="Y190" s="280">
        <f>IF(AND(J194=0, J196=0, J204=0, J205=0, J208=0, J210=0, I212=0), 0, 1)</f>
        <v>0</v>
      </c>
      <c r="Z190" s="304"/>
      <c r="AA190" s="304"/>
      <c r="AB190" s="367"/>
      <c r="AC190" s="367"/>
    </row>
    <row r="191" spans="2:41" ht="16.5" thickBot="1">
      <c r="B191" s="1176" t="s">
        <v>671</v>
      </c>
      <c r="C191" s="1177"/>
      <c r="D191" s="1315"/>
      <c r="E191" s="1316"/>
      <c r="F191" s="1316"/>
      <c r="G191" s="1316"/>
      <c r="H191" s="336" t="s">
        <v>673</v>
      </c>
      <c r="I191" s="1315"/>
      <c r="J191" s="1317"/>
      <c r="L191" s="424"/>
      <c r="M191" s="424"/>
      <c r="N191" s="424"/>
      <c r="O191" s="424"/>
      <c r="P191" s="424"/>
      <c r="Q191" s="424"/>
      <c r="R191" s="424"/>
      <c r="S191" s="424"/>
      <c r="T191" s="424"/>
      <c r="U191" s="304"/>
      <c r="V191" s="304"/>
      <c r="X191" s="280" t="s">
        <v>682</v>
      </c>
      <c r="Y191" s="280">
        <f>IF(AND(G212&lt;=I212, I212&lt;&gt;0), 0, 1)</f>
        <v>1</v>
      </c>
      <c r="Z191" s="304"/>
      <c r="AA191" s="304"/>
      <c r="AB191" s="304"/>
      <c r="AC191" s="304"/>
    </row>
    <row r="192" spans="2:41" ht="16.5" customHeight="1" thickBot="1">
      <c r="B192" s="1176" t="s">
        <v>674</v>
      </c>
      <c r="C192" s="1177"/>
      <c r="D192" s="1262"/>
      <c r="E192" s="1263"/>
      <c r="F192" s="1263"/>
      <c r="G192" s="1263"/>
      <c r="H192" s="1263"/>
      <c r="I192" s="1263"/>
      <c r="J192" s="1264"/>
      <c r="L192" s="424"/>
      <c r="M192" s="424"/>
      <c r="N192" s="424"/>
      <c r="O192" s="424"/>
      <c r="P192" s="424"/>
      <c r="Q192" s="424"/>
      <c r="R192" s="424"/>
      <c r="S192" s="424"/>
      <c r="T192" s="424"/>
      <c r="U192" s="304"/>
      <c r="V192" s="304"/>
      <c r="X192" s="280" t="s">
        <v>685</v>
      </c>
      <c r="Y192" s="280">
        <f>IF(AND(Y191=0, Y190=1), 0, 1)</f>
        <v>1</v>
      </c>
      <c r="Z192" s="304"/>
      <c r="AA192" s="304"/>
      <c r="AB192" s="304"/>
      <c r="AC192" s="304"/>
    </row>
    <row r="193" spans="2:29" ht="16.5" customHeight="1">
      <c r="B193" s="1265"/>
      <c r="C193" s="1266"/>
      <c r="D193" s="1266"/>
      <c r="E193" s="1266"/>
      <c r="F193" s="1267"/>
      <c r="G193" s="406" t="s">
        <v>713</v>
      </c>
      <c r="H193" s="372" t="s">
        <v>676</v>
      </c>
      <c r="I193" s="377"/>
      <c r="J193" s="407" t="s">
        <v>677</v>
      </c>
      <c r="L193" s="424"/>
      <c r="M193" s="424"/>
      <c r="N193" s="424"/>
      <c r="O193" s="424"/>
      <c r="P193" s="424"/>
      <c r="Q193" s="424"/>
      <c r="R193" s="424"/>
      <c r="S193" s="424"/>
      <c r="T193" s="424"/>
      <c r="U193" s="304"/>
      <c r="V193" s="304"/>
      <c r="Z193" s="304"/>
      <c r="AA193" s="304"/>
      <c r="AB193" s="304"/>
      <c r="AC193" s="304"/>
    </row>
    <row r="194" spans="2:29" ht="16.5" customHeight="1" thickBot="1">
      <c r="B194" s="1269"/>
      <c r="C194" s="1270"/>
      <c r="D194" s="1270"/>
      <c r="E194" s="1270"/>
      <c r="F194" s="1271"/>
      <c r="G194" s="408" t="s">
        <v>743</v>
      </c>
      <c r="H194" s="409"/>
      <c r="I194" s="377"/>
      <c r="J194" s="410"/>
      <c r="L194" s="424"/>
      <c r="M194" s="424"/>
      <c r="N194" s="424"/>
      <c r="O194" s="424"/>
      <c r="P194" s="424"/>
      <c r="Q194" s="424"/>
      <c r="R194" s="424"/>
      <c r="S194" s="424"/>
      <c r="T194" s="424"/>
      <c r="U194" s="304"/>
      <c r="V194" s="304"/>
      <c r="X194" s="280" t="s">
        <v>689</v>
      </c>
      <c r="Y194" s="362">
        <f>G212/12</f>
        <v>0</v>
      </c>
      <c r="Z194" s="304"/>
      <c r="AA194" s="304"/>
      <c r="AB194" s="304"/>
      <c r="AC194" s="304"/>
    </row>
    <row r="195" spans="2:29">
      <c r="B195" s="1229" t="s">
        <v>744</v>
      </c>
      <c r="C195" s="1273"/>
      <c r="D195" s="1273"/>
      <c r="E195" s="1273"/>
      <c r="F195" s="1273"/>
      <c r="G195" s="377" t="s">
        <v>719</v>
      </c>
      <c r="H195" s="381"/>
      <c r="I195" s="386" t="s">
        <v>719</v>
      </c>
      <c r="J195" s="382"/>
      <c r="L195" s="424"/>
      <c r="M195" s="424"/>
      <c r="N195" s="424"/>
      <c r="O195" s="424"/>
      <c r="P195" s="424"/>
      <c r="Q195" s="424"/>
      <c r="R195" s="424"/>
      <c r="S195" s="424"/>
      <c r="T195" s="424"/>
      <c r="U195" s="304"/>
      <c r="V195" s="304"/>
      <c r="X195" s="280" t="s">
        <v>691</v>
      </c>
      <c r="Y195" s="362">
        <f>(G212+I212)/24</f>
        <v>0</v>
      </c>
      <c r="Z195" s="304"/>
      <c r="AA195" s="304"/>
      <c r="AB195" s="304"/>
      <c r="AC195" s="304"/>
    </row>
    <row r="196" spans="2:29">
      <c r="B196" s="1305" t="s">
        <v>745</v>
      </c>
      <c r="C196" s="1306"/>
      <c r="D196" s="1306"/>
      <c r="E196" s="1306"/>
      <c r="F196" s="1307"/>
      <c r="G196" s="346"/>
      <c r="H196" s="359">
        <f>G196</f>
        <v>0</v>
      </c>
      <c r="I196" s="411"/>
      <c r="J196" s="400">
        <f>I196</f>
        <v>0</v>
      </c>
      <c r="L196" s="424"/>
      <c r="M196" s="424"/>
      <c r="N196" s="424"/>
      <c r="O196" s="424"/>
      <c r="P196" s="424"/>
      <c r="Q196" s="424"/>
      <c r="R196" s="424"/>
      <c r="S196" s="424"/>
      <c r="T196" s="424"/>
      <c r="U196" s="304"/>
      <c r="V196" s="304"/>
      <c r="Z196" s="304"/>
      <c r="AA196" s="304"/>
      <c r="AB196" s="304"/>
      <c r="AC196" s="304"/>
    </row>
    <row r="197" spans="2:29">
      <c r="B197" s="1308" t="s">
        <v>722</v>
      </c>
      <c r="C197" s="1309"/>
      <c r="D197" s="1309"/>
      <c r="E197" s="1309"/>
      <c r="F197" s="1309"/>
      <c r="G197" s="412"/>
      <c r="H197" s="413"/>
      <c r="I197" s="414"/>
      <c r="J197" s="415"/>
      <c r="L197" s="424"/>
      <c r="M197" s="424"/>
      <c r="N197" s="424"/>
      <c r="O197" s="424"/>
      <c r="P197" s="424"/>
      <c r="Q197" s="424"/>
      <c r="R197" s="424"/>
      <c r="S197" s="424"/>
      <c r="T197" s="424"/>
      <c r="U197" s="304"/>
      <c r="V197" s="304"/>
      <c r="Z197" s="304"/>
      <c r="AA197" s="304"/>
      <c r="AB197" s="304"/>
      <c r="AC197" s="304"/>
    </row>
    <row r="198" spans="2:29">
      <c r="B198" s="1248" t="s">
        <v>746</v>
      </c>
      <c r="C198" s="1249"/>
      <c r="D198" s="1249"/>
      <c r="E198" s="1249"/>
      <c r="F198" s="1250"/>
      <c r="G198" s="346"/>
      <c r="H198" s="387" t="str">
        <f>IF(OR(H194=0, H194&gt;100%), "Ownership %", (G198+G199))</f>
        <v>Ownership %</v>
      </c>
      <c r="I198" s="346"/>
      <c r="J198" s="388" t="str">
        <f>IF(OR(J194=0, J194&gt;100%), "Ownership %", (I198+I199))</f>
        <v>Ownership %</v>
      </c>
      <c r="L198" s="424"/>
      <c r="M198" s="424"/>
      <c r="N198" s="424"/>
      <c r="O198" s="424"/>
      <c r="P198" s="424"/>
      <c r="Q198" s="424"/>
      <c r="R198" s="424"/>
      <c r="S198" s="424"/>
      <c r="T198" s="424"/>
      <c r="U198" s="304"/>
      <c r="V198" s="304"/>
      <c r="X198" s="280" t="str">
        <f>IF(OR(Y192=0, I212=0), "12 Month Average", "24 Month Average")</f>
        <v>12 Month Average</v>
      </c>
      <c r="Z198" s="304"/>
      <c r="AA198" s="304"/>
      <c r="AB198" s="304"/>
      <c r="AC198" s="304"/>
    </row>
    <row r="199" spans="2:29">
      <c r="B199" s="1295" t="s">
        <v>747</v>
      </c>
      <c r="C199" s="1296"/>
      <c r="D199" s="1296"/>
      <c r="E199" s="1296"/>
      <c r="F199" s="1296"/>
      <c r="G199" s="346"/>
      <c r="H199" s="389"/>
      <c r="I199" s="346"/>
      <c r="J199" s="390"/>
      <c r="L199" s="424"/>
      <c r="M199" s="424"/>
      <c r="N199" s="424"/>
      <c r="O199" s="424"/>
      <c r="P199" s="424"/>
      <c r="Q199" s="424"/>
      <c r="R199" s="424"/>
      <c r="S199" s="424"/>
      <c r="T199" s="424"/>
      <c r="U199" s="304"/>
      <c r="V199" s="304"/>
      <c r="X199" s="280">
        <f xml:space="preserve"> IF(OR(Y192=0, I212=0),Y194,Y195)</f>
        <v>0</v>
      </c>
      <c r="Z199" s="304"/>
      <c r="AA199" s="304"/>
      <c r="AB199" s="304"/>
      <c r="AC199" s="304"/>
    </row>
    <row r="200" spans="2:29">
      <c r="B200" s="1297" t="s">
        <v>748</v>
      </c>
      <c r="C200" s="1298"/>
      <c r="D200" s="1298"/>
      <c r="E200" s="1298"/>
      <c r="F200" s="1298"/>
      <c r="G200" s="416"/>
      <c r="H200" s="416"/>
      <c r="I200" s="416"/>
      <c r="J200" s="417"/>
      <c r="L200" s="424"/>
      <c r="M200" s="424"/>
      <c r="N200" s="424"/>
      <c r="O200" s="424"/>
      <c r="P200" s="424"/>
      <c r="Q200" s="424"/>
      <c r="R200" s="424"/>
      <c r="S200" s="424"/>
      <c r="T200" s="424"/>
      <c r="U200" s="304"/>
      <c r="V200" s="304"/>
      <c r="Z200" s="304"/>
      <c r="AA200" s="304"/>
      <c r="AB200" s="304"/>
      <c r="AC200" s="304"/>
    </row>
    <row r="201" spans="2:29">
      <c r="B201" s="1299" t="s">
        <v>749</v>
      </c>
      <c r="C201" s="1300"/>
      <c r="D201" s="1300"/>
      <c r="E201" s="1300"/>
      <c r="F201" s="1301"/>
      <c r="G201" s="418"/>
      <c r="H201" s="419">
        <f>(G201*H194)*-1</f>
        <v>0</v>
      </c>
      <c r="I201" s="418"/>
      <c r="J201" s="420">
        <f>(I201*J194)*-1</f>
        <v>0</v>
      </c>
      <c r="L201" s="424"/>
      <c r="M201" s="424"/>
      <c r="N201" s="424"/>
      <c r="O201" s="424"/>
      <c r="P201" s="424"/>
      <c r="Q201" s="424"/>
      <c r="R201" s="424"/>
      <c r="S201" s="424"/>
      <c r="T201" s="424"/>
      <c r="U201" s="304"/>
      <c r="V201" s="304"/>
      <c r="X201" s="280" t="s">
        <v>717</v>
      </c>
      <c r="Y201" s="280" t="str">
        <f>IF(OR(H194=0, H194&gt;100%), "Ownership %", (G198+G199))</f>
        <v>Ownership %</v>
      </c>
      <c r="Z201" s="304"/>
      <c r="AA201" s="304"/>
      <c r="AB201" s="304"/>
      <c r="AC201" s="304"/>
    </row>
    <row r="202" spans="2:29">
      <c r="B202" s="1302" t="s">
        <v>750</v>
      </c>
      <c r="C202" s="1303"/>
      <c r="D202" s="1303"/>
      <c r="E202" s="1303"/>
      <c r="F202" s="1304"/>
      <c r="G202" s="418"/>
      <c r="H202" s="419">
        <f>(G202*H194)*-1</f>
        <v>0</v>
      </c>
      <c r="I202" s="418"/>
      <c r="J202" s="420">
        <f>(I202*J194)*-1</f>
        <v>0</v>
      </c>
      <c r="L202" s="424"/>
      <c r="M202" s="424"/>
      <c r="N202" s="424"/>
      <c r="O202" s="424"/>
      <c r="P202" s="424"/>
      <c r="Q202" s="424"/>
      <c r="R202" s="424"/>
      <c r="S202" s="424"/>
      <c r="T202" s="424"/>
      <c r="U202" s="304"/>
      <c r="V202" s="304"/>
      <c r="X202" s="280" t="s">
        <v>720</v>
      </c>
      <c r="Y202" s="280" t="str">
        <f>IF(OR(L205&gt;100%, L205=0), "Ownership %", I198+I199)</f>
        <v>Ownership %</v>
      </c>
      <c r="Z202" s="304"/>
      <c r="AA202" s="304"/>
      <c r="AB202" s="304"/>
      <c r="AC202" s="304"/>
    </row>
    <row r="203" spans="2:29">
      <c r="B203" s="1229" t="s">
        <v>751</v>
      </c>
      <c r="C203" s="1230"/>
      <c r="D203" s="1230"/>
      <c r="E203" s="1230"/>
      <c r="F203" s="1230"/>
      <c r="G203" s="351"/>
      <c r="H203" s="351"/>
      <c r="I203" s="351"/>
      <c r="J203" s="352"/>
      <c r="L203" s="424"/>
      <c r="M203" s="424"/>
      <c r="N203" s="424"/>
      <c r="O203" s="424"/>
      <c r="P203" s="424"/>
      <c r="Q203" s="424"/>
      <c r="R203" s="424"/>
      <c r="S203" s="424"/>
      <c r="T203" s="424"/>
      <c r="U203" s="304"/>
      <c r="V203" s="304"/>
      <c r="Z203" s="304"/>
      <c r="AA203" s="304"/>
      <c r="AB203" s="304"/>
      <c r="AC203" s="304"/>
    </row>
    <row r="204" spans="2:29">
      <c r="B204" s="1243" t="s">
        <v>752</v>
      </c>
      <c r="C204" s="1244"/>
      <c r="D204" s="1244"/>
      <c r="E204" s="1244"/>
      <c r="F204" s="1245"/>
      <c r="G204" s="346"/>
      <c r="H204" s="359">
        <f>G204*H194</f>
        <v>0</v>
      </c>
      <c r="I204" s="346"/>
      <c r="J204" s="400">
        <f>I204*J194</f>
        <v>0</v>
      </c>
      <c r="L204" s="424"/>
      <c r="M204" s="424"/>
      <c r="N204" s="424"/>
      <c r="O204" s="424"/>
      <c r="P204" s="424"/>
      <c r="Q204" s="424"/>
      <c r="R204" s="424"/>
      <c r="S204" s="424"/>
      <c r="T204" s="424"/>
      <c r="U204" s="304"/>
      <c r="V204" s="304"/>
      <c r="X204" s="349" t="s">
        <v>596</v>
      </c>
      <c r="AA204" s="304"/>
      <c r="AB204" s="304"/>
      <c r="AC204" s="304"/>
    </row>
    <row r="205" spans="2:29">
      <c r="B205" s="1223" t="s">
        <v>753</v>
      </c>
      <c r="C205" s="1224"/>
      <c r="D205" s="1224"/>
      <c r="E205" s="1224"/>
      <c r="F205" s="1225"/>
      <c r="G205" s="346"/>
      <c r="H205" s="359">
        <f>G205*H194</f>
        <v>0</v>
      </c>
      <c r="I205" s="346"/>
      <c r="J205" s="400">
        <f>I205*J194</f>
        <v>0</v>
      </c>
      <c r="L205" s="424"/>
      <c r="M205" s="424"/>
      <c r="N205" s="424"/>
      <c r="O205" s="424"/>
      <c r="P205" s="424"/>
      <c r="Q205" s="424"/>
      <c r="R205" s="424"/>
      <c r="S205" s="424"/>
      <c r="T205" s="424"/>
      <c r="U205" s="304"/>
      <c r="V205" s="304"/>
      <c r="X205" s="349" t="s">
        <v>683</v>
      </c>
      <c r="AA205" s="304"/>
      <c r="AB205" s="304"/>
      <c r="AC205" s="304"/>
    </row>
    <row r="206" spans="2:29">
      <c r="B206" s="1223" t="s">
        <v>754</v>
      </c>
      <c r="C206" s="1224"/>
      <c r="D206" s="1224"/>
      <c r="E206" s="1224"/>
      <c r="F206" s="1225"/>
      <c r="G206" s="421"/>
      <c r="H206" s="359">
        <f>G206*H194</f>
        <v>0</v>
      </c>
      <c r="I206" s="421"/>
      <c r="J206" s="400">
        <f>I206*J194</f>
        <v>0</v>
      </c>
      <c r="L206" s="424"/>
      <c r="M206" s="424"/>
      <c r="N206" s="424"/>
      <c r="O206" s="424"/>
      <c r="P206" s="424"/>
      <c r="Q206" s="424"/>
      <c r="R206" s="424"/>
      <c r="S206" s="424"/>
      <c r="T206" s="424"/>
      <c r="U206" s="304"/>
      <c r="V206" s="304"/>
      <c r="X206" s="349" t="s">
        <v>599</v>
      </c>
      <c r="AA206" s="304"/>
      <c r="AB206" s="304"/>
      <c r="AC206" s="304"/>
    </row>
    <row r="207" spans="2:29">
      <c r="B207" s="1288" t="s">
        <v>755</v>
      </c>
      <c r="C207" s="1289"/>
      <c r="D207" s="1289"/>
      <c r="E207" s="1289"/>
      <c r="F207" s="1289"/>
      <c r="G207" s="1290"/>
      <c r="H207" s="1290"/>
      <c r="I207" s="1290"/>
      <c r="J207" s="1291"/>
      <c r="L207" s="424"/>
      <c r="M207" s="424"/>
      <c r="N207" s="424"/>
      <c r="O207" s="424"/>
      <c r="P207" s="424"/>
      <c r="Q207" s="424"/>
      <c r="R207" s="424"/>
      <c r="S207" s="424"/>
      <c r="T207" s="424"/>
      <c r="U207" s="304"/>
      <c r="V207" s="304"/>
      <c r="X207" s="349" t="s">
        <v>603</v>
      </c>
      <c r="AA207" s="304"/>
      <c r="AB207" s="304"/>
      <c r="AC207" s="304"/>
    </row>
    <row r="208" spans="2:29" ht="16.5" customHeight="1">
      <c r="B208" s="1292" t="s">
        <v>756</v>
      </c>
      <c r="C208" s="1293"/>
      <c r="D208" s="1293"/>
      <c r="E208" s="1293"/>
      <c r="F208" s="1294"/>
      <c r="G208" s="422"/>
      <c r="H208" s="401">
        <f>G208*H194</f>
        <v>0</v>
      </c>
      <c r="I208" s="422"/>
      <c r="J208" s="402">
        <f>I208*J194</f>
        <v>0</v>
      </c>
      <c r="L208" s="424"/>
      <c r="M208" s="424"/>
      <c r="N208" s="424"/>
      <c r="O208" s="424"/>
      <c r="P208" s="424"/>
      <c r="Q208" s="424"/>
      <c r="R208" s="424"/>
      <c r="S208" s="424"/>
      <c r="T208" s="424"/>
      <c r="U208" s="304"/>
      <c r="V208" s="304"/>
      <c r="X208" s="349" t="s">
        <v>605</v>
      </c>
      <c r="AA208" s="304"/>
      <c r="AB208" s="304"/>
      <c r="AC208" s="304"/>
    </row>
    <row r="209" spans="2:41">
      <c r="B209" s="1229" t="s">
        <v>757</v>
      </c>
      <c r="C209" s="1230"/>
      <c r="D209" s="1230"/>
      <c r="E209" s="1230"/>
      <c r="F209" s="1230"/>
      <c r="G209" s="351"/>
      <c r="H209" s="351"/>
      <c r="I209" s="351"/>
      <c r="J209" s="352"/>
      <c r="L209" s="424"/>
      <c r="M209" s="424"/>
      <c r="N209" s="424"/>
      <c r="O209" s="424"/>
      <c r="P209" s="424"/>
      <c r="Q209" s="424"/>
      <c r="R209" s="424"/>
      <c r="S209" s="424"/>
      <c r="T209" s="424"/>
      <c r="U209" s="304"/>
      <c r="V209" s="304"/>
      <c r="Z209" s="304"/>
      <c r="AA209" s="304"/>
      <c r="AB209" s="304"/>
      <c r="AC209" s="304"/>
    </row>
    <row r="210" spans="2:41" ht="30.75" customHeight="1">
      <c r="B210" s="1231" t="s">
        <v>758</v>
      </c>
      <c r="C210" s="1232"/>
      <c r="D210" s="1232"/>
      <c r="E210" s="1232"/>
      <c r="F210" s="1233"/>
      <c r="G210" s="399"/>
      <c r="H210" s="359">
        <f>(G210*H194)*-1</f>
        <v>0</v>
      </c>
      <c r="I210" s="399"/>
      <c r="J210" s="400">
        <f>(I210*J194)*-1</f>
        <v>0</v>
      </c>
      <c r="L210" s="424"/>
      <c r="M210" s="424"/>
      <c r="N210" s="424"/>
      <c r="O210" s="424"/>
      <c r="P210" s="424"/>
      <c r="Q210" s="424"/>
      <c r="R210" s="424"/>
      <c r="S210" s="424"/>
      <c r="T210" s="424"/>
      <c r="U210" s="304"/>
      <c r="V210" s="304"/>
      <c r="Z210" s="304"/>
      <c r="AA210" s="304"/>
      <c r="AB210" s="304"/>
      <c r="AC210" s="304"/>
    </row>
    <row r="211" spans="2:41" ht="31.5" customHeight="1">
      <c r="B211" s="1234" t="s">
        <v>759</v>
      </c>
      <c r="C211" s="1235"/>
      <c r="D211" s="1235"/>
      <c r="E211" s="1235"/>
      <c r="F211" s="1236"/>
      <c r="G211" s="346"/>
      <c r="H211" s="401">
        <f>(G211*H194)*-1</f>
        <v>0</v>
      </c>
      <c r="I211" s="346"/>
      <c r="J211" s="402">
        <f>(I211*J194)*-1</f>
        <v>0</v>
      </c>
      <c r="L211" s="424"/>
      <c r="M211" s="424"/>
      <c r="N211" s="424"/>
      <c r="O211" s="424"/>
      <c r="P211" s="424"/>
      <c r="Q211" s="424"/>
      <c r="R211" s="424"/>
      <c r="S211" s="424"/>
      <c r="T211" s="424"/>
      <c r="U211" s="304"/>
      <c r="V211" s="304"/>
      <c r="Z211" s="304"/>
      <c r="AA211" s="304"/>
      <c r="AB211" s="304"/>
      <c r="AC211" s="304"/>
      <c r="AD211" s="304"/>
      <c r="AE211" s="304"/>
      <c r="AF211" s="304"/>
      <c r="AG211" s="304"/>
      <c r="AH211" s="304"/>
      <c r="AI211" s="304"/>
      <c r="AJ211" s="304"/>
      <c r="AK211" s="304"/>
      <c r="AL211" s="304"/>
      <c r="AM211" s="304"/>
      <c r="AN211" s="304"/>
      <c r="AO211" s="304"/>
    </row>
    <row r="212" spans="2:41" ht="32.25" customHeight="1">
      <c r="B212" s="1158" t="s">
        <v>740</v>
      </c>
      <c r="C212" s="1287"/>
      <c r="D212" s="1287"/>
      <c r="E212" s="1287"/>
      <c r="F212" s="1287"/>
      <c r="G212" s="1156">
        <f>SUM(H196:H211)</f>
        <v>0</v>
      </c>
      <c r="H212" s="1155"/>
      <c r="I212" s="1214">
        <f>SUM(J196:J211)</f>
        <v>0</v>
      </c>
      <c r="J212" s="1216"/>
      <c r="L212" s="424"/>
      <c r="M212" s="424"/>
      <c r="N212" s="424"/>
      <c r="O212" s="424"/>
      <c r="P212" s="424"/>
      <c r="Q212" s="424"/>
      <c r="R212" s="424"/>
      <c r="S212" s="424"/>
      <c r="T212" s="424"/>
      <c r="U212" s="304"/>
      <c r="V212" s="304"/>
      <c r="Z212" s="304"/>
      <c r="AA212" s="304"/>
      <c r="AB212" s="304"/>
      <c r="AC212" s="304"/>
      <c r="AD212" s="304"/>
      <c r="AE212" s="304"/>
      <c r="AF212" s="304"/>
      <c r="AG212" s="304"/>
      <c r="AH212" s="304"/>
      <c r="AI212" s="304"/>
      <c r="AJ212" s="304"/>
      <c r="AK212" s="304"/>
      <c r="AL212" s="304"/>
      <c r="AM212" s="304"/>
      <c r="AN212" s="304"/>
      <c r="AO212" s="304"/>
    </row>
    <row r="213" spans="2:41" ht="21">
      <c r="B213" s="1217" t="s">
        <v>760</v>
      </c>
      <c r="C213" s="1218"/>
      <c r="D213" s="1218"/>
      <c r="E213" s="1218"/>
      <c r="F213" s="1219"/>
      <c r="G213" s="1282" t="str">
        <f>IF(OR(Y192=0, I212=0), "12 Month Average", "24 Month Average")</f>
        <v>12 Month Average</v>
      </c>
      <c r="H213" s="1283"/>
      <c r="I213" s="1283"/>
      <c r="J213" s="1284"/>
      <c r="L213" s="424"/>
      <c r="M213" s="424"/>
      <c r="N213" s="424"/>
      <c r="O213" s="424"/>
      <c r="P213" s="424"/>
      <c r="Q213" s="424"/>
      <c r="R213" s="424"/>
      <c r="S213" s="424"/>
      <c r="T213" s="424"/>
      <c r="U213" s="304"/>
      <c r="V213" s="304"/>
      <c r="Z213" s="304"/>
      <c r="AA213" s="304"/>
      <c r="AB213" s="304"/>
      <c r="AC213" s="304"/>
      <c r="AD213" s="304"/>
      <c r="AE213" s="304"/>
      <c r="AF213" s="304"/>
      <c r="AG213" s="304"/>
      <c r="AH213" s="304"/>
      <c r="AI213" s="304"/>
      <c r="AJ213" s="304"/>
      <c r="AK213" s="304"/>
      <c r="AL213" s="304"/>
      <c r="AM213" s="304"/>
      <c r="AN213" s="304"/>
      <c r="AO213" s="304"/>
    </row>
    <row r="214" spans="2:41" ht="34.5" thickBot="1">
      <c r="B214" s="1220" t="s">
        <v>697</v>
      </c>
      <c r="C214" s="1221"/>
      <c r="D214" s="1221"/>
      <c r="E214" s="1221"/>
      <c r="F214" s="1222"/>
      <c r="G214" s="1167">
        <f xml:space="preserve"> IF(OR(Y192=0, I212=0),Y194,Y195)</f>
        <v>0</v>
      </c>
      <c r="H214" s="1168"/>
      <c r="I214" s="1168"/>
      <c r="J214" s="1169"/>
      <c r="N214" s="304"/>
      <c r="O214" s="304"/>
      <c r="P214" s="304"/>
      <c r="Q214" s="304"/>
      <c r="R214" s="304"/>
      <c r="S214" s="304"/>
      <c r="T214" s="304"/>
      <c r="U214" s="304"/>
      <c r="V214" s="304"/>
      <c r="Z214" s="304"/>
      <c r="AA214" s="304"/>
      <c r="AB214" s="304"/>
      <c r="AC214" s="304"/>
      <c r="AD214" s="304"/>
      <c r="AE214" s="304"/>
      <c r="AF214" s="304"/>
      <c r="AG214" s="304"/>
      <c r="AH214" s="304"/>
      <c r="AI214" s="304"/>
      <c r="AJ214" s="304"/>
      <c r="AK214" s="304"/>
      <c r="AL214" s="304"/>
      <c r="AM214" s="304"/>
      <c r="AN214" s="304"/>
      <c r="AO214" s="304"/>
    </row>
    <row r="215" spans="2:41" s="304" customFormat="1" ht="3" customHeight="1" thickBot="1">
      <c r="B215" s="78"/>
      <c r="C215" s="78"/>
      <c r="D215" s="78"/>
      <c r="E215" s="78"/>
      <c r="F215" s="78"/>
      <c r="G215" s="78"/>
      <c r="H215" s="330"/>
      <c r="I215" s="330"/>
      <c r="J215" s="78"/>
      <c r="W215" s="280"/>
      <c r="X215" s="280"/>
      <c r="Y215" s="280"/>
    </row>
    <row r="216" spans="2:41" s="304" customFormat="1" ht="135" customHeight="1" thickBot="1">
      <c r="B216" s="1148" t="s">
        <v>761</v>
      </c>
      <c r="C216" s="1285"/>
      <c r="D216" s="1285"/>
      <c r="E216" s="1285"/>
      <c r="F216" s="1285"/>
      <c r="G216" s="1285"/>
      <c r="H216" s="1285"/>
      <c r="I216" s="1285"/>
      <c r="J216" s="1286"/>
      <c r="W216" s="280"/>
      <c r="X216" s="280"/>
      <c r="Y216" s="280"/>
    </row>
    <row r="217" spans="2:41" s="280" customFormat="1">
      <c r="B217" s="423"/>
      <c r="C217" s="423"/>
      <c r="D217" s="423"/>
      <c r="E217" s="423"/>
      <c r="F217" s="423"/>
      <c r="G217" s="423"/>
      <c r="H217" s="423"/>
      <c r="I217" s="423"/>
      <c r="J217" s="423"/>
    </row>
    <row r="218" spans="2:41" ht="13.5" customHeight="1" thickBot="1"/>
    <row r="219" spans="2:41" s="404" customFormat="1" ht="69" customHeight="1">
      <c r="B219" s="1187" t="s">
        <v>741</v>
      </c>
      <c r="C219" s="1188"/>
      <c r="D219" s="1188"/>
      <c r="E219" s="1188"/>
      <c r="F219" s="1188"/>
      <c r="G219" s="1188"/>
      <c r="H219" s="1188"/>
      <c r="I219" s="1188"/>
      <c r="J219" s="331" t="str">
        <f>'[3]Reference Sheet'!$B$2</f>
        <v>Rev. 4.12.2016</v>
      </c>
      <c r="L219" s="424"/>
      <c r="M219" s="424"/>
      <c r="N219" s="424"/>
      <c r="O219" s="424"/>
      <c r="P219" s="424"/>
      <c r="Q219" s="424"/>
      <c r="R219" s="424"/>
      <c r="S219" s="424"/>
      <c r="T219" s="424"/>
      <c r="U219" s="367"/>
      <c r="V219" s="367"/>
      <c r="W219" s="405"/>
      <c r="X219" s="405"/>
      <c r="Y219" s="405"/>
      <c r="Z219" s="367"/>
      <c r="AA219" s="367"/>
      <c r="AB219" s="367"/>
      <c r="AC219" s="367"/>
    </row>
    <row r="220" spans="2:41" s="404" customFormat="1" ht="16.5" customHeight="1" thickBot="1">
      <c r="B220" s="332"/>
      <c r="C220" s="368" t="s">
        <v>710</v>
      </c>
      <c r="D220" s="1310"/>
      <c r="E220" s="1311"/>
      <c r="F220" s="1311"/>
      <c r="G220" s="1311"/>
      <c r="H220" s="333"/>
      <c r="I220" s="333"/>
      <c r="J220" s="334"/>
      <c r="L220" s="424"/>
      <c r="M220" s="424"/>
      <c r="N220" s="424"/>
      <c r="O220" s="424"/>
      <c r="P220" s="424"/>
      <c r="Q220" s="424"/>
      <c r="R220" s="424"/>
      <c r="S220" s="424"/>
      <c r="T220" s="424"/>
      <c r="U220" s="367"/>
      <c r="V220" s="367"/>
      <c r="W220" s="280"/>
      <c r="X220" s="280"/>
      <c r="Y220" s="280"/>
      <c r="Z220" s="304"/>
      <c r="AA220" s="304"/>
      <c r="AB220" s="367"/>
      <c r="AC220" s="367"/>
    </row>
    <row r="221" spans="2:41" s="404" customFormat="1" ht="15" customHeight="1" thickBot="1">
      <c r="B221" s="332"/>
      <c r="C221" s="368" t="s">
        <v>711</v>
      </c>
      <c r="D221" s="1312"/>
      <c r="E221" s="1313"/>
      <c r="F221" s="1313"/>
      <c r="G221" s="1313"/>
      <c r="H221" s="368" t="s">
        <v>712</v>
      </c>
      <c r="I221" s="1310"/>
      <c r="J221" s="1314"/>
      <c r="L221" s="424"/>
      <c r="M221" s="424"/>
      <c r="N221" s="424"/>
      <c r="O221" s="424"/>
      <c r="P221" s="424"/>
      <c r="Q221" s="424"/>
      <c r="R221" s="424"/>
      <c r="S221" s="424"/>
      <c r="T221" s="424"/>
      <c r="U221" s="367"/>
      <c r="V221" s="367"/>
      <c r="W221" s="280"/>
      <c r="X221" s="280" t="s">
        <v>680</v>
      </c>
      <c r="Y221" s="280">
        <f>IF(AND(J225=0, J227=0, J235=0, J236=0, J239=0, J241=0, I243=0), 0, 1)</f>
        <v>0</v>
      </c>
      <c r="Z221" s="304"/>
      <c r="AA221" s="304"/>
      <c r="AB221" s="367"/>
      <c r="AC221" s="367"/>
    </row>
    <row r="222" spans="2:41" ht="16.5" thickBot="1">
      <c r="B222" s="1176" t="s">
        <v>671</v>
      </c>
      <c r="C222" s="1177"/>
      <c r="D222" s="1315"/>
      <c r="E222" s="1316"/>
      <c r="F222" s="1316"/>
      <c r="G222" s="1316"/>
      <c r="H222" s="336" t="s">
        <v>673</v>
      </c>
      <c r="I222" s="1315"/>
      <c r="J222" s="1317"/>
      <c r="L222" s="424"/>
      <c r="M222" s="424"/>
      <c r="N222" s="424"/>
      <c r="O222" s="424"/>
      <c r="P222" s="424"/>
      <c r="Q222" s="424"/>
      <c r="R222" s="424"/>
      <c r="S222" s="424"/>
      <c r="T222" s="424"/>
      <c r="U222" s="304"/>
      <c r="V222" s="304"/>
      <c r="X222" s="280" t="s">
        <v>682</v>
      </c>
      <c r="Y222" s="280">
        <f>IF(AND(G243&lt;=I243, I243&lt;&gt;0), 0, 1)</f>
        <v>1</v>
      </c>
      <c r="Z222" s="304"/>
      <c r="AA222" s="304"/>
      <c r="AB222" s="304"/>
      <c r="AC222" s="304"/>
    </row>
    <row r="223" spans="2:41" ht="16.5" customHeight="1" thickBot="1">
      <c r="B223" s="1176" t="s">
        <v>674</v>
      </c>
      <c r="C223" s="1177"/>
      <c r="D223" s="1262"/>
      <c r="E223" s="1263"/>
      <c r="F223" s="1263"/>
      <c r="G223" s="1263"/>
      <c r="H223" s="1263"/>
      <c r="I223" s="1263"/>
      <c r="J223" s="1264"/>
      <c r="L223" s="424"/>
      <c r="M223" s="424"/>
      <c r="N223" s="424"/>
      <c r="O223" s="424"/>
      <c r="P223" s="424"/>
      <c r="Q223" s="424"/>
      <c r="R223" s="424"/>
      <c r="S223" s="424"/>
      <c r="T223" s="424"/>
      <c r="U223" s="304"/>
      <c r="V223" s="304"/>
      <c r="X223" s="280" t="s">
        <v>685</v>
      </c>
      <c r="Y223" s="280">
        <f>IF(AND(Y222=0, Y221=1), 0, 1)</f>
        <v>1</v>
      </c>
      <c r="Z223" s="304"/>
      <c r="AA223" s="304"/>
      <c r="AB223" s="304"/>
      <c r="AC223" s="304"/>
    </row>
    <row r="224" spans="2:41" ht="16.5" customHeight="1">
      <c r="B224" s="1265"/>
      <c r="C224" s="1266"/>
      <c r="D224" s="1266"/>
      <c r="E224" s="1266"/>
      <c r="F224" s="1267"/>
      <c r="G224" s="406" t="s">
        <v>713</v>
      </c>
      <c r="H224" s="372" t="s">
        <v>676</v>
      </c>
      <c r="I224" s="377"/>
      <c r="J224" s="407" t="s">
        <v>677</v>
      </c>
      <c r="L224" s="424"/>
      <c r="M224" s="424"/>
      <c r="N224" s="424"/>
      <c r="O224" s="424"/>
      <c r="P224" s="424"/>
      <c r="Q224" s="424"/>
      <c r="R224" s="424"/>
      <c r="S224" s="424"/>
      <c r="T224" s="424"/>
      <c r="U224" s="304"/>
      <c r="V224" s="304"/>
      <c r="Z224" s="304"/>
      <c r="AA224" s="304"/>
      <c r="AB224" s="304"/>
      <c r="AC224" s="304"/>
    </row>
    <row r="225" spans="2:29" ht="16.5" customHeight="1" thickBot="1">
      <c r="B225" s="1269"/>
      <c r="C225" s="1270"/>
      <c r="D225" s="1270"/>
      <c r="E225" s="1270"/>
      <c r="F225" s="1271"/>
      <c r="G225" s="408" t="s">
        <v>743</v>
      </c>
      <c r="H225" s="409"/>
      <c r="I225" s="377"/>
      <c r="J225" s="410"/>
      <c r="L225" s="424"/>
      <c r="M225" s="424"/>
      <c r="N225" s="424"/>
      <c r="O225" s="424"/>
      <c r="P225" s="424"/>
      <c r="Q225" s="424"/>
      <c r="R225" s="424"/>
      <c r="S225" s="424"/>
      <c r="T225" s="424"/>
      <c r="U225" s="304"/>
      <c r="V225" s="304"/>
      <c r="X225" s="280" t="s">
        <v>689</v>
      </c>
      <c r="Y225" s="362">
        <f>G243/12</f>
        <v>0</v>
      </c>
      <c r="Z225" s="304"/>
      <c r="AA225" s="304"/>
      <c r="AB225" s="304"/>
      <c r="AC225" s="304"/>
    </row>
    <row r="226" spans="2:29">
      <c r="B226" s="1229" t="s">
        <v>744</v>
      </c>
      <c r="C226" s="1273"/>
      <c r="D226" s="1273"/>
      <c r="E226" s="1273"/>
      <c r="F226" s="1273"/>
      <c r="G226" s="377" t="s">
        <v>719</v>
      </c>
      <c r="H226" s="381"/>
      <c r="I226" s="386" t="s">
        <v>719</v>
      </c>
      <c r="J226" s="382"/>
      <c r="L226" s="424"/>
      <c r="M226" s="424"/>
      <c r="N226" s="424"/>
      <c r="O226" s="424"/>
      <c r="P226" s="424"/>
      <c r="Q226" s="424"/>
      <c r="R226" s="424"/>
      <c r="S226" s="424"/>
      <c r="T226" s="424"/>
      <c r="U226" s="304"/>
      <c r="V226" s="304"/>
      <c r="X226" s="280" t="s">
        <v>691</v>
      </c>
      <c r="Y226" s="362">
        <f>(G243+I243)/24</f>
        <v>0</v>
      </c>
      <c r="Z226" s="304"/>
      <c r="AA226" s="304"/>
      <c r="AB226" s="304"/>
      <c r="AC226" s="304"/>
    </row>
    <row r="227" spans="2:29">
      <c r="B227" s="1305" t="s">
        <v>745</v>
      </c>
      <c r="C227" s="1306"/>
      <c r="D227" s="1306"/>
      <c r="E227" s="1306"/>
      <c r="F227" s="1307"/>
      <c r="G227" s="346"/>
      <c r="H227" s="359">
        <f>G227</f>
        <v>0</v>
      </c>
      <c r="I227" s="411"/>
      <c r="J227" s="400">
        <f>I227</f>
        <v>0</v>
      </c>
      <c r="L227" s="424"/>
      <c r="M227" s="424"/>
      <c r="N227" s="424"/>
      <c r="O227" s="424"/>
      <c r="P227" s="424"/>
      <c r="Q227" s="424"/>
      <c r="R227" s="424"/>
      <c r="S227" s="424"/>
      <c r="T227" s="424"/>
      <c r="U227" s="304"/>
      <c r="V227" s="304"/>
      <c r="Z227" s="304"/>
      <c r="AA227" s="304"/>
      <c r="AB227" s="304"/>
      <c r="AC227" s="304"/>
    </row>
    <row r="228" spans="2:29">
      <c r="B228" s="1308" t="s">
        <v>722</v>
      </c>
      <c r="C228" s="1309"/>
      <c r="D228" s="1309"/>
      <c r="E228" s="1309"/>
      <c r="F228" s="1309"/>
      <c r="G228" s="412"/>
      <c r="H228" s="413"/>
      <c r="I228" s="414"/>
      <c r="J228" s="415"/>
      <c r="L228" s="424"/>
      <c r="M228" s="424"/>
      <c r="N228" s="424"/>
      <c r="O228" s="424"/>
      <c r="P228" s="424"/>
      <c r="Q228" s="424"/>
      <c r="R228" s="424"/>
      <c r="S228" s="424"/>
      <c r="T228" s="424"/>
      <c r="U228" s="304"/>
      <c r="V228" s="304"/>
      <c r="Z228" s="304"/>
      <c r="AA228" s="304"/>
      <c r="AB228" s="304"/>
      <c r="AC228" s="304"/>
    </row>
    <row r="229" spans="2:29">
      <c r="B229" s="1248" t="s">
        <v>746</v>
      </c>
      <c r="C229" s="1249"/>
      <c r="D229" s="1249"/>
      <c r="E229" s="1249"/>
      <c r="F229" s="1250"/>
      <c r="G229" s="346"/>
      <c r="H229" s="387" t="str">
        <f>IF(OR(H225=0, H225&gt;100%), "Ownership %", (G229+G230))</f>
        <v>Ownership %</v>
      </c>
      <c r="I229" s="346"/>
      <c r="J229" s="388" t="str">
        <f>IF(OR(J225=0, J225&gt;100%), "Ownership %", (I229+I230))</f>
        <v>Ownership %</v>
      </c>
      <c r="L229" s="424"/>
      <c r="M229" s="424"/>
      <c r="N229" s="424"/>
      <c r="O229" s="424"/>
      <c r="P229" s="424"/>
      <c r="Q229" s="424"/>
      <c r="R229" s="424"/>
      <c r="S229" s="424"/>
      <c r="T229" s="424"/>
      <c r="U229" s="304"/>
      <c r="V229" s="304"/>
      <c r="X229" s="280" t="str">
        <f>IF(OR(Y223=0, I243=0), "12 Month Average", "24 Month Average")</f>
        <v>12 Month Average</v>
      </c>
      <c r="Z229" s="304"/>
      <c r="AA229" s="304"/>
      <c r="AB229" s="304"/>
      <c r="AC229" s="304"/>
    </row>
    <row r="230" spans="2:29">
      <c r="B230" s="1295" t="s">
        <v>747</v>
      </c>
      <c r="C230" s="1296"/>
      <c r="D230" s="1296"/>
      <c r="E230" s="1296"/>
      <c r="F230" s="1296"/>
      <c r="G230" s="346"/>
      <c r="H230" s="389"/>
      <c r="I230" s="346"/>
      <c r="J230" s="390"/>
      <c r="L230" s="424"/>
      <c r="M230" s="424"/>
      <c r="N230" s="424"/>
      <c r="O230" s="424"/>
      <c r="P230" s="424"/>
      <c r="Q230" s="424"/>
      <c r="R230" s="424"/>
      <c r="S230" s="424"/>
      <c r="T230" s="424"/>
      <c r="U230" s="304"/>
      <c r="V230" s="304"/>
      <c r="X230" s="280">
        <f xml:space="preserve"> IF(OR(Y223=0, I243=0),Y225,Y226)</f>
        <v>0</v>
      </c>
      <c r="Z230" s="304"/>
      <c r="AA230" s="304"/>
      <c r="AB230" s="304"/>
      <c r="AC230" s="304"/>
    </row>
    <row r="231" spans="2:29">
      <c r="B231" s="1297" t="s">
        <v>748</v>
      </c>
      <c r="C231" s="1298"/>
      <c r="D231" s="1298"/>
      <c r="E231" s="1298"/>
      <c r="F231" s="1298"/>
      <c r="G231" s="416"/>
      <c r="H231" s="416"/>
      <c r="I231" s="416"/>
      <c r="J231" s="417"/>
      <c r="L231" s="424"/>
      <c r="M231" s="424"/>
      <c r="N231" s="424"/>
      <c r="O231" s="424"/>
      <c r="P231" s="424"/>
      <c r="Q231" s="424"/>
      <c r="R231" s="424"/>
      <c r="S231" s="424"/>
      <c r="T231" s="424"/>
      <c r="U231" s="304"/>
      <c r="V231" s="304"/>
      <c r="Z231" s="304"/>
      <c r="AA231" s="304"/>
      <c r="AB231" s="304"/>
      <c r="AC231" s="304"/>
    </row>
    <row r="232" spans="2:29">
      <c r="B232" s="1299" t="s">
        <v>749</v>
      </c>
      <c r="C232" s="1300"/>
      <c r="D232" s="1300"/>
      <c r="E232" s="1300"/>
      <c r="F232" s="1301"/>
      <c r="G232" s="418"/>
      <c r="H232" s="419">
        <f>(G232*H225)*-1</f>
        <v>0</v>
      </c>
      <c r="I232" s="418"/>
      <c r="J232" s="420">
        <f>(I232*J225)*-1</f>
        <v>0</v>
      </c>
      <c r="L232" s="424"/>
      <c r="M232" s="424"/>
      <c r="N232" s="424"/>
      <c r="O232" s="424"/>
      <c r="P232" s="424"/>
      <c r="Q232" s="424"/>
      <c r="R232" s="424"/>
      <c r="S232" s="424"/>
      <c r="T232" s="424"/>
      <c r="U232" s="304"/>
      <c r="V232" s="304"/>
      <c r="X232" s="280" t="s">
        <v>717</v>
      </c>
      <c r="Y232" s="280" t="str">
        <f>IF(OR(H225=0, H225&gt;100%), "Ownership %", (G229+G230))</f>
        <v>Ownership %</v>
      </c>
      <c r="Z232" s="304"/>
      <c r="AA232" s="304"/>
      <c r="AB232" s="304"/>
      <c r="AC232" s="304"/>
    </row>
    <row r="233" spans="2:29">
      <c r="B233" s="1302" t="s">
        <v>750</v>
      </c>
      <c r="C233" s="1303"/>
      <c r="D233" s="1303"/>
      <c r="E233" s="1303"/>
      <c r="F233" s="1304"/>
      <c r="G233" s="418"/>
      <c r="H233" s="419">
        <f>(G233*H225)*-1</f>
        <v>0</v>
      </c>
      <c r="I233" s="418"/>
      <c r="J233" s="420">
        <f>(I233*J225)*-1</f>
        <v>0</v>
      </c>
      <c r="L233" s="424"/>
      <c r="M233" s="424"/>
      <c r="N233" s="424"/>
      <c r="O233" s="424"/>
      <c r="P233" s="424"/>
      <c r="Q233" s="424"/>
      <c r="R233" s="424"/>
      <c r="S233" s="424"/>
      <c r="T233" s="424"/>
      <c r="U233" s="304"/>
      <c r="V233" s="304"/>
      <c r="X233" s="280" t="s">
        <v>720</v>
      </c>
      <c r="Y233" s="280" t="str">
        <f>IF(OR(L236&gt;100%, L236=0), "Ownership %", I229+I230)</f>
        <v>Ownership %</v>
      </c>
      <c r="Z233" s="304"/>
      <c r="AA233" s="304"/>
      <c r="AB233" s="304"/>
      <c r="AC233" s="304"/>
    </row>
    <row r="234" spans="2:29">
      <c r="B234" s="1229" t="s">
        <v>751</v>
      </c>
      <c r="C234" s="1230"/>
      <c r="D234" s="1230"/>
      <c r="E234" s="1230"/>
      <c r="F234" s="1230"/>
      <c r="G234" s="351"/>
      <c r="H234" s="351"/>
      <c r="I234" s="351"/>
      <c r="J234" s="352"/>
      <c r="L234" s="424"/>
      <c r="M234" s="424"/>
      <c r="N234" s="424"/>
      <c r="O234" s="424"/>
      <c r="P234" s="424"/>
      <c r="Q234" s="424"/>
      <c r="R234" s="424"/>
      <c r="S234" s="424"/>
      <c r="T234" s="424"/>
      <c r="U234" s="304"/>
      <c r="V234" s="304"/>
      <c r="Z234" s="304"/>
      <c r="AA234" s="304"/>
      <c r="AB234" s="304"/>
      <c r="AC234" s="304"/>
    </row>
    <row r="235" spans="2:29">
      <c r="B235" s="1243" t="s">
        <v>752</v>
      </c>
      <c r="C235" s="1244"/>
      <c r="D235" s="1244"/>
      <c r="E235" s="1244"/>
      <c r="F235" s="1245"/>
      <c r="G235" s="346"/>
      <c r="H235" s="359">
        <f>G235*H225</f>
        <v>0</v>
      </c>
      <c r="I235" s="346"/>
      <c r="J235" s="400">
        <f>I235*J225</f>
        <v>0</v>
      </c>
      <c r="L235" s="424"/>
      <c r="M235" s="424"/>
      <c r="N235" s="424"/>
      <c r="O235" s="424"/>
      <c r="P235" s="424"/>
      <c r="Q235" s="424"/>
      <c r="R235" s="424"/>
      <c r="S235" s="424"/>
      <c r="T235" s="424"/>
      <c r="U235" s="304"/>
      <c r="V235" s="304"/>
      <c r="X235" s="349" t="s">
        <v>596</v>
      </c>
      <c r="AA235" s="304"/>
      <c r="AB235" s="304"/>
      <c r="AC235" s="304"/>
    </row>
    <row r="236" spans="2:29">
      <c r="B236" s="1223" t="s">
        <v>753</v>
      </c>
      <c r="C236" s="1224"/>
      <c r="D236" s="1224"/>
      <c r="E236" s="1224"/>
      <c r="F236" s="1225"/>
      <c r="G236" s="346"/>
      <c r="H236" s="359">
        <f>G236*H225</f>
        <v>0</v>
      </c>
      <c r="I236" s="346"/>
      <c r="J236" s="400">
        <f>I236*J225</f>
        <v>0</v>
      </c>
      <c r="L236" s="424"/>
      <c r="M236" s="424"/>
      <c r="N236" s="424"/>
      <c r="O236" s="424"/>
      <c r="P236" s="424"/>
      <c r="Q236" s="424"/>
      <c r="R236" s="424"/>
      <c r="S236" s="424"/>
      <c r="T236" s="424"/>
      <c r="U236" s="304"/>
      <c r="V236" s="304"/>
      <c r="X236" s="349" t="s">
        <v>683</v>
      </c>
      <c r="AA236" s="304"/>
      <c r="AB236" s="304"/>
      <c r="AC236" s="304"/>
    </row>
    <row r="237" spans="2:29">
      <c r="B237" s="1223" t="s">
        <v>754</v>
      </c>
      <c r="C237" s="1224"/>
      <c r="D237" s="1224"/>
      <c r="E237" s="1224"/>
      <c r="F237" s="1225"/>
      <c r="G237" s="421"/>
      <c r="H237" s="359">
        <f>G237*H225</f>
        <v>0</v>
      </c>
      <c r="I237" s="421"/>
      <c r="J237" s="400">
        <f>I237*J225</f>
        <v>0</v>
      </c>
      <c r="L237" s="424"/>
      <c r="M237" s="424"/>
      <c r="N237" s="424"/>
      <c r="O237" s="424"/>
      <c r="P237" s="424"/>
      <c r="Q237" s="424"/>
      <c r="R237" s="424"/>
      <c r="S237" s="424"/>
      <c r="T237" s="424"/>
      <c r="U237" s="304"/>
      <c r="V237" s="304"/>
      <c r="X237" s="349" t="s">
        <v>599</v>
      </c>
      <c r="AA237" s="304"/>
      <c r="AB237" s="304"/>
      <c r="AC237" s="304"/>
    </row>
    <row r="238" spans="2:29">
      <c r="B238" s="1288" t="s">
        <v>755</v>
      </c>
      <c r="C238" s="1289"/>
      <c r="D238" s="1289"/>
      <c r="E238" s="1289"/>
      <c r="F238" s="1289"/>
      <c r="G238" s="1290"/>
      <c r="H238" s="1290"/>
      <c r="I238" s="1290"/>
      <c r="J238" s="1291"/>
      <c r="L238" s="424"/>
      <c r="M238" s="424"/>
      <c r="N238" s="424"/>
      <c r="O238" s="424"/>
      <c r="P238" s="424"/>
      <c r="Q238" s="424"/>
      <c r="R238" s="424"/>
      <c r="S238" s="424"/>
      <c r="T238" s="424"/>
      <c r="U238" s="304"/>
      <c r="V238" s="304"/>
      <c r="X238" s="349" t="s">
        <v>603</v>
      </c>
      <c r="AA238" s="304"/>
      <c r="AB238" s="304"/>
      <c r="AC238" s="304"/>
    </row>
    <row r="239" spans="2:29" ht="16.5" customHeight="1">
      <c r="B239" s="1292" t="s">
        <v>756</v>
      </c>
      <c r="C239" s="1293"/>
      <c r="D239" s="1293"/>
      <c r="E239" s="1293"/>
      <c r="F239" s="1294"/>
      <c r="G239" s="422"/>
      <c r="H239" s="401">
        <f>G239*H225</f>
        <v>0</v>
      </c>
      <c r="I239" s="422"/>
      <c r="J239" s="402">
        <f>I239*J225</f>
        <v>0</v>
      </c>
      <c r="L239" s="424"/>
      <c r="M239" s="424"/>
      <c r="N239" s="424"/>
      <c r="O239" s="424"/>
      <c r="P239" s="424"/>
      <c r="Q239" s="424"/>
      <c r="R239" s="424"/>
      <c r="S239" s="424"/>
      <c r="T239" s="424"/>
      <c r="U239" s="304"/>
      <c r="V239" s="304"/>
      <c r="X239" s="349" t="s">
        <v>605</v>
      </c>
      <c r="AA239" s="304"/>
      <c r="AB239" s="304"/>
      <c r="AC239" s="304"/>
    </row>
    <row r="240" spans="2:29">
      <c r="B240" s="1229" t="s">
        <v>757</v>
      </c>
      <c r="C240" s="1230"/>
      <c r="D240" s="1230"/>
      <c r="E240" s="1230"/>
      <c r="F240" s="1230"/>
      <c r="G240" s="351"/>
      <c r="H240" s="351"/>
      <c r="I240" s="351"/>
      <c r="J240" s="352"/>
      <c r="L240" s="424"/>
      <c r="M240" s="424"/>
      <c r="N240" s="424"/>
      <c r="O240" s="424"/>
      <c r="P240" s="424"/>
      <c r="Q240" s="424"/>
      <c r="R240" s="424"/>
      <c r="S240" s="424"/>
      <c r="T240" s="424"/>
      <c r="U240" s="304"/>
      <c r="V240" s="304"/>
      <c r="Z240" s="304"/>
      <c r="AA240" s="304"/>
      <c r="AB240" s="304"/>
      <c r="AC240" s="304"/>
    </row>
    <row r="241" spans="2:41" ht="30.75" customHeight="1">
      <c r="B241" s="1231" t="s">
        <v>758</v>
      </c>
      <c r="C241" s="1232"/>
      <c r="D241" s="1232"/>
      <c r="E241" s="1232"/>
      <c r="F241" s="1233"/>
      <c r="G241" s="399"/>
      <c r="H241" s="359">
        <f>(G241*H225)*-1</f>
        <v>0</v>
      </c>
      <c r="I241" s="399"/>
      <c r="J241" s="400">
        <f>(I241*J225)*-1</f>
        <v>0</v>
      </c>
      <c r="L241" s="424"/>
      <c r="M241" s="424"/>
      <c r="N241" s="424"/>
      <c r="O241" s="424"/>
      <c r="P241" s="424"/>
      <c r="Q241" s="424"/>
      <c r="R241" s="424"/>
      <c r="S241" s="424"/>
      <c r="T241" s="424"/>
      <c r="U241" s="304"/>
      <c r="V241" s="304"/>
      <c r="Z241" s="304"/>
      <c r="AA241" s="304"/>
      <c r="AB241" s="304"/>
      <c r="AC241" s="304"/>
    </row>
    <row r="242" spans="2:41" ht="31.5" customHeight="1">
      <c r="B242" s="1234" t="s">
        <v>759</v>
      </c>
      <c r="C242" s="1235"/>
      <c r="D242" s="1235"/>
      <c r="E242" s="1235"/>
      <c r="F242" s="1236"/>
      <c r="G242" s="346"/>
      <c r="H242" s="401">
        <f>(G242*H225)*-1</f>
        <v>0</v>
      </c>
      <c r="I242" s="346"/>
      <c r="J242" s="402">
        <f>(I242*J225)*-1</f>
        <v>0</v>
      </c>
      <c r="L242" s="424"/>
      <c r="M242" s="424"/>
      <c r="N242" s="424"/>
      <c r="O242" s="424"/>
      <c r="P242" s="424"/>
      <c r="Q242" s="424"/>
      <c r="R242" s="424"/>
      <c r="S242" s="424"/>
      <c r="T242" s="424"/>
      <c r="U242" s="304"/>
      <c r="V242" s="304"/>
      <c r="Z242" s="304"/>
      <c r="AA242" s="304"/>
      <c r="AB242" s="304"/>
      <c r="AC242" s="304"/>
      <c r="AD242" s="304"/>
      <c r="AE242" s="304"/>
      <c r="AF242" s="304"/>
      <c r="AG242" s="304"/>
      <c r="AH242" s="304"/>
      <c r="AI242" s="304"/>
      <c r="AJ242" s="304"/>
      <c r="AK242" s="304"/>
      <c r="AL242" s="304"/>
      <c r="AM242" s="304"/>
      <c r="AN242" s="304"/>
      <c r="AO242" s="304"/>
    </row>
    <row r="243" spans="2:41" ht="32.25" customHeight="1">
      <c r="B243" s="1158" t="s">
        <v>740</v>
      </c>
      <c r="C243" s="1287"/>
      <c r="D243" s="1287"/>
      <c r="E243" s="1287"/>
      <c r="F243" s="1287"/>
      <c r="G243" s="1156">
        <f>SUM(H227:H242)</f>
        <v>0</v>
      </c>
      <c r="H243" s="1155"/>
      <c r="I243" s="1214">
        <f>SUM(J227:J242)</f>
        <v>0</v>
      </c>
      <c r="J243" s="1216"/>
      <c r="L243" s="424"/>
      <c r="M243" s="424"/>
      <c r="N243" s="424"/>
      <c r="O243" s="424"/>
      <c r="P243" s="424"/>
      <c r="Q243" s="424"/>
      <c r="R243" s="424"/>
      <c r="S243" s="424"/>
      <c r="T243" s="424"/>
      <c r="U243" s="304"/>
      <c r="V243" s="304"/>
      <c r="Z243" s="304"/>
      <c r="AA243" s="304"/>
      <c r="AB243" s="304"/>
      <c r="AC243" s="304"/>
      <c r="AD243" s="304"/>
      <c r="AE243" s="304"/>
      <c r="AF243" s="304"/>
      <c r="AG243" s="304"/>
      <c r="AH243" s="304"/>
      <c r="AI243" s="304"/>
      <c r="AJ243" s="304"/>
      <c r="AK243" s="304"/>
      <c r="AL243" s="304"/>
      <c r="AM243" s="304"/>
      <c r="AN243" s="304"/>
      <c r="AO243" s="304"/>
    </row>
    <row r="244" spans="2:41" ht="21">
      <c r="B244" s="1217" t="s">
        <v>760</v>
      </c>
      <c r="C244" s="1218"/>
      <c r="D244" s="1218"/>
      <c r="E244" s="1218"/>
      <c r="F244" s="1219"/>
      <c r="G244" s="1282" t="str">
        <f>IF(OR(Y223=0, I243=0), "12 Month Average", "24 Month Average")</f>
        <v>12 Month Average</v>
      </c>
      <c r="H244" s="1283"/>
      <c r="I244" s="1283"/>
      <c r="J244" s="1284"/>
      <c r="L244" s="424"/>
      <c r="M244" s="424"/>
      <c r="N244" s="424"/>
      <c r="O244" s="424"/>
      <c r="P244" s="424"/>
      <c r="Q244" s="424"/>
      <c r="R244" s="424"/>
      <c r="S244" s="424"/>
      <c r="T244" s="424"/>
      <c r="U244" s="304"/>
      <c r="V244" s="304"/>
      <c r="Z244" s="304"/>
      <c r="AA244" s="304"/>
      <c r="AB244" s="304"/>
      <c r="AC244" s="304"/>
      <c r="AD244" s="304"/>
      <c r="AE244" s="304"/>
      <c r="AF244" s="304"/>
      <c r="AG244" s="304"/>
      <c r="AH244" s="304"/>
      <c r="AI244" s="304"/>
      <c r="AJ244" s="304"/>
      <c r="AK244" s="304"/>
      <c r="AL244" s="304"/>
      <c r="AM244" s="304"/>
      <c r="AN244" s="304"/>
      <c r="AO244" s="304"/>
    </row>
    <row r="245" spans="2:41" ht="34.5" thickBot="1">
      <c r="B245" s="1220" t="s">
        <v>697</v>
      </c>
      <c r="C245" s="1221"/>
      <c r="D245" s="1221"/>
      <c r="E245" s="1221"/>
      <c r="F245" s="1222"/>
      <c r="G245" s="1167">
        <f xml:space="preserve"> IF(OR(Y223=0, I243=0),Y225,Y226)</f>
        <v>0</v>
      </c>
      <c r="H245" s="1168"/>
      <c r="I245" s="1168"/>
      <c r="J245" s="1169"/>
      <c r="N245" s="304"/>
      <c r="O245" s="304"/>
      <c r="P245" s="304"/>
      <c r="Q245" s="304"/>
      <c r="R245" s="304"/>
      <c r="S245" s="304"/>
      <c r="T245" s="304"/>
      <c r="U245" s="304"/>
      <c r="V245" s="304"/>
      <c r="Z245" s="304"/>
      <c r="AA245" s="304"/>
      <c r="AB245" s="304"/>
      <c r="AC245" s="304"/>
      <c r="AD245" s="304"/>
      <c r="AE245" s="304"/>
      <c r="AF245" s="304"/>
      <c r="AG245" s="304"/>
      <c r="AH245" s="304"/>
      <c r="AI245" s="304"/>
      <c r="AJ245" s="304"/>
      <c r="AK245" s="304"/>
      <c r="AL245" s="304"/>
      <c r="AM245" s="304"/>
      <c r="AN245" s="304"/>
      <c r="AO245" s="304"/>
    </row>
    <row r="246" spans="2:41" s="304" customFormat="1" ht="3" customHeight="1" thickBot="1">
      <c r="B246" s="78"/>
      <c r="C246" s="78"/>
      <c r="D246" s="78"/>
      <c r="E246" s="78"/>
      <c r="F246" s="78"/>
      <c r="G246" s="78"/>
      <c r="H246" s="330"/>
      <c r="I246" s="330"/>
      <c r="J246" s="78"/>
      <c r="W246" s="280"/>
      <c r="X246" s="280"/>
      <c r="Y246" s="280"/>
    </row>
    <row r="247" spans="2:41" s="304" customFormat="1" ht="135" customHeight="1" thickBot="1">
      <c r="B247" s="1148" t="s">
        <v>761</v>
      </c>
      <c r="C247" s="1285"/>
      <c r="D247" s="1285"/>
      <c r="E247" s="1285"/>
      <c r="F247" s="1285"/>
      <c r="G247" s="1285"/>
      <c r="H247" s="1285"/>
      <c r="I247" s="1285"/>
      <c r="J247" s="1286"/>
      <c r="W247" s="280"/>
      <c r="X247" s="280"/>
      <c r="Y247" s="280"/>
    </row>
    <row r="248" spans="2:41" s="280" customFormat="1">
      <c r="B248" s="423"/>
      <c r="C248" s="423"/>
      <c r="D248" s="423"/>
      <c r="E248" s="423"/>
      <c r="F248" s="423"/>
      <c r="G248" s="423"/>
      <c r="H248" s="423"/>
      <c r="I248" s="423"/>
      <c r="J248" s="423"/>
    </row>
    <row r="249" spans="2:41" ht="13.5" customHeight="1" thickBot="1"/>
    <row r="250" spans="2:41" s="404" customFormat="1" ht="69" customHeight="1">
      <c r="B250" s="1187" t="s">
        <v>741</v>
      </c>
      <c r="C250" s="1188"/>
      <c r="D250" s="1188"/>
      <c r="E250" s="1188"/>
      <c r="F250" s="1188"/>
      <c r="G250" s="1188"/>
      <c r="H250" s="1188"/>
      <c r="I250" s="1188"/>
      <c r="J250" s="331" t="str">
        <f>'[3]Reference Sheet'!$B$2</f>
        <v>Rev. 4.12.2016</v>
      </c>
      <c r="L250" s="424"/>
      <c r="M250" s="424"/>
      <c r="N250" s="424"/>
      <c r="O250" s="424"/>
      <c r="P250" s="424"/>
      <c r="Q250" s="424"/>
      <c r="R250" s="424"/>
      <c r="S250" s="424"/>
      <c r="T250" s="424"/>
      <c r="U250" s="367"/>
      <c r="V250" s="367"/>
      <c r="W250" s="405"/>
      <c r="X250" s="405"/>
      <c r="Y250" s="405"/>
      <c r="Z250" s="367"/>
      <c r="AA250" s="367"/>
      <c r="AB250" s="367"/>
      <c r="AC250" s="367"/>
    </row>
    <row r="251" spans="2:41" s="404" customFormat="1" ht="16.5" customHeight="1" thickBot="1">
      <c r="B251" s="332"/>
      <c r="C251" s="368" t="s">
        <v>710</v>
      </c>
      <c r="D251" s="1310"/>
      <c r="E251" s="1311"/>
      <c r="F251" s="1311"/>
      <c r="G251" s="1311"/>
      <c r="H251" s="333"/>
      <c r="I251" s="333"/>
      <c r="J251" s="334"/>
      <c r="L251" s="424"/>
      <c r="M251" s="424"/>
      <c r="N251" s="424"/>
      <c r="O251" s="424"/>
      <c r="P251" s="424"/>
      <c r="Q251" s="424"/>
      <c r="R251" s="424"/>
      <c r="S251" s="424"/>
      <c r="T251" s="424"/>
      <c r="U251" s="367"/>
      <c r="V251" s="367"/>
      <c r="W251" s="280"/>
      <c r="X251" s="280"/>
      <c r="Y251" s="280"/>
      <c r="Z251" s="304"/>
      <c r="AA251" s="304"/>
      <c r="AB251" s="367"/>
      <c r="AC251" s="367"/>
    </row>
    <row r="252" spans="2:41" s="404" customFormat="1" ht="15" customHeight="1" thickBot="1">
      <c r="B252" s="332"/>
      <c r="C252" s="368" t="s">
        <v>711</v>
      </c>
      <c r="D252" s="1312"/>
      <c r="E252" s="1313"/>
      <c r="F252" s="1313"/>
      <c r="G252" s="1313"/>
      <c r="H252" s="368" t="s">
        <v>712</v>
      </c>
      <c r="I252" s="1310"/>
      <c r="J252" s="1314"/>
      <c r="L252" s="424"/>
      <c r="M252" s="424"/>
      <c r="N252" s="424"/>
      <c r="O252" s="424"/>
      <c r="P252" s="424"/>
      <c r="Q252" s="424"/>
      <c r="R252" s="424"/>
      <c r="S252" s="424"/>
      <c r="T252" s="424"/>
      <c r="U252" s="367"/>
      <c r="V252" s="367"/>
      <c r="W252" s="280"/>
      <c r="X252" s="280" t="s">
        <v>680</v>
      </c>
      <c r="Y252" s="280">
        <f>IF(AND(J256=0, J258=0, J266=0, J267=0, J270=0, J272=0, I274=0), 0, 1)</f>
        <v>0</v>
      </c>
      <c r="Z252" s="304"/>
      <c r="AA252" s="304"/>
      <c r="AB252" s="367"/>
      <c r="AC252" s="367"/>
    </row>
    <row r="253" spans="2:41" ht="16.5" thickBot="1">
      <c r="B253" s="1176" t="s">
        <v>671</v>
      </c>
      <c r="C253" s="1177"/>
      <c r="D253" s="1315"/>
      <c r="E253" s="1316"/>
      <c r="F253" s="1316"/>
      <c r="G253" s="1316"/>
      <c r="H253" s="336" t="s">
        <v>673</v>
      </c>
      <c r="I253" s="1315"/>
      <c r="J253" s="1317"/>
      <c r="L253" s="424"/>
      <c r="M253" s="424"/>
      <c r="N253" s="424"/>
      <c r="O253" s="424"/>
      <c r="P253" s="424"/>
      <c r="Q253" s="424"/>
      <c r="R253" s="424"/>
      <c r="S253" s="424"/>
      <c r="T253" s="424"/>
      <c r="U253" s="304"/>
      <c r="V253" s="304"/>
      <c r="X253" s="280" t="s">
        <v>682</v>
      </c>
      <c r="Y253" s="280">
        <f>IF(AND(G274&lt;=I274, I274&lt;&gt;0), 0, 1)</f>
        <v>1</v>
      </c>
      <c r="Z253" s="304"/>
      <c r="AA253" s="304"/>
      <c r="AB253" s="304"/>
      <c r="AC253" s="304"/>
    </row>
    <row r="254" spans="2:41" ht="16.5" customHeight="1" thickBot="1">
      <c r="B254" s="1176" t="s">
        <v>674</v>
      </c>
      <c r="C254" s="1177"/>
      <c r="D254" s="1262"/>
      <c r="E254" s="1263"/>
      <c r="F254" s="1263"/>
      <c r="G254" s="1263"/>
      <c r="H254" s="1263"/>
      <c r="I254" s="1263"/>
      <c r="J254" s="1264"/>
      <c r="L254" s="424"/>
      <c r="M254" s="424"/>
      <c r="N254" s="424"/>
      <c r="O254" s="424"/>
      <c r="P254" s="424"/>
      <c r="Q254" s="424"/>
      <c r="R254" s="424"/>
      <c r="S254" s="424"/>
      <c r="T254" s="424"/>
      <c r="U254" s="304"/>
      <c r="V254" s="304"/>
      <c r="X254" s="280" t="s">
        <v>685</v>
      </c>
      <c r="Y254" s="280">
        <f>IF(AND(Y253=0, Y252=1), 0, 1)</f>
        <v>1</v>
      </c>
      <c r="Z254" s="304"/>
      <c r="AA254" s="304"/>
      <c r="AB254" s="304"/>
      <c r="AC254" s="304"/>
    </row>
    <row r="255" spans="2:41" ht="16.5" customHeight="1">
      <c r="B255" s="1265"/>
      <c r="C255" s="1266"/>
      <c r="D255" s="1266"/>
      <c r="E255" s="1266"/>
      <c r="F255" s="1267"/>
      <c r="G255" s="406" t="s">
        <v>713</v>
      </c>
      <c r="H255" s="372" t="s">
        <v>676</v>
      </c>
      <c r="I255" s="377"/>
      <c r="J255" s="407" t="s">
        <v>677</v>
      </c>
      <c r="L255" s="424"/>
      <c r="M255" s="424"/>
      <c r="N255" s="424"/>
      <c r="O255" s="424"/>
      <c r="P255" s="424"/>
      <c r="Q255" s="424"/>
      <c r="R255" s="424"/>
      <c r="S255" s="424"/>
      <c r="T255" s="424"/>
      <c r="U255" s="304"/>
      <c r="V255" s="304"/>
      <c r="Z255" s="304"/>
      <c r="AA255" s="304"/>
      <c r="AB255" s="304"/>
      <c r="AC255" s="304"/>
    </row>
    <row r="256" spans="2:41" ht="16.5" customHeight="1" thickBot="1">
      <c r="B256" s="1269"/>
      <c r="C256" s="1270"/>
      <c r="D256" s="1270"/>
      <c r="E256" s="1270"/>
      <c r="F256" s="1271"/>
      <c r="G256" s="408" t="s">
        <v>743</v>
      </c>
      <c r="H256" s="409"/>
      <c r="I256" s="377"/>
      <c r="J256" s="410"/>
      <c r="L256" s="424"/>
      <c r="M256" s="424"/>
      <c r="N256" s="424"/>
      <c r="O256" s="424"/>
      <c r="P256" s="424"/>
      <c r="Q256" s="424"/>
      <c r="R256" s="424"/>
      <c r="S256" s="424"/>
      <c r="T256" s="424"/>
      <c r="U256" s="304"/>
      <c r="V256" s="304"/>
      <c r="X256" s="280" t="s">
        <v>689</v>
      </c>
      <c r="Y256" s="362">
        <f>G274/12</f>
        <v>0</v>
      </c>
      <c r="Z256" s="304"/>
      <c r="AA256" s="304"/>
      <c r="AB256" s="304"/>
      <c r="AC256" s="304"/>
    </row>
    <row r="257" spans="2:29">
      <c r="B257" s="1229" t="s">
        <v>744</v>
      </c>
      <c r="C257" s="1273"/>
      <c r="D257" s="1273"/>
      <c r="E257" s="1273"/>
      <c r="F257" s="1273"/>
      <c r="G257" s="377" t="s">
        <v>719</v>
      </c>
      <c r="H257" s="381"/>
      <c r="I257" s="386" t="s">
        <v>719</v>
      </c>
      <c r="J257" s="382"/>
      <c r="L257" s="424"/>
      <c r="M257" s="424"/>
      <c r="N257" s="424"/>
      <c r="O257" s="424"/>
      <c r="P257" s="424"/>
      <c r="Q257" s="424"/>
      <c r="R257" s="424"/>
      <c r="S257" s="424"/>
      <c r="T257" s="424"/>
      <c r="U257" s="304"/>
      <c r="V257" s="304"/>
      <c r="X257" s="280" t="s">
        <v>691</v>
      </c>
      <c r="Y257" s="362">
        <f>(G274+I274)/24</f>
        <v>0</v>
      </c>
      <c r="Z257" s="304"/>
      <c r="AA257" s="304"/>
      <c r="AB257" s="304"/>
      <c r="AC257" s="304"/>
    </row>
    <row r="258" spans="2:29">
      <c r="B258" s="1305" t="s">
        <v>745</v>
      </c>
      <c r="C258" s="1306"/>
      <c r="D258" s="1306"/>
      <c r="E258" s="1306"/>
      <c r="F258" s="1307"/>
      <c r="G258" s="346"/>
      <c r="H258" s="359">
        <f>G258</f>
        <v>0</v>
      </c>
      <c r="I258" s="411"/>
      <c r="J258" s="400">
        <f>I258</f>
        <v>0</v>
      </c>
      <c r="L258" s="424"/>
      <c r="M258" s="424"/>
      <c r="N258" s="424"/>
      <c r="O258" s="424"/>
      <c r="P258" s="424"/>
      <c r="Q258" s="424"/>
      <c r="R258" s="424"/>
      <c r="S258" s="424"/>
      <c r="T258" s="424"/>
      <c r="U258" s="304"/>
      <c r="V258" s="304"/>
      <c r="Z258" s="304"/>
      <c r="AA258" s="304"/>
      <c r="AB258" s="304"/>
      <c r="AC258" s="304"/>
    </row>
    <row r="259" spans="2:29">
      <c r="B259" s="1308" t="s">
        <v>722</v>
      </c>
      <c r="C259" s="1309"/>
      <c r="D259" s="1309"/>
      <c r="E259" s="1309"/>
      <c r="F259" s="1309"/>
      <c r="G259" s="412"/>
      <c r="H259" s="413"/>
      <c r="I259" s="414"/>
      <c r="J259" s="415"/>
      <c r="L259" s="424"/>
      <c r="M259" s="424"/>
      <c r="N259" s="424"/>
      <c r="O259" s="424"/>
      <c r="P259" s="424"/>
      <c r="Q259" s="424"/>
      <c r="R259" s="424"/>
      <c r="S259" s="424"/>
      <c r="T259" s="424"/>
      <c r="U259" s="304"/>
      <c r="V259" s="304"/>
      <c r="Z259" s="304"/>
      <c r="AA259" s="304"/>
      <c r="AB259" s="304"/>
      <c r="AC259" s="304"/>
    </row>
    <row r="260" spans="2:29">
      <c r="B260" s="1248" t="s">
        <v>746</v>
      </c>
      <c r="C260" s="1249"/>
      <c r="D260" s="1249"/>
      <c r="E260" s="1249"/>
      <c r="F260" s="1250"/>
      <c r="G260" s="346"/>
      <c r="H260" s="387" t="str">
        <f>IF(OR(H256=0, H256&gt;100%), "Ownership %", (G260+G261))</f>
        <v>Ownership %</v>
      </c>
      <c r="I260" s="346"/>
      <c r="J260" s="388" t="str">
        <f>IF(OR(J256=0, J256&gt;100%), "Ownership %", (I260+I261))</f>
        <v>Ownership %</v>
      </c>
      <c r="L260" s="424"/>
      <c r="M260" s="424"/>
      <c r="N260" s="424"/>
      <c r="O260" s="424"/>
      <c r="P260" s="424"/>
      <c r="Q260" s="424"/>
      <c r="R260" s="424"/>
      <c r="S260" s="424"/>
      <c r="T260" s="424"/>
      <c r="U260" s="304"/>
      <c r="V260" s="304"/>
      <c r="X260" s="280" t="str">
        <f>IF(OR(Y254=0, I274=0), "12 Month Average", "24 Month Average")</f>
        <v>12 Month Average</v>
      </c>
      <c r="Z260" s="304"/>
      <c r="AA260" s="304"/>
      <c r="AB260" s="304"/>
      <c r="AC260" s="304"/>
    </row>
    <row r="261" spans="2:29">
      <c r="B261" s="1295" t="s">
        <v>747</v>
      </c>
      <c r="C261" s="1296"/>
      <c r="D261" s="1296"/>
      <c r="E261" s="1296"/>
      <c r="F261" s="1296"/>
      <c r="G261" s="346"/>
      <c r="H261" s="389"/>
      <c r="I261" s="346"/>
      <c r="J261" s="390"/>
      <c r="L261" s="424"/>
      <c r="M261" s="424"/>
      <c r="N261" s="424"/>
      <c r="O261" s="424"/>
      <c r="P261" s="424"/>
      <c r="Q261" s="424"/>
      <c r="R261" s="424"/>
      <c r="S261" s="424"/>
      <c r="T261" s="424"/>
      <c r="U261" s="304"/>
      <c r="V261" s="304"/>
      <c r="X261" s="280">
        <f xml:space="preserve"> IF(OR(Y254=0, I274=0),Y256,Y257)</f>
        <v>0</v>
      </c>
      <c r="Z261" s="304"/>
      <c r="AA261" s="304"/>
      <c r="AB261" s="304"/>
      <c r="AC261" s="304"/>
    </row>
    <row r="262" spans="2:29">
      <c r="B262" s="1297" t="s">
        <v>748</v>
      </c>
      <c r="C262" s="1298"/>
      <c r="D262" s="1298"/>
      <c r="E262" s="1298"/>
      <c r="F262" s="1298"/>
      <c r="G262" s="416"/>
      <c r="H262" s="416"/>
      <c r="I262" s="416"/>
      <c r="J262" s="417"/>
      <c r="L262" s="424"/>
      <c r="M262" s="424"/>
      <c r="N262" s="424"/>
      <c r="O262" s="424"/>
      <c r="P262" s="424"/>
      <c r="Q262" s="424"/>
      <c r="R262" s="424"/>
      <c r="S262" s="424"/>
      <c r="T262" s="424"/>
      <c r="U262" s="304"/>
      <c r="V262" s="304"/>
      <c r="Z262" s="304"/>
      <c r="AA262" s="304"/>
      <c r="AB262" s="304"/>
      <c r="AC262" s="304"/>
    </row>
    <row r="263" spans="2:29">
      <c r="B263" s="1299" t="s">
        <v>749</v>
      </c>
      <c r="C263" s="1300"/>
      <c r="D263" s="1300"/>
      <c r="E263" s="1300"/>
      <c r="F263" s="1301"/>
      <c r="G263" s="418"/>
      <c r="H263" s="419">
        <f>(G263*H256)*-1</f>
        <v>0</v>
      </c>
      <c r="I263" s="418"/>
      <c r="J263" s="420">
        <f>(I263*J256)*-1</f>
        <v>0</v>
      </c>
      <c r="L263" s="424"/>
      <c r="M263" s="424"/>
      <c r="N263" s="424"/>
      <c r="O263" s="424"/>
      <c r="P263" s="424"/>
      <c r="Q263" s="424"/>
      <c r="R263" s="424"/>
      <c r="S263" s="424"/>
      <c r="T263" s="424"/>
      <c r="U263" s="304"/>
      <c r="V263" s="304"/>
      <c r="X263" s="280" t="s">
        <v>717</v>
      </c>
      <c r="Y263" s="280" t="str">
        <f>IF(OR(H256=0, H256&gt;100%), "Ownership %", (G260+G261))</f>
        <v>Ownership %</v>
      </c>
      <c r="Z263" s="304"/>
      <c r="AA263" s="304"/>
      <c r="AB263" s="304"/>
      <c r="AC263" s="304"/>
    </row>
    <row r="264" spans="2:29">
      <c r="B264" s="1302" t="s">
        <v>750</v>
      </c>
      <c r="C264" s="1303"/>
      <c r="D264" s="1303"/>
      <c r="E264" s="1303"/>
      <c r="F264" s="1304"/>
      <c r="G264" s="418"/>
      <c r="H264" s="419">
        <f>(G264*H256)*-1</f>
        <v>0</v>
      </c>
      <c r="I264" s="418"/>
      <c r="J264" s="420">
        <f>(I264*J256)*-1</f>
        <v>0</v>
      </c>
      <c r="L264" s="424"/>
      <c r="M264" s="424"/>
      <c r="N264" s="424"/>
      <c r="O264" s="424"/>
      <c r="P264" s="424"/>
      <c r="Q264" s="424"/>
      <c r="R264" s="424"/>
      <c r="S264" s="424"/>
      <c r="T264" s="424"/>
      <c r="U264" s="304"/>
      <c r="V264" s="304"/>
      <c r="X264" s="280" t="s">
        <v>720</v>
      </c>
      <c r="Y264" s="280" t="str">
        <f>IF(OR(L267&gt;100%, L267=0), "Ownership %", I260+I261)</f>
        <v>Ownership %</v>
      </c>
      <c r="Z264" s="304"/>
      <c r="AA264" s="304"/>
      <c r="AB264" s="304"/>
      <c r="AC264" s="304"/>
    </row>
    <row r="265" spans="2:29">
      <c r="B265" s="1229" t="s">
        <v>751</v>
      </c>
      <c r="C265" s="1230"/>
      <c r="D265" s="1230"/>
      <c r="E265" s="1230"/>
      <c r="F265" s="1230"/>
      <c r="G265" s="351"/>
      <c r="H265" s="351"/>
      <c r="I265" s="351"/>
      <c r="J265" s="352"/>
      <c r="L265" s="424"/>
      <c r="M265" s="424"/>
      <c r="N265" s="424"/>
      <c r="O265" s="424"/>
      <c r="P265" s="424"/>
      <c r="Q265" s="424"/>
      <c r="R265" s="424"/>
      <c r="S265" s="424"/>
      <c r="T265" s="424"/>
      <c r="U265" s="304"/>
      <c r="V265" s="304"/>
      <c r="Z265" s="304"/>
      <c r="AA265" s="304"/>
      <c r="AB265" s="304"/>
      <c r="AC265" s="304"/>
    </row>
    <row r="266" spans="2:29">
      <c r="B266" s="1243" t="s">
        <v>752</v>
      </c>
      <c r="C266" s="1244"/>
      <c r="D266" s="1244"/>
      <c r="E266" s="1244"/>
      <c r="F266" s="1245"/>
      <c r="G266" s="346"/>
      <c r="H266" s="359">
        <f>G266*H256</f>
        <v>0</v>
      </c>
      <c r="I266" s="346"/>
      <c r="J266" s="400">
        <f>I266*J256</f>
        <v>0</v>
      </c>
      <c r="L266" s="424"/>
      <c r="M266" s="424"/>
      <c r="N266" s="424"/>
      <c r="O266" s="424"/>
      <c r="P266" s="424"/>
      <c r="Q266" s="424"/>
      <c r="R266" s="424"/>
      <c r="S266" s="424"/>
      <c r="T266" s="424"/>
      <c r="U266" s="304"/>
      <c r="V266" s="304"/>
      <c r="X266" s="349" t="s">
        <v>596</v>
      </c>
      <c r="AA266" s="304"/>
      <c r="AB266" s="304"/>
      <c r="AC266" s="304"/>
    </row>
    <row r="267" spans="2:29">
      <c r="B267" s="1223" t="s">
        <v>753</v>
      </c>
      <c r="C267" s="1224"/>
      <c r="D267" s="1224"/>
      <c r="E267" s="1224"/>
      <c r="F267" s="1225"/>
      <c r="G267" s="346"/>
      <c r="H267" s="359">
        <f>G267*H256</f>
        <v>0</v>
      </c>
      <c r="I267" s="346"/>
      <c r="J267" s="400">
        <f>I267*J256</f>
        <v>0</v>
      </c>
      <c r="L267" s="424"/>
      <c r="M267" s="424"/>
      <c r="N267" s="424"/>
      <c r="O267" s="424"/>
      <c r="P267" s="424"/>
      <c r="Q267" s="424"/>
      <c r="R267" s="424"/>
      <c r="S267" s="424"/>
      <c r="T267" s="424"/>
      <c r="U267" s="304"/>
      <c r="V267" s="304"/>
      <c r="X267" s="349" t="s">
        <v>683</v>
      </c>
      <c r="AA267" s="304"/>
      <c r="AB267" s="304"/>
      <c r="AC267" s="304"/>
    </row>
    <row r="268" spans="2:29">
      <c r="B268" s="1223" t="s">
        <v>754</v>
      </c>
      <c r="C268" s="1224"/>
      <c r="D268" s="1224"/>
      <c r="E268" s="1224"/>
      <c r="F268" s="1225"/>
      <c r="G268" s="421"/>
      <c r="H268" s="359">
        <f>G268*H256</f>
        <v>0</v>
      </c>
      <c r="I268" s="421"/>
      <c r="J268" s="400">
        <f>I268*J256</f>
        <v>0</v>
      </c>
      <c r="L268" s="424"/>
      <c r="M268" s="424"/>
      <c r="N268" s="424"/>
      <c r="O268" s="424"/>
      <c r="P268" s="424"/>
      <c r="Q268" s="424"/>
      <c r="R268" s="424"/>
      <c r="S268" s="424"/>
      <c r="T268" s="424"/>
      <c r="U268" s="304"/>
      <c r="V268" s="304"/>
      <c r="X268" s="349" t="s">
        <v>599</v>
      </c>
      <c r="AA268" s="304"/>
      <c r="AB268" s="304"/>
      <c r="AC268" s="304"/>
    </row>
    <row r="269" spans="2:29">
      <c r="B269" s="1288" t="s">
        <v>755</v>
      </c>
      <c r="C269" s="1289"/>
      <c r="D269" s="1289"/>
      <c r="E269" s="1289"/>
      <c r="F269" s="1289"/>
      <c r="G269" s="1290"/>
      <c r="H269" s="1290"/>
      <c r="I269" s="1290"/>
      <c r="J269" s="1291"/>
      <c r="L269" s="424"/>
      <c r="M269" s="424"/>
      <c r="N269" s="424"/>
      <c r="O269" s="424"/>
      <c r="P269" s="424"/>
      <c r="Q269" s="424"/>
      <c r="R269" s="424"/>
      <c r="S269" s="424"/>
      <c r="T269" s="424"/>
      <c r="U269" s="304"/>
      <c r="V269" s="304"/>
      <c r="X269" s="349" t="s">
        <v>603</v>
      </c>
      <c r="AA269" s="304"/>
      <c r="AB269" s="304"/>
      <c r="AC269" s="304"/>
    </row>
    <row r="270" spans="2:29" ht="16.5" customHeight="1">
      <c r="B270" s="1292" t="s">
        <v>756</v>
      </c>
      <c r="C270" s="1293"/>
      <c r="D270" s="1293"/>
      <c r="E270" s="1293"/>
      <c r="F270" s="1294"/>
      <c r="G270" s="422"/>
      <c r="H270" s="401">
        <f>G270*H256</f>
        <v>0</v>
      </c>
      <c r="I270" s="422"/>
      <c r="J270" s="402">
        <f>I270*J256</f>
        <v>0</v>
      </c>
      <c r="L270" s="424"/>
      <c r="M270" s="424"/>
      <c r="N270" s="424"/>
      <c r="O270" s="424"/>
      <c r="P270" s="424"/>
      <c r="Q270" s="424"/>
      <c r="R270" s="424"/>
      <c r="S270" s="424"/>
      <c r="T270" s="424"/>
      <c r="U270" s="304"/>
      <c r="V270" s="304"/>
      <c r="X270" s="349" t="s">
        <v>605</v>
      </c>
      <c r="AA270" s="304"/>
      <c r="AB270" s="304"/>
      <c r="AC270" s="304"/>
    </row>
    <row r="271" spans="2:29">
      <c r="B271" s="1229" t="s">
        <v>757</v>
      </c>
      <c r="C271" s="1230"/>
      <c r="D271" s="1230"/>
      <c r="E271" s="1230"/>
      <c r="F271" s="1230"/>
      <c r="G271" s="351"/>
      <c r="H271" s="351"/>
      <c r="I271" s="351"/>
      <c r="J271" s="352"/>
      <c r="L271" s="424"/>
      <c r="M271" s="424"/>
      <c r="N271" s="424"/>
      <c r="O271" s="424"/>
      <c r="P271" s="424"/>
      <c r="Q271" s="424"/>
      <c r="R271" s="424"/>
      <c r="S271" s="424"/>
      <c r="T271" s="424"/>
      <c r="U271" s="304"/>
      <c r="V271" s="304"/>
      <c r="Z271" s="304"/>
      <c r="AA271" s="304"/>
      <c r="AB271" s="304"/>
      <c r="AC271" s="304"/>
    </row>
    <row r="272" spans="2:29" ht="30.75" customHeight="1">
      <c r="B272" s="1231" t="s">
        <v>758</v>
      </c>
      <c r="C272" s="1232"/>
      <c r="D272" s="1232"/>
      <c r="E272" s="1232"/>
      <c r="F272" s="1233"/>
      <c r="G272" s="399"/>
      <c r="H272" s="359">
        <f>(G272*H256)*-1</f>
        <v>0</v>
      </c>
      <c r="I272" s="399"/>
      <c r="J272" s="400">
        <f>(I272*J256)*-1</f>
        <v>0</v>
      </c>
      <c r="L272" s="424"/>
      <c r="M272" s="424"/>
      <c r="N272" s="424"/>
      <c r="O272" s="424"/>
      <c r="P272" s="424"/>
      <c r="Q272" s="424"/>
      <c r="R272" s="424"/>
      <c r="S272" s="424"/>
      <c r="T272" s="424"/>
      <c r="U272" s="304"/>
      <c r="V272" s="304"/>
      <c r="Z272" s="304"/>
      <c r="AA272" s="304"/>
      <c r="AB272" s="304"/>
      <c r="AC272" s="304"/>
    </row>
    <row r="273" spans="2:41" ht="31.5" customHeight="1">
      <c r="B273" s="1234" t="s">
        <v>759</v>
      </c>
      <c r="C273" s="1235"/>
      <c r="D273" s="1235"/>
      <c r="E273" s="1235"/>
      <c r="F273" s="1236"/>
      <c r="G273" s="346"/>
      <c r="H273" s="401">
        <f>(G273*H256)*-1</f>
        <v>0</v>
      </c>
      <c r="I273" s="346"/>
      <c r="J273" s="402">
        <f>(I273*J256)*-1</f>
        <v>0</v>
      </c>
      <c r="L273" s="424"/>
      <c r="M273" s="424"/>
      <c r="N273" s="424"/>
      <c r="O273" s="424"/>
      <c r="P273" s="424"/>
      <c r="Q273" s="424"/>
      <c r="R273" s="424"/>
      <c r="S273" s="424"/>
      <c r="T273" s="424"/>
      <c r="U273" s="304"/>
      <c r="V273" s="304"/>
      <c r="Z273" s="304"/>
      <c r="AA273" s="304"/>
      <c r="AB273" s="304"/>
      <c r="AC273" s="304"/>
      <c r="AD273" s="304"/>
      <c r="AE273" s="304"/>
      <c r="AF273" s="304"/>
      <c r="AG273" s="304"/>
      <c r="AH273" s="304"/>
      <c r="AI273" s="304"/>
      <c r="AJ273" s="304"/>
      <c r="AK273" s="304"/>
      <c r="AL273" s="304"/>
      <c r="AM273" s="304"/>
      <c r="AN273" s="304"/>
      <c r="AO273" s="304"/>
    </row>
    <row r="274" spans="2:41" ht="32.25" customHeight="1">
      <c r="B274" s="1158" t="s">
        <v>740</v>
      </c>
      <c r="C274" s="1287"/>
      <c r="D274" s="1287"/>
      <c r="E274" s="1287"/>
      <c r="F274" s="1287"/>
      <c r="G274" s="1156">
        <f>SUM(H258:H273)</f>
        <v>0</v>
      </c>
      <c r="H274" s="1155"/>
      <c r="I274" s="1214">
        <f>SUM(J258:J273)</f>
        <v>0</v>
      </c>
      <c r="J274" s="1216"/>
      <c r="L274" s="424"/>
      <c r="M274" s="424"/>
      <c r="N274" s="424"/>
      <c r="O274" s="424"/>
      <c r="P274" s="424"/>
      <c r="Q274" s="424"/>
      <c r="R274" s="424"/>
      <c r="S274" s="424"/>
      <c r="T274" s="424"/>
      <c r="U274" s="304"/>
      <c r="V274" s="304"/>
      <c r="Z274" s="304"/>
      <c r="AA274" s="304"/>
      <c r="AB274" s="304"/>
      <c r="AC274" s="304"/>
      <c r="AD274" s="304"/>
      <c r="AE274" s="304"/>
      <c r="AF274" s="304"/>
      <c r="AG274" s="304"/>
      <c r="AH274" s="304"/>
      <c r="AI274" s="304"/>
      <c r="AJ274" s="304"/>
      <c r="AK274" s="304"/>
      <c r="AL274" s="304"/>
      <c r="AM274" s="304"/>
      <c r="AN274" s="304"/>
      <c r="AO274" s="304"/>
    </row>
    <row r="275" spans="2:41" ht="21">
      <c r="B275" s="1217" t="s">
        <v>760</v>
      </c>
      <c r="C275" s="1218"/>
      <c r="D275" s="1218"/>
      <c r="E275" s="1218"/>
      <c r="F275" s="1219"/>
      <c r="G275" s="1282" t="str">
        <f>IF(OR(Y254=0, I274=0), "12 Month Average", "24 Month Average")</f>
        <v>12 Month Average</v>
      </c>
      <c r="H275" s="1283"/>
      <c r="I275" s="1283"/>
      <c r="J275" s="1284"/>
      <c r="L275" s="424"/>
      <c r="M275" s="424"/>
      <c r="N275" s="424"/>
      <c r="O275" s="424"/>
      <c r="P275" s="424"/>
      <c r="Q275" s="424"/>
      <c r="R275" s="424"/>
      <c r="S275" s="424"/>
      <c r="T275" s="424"/>
      <c r="U275" s="304"/>
      <c r="V275" s="304"/>
      <c r="Z275" s="304"/>
      <c r="AA275" s="304"/>
      <c r="AB275" s="304"/>
      <c r="AC275" s="304"/>
      <c r="AD275" s="304"/>
      <c r="AE275" s="304"/>
      <c r="AF275" s="304"/>
      <c r="AG275" s="304"/>
      <c r="AH275" s="304"/>
      <c r="AI275" s="304"/>
      <c r="AJ275" s="304"/>
      <c r="AK275" s="304"/>
      <c r="AL275" s="304"/>
      <c r="AM275" s="304"/>
      <c r="AN275" s="304"/>
      <c r="AO275" s="304"/>
    </row>
    <row r="276" spans="2:41" ht="34.5" thickBot="1">
      <c r="B276" s="1220" t="s">
        <v>697</v>
      </c>
      <c r="C276" s="1221"/>
      <c r="D276" s="1221"/>
      <c r="E276" s="1221"/>
      <c r="F276" s="1222"/>
      <c r="G276" s="1167">
        <f xml:space="preserve"> IF(OR(Y254=0, I274=0),Y256,Y257)</f>
        <v>0</v>
      </c>
      <c r="H276" s="1168"/>
      <c r="I276" s="1168"/>
      <c r="J276" s="1169"/>
      <c r="N276" s="304"/>
      <c r="O276" s="304"/>
      <c r="P276" s="304"/>
      <c r="Q276" s="304"/>
      <c r="R276" s="304"/>
      <c r="S276" s="304"/>
      <c r="T276" s="304"/>
      <c r="U276" s="304"/>
      <c r="V276" s="304"/>
      <c r="Z276" s="304"/>
      <c r="AA276" s="304"/>
      <c r="AB276" s="304"/>
      <c r="AC276" s="304"/>
      <c r="AD276" s="304"/>
      <c r="AE276" s="304"/>
      <c r="AF276" s="304"/>
      <c r="AG276" s="304"/>
      <c r="AH276" s="304"/>
      <c r="AI276" s="304"/>
      <c r="AJ276" s="304"/>
      <c r="AK276" s="304"/>
      <c r="AL276" s="304"/>
      <c r="AM276" s="304"/>
      <c r="AN276" s="304"/>
      <c r="AO276" s="304"/>
    </row>
    <row r="277" spans="2:41" s="304" customFormat="1" ht="3" customHeight="1" thickBot="1">
      <c r="B277" s="78"/>
      <c r="C277" s="78"/>
      <c r="D277" s="78"/>
      <c r="E277" s="78"/>
      <c r="F277" s="78"/>
      <c r="G277" s="78"/>
      <c r="H277" s="330"/>
      <c r="I277" s="330"/>
      <c r="J277" s="78"/>
      <c r="W277" s="280"/>
      <c r="X277" s="280"/>
      <c r="Y277" s="280"/>
    </row>
    <row r="278" spans="2:41" s="304" customFormat="1" ht="135" customHeight="1" thickBot="1">
      <c r="B278" s="1148" t="s">
        <v>761</v>
      </c>
      <c r="C278" s="1285"/>
      <c r="D278" s="1285"/>
      <c r="E278" s="1285"/>
      <c r="F278" s="1285"/>
      <c r="G278" s="1285"/>
      <c r="H278" s="1285"/>
      <c r="I278" s="1285"/>
      <c r="J278" s="1286"/>
      <c r="W278" s="280"/>
      <c r="X278" s="280"/>
      <c r="Y278" s="280"/>
    </row>
    <row r="279" spans="2:41" s="280" customFormat="1">
      <c r="B279" s="423"/>
      <c r="C279" s="423"/>
      <c r="D279" s="423"/>
      <c r="E279" s="423"/>
      <c r="F279" s="423"/>
      <c r="G279" s="423"/>
      <c r="H279" s="423"/>
      <c r="I279" s="423"/>
      <c r="J279" s="423"/>
    </row>
    <row r="280" spans="2:41" ht="13.5" customHeight="1" thickBot="1"/>
    <row r="281" spans="2:41" s="404" customFormat="1" ht="69" customHeight="1">
      <c r="B281" s="1187" t="s">
        <v>741</v>
      </c>
      <c r="C281" s="1188"/>
      <c r="D281" s="1188"/>
      <c r="E281" s="1188"/>
      <c r="F281" s="1188"/>
      <c r="G281" s="1188"/>
      <c r="H281" s="1188"/>
      <c r="I281" s="1188"/>
      <c r="J281" s="331" t="str">
        <f>'[3]Reference Sheet'!$B$2</f>
        <v>Rev. 4.12.2016</v>
      </c>
      <c r="L281" s="424"/>
      <c r="M281" s="424"/>
      <c r="N281" s="424"/>
      <c r="O281" s="424"/>
      <c r="P281" s="424"/>
      <c r="Q281" s="424"/>
      <c r="R281" s="424"/>
      <c r="S281" s="424"/>
      <c r="T281" s="424"/>
      <c r="U281" s="367"/>
      <c r="V281" s="367"/>
      <c r="W281" s="405"/>
      <c r="X281" s="405"/>
      <c r="Y281" s="405"/>
      <c r="Z281" s="367"/>
      <c r="AA281" s="367"/>
      <c r="AB281" s="367"/>
      <c r="AC281" s="367"/>
    </row>
    <row r="282" spans="2:41" s="404" customFormat="1" ht="16.5" customHeight="1" thickBot="1">
      <c r="B282" s="332"/>
      <c r="C282" s="368" t="s">
        <v>710</v>
      </c>
      <c r="D282" s="1310"/>
      <c r="E282" s="1311"/>
      <c r="F282" s="1311"/>
      <c r="G282" s="1311"/>
      <c r="H282" s="333"/>
      <c r="I282" s="333"/>
      <c r="J282" s="334"/>
      <c r="L282" s="424"/>
      <c r="M282" s="424"/>
      <c r="N282" s="424"/>
      <c r="O282" s="424"/>
      <c r="P282" s="424"/>
      <c r="Q282" s="424"/>
      <c r="R282" s="424"/>
      <c r="S282" s="424"/>
      <c r="T282" s="424"/>
      <c r="U282" s="367"/>
      <c r="V282" s="367"/>
      <c r="W282" s="280"/>
      <c r="X282" s="280"/>
      <c r="Y282" s="280"/>
      <c r="Z282" s="304"/>
      <c r="AA282" s="304"/>
      <c r="AB282" s="367"/>
      <c r="AC282" s="367"/>
    </row>
    <row r="283" spans="2:41" s="404" customFormat="1" ht="15" customHeight="1" thickBot="1">
      <c r="B283" s="332"/>
      <c r="C283" s="368" t="s">
        <v>711</v>
      </c>
      <c r="D283" s="1312"/>
      <c r="E283" s="1313"/>
      <c r="F283" s="1313"/>
      <c r="G283" s="1313"/>
      <c r="H283" s="368" t="s">
        <v>712</v>
      </c>
      <c r="I283" s="1310"/>
      <c r="J283" s="1314"/>
      <c r="L283" s="424"/>
      <c r="M283" s="424"/>
      <c r="N283" s="424"/>
      <c r="O283" s="424"/>
      <c r="P283" s="424"/>
      <c r="Q283" s="424"/>
      <c r="R283" s="424"/>
      <c r="S283" s="424"/>
      <c r="T283" s="424"/>
      <c r="U283" s="367"/>
      <c r="V283" s="367"/>
      <c r="W283" s="280"/>
      <c r="X283" s="280" t="s">
        <v>680</v>
      </c>
      <c r="Y283" s="280">
        <f>IF(AND(J287=0, J289=0, J297=0, J298=0, J301=0, J303=0, I305=0), 0, 1)</f>
        <v>0</v>
      </c>
      <c r="Z283" s="304"/>
      <c r="AA283" s="304"/>
      <c r="AB283" s="367"/>
      <c r="AC283" s="367"/>
    </row>
    <row r="284" spans="2:41" ht="16.5" thickBot="1">
      <c r="B284" s="1176" t="s">
        <v>671</v>
      </c>
      <c r="C284" s="1177"/>
      <c r="D284" s="1315"/>
      <c r="E284" s="1316"/>
      <c r="F284" s="1316"/>
      <c r="G284" s="1316"/>
      <c r="H284" s="336" t="s">
        <v>673</v>
      </c>
      <c r="I284" s="1315"/>
      <c r="J284" s="1317"/>
      <c r="L284" s="424"/>
      <c r="M284" s="424"/>
      <c r="N284" s="424"/>
      <c r="O284" s="424"/>
      <c r="P284" s="424"/>
      <c r="Q284" s="424"/>
      <c r="R284" s="424"/>
      <c r="S284" s="424"/>
      <c r="T284" s="424"/>
      <c r="U284" s="304"/>
      <c r="V284" s="304"/>
      <c r="X284" s="280" t="s">
        <v>682</v>
      </c>
      <c r="Y284" s="280">
        <f>IF(AND(G305&lt;=I305, I305&lt;&gt;0), 0, 1)</f>
        <v>1</v>
      </c>
      <c r="Z284" s="304"/>
      <c r="AA284" s="304"/>
      <c r="AB284" s="304"/>
      <c r="AC284" s="304"/>
    </row>
    <row r="285" spans="2:41" ht="16.5" customHeight="1" thickBot="1">
      <c r="B285" s="1176" t="s">
        <v>674</v>
      </c>
      <c r="C285" s="1177"/>
      <c r="D285" s="1262"/>
      <c r="E285" s="1263"/>
      <c r="F285" s="1263"/>
      <c r="G285" s="1263"/>
      <c r="H285" s="1263"/>
      <c r="I285" s="1263"/>
      <c r="J285" s="1264"/>
      <c r="L285" s="424"/>
      <c r="M285" s="424"/>
      <c r="N285" s="424"/>
      <c r="O285" s="424"/>
      <c r="P285" s="424"/>
      <c r="Q285" s="424"/>
      <c r="R285" s="424"/>
      <c r="S285" s="424"/>
      <c r="T285" s="424"/>
      <c r="U285" s="304"/>
      <c r="V285" s="304"/>
      <c r="X285" s="280" t="s">
        <v>685</v>
      </c>
      <c r="Y285" s="280">
        <f>IF(AND(Y284=0, Y283=1), 0, 1)</f>
        <v>1</v>
      </c>
      <c r="Z285" s="304"/>
      <c r="AA285" s="304"/>
      <c r="AB285" s="304"/>
      <c r="AC285" s="304"/>
    </row>
    <row r="286" spans="2:41" ht="16.5" customHeight="1">
      <c r="B286" s="1265"/>
      <c r="C286" s="1266"/>
      <c r="D286" s="1266"/>
      <c r="E286" s="1266"/>
      <c r="F286" s="1267"/>
      <c r="G286" s="406" t="s">
        <v>713</v>
      </c>
      <c r="H286" s="372" t="s">
        <v>676</v>
      </c>
      <c r="I286" s="377"/>
      <c r="J286" s="407" t="s">
        <v>677</v>
      </c>
      <c r="L286" s="424"/>
      <c r="M286" s="424"/>
      <c r="N286" s="424"/>
      <c r="O286" s="424"/>
      <c r="P286" s="424"/>
      <c r="Q286" s="424"/>
      <c r="R286" s="424"/>
      <c r="S286" s="424"/>
      <c r="T286" s="424"/>
      <c r="U286" s="304"/>
      <c r="V286" s="304"/>
      <c r="Z286" s="304"/>
      <c r="AA286" s="304"/>
      <c r="AB286" s="304"/>
      <c r="AC286" s="304"/>
    </row>
    <row r="287" spans="2:41" ht="16.5" customHeight="1" thickBot="1">
      <c r="B287" s="1269"/>
      <c r="C287" s="1270"/>
      <c r="D287" s="1270"/>
      <c r="E287" s="1270"/>
      <c r="F287" s="1271"/>
      <c r="G287" s="408" t="s">
        <v>743</v>
      </c>
      <c r="H287" s="409"/>
      <c r="I287" s="377"/>
      <c r="J287" s="410"/>
      <c r="L287" s="424"/>
      <c r="M287" s="424"/>
      <c r="N287" s="424"/>
      <c r="O287" s="424"/>
      <c r="P287" s="424"/>
      <c r="Q287" s="424"/>
      <c r="R287" s="424"/>
      <c r="S287" s="424"/>
      <c r="T287" s="424"/>
      <c r="U287" s="304"/>
      <c r="V287" s="304"/>
      <c r="X287" s="280" t="s">
        <v>689</v>
      </c>
      <c r="Y287" s="362">
        <f>G305/12</f>
        <v>0</v>
      </c>
      <c r="Z287" s="304"/>
      <c r="AA287" s="304"/>
      <c r="AB287" s="304"/>
      <c r="AC287" s="304"/>
    </row>
    <row r="288" spans="2:41">
      <c r="B288" s="1229" t="s">
        <v>744</v>
      </c>
      <c r="C288" s="1273"/>
      <c r="D288" s="1273"/>
      <c r="E288" s="1273"/>
      <c r="F288" s="1273"/>
      <c r="G288" s="377" t="s">
        <v>719</v>
      </c>
      <c r="H288" s="381"/>
      <c r="I288" s="386" t="s">
        <v>719</v>
      </c>
      <c r="J288" s="382"/>
      <c r="L288" s="424"/>
      <c r="M288" s="424"/>
      <c r="N288" s="424"/>
      <c r="O288" s="424"/>
      <c r="P288" s="424"/>
      <c r="Q288" s="424"/>
      <c r="R288" s="424"/>
      <c r="S288" s="424"/>
      <c r="T288" s="424"/>
      <c r="U288" s="304"/>
      <c r="V288" s="304"/>
      <c r="X288" s="280" t="s">
        <v>691</v>
      </c>
      <c r="Y288" s="362">
        <f>(G305+I305)/24</f>
        <v>0</v>
      </c>
      <c r="Z288" s="304"/>
      <c r="AA288" s="304"/>
      <c r="AB288" s="304"/>
      <c r="AC288" s="304"/>
    </row>
    <row r="289" spans="2:41">
      <c r="B289" s="1305" t="s">
        <v>745</v>
      </c>
      <c r="C289" s="1306"/>
      <c r="D289" s="1306"/>
      <c r="E289" s="1306"/>
      <c r="F289" s="1307"/>
      <c r="G289" s="346"/>
      <c r="H289" s="359">
        <f>G289</f>
        <v>0</v>
      </c>
      <c r="I289" s="411"/>
      <c r="J289" s="400">
        <f>I289</f>
        <v>0</v>
      </c>
      <c r="L289" s="424"/>
      <c r="M289" s="424"/>
      <c r="N289" s="424"/>
      <c r="O289" s="424"/>
      <c r="P289" s="424"/>
      <c r="Q289" s="424"/>
      <c r="R289" s="424"/>
      <c r="S289" s="424"/>
      <c r="T289" s="424"/>
      <c r="U289" s="304"/>
      <c r="V289" s="304"/>
      <c r="Z289" s="304"/>
      <c r="AA289" s="304"/>
      <c r="AB289" s="304"/>
      <c r="AC289" s="304"/>
    </row>
    <row r="290" spans="2:41">
      <c r="B290" s="1308" t="s">
        <v>722</v>
      </c>
      <c r="C290" s="1309"/>
      <c r="D290" s="1309"/>
      <c r="E290" s="1309"/>
      <c r="F290" s="1309"/>
      <c r="G290" s="412"/>
      <c r="H290" s="413"/>
      <c r="I290" s="414"/>
      <c r="J290" s="415"/>
      <c r="L290" s="424"/>
      <c r="M290" s="424"/>
      <c r="N290" s="424"/>
      <c r="O290" s="424"/>
      <c r="P290" s="424"/>
      <c r="Q290" s="424"/>
      <c r="R290" s="424"/>
      <c r="S290" s="424"/>
      <c r="T290" s="424"/>
      <c r="U290" s="304"/>
      <c r="V290" s="304"/>
      <c r="Z290" s="304"/>
      <c r="AA290" s="304"/>
      <c r="AB290" s="304"/>
      <c r="AC290" s="304"/>
    </row>
    <row r="291" spans="2:41">
      <c r="B291" s="1248" t="s">
        <v>746</v>
      </c>
      <c r="C291" s="1249"/>
      <c r="D291" s="1249"/>
      <c r="E291" s="1249"/>
      <c r="F291" s="1250"/>
      <c r="G291" s="346"/>
      <c r="H291" s="387" t="str">
        <f>IF(OR(H287=0, H287&gt;100%), "Ownership %", (G291+G292))</f>
        <v>Ownership %</v>
      </c>
      <c r="I291" s="346"/>
      <c r="J291" s="388" t="str">
        <f>IF(OR(J287=0, J287&gt;100%), "Ownership %", (I291+I292))</f>
        <v>Ownership %</v>
      </c>
      <c r="L291" s="424"/>
      <c r="M291" s="424"/>
      <c r="N291" s="424"/>
      <c r="O291" s="424"/>
      <c r="P291" s="424"/>
      <c r="Q291" s="424"/>
      <c r="R291" s="424"/>
      <c r="S291" s="424"/>
      <c r="T291" s="424"/>
      <c r="U291" s="304"/>
      <c r="V291" s="304"/>
      <c r="X291" s="280" t="str">
        <f>IF(OR(Y285=0, I305=0), "12 Month Average", "24 Month Average")</f>
        <v>12 Month Average</v>
      </c>
      <c r="Z291" s="304"/>
      <c r="AA291" s="304"/>
      <c r="AB291" s="304"/>
      <c r="AC291" s="304"/>
    </row>
    <row r="292" spans="2:41">
      <c r="B292" s="1295" t="s">
        <v>747</v>
      </c>
      <c r="C292" s="1296"/>
      <c r="D292" s="1296"/>
      <c r="E292" s="1296"/>
      <c r="F292" s="1296"/>
      <c r="G292" s="346"/>
      <c r="H292" s="389"/>
      <c r="I292" s="346"/>
      <c r="J292" s="390"/>
      <c r="L292" s="424"/>
      <c r="M292" s="424"/>
      <c r="N292" s="424"/>
      <c r="O292" s="424"/>
      <c r="P292" s="424"/>
      <c r="Q292" s="424"/>
      <c r="R292" s="424"/>
      <c r="S292" s="424"/>
      <c r="T292" s="424"/>
      <c r="U292" s="304"/>
      <c r="V292" s="304"/>
      <c r="X292" s="280">
        <f xml:space="preserve"> IF(OR(Y285=0, I305=0),Y287,Y288)</f>
        <v>0</v>
      </c>
      <c r="Z292" s="304"/>
      <c r="AA292" s="304"/>
      <c r="AB292" s="304"/>
      <c r="AC292" s="304"/>
    </row>
    <row r="293" spans="2:41">
      <c r="B293" s="1297" t="s">
        <v>748</v>
      </c>
      <c r="C293" s="1298"/>
      <c r="D293" s="1298"/>
      <c r="E293" s="1298"/>
      <c r="F293" s="1298"/>
      <c r="G293" s="416"/>
      <c r="H293" s="416"/>
      <c r="I293" s="416"/>
      <c r="J293" s="417"/>
      <c r="L293" s="424"/>
      <c r="M293" s="424"/>
      <c r="N293" s="424"/>
      <c r="O293" s="424"/>
      <c r="P293" s="424"/>
      <c r="Q293" s="424"/>
      <c r="R293" s="424"/>
      <c r="S293" s="424"/>
      <c r="T293" s="424"/>
      <c r="U293" s="304"/>
      <c r="V293" s="304"/>
      <c r="Z293" s="304"/>
      <c r="AA293" s="304"/>
      <c r="AB293" s="304"/>
      <c r="AC293" s="304"/>
    </row>
    <row r="294" spans="2:41">
      <c r="B294" s="1299" t="s">
        <v>749</v>
      </c>
      <c r="C294" s="1300"/>
      <c r="D294" s="1300"/>
      <c r="E294" s="1300"/>
      <c r="F294" s="1301"/>
      <c r="G294" s="418"/>
      <c r="H294" s="419">
        <f>(G294*H287)*-1</f>
        <v>0</v>
      </c>
      <c r="I294" s="418"/>
      <c r="J294" s="420">
        <f>(I294*J287)*-1</f>
        <v>0</v>
      </c>
      <c r="L294" s="424"/>
      <c r="M294" s="424"/>
      <c r="N294" s="424"/>
      <c r="O294" s="424"/>
      <c r="P294" s="424"/>
      <c r="Q294" s="424"/>
      <c r="R294" s="424"/>
      <c r="S294" s="424"/>
      <c r="T294" s="424"/>
      <c r="U294" s="304"/>
      <c r="V294" s="304"/>
      <c r="X294" s="280" t="s">
        <v>717</v>
      </c>
      <c r="Y294" s="280" t="str">
        <f>IF(OR(H287=0, H287&gt;100%), "Ownership %", (G291+G292))</f>
        <v>Ownership %</v>
      </c>
      <c r="Z294" s="304"/>
      <c r="AA294" s="304"/>
      <c r="AB294" s="304"/>
      <c r="AC294" s="304"/>
    </row>
    <row r="295" spans="2:41">
      <c r="B295" s="1302" t="s">
        <v>750</v>
      </c>
      <c r="C295" s="1303"/>
      <c r="D295" s="1303"/>
      <c r="E295" s="1303"/>
      <c r="F295" s="1304"/>
      <c r="G295" s="418"/>
      <c r="H295" s="419">
        <f>(G295*H287)*-1</f>
        <v>0</v>
      </c>
      <c r="I295" s="418"/>
      <c r="J295" s="420">
        <f>(I295*J287)*-1</f>
        <v>0</v>
      </c>
      <c r="L295" s="424"/>
      <c r="M295" s="424"/>
      <c r="N295" s="424"/>
      <c r="O295" s="424"/>
      <c r="P295" s="424"/>
      <c r="Q295" s="424"/>
      <c r="R295" s="424"/>
      <c r="S295" s="424"/>
      <c r="T295" s="424"/>
      <c r="U295" s="304"/>
      <c r="V295" s="304"/>
      <c r="X295" s="280" t="s">
        <v>720</v>
      </c>
      <c r="Y295" s="280" t="str">
        <f>IF(OR(L298&gt;100%, L298=0), "Ownership %", I291+I292)</f>
        <v>Ownership %</v>
      </c>
      <c r="Z295" s="304"/>
      <c r="AA295" s="304"/>
      <c r="AB295" s="304"/>
      <c r="AC295" s="304"/>
    </row>
    <row r="296" spans="2:41">
      <c r="B296" s="1229" t="s">
        <v>751</v>
      </c>
      <c r="C296" s="1230"/>
      <c r="D296" s="1230"/>
      <c r="E296" s="1230"/>
      <c r="F296" s="1230"/>
      <c r="G296" s="351"/>
      <c r="H296" s="351"/>
      <c r="I296" s="351"/>
      <c r="J296" s="352"/>
      <c r="L296" s="424"/>
      <c r="M296" s="424"/>
      <c r="N296" s="424"/>
      <c r="O296" s="424"/>
      <c r="P296" s="424"/>
      <c r="Q296" s="424"/>
      <c r="R296" s="424"/>
      <c r="S296" s="424"/>
      <c r="T296" s="424"/>
      <c r="U296" s="304"/>
      <c r="V296" s="304"/>
      <c r="Z296" s="304"/>
      <c r="AA296" s="304"/>
      <c r="AB296" s="304"/>
      <c r="AC296" s="304"/>
    </row>
    <row r="297" spans="2:41">
      <c r="B297" s="1243" t="s">
        <v>752</v>
      </c>
      <c r="C297" s="1244"/>
      <c r="D297" s="1244"/>
      <c r="E297" s="1244"/>
      <c r="F297" s="1245"/>
      <c r="G297" s="346"/>
      <c r="H297" s="359">
        <f>G297*H287</f>
        <v>0</v>
      </c>
      <c r="I297" s="346"/>
      <c r="J297" s="400">
        <f>I297*J287</f>
        <v>0</v>
      </c>
      <c r="L297" s="424"/>
      <c r="M297" s="424"/>
      <c r="N297" s="424"/>
      <c r="O297" s="424"/>
      <c r="P297" s="424"/>
      <c r="Q297" s="424"/>
      <c r="R297" s="424"/>
      <c r="S297" s="424"/>
      <c r="T297" s="424"/>
      <c r="U297" s="304"/>
      <c r="V297" s="304"/>
      <c r="X297" s="349" t="s">
        <v>596</v>
      </c>
      <c r="AA297" s="304"/>
      <c r="AB297" s="304"/>
      <c r="AC297" s="304"/>
    </row>
    <row r="298" spans="2:41">
      <c r="B298" s="1223" t="s">
        <v>753</v>
      </c>
      <c r="C298" s="1224"/>
      <c r="D298" s="1224"/>
      <c r="E298" s="1224"/>
      <c r="F298" s="1225"/>
      <c r="G298" s="346"/>
      <c r="H298" s="359">
        <f>G298*H287</f>
        <v>0</v>
      </c>
      <c r="I298" s="346"/>
      <c r="J298" s="400">
        <f>I298*J287</f>
        <v>0</v>
      </c>
      <c r="L298" s="424"/>
      <c r="M298" s="424"/>
      <c r="N298" s="424"/>
      <c r="O298" s="424"/>
      <c r="P298" s="424"/>
      <c r="Q298" s="424"/>
      <c r="R298" s="424"/>
      <c r="S298" s="424"/>
      <c r="T298" s="424"/>
      <c r="U298" s="304"/>
      <c r="V298" s="304"/>
      <c r="X298" s="349" t="s">
        <v>683</v>
      </c>
      <c r="AA298" s="304"/>
      <c r="AB298" s="304"/>
      <c r="AC298" s="304"/>
    </row>
    <row r="299" spans="2:41">
      <c r="B299" s="1223" t="s">
        <v>754</v>
      </c>
      <c r="C299" s="1224"/>
      <c r="D299" s="1224"/>
      <c r="E299" s="1224"/>
      <c r="F299" s="1225"/>
      <c r="G299" s="421"/>
      <c r="H299" s="359">
        <f>G299*H287</f>
        <v>0</v>
      </c>
      <c r="I299" s="421"/>
      <c r="J299" s="400">
        <f>I299*J287</f>
        <v>0</v>
      </c>
      <c r="L299" s="424"/>
      <c r="M299" s="424"/>
      <c r="N299" s="424"/>
      <c r="O299" s="424"/>
      <c r="P299" s="424"/>
      <c r="Q299" s="424"/>
      <c r="R299" s="424"/>
      <c r="S299" s="424"/>
      <c r="T299" s="424"/>
      <c r="U299" s="304"/>
      <c r="V299" s="304"/>
      <c r="X299" s="349" t="s">
        <v>599</v>
      </c>
      <c r="AA299" s="304"/>
      <c r="AB299" s="304"/>
      <c r="AC299" s="304"/>
    </row>
    <row r="300" spans="2:41">
      <c r="B300" s="1288" t="s">
        <v>755</v>
      </c>
      <c r="C300" s="1289"/>
      <c r="D300" s="1289"/>
      <c r="E300" s="1289"/>
      <c r="F300" s="1289"/>
      <c r="G300" s="1290"/>
      <c r="H300" s="1290"/>
      <c r="I300" s="1290"/>
      <c r="J300" s="1291"/>
      <c r="L300" s="424"/>
      <c r="M300" s="424"/>
      <c r="N300" s="424"/>
      <c r="O300" s="424"/>
      <c r="P300" s="424"/>
      <c r="Q300" s="424"/>
      <c r="R300" s="424"/>
      <c r="S300" s="424"/>
      <c r="T300" s="424"/>
      <c r="U300" s="304"/>
      <c r="V300" s="304"/>
      <c r="X300" s="349" t="s">
        <v>603</v>
      </c>
      <c r="AA300" s="304"/>
      <c r="AB300" s="304"/>
      <c r="AC300" s="304"/>
    </row>
    <row r="301" spans="2:41" ht="16.5" customHeight="1">
      <c r="B301" s="1292" t="s">
        <v>756</v>
      </c>
      <c r="C301" s="1293"/>
      <c r="D301" s="1293"/>
      <c r="E301" s="1293"/>
      <c r="F301" s="1294"/>
      <c r="G301" s="422"/>
      <c r="H301" s="401">
        <f>G301*H287</f>
        <v>0</v>
      </c>
      <c r="I301" s="422"/>
      <c r="J301" s="402">
        <f>I301*J287</f>
        <v>0</v>
      </c>
      <c r="L301" s="424"/>
      <c r="M301" s="424"/>
      <c r="N301" s="424"/>
      <c r="O301" s="424"/>
      <c r="P301" s="424"/>
      <c r="Q301" s="424"/>
      <c r="R301" s="424"/>
      <c r="S301" s="424"/>
      <c r="T301" s="424"/>
      <c r="U301" s="304"/>
      <c r="V301" s="304"/>
      <c r="X301" s="349" t="s">
        <v>605</v>
      </c>
      <c r="AA301" s="304"/>
      <c r="AB301" s="304"/>
      <c r="AC301" s="304"/>
    </row>
    <row r="302" spans="2:41">
      <c r="B302" s="1229" t="s">
        <v>757</v>
      </c>
      <c r="C302" s="1230"/>
      <c r="D302" s="1230"/>
      <c r="E302" s="1230"/>
      <c r="F302" s="1230"/>
      <c r="G302" s="351"/>
      <c r="H302" s="351"/>
      <c r="I302" s="351"/>
      <c r="J302" s="352"/>
      <c r="L302" s="424"/>
      <c r="M302" s="424"/>
      <c r="N302" s="424"/>
      <c r="O302" s="424"/>
      <c r="P302" s="424"/>
      <c r="Q302" s="424"/>
      <c r="R302" s="424"/>
      <c r="S302" s="424"/>
      <c r="T302" s="424"/>
      <c r="U302" s="304"/>
      <c r="V302" s="304"/>
      <c r="Z302" s="304"/>
      <c r="AA302" s="304"/>
      <c r="AB302" s="304"/>
      <c r="AC302" s="304"/>
    </row>
    <row r="303" spans="2:41" ht="30.75" customHeight="1">
      <c r="B303" s="1231" t="s">
        <v>758</v>
      </c>
      <c r="C303" s="1232"/>
      <c r="D303" s="1232"/>
      <c r="E303" s="1232"/>
      <c r="F303" s="1233"/>
      <c r="G303" s="399"/>
      <c r="H303" s="359">
        <f>(G303*H287)*-1</f>
        <v>0</v>
      </c>
      <c r="I303" s="399"/>
      <c r="J303" s="400">
        <f>(I303*J287)*-1</f>
        <v>0</v>
      </c>
      <c r="L303" s="424"/>
      <c r="M303" s="424"/>
      <c r="N303" s="424"/>
      <c r="O303" s="424"/>
      <c r="P303" s="424"/>
      <c r="Q303" s="424"/>
      <c r="R303" s="424"/>
      <c r="S303" s="424"/>
      <c r="T303" s="424"/>
      <c r="U303" s="304"/>
      <c r="V303" s="304"/>
      <c r="Z303" s="304"/>
      <c r="AA303" s="304"/>
      <c r="AB303" s="304"/>
      <c r="AC303" s="304"/>
    </row>
    <row r="304" spans="2:41" ht="31.5" customHeight="1">
      <c r="B304" s="1234" t="s">
        <v>759</v>
      </c>
      <c r="C304" s="1235"/>
      <c r="D304" s="1235"/>
      <c r="E304" s="1235"/>
      <c r="F304" s="1236"/>
      <c r="G304" s="346"/>
      <c r="H304" s="401">
        <f>(G304*H287)*-1</f>
        <v>0</v>
      </c>
      <c r="I304" s="346"/>
      <c r="J304" s="402">
        <f>(I304*J287)*-1</f>
        <v>0</v>
      </c>
      <c r="L304" s="424"/>
      <c r="M304" s="424"/>
      <c r="N304" s="424"/>
      <c r="O304" s="424"/>
      <c r="P304" s="424"/>
      <c r="Q304" s="424"/>
      <c r="R304" s="424"/>
      <c r="S304" s="424"/>
      <c r="T304" s="424"/>
      <c r="U304" s="304"/>
      <c r="V304" s="304"/>
      <c r="Z304" s="304"/>
      <c r="AA304" s="304"/>
      <c r="AB304" s="304"/>
      <c r="AC304" s="304"/>
      <c r="AD304" s="304"/>
      <c r="AE304" s="304"/>
      <c r="AF304" s="304"/>
      <c r="AG304" s="304"/>
      <c r="AH304" s="304"/>
      <c r="AI304" s="304"/>
      <c r="AJ304" s="304"/>
      <c r="AK304" s="304"/>
      <c r="AL304" s="304"/>
      <c r="AM304" s="304"/>
      <c r="AN304" s="304"/>
      <c r="AO304" s="304"/>
    </row>
    <row r="305" spans="2:41" ht="32.25" customHeight="1">
      <c r="B305" s="1158" t="s">
        <v>740</v>
      </c>
      <c r="C305" s="1287"/>
      <c r="D305" s="1287"/>
      <c r="E305" s="1287"/>
      <c r="F305" s="1287"/>
      <c r="G305" s="1156">
        <f>SUM(H289:H304)</f>
        <v>0</v>
      </c>
      <c r="H305" s="1155"/>
      <c r="I305" s="1214">
        <f>SUM(J289:J304)</f>
        <v>0</v>
      </c>
      <c r="J305" s="1216"/>
      <c r="L305" s="424"/>
      <c r="M305" s="424"/>
      <c r="N305" s="424"/>
      <c r="O305" s="424"/>
      <c r="P305" s="424"/>
      <c r="Q305" s="424"/>
      <c r="R305" s="424"/>
      <c r="S305" s="424"/>
      <c r="T305" s="424"/>
      <c r="U305" s="304"/>
      <c r="V305" s="304"/>
      <c r="Z305" s="304"/>
      <c r="AA305" s="304"/>
      <c r="AB305" s="304"/>
      <c r="AC305" s="304"/>
      <c r="AD305" s="304"/>
      <c r="AE305" s="304"/>
      <c r="AF305" s="304"/>
      <c r="AG305" s="304"/>
      <c r="AH305" s="304"/>
      <c r="AI305" s="304"/>
      <c r="AJ305" s="304"/>
      <c r="AK305" s="304"/>
      <c r="AL305" s="304"/>
      <c r="AM305" s="304"/>
      <c r="AN305" s="304"/>
      <c r="AO305" s="304"/>
    </row>
    <row r="306" spans="2:41" ht="21">
      <c r="B306" s="1217" t="s">
        <v>760</v>
      </c>
      <c r="C306" s="1218"/>
      <c r="D306" s="1218"/>
      <c r="E306" s="1218"/>
      <c r="F306" s="1219"/>
      <c r="G306" s="1282" t="str">
        <f>IF(OR(Y285=0, I305=0), "12 Month Average", "24 Month Average")</f>
        <v>12 Month Average</v>
      </c>
      <c r="H306" s="1283"/>
      <c r="I306" s="1283"/>
      <c r="J306" s="1284"/>
      <c r="L306" s="424"/>
      <c r="M306" s="424"/>
      <c r="N306" s="424"/>
      <c r="O306" s="424"/>
      <c r="P306" s="424"/>
      <c r="Q306" s="424"/>
      <c r="R306" s="424"/>
      <c r="S306" s="424"/>
      <c r="T306" s="424"/>
      <c r="U306" s="304"/>
      <c r="V306" s="304"/>
      <c r="Z306" s="304"/>
      <c r="AA306" s="304"/>
      <c r="AB306" s="304"/>
      <c r="AC306" s="304"/>
      <c r="AD306" s="304"/>
      <c r="AE306" s="304"/>
      <c r="AF306" s="304"/>
      <c r="AG306" s="304"/>
      <c r="AH306" s="304"/>
      <c r="AI306" s="304"/>
      <c r="AJ306" s="304"/>
      <c r="AK306" s="304"/>
      <c r="AL306" s="304"/>
      <c r="AM306" s="304"/>
      <c r="AN306" s="304"/>
      <c r="AO306" s="304"/>
    </row>
    <row r="307" spans="2:41" ht="34.5" thickBot="1">
      <c r="B307" s="1220" t="s">
        <v>697</v>
      </c>
      <c r="C307" s="1221"/>
      <c r="D307" s="1221"/>
      <c r="E307" s="1221"/>
      <c r="F307" s="1222"/>
      <c r="G307" s="1167">
        <f xml:space="preserve"> IF(OR(Y285=0, I305=0),Y287,Y288)</f>
        <v>0</v>
      </c>
      <c r="H307" s="1168"/>
      <c r="I307" s="1168"/>
      <c r="J307" s="1169"/>
      <c r="N307" s="304"/>
      <c r="O307" s="304"/>
      <c r="P307" s="304"/>
      <c r="Q307" s="304"/>
      <c r="R307" s="304"/>
      <c r="S307" s="304"/>
      <c r="T307" s="304"/>
      <c r="U307" s="304"/>
      <c r="V307" s="304"/>
      <c r="Z307" s="304"/>
      <c r="AA307" s="304"/>
      <c r="AB307" s="304"/>
      <c r="AC307" s="304"/>
      <c r="AD307" s="304"/>
      <c r="AE307" s="304"/>
      <c r="AF307" s="304"/>
      <c r="AG307" s="304"/>
      <c r="AH307" s="304"/>
      <c r="AI307" s="304"/>
      <c r="AJ307" s="304"/>
      <c r="AK307" s="304"/>
      <c r="AL307" s="304"/>
      <c r="AM307" s="304"/>
      <c r="AN307" s="304"/>
      <c r="AO307" s="304"/>
    </row>
    <row r="308" spans="2:41" s="304" customFormat="1" ht="3" customHeight="1" thickBot="1">
      <c r="B308" s="78"/>
      <c r="C308" s="78"/>
      <c r="D308" s="78"/>
      <c r="E308" s="78"/>
      <c r="F308" s="78"/>
      <c r="G308" s="78"/>
      <c r="H308" s="330"/>
      <c r="I308" s="330"/>
      <c r="J308" s="78"/>
      <c r="W308" s="280"/>
      <c r="X308" s="280"/>
      <c r="Y308" s="280"/>
    </row>
    <row r="309" spans="2:41" s="304" customFormat="1" ht="135" customHeight="1" thickBot="1">
      <c r="B309" s="1148" t="s">
        <v>761</v>
      </c>
      <c r="C309" s="1285"/>
      <c r="D309" s="1285"/>
      <c r="E309" s="1285"/>
      <c r="F309" s="1285"/>
      <c r="G309" s="1285"/>
      <c r="H309" s="1285"/>
      <c r="I309" s="1285"/>
      <c r="J309" s="1286"/>
      <c r="W309" s="280"/>
      <c r="X309" s="280"/>
      <c r="Y309" s="280"/>
    </row>
    <row r="310" spans="2:41" s="280" customFormat="1">
      <c r="B310" s="423"/>
      <c r="C310" s="423"/>
      <c r="D310" s="423"/>
      <c r="E310" s="423"/>
      <c r="F310" s="423"/>
      <c r="G310" s="423"/>
      <c r="H310" s="423"/>
      <c r="I310" s="423"/>
      <c r="J310" s="423"/>
    </row>
    <row r="311" spans="2:41" ht="13.5" customHeight="1" thickBot="1"/>
    <row r="312" spans="2:41" s="404" customFormat="1" ht="69" customHeight="1">
      <c r="B312" s="1187" t="s">
        <v>741</v>
      </c>
      <c r="C312" s="1188"/>
      <c r="D312" s="1188"/>
      <c r="E312" s="1188"/>
      <c r="F312" s="1188"/>
      <c r="G312" s="1188"/>
      <c r="H312" s="1188"/>
      <c r="I312" s="1188"/>
      <c r="J312" s="331" t="str">
        <f>'[3]Reference Sheet'!$B$2</f>
        <v>Rev. 4.12.2016</v>
      </c>
      <c r="L312" s="424"/>
      <c r="M312" s="424"/>
      <c r="N312" s="424"/>
      <c r="O312" s="424"/>
      <c r="P312" s="424"/>
      <c r="Q312" s="424"/>
      <c r="R312" s="424"/>
      <c r="S312" s="424"/>
      <c r="T312" s="424"/>
      <c r="U312" s="367"/>
      <c r="V312" s="367"/>
      <c r="W312" s="405"/>
      <c r="X312" s="405"/>
      <c r="Y312" s="405"/>
      <c r="Z312" s="367"/>
      <c r="AA312" s="367"/>
      <c r="AB312" s="367"/>
      <c r="AC312" s="367"/>
    </row>
    <row r="313" spans="2:41" s="404" customFormat="1" ht="16.5" customHeight="1" thickBot="1">
      <c r="B313" s="332"/>
      <c r="C313" s="368" t="s">
        <v>710</v>
      </c>
      <c r="D313" s="1310"/>
      <c r="E313" s="1311"/>
      <c r="F313" s="1311"/>
      <c r="G313" s="1311"/>
      <c r="H313" s="333"/>
      <c r="I313" s="333"/>
      <c r="J313" s="334"/>
      <c r="L313" s="424"/>
      <c r="M313" s="424"/>
      <c r="N313" s="424"/>
      <c r="O313" s="424"/>
      <c r="P313" s="424"/>
      <c r="Q313" s="424"/>
      <c r="R313" s="424"/>
      <c r="S313" s="424"/>
      <c r="T313" s="424"/>
      <c r="U313" s="367"/>
      <c r="V313" s="367"/>
      <c r="W313" s="280"/>
      <c r="X313" s="280"/>
      <c r="Y313" s="280"/>
      <c r="Z313" s="304"/>
      <c r="AA313" s="304"/>
      <c r="AB313" s="367"/>
      <c r="AC313" s="367"/>
    </row>
    <row r="314" spans="2:41" s="404" customFormat="1" ht="15" customHeight="1" thickBot="1">
      <c r="B314" s="332"/>
      <c r="C314" s="368" t="s">
        <v>711</v>
      </c>
      <c r="D314" s="1312"/>
      <c r="E314" s="1313"/>
      <c r="F314" s="1313"/>
      <c r="G314" s="1313"/>
      <c r="H314" s="368" t="s">
        <v>712</v>
      </c>
      <c r="I314" s="1310"/>
      <c r="J314" s="1314"/>
      <c r="L314" s="424"/>
      <c r="M314" s="424"/>
      <c r="N314" s="424"/>
      <c r="O314" s="424"/>
      <c r="P314" s="424"/>
      <c r="Q314" s="424"/>
      <c r="R314" s="424"/>
      <c r="S314" s="424"/>
      <c r="T314" s="424"/>
      <c r="U314" s="367"/>
      <c r="V314" s="367"/>
      <c r="W314" s="280"/>
      <c r="X314" s="280" t="s">
        <v>680</v>
      </c>
      <c r="Y314" s="280">
        <f>IF(AND(J318=0, J320=0, J328=0, J329=0, J332=0, J334=0, I336=0), 0, 1)</f>
        <v>0</v>
      </c>
      <c r="Z314" s="304"/>
      <c r="AA314" s="304"/>
      <c r="AB314" s="367"/>
      <c r="AC314" s="367"/>
    </row>
    <row r="315" spans="2:41" ht="16.5" thickBot="1">
      <c r="B315" s="1176" t="s">
        <v>671</v>
      </c>
      <c r="C315" s="1177"/>
      <c r="D315" s="1315"/>
      <c r="E315" s="1316"/>
      <c r="F315" s="1316"/>
      <c r="G315" s="1316"/>
      <c r="H315" s="336" t="s">
        <v>673</v>
      </c>
      <c r="I315" s="1315"/>
      <c r="J315" s="1317"/>
      <c r="L315" s="424"/>
      <c r="M315" s="424"/>
      <c r="N315" s="424"/>
      <c r="O315" s="424"/>
      <c r="P315" s="424"/>
      <c r="Q315" s="424"/>
      <c r="R315" s="424"/>
      <c r="S315" s="424"/>
      <c r="T315" s="424"/>
      <c r="U315" s="304"/>
      <c r="V315" s="304"/>
      <c r="X315" s="280" t="s">
        <v>682</v>
      </c>
      <c r="Y315" s="280">
        <f>IF(AND(G336&lt;=I336, I336&lt;&gt;0), 0, 1)</f>
        <v>1</v>
      </c>
      <c r="Z315" s="304"/>
      <c r="AA315" s="304"/>
      <c r="AB315" s="304"/>
      <c r="AC315" s="304"/>
    </row>
    <row r="316" spans="2:41" ht="16.5" customHeight="1" thickBot="1">
      <c r="B316" s="1176" t="s">
        <v>674</v>
      </c>
      <c r="C316" s="1177"/>
      <c r="D316" s="1262"/>
      <c r="E316" s="1263"/>
      <c r="F316" s="1263"/>
      <c r="G316" s="1263"/>
      <c r="H316" s="1263"/>
      <c r="I316" s="1263"/>
      <c r="J316" s="1264"/>
      <c r="L316" s="424"/>
      <c r="M316" s="424"/>
      <c r="N316" s="424"/>
      <c r="O316" s="424"/>
      <c r="P316" s="424"/>
      <c r="Q316" s="424"/>
      <c r="R316" s="424"/>
      <c r="S316" s="424"/>
      <c r="T316" s="424"/>
      <c r="U316" s="304"/>
      <c r="V316" s="304"/>
      <c r="X316" s="280" t="s">
        <v>685</v>
      </c>
      <c r="Y316" s="280">
        <f>IF(AND(Y315=0, Y314=1), 0, 1)</f>
        <v>1</v>
      </c>
      <c r="Z316" s="304"/>
      <c r="AA316" s="304"/>
      <c r="AB316" s="304"/>
      <c r="AC316" s="304"/>
    </row>
    <row r="317" spans="2:41" ht="16.5" customHeight="1">
      <c r="B317" s="1265"/>
      <c r="C317" s="1266"/>
      <c r="D317" s="1266"/>
      <c r="E317" s="1266"/>
      <c r="F317" s="1267"/>
      <c r="G317" s="406" t="s">
        <v>713</v>
      </c>
      <c r="H317" s="372" t="s">
        <v>676</v>
      </c>
      <c r="I317" s="377"/>
      <c r="J317" s="407" t="s">
        <v>677</v>
      </c>
      <c r="L317" s="424"/>
      <c r="M317" s="424"/>
      <c r="N317" s="424"/>
      <c r="O317" s="424"/>
      <c r="P317" s="424"/>
      <c r="Q317" s="424"/>
      <c r="R317" s="424"/>
      <c r="S317" s="424"/>
      <c r="T317" s="424"/>
      <c r="U317" s="304"/>
      <c r="V317" s="304"/>
      <c r="Z317" s="304"/>
      <c r="AA317" s="304"/>
      <c r="AB317" s="304"/>
      <c r="AC317" s="304"/>
    </row>
    <row r="318" spans="2:41" ht="16.5" customHeight="1" thickBot="1">
      <c r="B318" s="1269"/>
      <c r="C318" s="1270"/>
      <c r="D318" s="1270"/>
      <c r="E318" s="1270"/>
      <c r="F318" s="1271"/>
      <c r="G318" s="408" t="s">
        <v>743</v>
      </c>
      <c r="H318" s="409"/>
      <c r="I318" s="377"/>
      <c r="J318" s="410"/>
      <c r="L318" s="424"/>
      <c r="M318" s="424"/>
      <c r="N318" s="424"/>
      <c r="O318" s="424"/>
      <c r="P318" s="424"/>
      <c r="Q318" s="424"/>
      <c r="R318" s="424"/>
      <c r="S318" s="424"/>
      <c r="T318" s="424"/>
      <c r="U318" s="304"/>
      <c r="V318" s="304"/>
      <c r="X318" s="280" t="s">
        <v>689</v>
      </c>
      <c r="Y318" s="362">
        <f>G336/12</f>
        <v>0</v>
      </c>
      <c r="Z318" s="304"/>
      <c r="AA318" s="304"/>
      <c r="AB318" s="304"/>
      <c r="AC318" s="304"/>
    </row>
    <row r="319" spans="2:41">
      <c r="B319" s="1229" t="s">
        <v>744</v>
      </c>
      <c r="C319" s="1273"/>
      <c r="D319" s="1273"/>
      <c r="E319" s="1273"/>
      <c r="F319" s="1273"/>
      <c r="G319" s="377" t="s">
        <v>719</v>
      </c>
      <c r="H319" s="381"/>
      <c r="I319" s="386" t="s">
        <v>719</v>
      </c>
      <c r="J319" s="382"/>
      <c r="L319" s="424"/>
      <c r="M319" s="424"/>
      <c r="N319" s="424"/>
      <c r="O319" s="424"/>
      <c r="P319" s="424"/>
      <c r="Q319" s="424"/>
      <c r="R319" s="424"/>
      <c r="S319" s="424"/>
      <c r="T319" s="424"/>
      <c r="U319" s="304"/>
      <c r="V319" s="304"/>
      <c r="X319" s="280" t="s">
        <v>691</v>
      </c>
      <c r="Y319" s="362">
        <f>(G336+I336)/24</f>
        <v>0</v>
      </c>
      <c r="Z319" s="304"/>
      <c r="AA319" s="304"/>
      <c r="AB319" s="304"/>
      <c r="AC319" s="304"/>
    </row>
    <row r="320" spans="2:41">
      <c r="B320" s="1305" t="s">
        <v>745</v>
      </c>
      <c r="C320" s="1306"/>
      <c r="D320" s="1306"/>
      <c r="E320" s="1306"/>
      <c r="F320" s="1307"/>
      <c r="G320" s="346"/>
      <c r="H320" s="359">
        <f>G320</f>
        <v>0</v>
      </c>
      <c r="I320" s="411"/>
      <c r="J320" s="400">
        <f>I320</f>
        <v>0</v>
      </c>
      <c r="L320" s="424"/>
      <c r="M320" s="424"/>
      <c r="N320" s="424"/>
      <c r="O320" s="424"/>
      <c r="P320" s="424"/>
      <c r="Q320" s="424"/>
      <c r="R320" s="424"/>
      <c r="S320" s="424"/>
      <c r="T320" s="424"/>
      <c r="U320" s="304"/>
      <c r="V320" s="304"/>
      <c r="Z320" s="304"/>
      <c r="AA320" s="304"/>
      <c r="AB320" s="304"/>
      <c r="AC320" s="304"/>
    </row>
    <row r="321" spans="2:41">
      <c r="B321" s="1308" t="s">
        <v>722</v>
      </c>
      <c r="C321" s="1309"/>
      <c r="D321" s="1309"/>
      <c r="E321" s="1309"/>
      <c r="F321" s="1309"/>
      <c r="G321" s="412"/>
      <c r="H321" s="413"/>
      <c r="I321" s="414"/>
      <c r="J321" s="415"/>
      <c r="L321" s="424"/>
      <c r="M321" s="424"/>
      <c r="N321" s="424"/>
      <c r="O321" s="424"/>
      <c r="P321" s="424"/>
      <c r="Q321" s="424"/>
      <c r="R321" s="424"/>
      <c r="S321" s="424"/>
      <c r="T321" s="424"/>
      <c r="U321" s="304"/>
      <c r="V321" s="304"/>
      <c r="Z321" s="304"/>
      <c r="AA321" s="304"/>
      <c r="AB321" s="304"/>
      <c r="AC321" s="304"/>
    </row>
    <row r="322" spans="2:41">
      <c r="B322" s="1248" t="s">
        <v>746</v>
      </c>
      <c r="C322" s="1249"/>
      <c r="D322" s="1249"/>
      <c r="E322" s="1249"/>
      <c r="F322" s="1250"/>
      <c r="G322" s="346"/>
      <c r="H322" s="387" t="str">
        <f>IF(OR(H318=0, H318&gt;100%), "Ownership %", (G322+G323))</f>
        <v>Ownership %</v>
      </c>
      <c r="I322" s="346"/>
      <c r="J322" s="388" t="str">
        <f>IF(OR(J318=0, J318&gt;100%), "Ownership %", (I322+I323))</f>
        <v>Ownership %</v>
      </c>
      <c r="L322" s="424"/>
      <c r="M322" s="424"/>
      <c r="N322" s="424"/>
      <c r="O322" s="424"/>
      <c r="P322" s="424"/>
      <c r="Q322" s="424"/>
      <c r="R322" s="424"/>
      <c r="S322" s="424"/>
      <c r="T322" s="424"/>
      <c r="U322" s="304"/>
      <c r="V322" s="304"/>
      <c r="X322" s="280" t="str">
        <f>IF(OR(Y316=0, I336=0), "12 Month Average", "24 Month Average")</f>
        <v>12 Month Average</v>
      </c>
      <c r="Z322" s="304"/>
      <c r="AA322" s="304"/>
      <c r="AB322" s="304"/>
      <c r="AC322" s="304"/>
    </row>
    <row r="323" spans="2:41">
      <c r="B323" s="1295" t="s">
        <v>747</v>
      </c>
      <c r="C323" s="1296"/>
      <c r="D323" s="1296"/>
      <c r="E323" s="1296"/>
      <c r="F323" s="1296"/>
      <c r="G323" s="346"/>
      <c r="H323" s="389"/>
      <c r="I323" s="346"/>
      <c r="J323" s="390"/>
      <c r="L323" s="424"/>
      <c r="M323" s="424"/>
      <c r="N323" s="424"/>
      <c r="O323" s="424"/>
      <c r="P323" s="424"/>
      <c r="Q323" s="424"/>
      <c r="R323" s="424"/>
      <c r="S323" s="424"/>
      <c r="T323" s="424"/>
      <c r="U323" s="304"/>
      <c r="V323" s="304"/>
      <c r="X323" s="280">
        <f xml:space="preserve"> IF(OR(Y316=0, I336=0),Y318,Y319)</f>
        <v>0</v>
      </c>
      <c r="Z323" s="304"/>
      <c r="AA323" s="304"/>
      <c r="AB323" s="304"/>
      <c r="AC323" s="304"/>
    </row>
    <row r="324" spans="2:41">
      <c r="B324" s="1297" t="s">
        <v>748</v>
      </c>
      <c r="C324" s="1298"/>
      <c r="D324" s="1298"/>
      <c r="E324" s="1298"/>
      <c r="F324" s="1298"/>
      <c r="G324" s="416"/>
      <c r="H324" s="416"/>
      <c r="I324" s="416"/>
      <c r="J324" s="417"/>
      <c r="L324" s="424"/>
      <c r="M324" s="424"/>
      <c r="N324" s="424"/>
      <c r="O324" s="424"/>
      <c r="P324" s="424"/>
      <c r="Q324" s="424"/>
      <c r="R324" s="424"/>
      <c r="S324" s="424"/>
      <c r="T324" s="424"/>
      <c r="U324" s="304"/>
      <c r="V324" s="304"/>
      <c r="Z324" s="304"/>
      <c r="AA324" s="304"/>
      <c r="AB324" s="304"/>
      <c r="AC324" s="304"/>
    </row>
    <row r="325" spans="2:41">
      <c r="B325" s="1299" t="s">
        <v>749</v>
      </c>
      <c r="C325" s="1300"/>
      <c r="D325" s="1300"/>
      <c r="E325" s="1300"/>
      <c r="F325" s="1301"/>
      <c r="G325" s="418"/>
      <c r="H325" s="419">
        <f>(G325*H318)*-1</f>
        <v>0</v>
      </c>
      <c r="I325" s="418"/>
      <c r="J325" s="420">
        <f>(I325*J318)*-1</f>
        <v>0</v>
      </c>
      <c r="L325" s="424"/>
      <c r="M325" s="424"/>
      <c r="N325" s="424"/>
      <c r="O325" s="424"/>
      <c r="P325" s="424"/>
      <c r="Q325" s="424"/>
      <c r="R325" s="424"/>
      <c r="S325" s="424"/>
      <c r="T325" s="424"/>
      <c r="U325" s="304"/>
      <c r="V325" s="304"/>
      <c r="X325" s="280" t="s">
        <v>717</v>
      </c>
      <c r="Y325" s="280" t="str">
        <f>IF(OR(H318=0, H318&gt;100%), "Ownership %", (G322+G323))</f>
        <v>Ownership %</v>
      </c>
      <c r="Z325" s="304"/>
      <c r="AA325" s="304"/>
      <c r="AB325" s="304"/>
      <c r="AC325" s="304"/>
    </row>
    <row r="326" spans="2:41">
      <c r="B326" s="1302" t="s">
        <v>750</v>
      </c>
      <c r="C326" s="1303"/>
      <c r="D326" s="1303"/>
      <c r="E326" s="1303"/>
      <c r="F326" s="1304"/>
      <c r="G326" s="418"/>
      <c r="H326" s="419">
        <f>(G326*H318)*-1</f>
        <v>0</v>
      </c>
      <c r="I326" s="418"/>
      <c r="J326" s="420">
        <f>(I326*J318)*-1</f>
        <v>0</v>
      </c>
      <c r="L326" s="424"/>
      <c r="M326" s="424"/>
      <c r="N326" s="424"/>
      <c r="O326" s="424"/>
      <c r="P326" s="424"/>
      <c r="Q326" s="424"/>
      <c r="R326" s="424"/>
      <c r="S326" s="424"/>
      <c r="T326" s="424"/>
      <c r="U326" s="304"/>
      <c r="V326" s="304"/>
      <c r="X326" s="280" t="s">
        <v>720</v>
      </c>
      <c r="Y326" s="280" t="str">
        <f>IF(OR(L329&gt;100%, L329=0), "Ownership %", I322+I323)</f>
        <v>Ownership %</v>
      </c>
      <c r="Z326" s="304"/>
      <c r="AA326" s="304"/>
      <c r="AB326" s="304"/>
      <c r="AC326" s="304"/>
    </row>
    <row r="327" spans="2:41">
      <c r="B327" s="1229" t="s">
        <v>751</v>
      </c>
      <c r="C327" s="1230"/>
      <c r="D327" s="1230"/>
      <c r="E327" s="1230"/>
      <c r="F327" s="1230"/>
      <c r="G327" s="351"/>
      <c r="H327" s="351"/>
      <c r="I327" s="351"/>
      <c r="J327" s="352"/>
      <c r="L327" s="424"/>
      <c r="M327" s="424"/>
      <c r="N327" s="424"/>
      <c r="O327" s="424"/>
      <c r="P327" s="424"/>
      <c r="Q327" s="424"/>
      <c r="R327" s="424"/>
      <c r="S327" s="424"/>
      <c r="T327" s="424"/>
      <c r="U327" s="304"/>
      <c r="V327" s="304"/>
      <c r="Z327" s="304"/>
      <c r="AA327" s="304"/>
      <c r="AB327" s="304"/>
      <c r="AC327" s="304"/>
    </row>
    <row r="328" spans="2:41">
      <c r="B328" s="1243" t="s">
        <v>752</v>
      </c>
      <c r="C328" s="1244"/>
      <c r="D328" s="1244"/>
      <c r="E328" s="1244"/>
      <c r="F328" s="1245"/>
      <c r="G328" s="346"/>
      <c r="H328" s="359">
        <f>G328*H318</f>
        <v>0</v>
      </c>
      <c r="I328" s="346"/>
      <c r="J328" s="400">
        <f>I328*J318</f>
        <v>0</v>
      </c>
      <c r="L328" s="424"/>
      <c r="M328" s="424"/>
      <c r="N328" s="424"/>
      <c r="O328" s="424"/>
      <c r="P328" s="424"/>
      <c r="Q328" s="424"/>
      <c r="R328" s="424"/>
      <c r="S328" s="424"/>
      <c r="T328" s="424"/>
      <c r="U328" s="304"/>
      <c r="V328" s="304"/>
      <c r="X328" s="349" t="s">
        <v>596</v>
      </c>
      <c r="AA328" s="304"/>
      <c r="AB328" s="304"/>
      <c r="AC328" s="304"/>
    </row>
    <row r="329" spans="2:41">
      <c r="B329" s="1223" t="s">
        <v>753</v>
      </c>
      <c r="C329" s="1224"/>
      <c r="D329" s="1224"/>
      <c r="E329" s="1224"/>
      <c r="F329" s="1225"/>
      <c r="G329" s="346"/>
      <c r="H329" s="359">
        <f>G329*H318</f>
        <v>0</v>
      </c>
      <c r="I329" s="346"/>
      <c r="J329" s="400">
        <f>I329*J318</f>
        <v>0</v>
      </c>
      <c r="L329" s="424"/>
      <c r="M329" s="424"/>
      <c r="N329" s="424"/>
      <c r="O329" s="424"/>
      <c r="P329" s="424"/>
      <c r="Q329" s="424"/>
      <c r="R329" s="424"/>
      <c r="S329" s="424"/>
      <c r="T329" s="424"/>
      <c r="U329" s="304"/>
      <c r="V329" s="304"/>
      <c r="X329" s="349" t="s">
        <v>683</v>
      </c>
      <c r="AA329" s="304"/>
      <c r="AB329" s="304"/>
      <c r="AC329" s="304"/>
    </row>
    <row r="330" spans="2:41">
      <c r="B330" s="1223" t="s">
        <v>754</v>
      </c>
      <c r="C330" s="1224"/>
      <c r="D330" s="1224"/>
      <c r="E330" s="1224"/>
      <c r="F330" s="1225"/>
      <c r="G330" s="421"/>
      <c r="H330" s="359">
        <f>G330*H318</f>
        <v>0</v>
      </c>
      <c r="I330" s="421"/>
      <c r="J330" s="400">
        <f>I330*J318</f>
        <v>0</v>
      </c>
      <c r="L330" s="424"/>
      <c r="M330" s="424"/>
      <c r="N330" s="424"/>
      <c r="O330" s="424"/>
      <c r="P330" s="424"/>
      <c r="Q330" s="424"/>
      <c r="R330" s="424"/>
      <c r="S330" s="424"/>
      <c r="T330" s="424"/>
      <c r="U330" s="304"/>
      <c r="V330" s="304"/>
      <c r="X330" s="349" t="s">
        <v>599</v>
      </c>
      <c r="AA330" s="304"/>
      <c r="AB330" s="304"/>
      <c r="AC330" s="304"/>
    </row>
    <row r="331" spans="2:41">
      <c r="B331" s="1288" t="s">
        <v>755</v>
      </c>
      <c r="C331" s="1289"/>
      <c r="D331" s="1289"/>
      <c r="E331" s="1289"/>
      <c r="F331" s="1289"/>
      <c r="G331" s="1290"/>
      <c r="H331" s="1290"/>
      <c r="I331" s="1290"/>
      <c r="J331" s="1291"/>
      <c r="L331" s="424"/>
      <c r="M331" s="424"/>
      <c r="N331" s="424"/>
      <c r="O331" s="424"/>
      <c r="P331" s="424"/>
      <c r="Q331" s="424"/>
      <c r="R331" s="424"/>
      <c r="S331" s="424"/>
      <c r="T331" s="424"/>
      <c r="U331" s="304"/>
      <c r="V331" s="304"/>
      <c r="X331" s="349" t="s">
        <v>603</v>
      </c>
      <c r="AA331" s="304"/>
      <c r="AB331" s="304"/>
      <c r="AC331" s="304"/>
    </row>
    <row r="332" spans="2:41" ht="16.5" customHeight="1">
      <c r="B332" s="1292" t="s">
        <v>756</v>
      </c>
      <c r="C332" s="1293"/>
      <c r="D332" s="1293"/>
      <c r="E332" s="1293"/>
      <c r="F332" s="1294"/>
      <c r="G332" s="422"/>
      <c r="H332" s="401">
        <f>G332*H318</f>
        <v>0</v>
      </c>
      <c r="I332" s="422"/>
      <c r="J332" s="402">
        <f>I332*J318</f>
        <v>0</v>
      </c>
      <c r="L332" s="424"/>
      <c r="M332" s="424"/>
      <c r="N332" s="424"/>
      <c r="O332" s="424"/>
      <c r="P332" s="424"/>
      <c r="Q332" s="424"/>
      <c r="R332" s="424"/>
      <c r="S332" s="424"/>
      <c r="T332" s="424"/>
      <c r="U332" s="304"/>
      <c r="V332" s="304"/>
      <c r="X332" s="349" t="s">
        <v>605</v>
      </c>
      <c r="AA332" s="304"/>
      <c r="AB332" s="304"/>
      <c r="AC332" s="304"/>
    </row>
    <row r="333" spans="2:41">
      <c r="B333" s="1229" t="s">
        <v>757</v>
      </c>
      <c r="C333" s="1230"/>
      <c r="D333" s="1230"/>
      <c r="E333" s="1230"/>
      <c r="F333" s="1230"/>
      <c r="G333" s="351"/>
      <c r="H333" s="351"/>
      <c r="I333" s="351"/>
      <c r="J333" s="352"/>
      <c r="L333" s="424"/>
      <c r="M333" s="424"/>
      <c r="N333" s="424"/>
      <c r="O333" s="424"/>
      <c r="P333" s="424"/>
      <c r="Q333" s="424"/>
      <c r="R333" s="424"/>
      <c r="S333" s="424"/>
      <c r="T333" s="424"/>
      <c r="U333" s="304"/>
      <c r="V333" s="304"/>
      <c r="Z333" s="304"/>
      <c r="AA333" s="304"/>
      <c r="AB333" s="304"/>
      <c r="AC333" s="304"/>
    </row>
    <row r="334" spans="2:41" ht="30.75" customHeight="1">
      <c r="B334" s="1231" t="s">
        <v>758</v>
      </c>
      <c r="C334" s="1232"/>
      <c r="D334" s="1232"/>
      <c r="E334" s="1232"/>
      <c r="F334" s="1233"/>
      <c r="G334" s="399"/>
      <c r="H334" s="359">
        <f>(G334*H318)*-1</f>
        <v>0</v>
      </c>
      <c r="I334" s="399"/>
      <c r="J334" s="400">
        <f>(I334*J318)*-1</f>
        <v>0</v>
      </c>
      <c r="L334" s="424"/>
      <c r="M334" s="424"/>
      <c r="N334" s="424"/>
      <c r="O334" s="424"/>
      <c r="P334" s="424"/>
      <c r="Q334" s="424"/>
      <c r="R334" s="424"/>
      <c r="S334" s="424"/>
      <c r="T334" s="424"/>
      <c r="U334" s="304"/>
      <c r="V334" s="304"/>
      <c r="Z334" s="304"/>
      <c r="AA334" s="304"/>
      <c r="AB334" s="304"/>
      <c r="AC334" s="304"/>
    </row>
    <row r="335" spans="2:41" ht="31.5" customHeight="1">
      <c r="B335" s="1234" t="s">
        <v>759</v>
      </c>
      <c r="C335" s="1235"/>
      <c r="D335" s="1235"/>
      <c r="E335" s="1235"/>
      <c r="F335" s="1236"/>
      <c r="G335" s="346"/>
      <c r="H335" s="401">
        <f>(G335*H318)*-1</f>
        <v>0</v>
      </c>
      <c r="I335" s="346"/>
      <c r="J335" s="402">
        <f>(I335*J318)*-1</f>
        <v>0</v>
      </c>
      <c r="L335" s="424"/>
      <c r="M335" s="424"/>
      <c r="N335" s="424"/>
      <c r="O335" s="424"/>
      <c r="P335" s="424"/>
      <c r="Q335" s="424"/>
      <c r="R335" s="424"/>
      <c r="S335" s="424"/>
      <c r="T335" s="424"/>
      <c r="U335" s="304"/>
      <c r="V335" s="304"/>
      <c r="Z335" s="304"/>
      <c r="AA335" s="304"/>
      <c r="AB335" s="304"/>
      <c r="AC335" s="304"/>
      <c r="AD335" s="304"/>
      <c r="AE335" s="304"/>
      <c r="AF335" s="304"/>
      <c r="AG335" s="304"/>
      <c r="AH335" s="304"/>
      <c r="AI335" s="304"/>
      <c r="AJ335" s="304"/>
      <c r="AK335" s="304"/>
      <c r="AL335" s="304"/>
      <c r="AM335" s="304"/>
      <c r="AN335" s="304"/>
      <c r="AO335" s="304"/>
    </row>
    <row r="336" spans="2:41" ht="32.25" customHeight="1">
      <c r="B336" s="1158" t="s">
        <v>740</v>
      </c>
      <c r="C336" s="1287"/>
      <c r="D336" s="1287"/>
      <c r="E336" s="1287"/>
      <c r="F336" s="1287"/>
      <c r="G336" s="1156">
        <f>SUM(H320:H335)</f>
        <v>0</v>
      </c>
      <c r="H336" s="1155"/>
      <c r="I336" s="1214">
        <f>SUM(J320:J335)</f>
        <v>0</v>
      </c>
      <c r="J336" s="1216"/>
      <c r="L336" s="424"/>
      <c r="M336" s="424"/>
      <c r="N336" s="424"/>
      <c r="O336" s="424"/>
      <c r="P336" s="424"/>
      <c r="Q336" s="424"/>
      <c r="R336" s="424"/>
      <c r="S336" s="424"/>
      <c r="T336" s="424"/>
      <c r="U336" s="304"/>
      <c r="V336" s="304"/>
      <c r="Z336" s="304"/>
      <c r="AA336" s="304"/>
      <c r="AB336" s="304"/>
      <c r="AC336" s="304"/>
      <c r="AD336" s="304"/>
      <c r="AE336" s="304"/>
      <c r="AF336" s="304"/>
      <c r="AG336" s="304"/>
      <c r="AH336" s="304"/>
      <c r="AI336" s="304"/>
      <c r="AJ336" s="304"/>
      <c r="AK336" s="304"/>
      <c r="AL336" s="304"/>
      <c r="AM336" s="304"/>
      <c r="AN336" s="304"/>
      <c r="AO336" s="304"/>
    </row>
    <row r="337" spans="2:41" ht="21">
      <c r="B337" s="1217" t="s">
        <v>760</v>
      </c>
      <c r="C337" s="1218"/>
      <c r="D337" s="1218"/>
      <c r="E337" s="1218"/>
      <c r="F337" s="1219"/>
      <c r="G337" s="1282" t="str">
        <f>IF(OR(Y316=0, I336=0), "12 Month Average", "24 Month Average")</f>
        <v>12 Month Average</v>
      </c>
      <c r="H337" s="1283"/>
      <c r="I337" s="1283"/>
      <c r="J337" s="1284"/>
      <c r="L337" s="424"/>
      <c r="M337" s="424"/>
      <c r="N337" s="424"/>
      <c r="O337" s="424"/>
      <c r="P337" s="424"/>
      <c r="Q337" s="424"/>
      <c r="R337" s="424"/>
      <c r="S337" s="424"/>
      <c r="T337" s="424"/>
      <c r="U337" s="304"/>
      <c r="V337" s="304"/>
      <c r="Z337" s="304"/>
      <c r="AA337" s="304"/>
      <c r="AB337" s="304"/>
      <c r="AC337" s="304"/>
      <c r="AD337" s="304"/>
      <c r="AE337" s="304"/>
      <c r="AF337" s="304"/>
      <c r="AG337" s="304"/>
      <c r="AH337" s="304"/>
      <c r="AI337" s="304"/>
      <c r="AJ337" s="304"/>
      <c r="AK337" s="304"/>
      <c r="AL337" s="304"/>
      <c r="AM337" s="304"/>
      <c r="AN337" s="304"/>
      <c r="AO337" s="304"/>
    </row>
    <row r="338" spans="2:41" ht="34.5" thickBot="1">
      <c r="B338" s="1220" t="s">
        <v>697</v>
      </c>
      <c r="C338" s="1221"/>
      <c r="D338" s="1221"/>
      <c r="E338" s="1221"/>
      <c r="F338" s="1222"/>
      <c r="G338" s="1167">
        <f xml:space="preserve"> IF(OR(Y316=0, I336=0),Y318,Y319)</f>
        <v>0</v>
      </c>
      <c r="H338" s="1168"/>
      <c r="I338" s="1168"/>
      <c r="J338" s="1169"/>
      <c r="N338" s="304"/>
      <c r="O338" s="304"/>
      <c r="P338" s="304"/>
      <c r="Q338" s="304"/>
      <c r="R338" s="304"/>
      <c r="S338" s="304"/>
      <c r="T338" s="304"/>
      <c r="U338" s="304"/>
      <c r="V338" s="304"/>
      <c r="Z338" s="304"/>
      <c r="AA338" s="304"/>
      <c r="AB338" s="304"/>
      <c r="AC338" s="304"/>
      <c r="AD338" s="304"/>
      <c r="AE338" s="304"/>
      <c r="AF338" s="304"/>
      <c r="AG338" s="304"/>
      <c r="AH338" s="304"/>
      <c r="AI338" s="304"/>
      <c r="AJ338" s="304"/>
      <c r="AK338" s="304"/>
      <c r="AL338" s="304"/>
      <c r="AM338" s="304"/>
      <c r="AN338" s="304"/>
      <c r="AO338" s="304"/>
    </row>
    <row r="339" spans="2:41" s="304" customFormat="1" ht="3" customHeight="1" thickBot="1">
      <c r="B339" s="78"/>
      <c r="C339" s="78"/>
      <c r="D339" s="78"/>
      <c r="E339" s="78"/>
      <c r="F339" s="78"/>
      <c r="G339" s="78"/>
      <c r="H339" s="330"/>
      <c r="I339" s="330"/>
      <c r="J339" s="78"/>
      <c r="W339" s="280"/>
      <c r="X339" s="280"/>
      <c r="Y339" s="280"/>
    </row>
    <row r="340" spans="2:41" s="304" customFormat="1" ht="135" customHeight="1" thickBot="1">
      <c r="B340" s="1148" t="s">
        <v>761</v>
      </c>
      <c r="C340" s="1285"/>
      <c r="D340" s="1285"/>
      <c r="E340" s="1285"/>
      <c r="F340" s="1285"/>
      <c r="G340" s="1285"/>
      <c r="H340" s="1285"/>
      <c r="I340" s="1285"/>
      <c r="J340" s="1286"/>
      <c r="W340" s="280"/>
      <c r="X340" s="280"/>
      <c r="Y340" s="280"/>
    </row>
    <row r="341" spans="2:41" s="280" customFormat="1">
      <c r="B341" s="423"/>
      <c r="C341" s="423"/>
      <c r="D341" s="423"/>
      <c r="E341" s="423"/>
      <c r="F341" s="423"/>
      <c r="G341" s="423"/>
      <c r="H341" s="423"/>
      <c r="I341" s="423"/>
      <c r="J341" s="423"/>
    </row>
    <row r="342" spans="2:41" ht="13.5" customHeight="1" thickBot="1"/>
    <row r="343" spans="2:41" s="404" customFormat="1" ht="69" customHeight="1">
      <c r="B343" s="1187" t="s">
        <v>741</v>
      </c>
      <c r="C343" s="1188"/>
      <c r="D343" s="1188"/>
      <c r="E343" s="1188"/>
      <c r="F343" s="1188"/>
      <c r="G343" s="1188"/>
      <c r="H343" s="1188"/>
      <c r="I343" s="1188"/>
      <c r="J343" s="331" t="str">
        <f>'[3]Reference Sheet'!$B$2</f>
        <v>Rev. 4.12.2016</v>
      </c>
      <c r="L343" s="424"/>
      <c r="M343" s="424"/>
      <c r="N343" s="424"/>
      <c r="O343" s="424"/>
      <c r="P343" s="424"/>
      <c r="Q343" s="424"/>
      <c r="R343" s="424"/>
      <c r="S343" s="424"/>
      <c r="T343" s="424"/>
      <c r="U343" s="367"/>
      <c r="V343" s="367"/>
      <c r="W343" s="405"/>
      <c r="X343" s="405"/>
      <c r="Y343" s="405"/>
      <c r="Z343" s="367"/>
      <c r="AA343" s="367"/>
      <c r="AB343" s="367"/>
      <c r="AC343" s="367"/>
    </row>
    <row r="344" spans="2:41" s="404" customFormat="1" ht="16.5" customHeight="1" thickBot="1">
      <c r="B344" s="332"/>
      <c r="C344" s="368" t="s">
        <v>710</v>
      </c>
      <c r="D344" s="1310"/>
      <c r="E344" s="1311"/>
      <c r="F344" s="1311"/>
      <c r="G344" s="1311"/>
      <c r="H344" s="333"/>
      <c r="I344" s="333"/>
      <c r="J344" s="334"/>
      <c r="L344" s="424"/>
      <c r="M344" s="424"/>
      <c r="N344" s="424"/>
      <c r="O344" s="424"/>
      <c r="P344" s="424"/>
      <c r="Q344" s="424"/>
      <c r="R344" s="424"/>
      <c r="S344" s="424"/>
      <c r="T344" s="424"/>
      <c r="U344" s="367"/>
      <c r="V344" s="367"/>
      <c r="W344" s="280"/>
      <c r="X344" s="280"/>
      <c r="Y344" s="280"/>
      <c r="Z344" s="304"/>
      <c r="AA344" s="304"/>
      <c r="AB344" s="367"/>
      <c r="AC344" s="367"/>
    </row>
    <row r="345" spans="2:41" s="404" customFormat="1" ht="15" customHeight="1" thickBot="1">
      <c r="B345" s="332"/>
      <c r="C345" s="368" t="s">
        <v>711</v>
      </c>
      <c r="D345" s="1312"/>
      <c r="E345" s="1313"/>
      <c r="F345" s="1313"/>
      <c r="G345" s="1313"/>
      <c r="H345" s="368" t="s">
        <v>712</v>
      </c>
      <c r="I345" s="1310"/>
      <c r="J345" s="1314"/>
      <c r="L345" s="424"/>
      <c r="M345" s="424"/>
      <c r="N345" s="424"/>
      <c r="O345" s="424"/>
      <c r="P345" s="424"/>
      <c r="Q345" s="424"/>
      <c r="R345" s="424"/>
      <c r="S345" s="424"/>
      <c r="T345" s="424"/>
      <c r="U345" s="367"/>
      <c r="V345" s="367"/>
      <c r="W345" s="280"/>
      <c r="X345" s="280" t="s">
        <v>680</v>
      </c>
      <c r="Y345" s="280">
        <f>IF(AND(J349=0, J351=0, J359=0, J360=0, J363=0, J365=0, I367=0), 0, 1)</f>
        <v>0</v>
      </c>
      <c r="Z345" s="304"/>
      <c r="AA345" s="304"/>
      <c r="AB345" s="367"/>
      <c r="AC345" s="367"/>
    </row>
    <row r="346" spans="2:41" ht="16.5" thickBot="1">
      <c r="B346" s="1176" t="s">
        <v>671</v>
      </c>
      <c r="C346" s="1177"/>
      <c r="D346" s="1315"/>
      <c r="E346" s="1316"/>
      <c r="F346" s="1316"/>
      <c r="G346" s="1316"/>
      <c r="H346" s="336" t="s">
        <v>673</v>
      </c>
      <c r="I346" s="1315"/>
      <c r="J346" s="1317"/>
      <c r="L346" s="424"/>
      <c r="M346" s="424"/>
      <c r="N346" s="424"/>
      <c r="O346" s="424"/>
      <c r="P346" s="424"/>
      <c r="Q346" s="424"/>
      <c r="R346" s="424"/>
      <c r="S346" s="424"/>
      <c r="T346" s="424"/>
      <c r="U346" s="304"/>
      <c r="V346" s="304"/>
      <c r="X346" s="280" t="s">
        <v>682</v>
      </c>
      <c r="Y346" s="280">
        <f>IF(AND(G367&lt;=I367, I367&lt;&gt;0), 0, 1)</f>
        <v>1</v>
      </c>
      <c r="Z346" s="304"/>
      <c r="AA346" s="304"/>
      <c r="AB346" s="304"/>
      <c r="AC346" s="304"/>
    </row>
    <row r="347" spans="2:41" ht="16.5" customHeight="1" thickBot="1">
      <c r="B347" s="1176" t="s">
        <v>674</v>
      </c>
      <c r="C347" s="1177"/>
      <c r="D347" s="1262"/>
      <c r="E347" s="1263"/>
      <c r="F347" s="1263"/>
      <c r="G347" s="1263"/>
      <c r="H347" s="1263"/>
      <c r="I347" s="1263"/>
      <c r="J347" s="1264"/>
      <c r="L347" s="424"/>
      <c r="M347" s="424"/>
      <c r="N347" s="424"/>
      <c r="O347" s="424"/>
      <c r="P347" s="424"/>
      <c r="Q347" s="424"/>
      <c r="R347" s="424"/>
      <c r="S347" s="424"/>
      <c r="T347" s="424"/>
      <c r="U347" s="304"/>
      <c r="V347" s="304"/>
      <c r="X347" s="280" t="s">
        <v>685</v>
      </c>
      <c r="Y347" s="280">
        <f>IF(AND(Y346=0, Y345=1), 0, 1)</f>
        <v>1</v>
      </c>
      <c r="Z347" s="304"/>
      <c r="AA347" s="304"/>
      <c r="AB347" s="304"/>
      <c r="AC347" s="304"/>
    </row>
    <row r="348" spans="2:41" ht="16.5" customHeight="1">
      <c r="B348" s="1265"/>
      <c r="C348" s="1266"/>
      <c r="D348" s="1266"/>
      <c r="E348" s="1266"/>
      <c r="F348" s="1267"/>
      <c r="G348" s="406" t="s">
        <v>713</v>
      </c>
      <c r="H348" s="372" t="s">
        <v>676</v>
      </c>
      <c r="I348" s="377"/>
      <c r="J348" s="407" t="s">
        <v>677</v>
      </c>
      <c r="L348" s="424"/>
      <c r="M348" s="424"/>
      <c r="N348" s="424"/>
      <c r="O348" s="424"/>
      <c r="P348" s="424"/>
      <c r="Q348" s="424"/>
      <c r="R348" s="424"/>
      <c r="S348" s="424"/>
      <c r="T348" s="424"/>
      <c r="U348" s="304"/>
      <c r="V348" s="304"/>
      <c r="Z348" s="304"/>
      <c r="AA348" s="304"/>
      <c r="AB348" s="304"/>
      <c r="AC348" s="304"/>
    </row>
    <row r="349" spans="2:41" ht="16.5" customHeight="1" thickBot="1">
      <c r="B349" s="1269"/>
      <c r="C349" s="1270"/>
      <c r="D349" s="1270"/>
      <c r="E349" s="1270"/>
      <c r="F349" s="1271"/>
      <c r="G349" s="408" t="s">
        <v>743</v>
      </c>
      <c r="H349" s="409"/>
      <c r="I349" s="377"/>
      <c r="J349" s="410"/>
      <c r="L349" s="424"/>
      <c r="M349" s="424"/>
      <c r="N349" s="424"/>
      <c r="O349" s="424"/>
      <c r="P349" s="424"/>
      <c r="Q349" s="424"/>
      <c r="R349" s="424"/>
      <c r="S349" s="424"/>
      <c r="T349" s="424"/>
      <c r="U349" s="304"/>
      <c r="V349" s="304"/>
      <c r="X349" s="280" t="s">
        <v>689</v>
      </c>
      <c r="Y349" s="362">
        <f>G367/12</f>
        <v>0</v>
      </c>
      <c r="Z349" s="304"/>
      <c r="AA349" s="304"/>
      <c r="AB349" s="304"/>
      <c r="AC349" s="304"/>
    </row>
    <row r="350" spans="2:41">
      <c r="B350" s="1229" t="s">
        <v>744</v>
      </c>
      <c r="C350" s="1273"/>
      <c r="D350" s="1273"/>
      <c r="E350" s="1273"/>
      <c r="F350" s="1273"/>
      <c r="G350" s="377" t="s">
        <v>719</v>
      </c>
      <c r="H350" s="381"/>
      <c r="I350" s="386" t="s">
        <v>719</v>
      </c>
      <c r="J350" s="382"/>
      <c r="L350" s="424"/>
      <c r="M350" s="424"/>
      <c r="N350" s="424"/>
      <c r="O350" s="424"/>
      <c r="P350" s="424"/>
      <c r="Q350" s="424"/>
      <c r="R350" s="424"/>
      <c r="S350" s="424"/>
      <c r="T350" s="424"/>
      <c r="U350" s="304"/>
      <c r="V350" s="304"/>
      <c r="X350" s="280" t="s">
        <v>691</v>
      </c>
      <c r="Y350" s="362">
        <f>(G367+I367)/24</f>
        <v>0</v>
      </c>
      <c r="Z350" s="304"/>
      <c r="AA350" s="304"/>
      <c r="AB350" s="304"/>
      <c r="AC350" s="304"/>
    </row>
    <row r="351" spans="2:41">
      <c r="B351" s="1305" t="s">
        <v>745</v>
      </c>
      <c r="C351" s="1306"/>
      <c r="D351" s="1306"/>
      <c r="E351" s="1306"/>
      <c r="F351" s="1307"/>
      <c r="G351" s="346"/>
      <c r="H351" s="359">
        <f>G351</f>
        <v>0</v>
      </c>
      <c r="I351" s="411"/>
      <c r="J351" s="400">
        <f>I351</f>
        <v>0</v>
      </c>
      <c r="L351" s="424"/>
      <c r="M351" s="424"/>
      <c r="N351" s="424"/>
      <c r="O351" s="424"/>
      <c r="P351" s="424"/>
      <c r="Q351" s="424"/>
      <c r="R351" s="424"/>
      <c r="S351" s="424"/>
      <c r="T351" s="424"/>
      <c r="U351" s="304"/>
      <c r="V351" s="304"/>
      <c r="Z351" s="304"/>
      <c r="AA351" s="304"/>
      <c r="AB351" s="304"/>
      <c r="AC351" s="304"/>
    </row>
    <row r="352" spans="2:41">
      <c r="B352" s="1308" t="s">
        <v>722</v>
      </c>
      <c r="C352" s="1309"/>
      <c r="D352" s="1309"/>
      <c r="E352" s="1309"/>
      <c r="F352" s="1309"/>
      <c r="G352" s="412"/>
      <c r="H352" s="413"/>
      <c r="I352" s="414"/>
      <c r="J352" s="415"/>
      <c r="L352" s="424"/>
      <c r="M352" s="424"/>
      <c r="N352" s="424"/>
      <c r="O352" s="424"/>
      <c r="P352" s="424"/>
      <c r="Q352" s="424"/>
      <c r="R352" s="424"/>
      <c r="S352" s="424"/>
      <c r="T352" s="424"/>
      <c r="U352" s="304"/>
      <c r="V352" s="304"/>
      <c r="Z352" s="304"/>
      <c r="AA352" s="304"/>
      <c r="AB352" s="304"/>
      <c r="AC352" s="304"/>
    </row>
    <row r="353" spans="2:41">
      <c r="B353" s="1248" t="s">
        <v>746</v>
      </c>
      <c r="C353" s="1249"/>
      <c r="D353" s="1249"/>
      <c r="E353" s="1249"/>
      <c r="F353" s="1250"/>
      <c r="G353" s="346"/>
      <c r="H353" s="387" t="str">
        <f>IF(OR(H349=0, H349&gt;100%), "Ownership %", (G353+G354))</f>
        <v>Ownership %</v>
      </c>
      <c r="I353" s="346"/>
      <c r="J353" s="388" t="str">
        <f>IF(OR(J349=0, J349&gt;100%), "Ownership %", (I353+I354))</f>
        <v>Ownership %</v>
      </c>
      <c r="L353" s="424"/>
      <c r="M353" s="424"/>
      <c r="N353" s="424"/>
      <c r="O353" s="424"/>
      <c r="P353" s="424"/>
      <c r="Q353" s="424"/>
      <c r="R353" s="424"/>
      <c r="S353" s="424"/>
      <c r="T353" s="424"/>
      <c r="U353" s="304"/>
      <c r="V353" s="304"/>
      <c r="X353" s="280" t="str">
        <f>IF(OR(Y347=0, I367=0), "12 Month Average", "24 Month Average")</f>
        <v>12 Month Average</v>
      </c>
      <c r="Z353" s="304"/>
      <c r="AA353" s="304"/>
      <c r="AB353" s="304"/>
      <c r="AC353" s="304"/>
    </row>
    <row r="354" spans="2:41">
      <c r="B354" s="1295" t="s">
        <v>747</v>
      </c>
      <c r="C354" s="1296"/>
      <c r="D354" s="1296"/>
      <c r="E354" s="1296"/>
      <c r="F354" s="1296"/>
      <c r="G354" s="346"/>
      <c r="H354" s="389"/>
      <c r="I354" s="346"/>
      <c r="J354" s="390"/>
      <c r="L354" s="424"/>
      <c r="M354" s="424"/>
      <c r="N354" s="424"/>
      <c r="O354" s="424"/>
      <c r="P354" s="424"/>
      <c r="Q354" s="424"/>
      <c r="R354" s="424"/>
      <c r="S354" s="424"/>
      <c r="T354" s="424"/>
      <c r="U354" s="304"/>
      <c r="V354" s="304"/>
      <c r="X354" s="280">
        <f xml:space="preserve"> IF(OR(Y347=0, I367=0),Y349,Y350)</f>
        <v>0</v>
      </c>
      <c r="Z354" s="304"/>
      <c r="AA354" s="304"/>
      <c r="AB354" s="304"/>
      <c r="AC354" s="304"/>
    </row>
    <row r="355" spans="2:41">
      <c r="B355" s="1297" t="s">
        <v>748</v>
      </c>
      <c r="C355" s="1298"/>
      <c r="D355" s="1298"/>
      <c r="E355" s="1298"/>
      <c r="F355" s="1298"/>
      <c r="G355" s="416"/>
      <c r="H355" s="416"/>
      <c r="I355" s="416"/>
      <c r="J355" s="417"/>
      <c r="L355" s="424"/>
      <c r="M355" s="424"/>
      <c r="N355" s="424"/>
      <c r="O355" s="424"/>
      <c r="P355" s="424"/>
      <c r="Q355" s="424"/>
      <c r="R355" s="424"/>
      <c r="S355" s="424"/>
      <c r="T355" s="424"/>
      <c r="U355" s="304"/>
      <c r="V355" s="304"/>
      <c r="Z355" s="304"/>
      <c r="AA355" s="304"/>
      <c r="AB355" s="304"/>
      <c r="AC355" s="304"/>
    </row>
    <row r="356" spans="2:41">
      <c r="B356" s="1299" t="s">
        <v>749</v>
      </c>
      <c r="C356" s="1300"/>
      <c r="D356" s="1300"/>
      <c r="E356" s="1300"/>
      <c r="F356" s="1301"/>
      <c r="G356" s="418"/>
      <c r="H356" s="419">
        <f>(G356*H349)*-1</f>
        <v>0</v>
      </c>
      <c r="I356" s="418"/>
      <c r="J356" s="420">
        <f>(I356*J349)*-1</f>
        <v>0</v>
      </c>
      <c r="L356" s="424"/>
      <c r="M356" s="424"/>
      <c r="N356" s="424"/>
      <c r="O356" s="424"/>
      <c r="P356" s="424"/>
      <c r="Q356" s="424"/>
      <c r="R356" s="424"/>
      <c r="S356" s="424"/>
      <c r="T356" s="424"/>
      <c r="U356" s="304"/>
      <c r="V356" s="304"/>
      <c r="X356" s="280" t="s">
        <v>717</v>
      </c>
      <c r="Y356" s="280" t="str">
        <f>IF(OR(H349=0, H349&gt;100%), "Ownership %", (G353+G354))</f>
        <v>Ownership %</v>
      </c>
      <c r="Z356" s="304"/>
      <c r="AA356" s="304"/>
      <c r="AB356" s="304"/>
      <c r="AC356" s="304"/>
    </row>
    <row r="357" spans="2:41">
      <c r="B357" s="1302" t="s">
        <v>750</v>
      </c>
      <c r="C357" s="1303"/>
      <c r="D357" s="1303"/>
      <c r="E357" s="1303"/>
      <c r="F357" s="1304"/>
      <c r="G357" s="418"/>
      <c r="H357" s="419">
        <f>(G357*H349)*-1</f>
        <v>0</v>
      </c>
      <c r="I357" s="418"/>
      <c r="J357" s="420">
        <f>(I357*J349)*-1</f>
        <v>0</v>
      </c>
      <c r="L357" s="424"/>
      <c r="M357" s="424"/>
      <c r="N357" s="424"/>
      <c r="O357" s="424"/>
      <c r="P357" s="424"/>
      <c r="Q357" s="424"/>
      <c r="R357" s="424"/>
      <c r="S357" s="424"/>
      <c r="T357" s="424"/>
      <c r="U357" s="304"/>
      <c r="V357" s="304"/>
      <c r="X357" s="280" t="s">
        <v>720</v>
      </c>
      <c r="Y357" s="280" t="str">
        <f>IF(OR(L360&gt;100%, L360=0), "Ownership %", I353+I354)</f>
        <v>Ownership %</v>
      </c>
      <c r="Z357" s="304"/>
      <c r="AA357" s="304"/>
      <c r="AB357" s="304"/>
      <c r="AC357" s="304"/>
    </row>
    <row r="358" spans="2:41">
      <c r="B358" s="1229" t="s">
        <v>751</v>
      </c>
      <c r="C358" s="1230"/>
      <c r="D358" s="1230"/>
      <c r="E358" s="1230"/>
      <c r="F358" s="1230"/>
      <c r="G358" s="351"/>
      <c r="H358" s="351"/>
      <c r="I358" s="351"/>
      <c r="J358" s="352"/>
      <c r="L358" s="424"/>
      <c r="M358" s="424"/>
      <c r="N358" s="424"/>
      <c r="O358" s="424"/>
      <c r="P358" s="424"/>
      <c r="Q358" s="424"/>
      <c r="R358" s="424"/>
      <c r="S358" s="424"/>
      <c r="T358" s="424"/>
      <c r="U358" s="304"/>
      <c r="V358" s="304"/>
      <c r="Z358" s="304"/>
      <c r="AA358" s="304"/>
      <c r="AB358" s="304"/>
      <c r="AC358" s="304"/>
    </row>
    <row r="359" spans="2:41">
      <c r="B359" s="1243" t="s">
        <v>752</v>
      </c>
      <c r="C359" s="1244"/>
      <c r="D359" s="1244"/>
      <c r="E359" s="1244"/>
      <c r="F359" s="1245"/>
      <c r="G359" s="346"/>
      <c r="H359" s="359">
        <f>G359*H349</f>
        <v>0</v>
      </c>
      <c r="I359" s="346"/>
      <c r="J359" s="400">
        <f>I359*J349</f>
        <v>0</v>
      </c>
      <c r="L359" s="424"/>
      <c r="M359" s="424"/>
      <c r="N359" s="424"/>
      <c r="O359" s="424"/>
      <c r="P359" s="424"/>
      <c r="Q359" s="424"/>
      <c r="R359" s="424"/>
      <c r="S359" s="424"/>
      <c r="T359" s="424"/>
      <c r="U359" s="304"/>
      <c r="V359" s="304"/>
      <c r="X359" s="349" t="s">
        <v>596</v>
      </c>
      <c r="AA359" s="304"/>
      <c r="AB359" s="304"/>
      <c r="AC359" s="304"/>
    </row>
    <row r="360" spans="2:41">
      <c r="B360" s="1223" t="s">
        <v>753</v>
      </c>
      <c r="C360" s="1224"/>
      <c r="D360" s="1224"/>
      <c r="E360" s="1224"/>
      <c r="F360" s="1225"/>
      <c r="G360" s="346"/>
      <c r="H360" s="359">
        <f>G360*H349</f>
        <v>0</v>
      </c>
      <c r="I360" s="346"/>
      <c r="J360" s="400">
        <f>I360*J349</f>
        <v>0</v>
      </c>
      <c r="L360" s="424"/>
      <c r="M360" s="424"/>
      <c r="N360" s="424"/>
      <c r="O360" s="424"/>
      <c r="P360" s="424"/>
      <c r="Q360" s="424"/>
      <c r="R360" s="424"/>
      <c r="S360" s="424"/>
      <c r="T360" s="424"/>
      <c r="U360" s="304"/>
      <c r="V360" s="304"/>
      <c r="X360" s="349" t="s">
        <v>683</v>
      </c>
      <c r="AA360" s="304"/>
      <c r="AB360" s="304"/>
      <c r="AC360" s="304"/>
    </row>
    <row r="361" spans="2:41">
      <c r="B361" s="1223" t="s">
        <v>754</v>
      </c>
      <c r="C361" s="1224"/>
      <c r="D361" s="1224"/>
      <c r="E361" s="1224"/>
      <c r="F361" s="1225"/>
      <c r="G361" s="421"/>
      <c r="H361" s="359">
        <f>G361*H349</f>
        <v>0</v>
      </c>
      <c r="I361" s="421"/>
      <c r="J361" s="400">
        <f>I361*J349</f>
        <v>0</v>
      </c>
      <c r="L361" s="424"/>
      <c r="M361" s="424"/>
      <c r="N361" s="424"/>
      <c r="O361" s="424"/>
      <c r="P361" s="424"/>
      <c r="Q361" s="424"/>
      <c r="R361" s="424"/>
      <c r="S361" s="424"/>
      <c r="T361" s="424"/>
      <c r="U361" s="304"/>
      <c r="V361" s="304"/>
      <c r="X361" s="349" t="s">
        <v>599</v>
      </c>
      <c r="AA361" s="304"/>
      <c r="AB361" s="304"/>
      <c r="AC361" s="304"/>
    </row>
    <row r="362" spans="2:41">
      <c r="B362" s="1288" t="s">
        <v>755</v>
      </c>
      <c r="C362" s="1289"/>
      <c r="D362" s="1289"/>
      <c r="E362" s="1289"/>
      <c r="F362" s="1289"/>
      <c r="G362" s="1290"/>
      <c r="H362" s="1290"/>
      <c r="I362" s="1290"/>
      <c r="J362" s="1291"/>
      <c r="L362" s="424"/>
      <c r="M362" s="424"/>
      <c r="N362" s="424"/>
      <c r="O362" s="424"/>
      <c r="P362" s="424"/>
      <c r="Q362" s="424"/>
      <c r="R362" s="424"/>
      <c r="S362" s="424"/>
      <c r="T362" s="424"/>
      <c r="U362" s="304"/>
      <c r="V362" s="304"/>
      <c r="X362" s="349" t="s">
        <v>603</v>
      </c>
      <c r="AA362" s="304"/>
      <c r="AB362" s="304"/>
      <c r="AC362" s="304"/>
    </row>
    <row r="363" spans="2:41" ht="16.5" customHeight="1">
      <c r="B363" s="1292" t="s">
        <v>756</v>
      </c>
      <c r="C363" s="1293"/>
      <c r="D363" s="1293"/>
      <c r="E363" s="1293"/>
      <c r="F363" s="1294"/>
      <c r="G363" s="422"/>
      <c r="H363" s="401">
        <f>G363*H349</f>
        <v>0</v>
      </c>
      <c r="I363" s="422"/>
      <c r="J363" s="402">
        <f>I363*J349</f>
        <v>0</v>
      </c>
      <c r="L363" s="424"/>
      <c r="M363" s="424"/>
      <c r="N363" s="424"/>
      <c r="O363" s="424"/>
      <c r="P363" s="424"/>
      <c r="Q363" s="424"/>
      <c r="R363" s="424"/>
      <c r="S363" s="424"/>
      <c r="T363" s="424"/>
      <c r="U363" s="304"/>
      <c r="V363" s="304"/>
      <c r="X363" s="349" t="s">
        <v>605</v>
      </c>
      <c r="AA363" s="304"/>
      <c r="AB363" s="304"/>
      <c r="AC363" s="304"/>
    </row>
    <row r="364" spans="2:41">
      <c r="B364" s="1229" t="s">
        <v>757</v>
      </c>
      <c r="C364" s="1230"/>
      <c r="D364" s="1230"/>
      <c r="E364" s="1230"/>
      <c r="F364" s="1230"/>
      <c r="G364" s="351"/>
      <c r="H364" s="351"/>
      <c r="I364" s="351"/>
      <c r="J364" s="352"/>
      <c r="L364" s="424"/>
      <c r="M364" s="424"/>
      <c r="N364" s="424"/>
      <c r="O364" s="424"/>
      <c r="P364" s="424"/>
      <c r="Q364" s="424"/>
      <c r="R364" s="424"/>
      <c r="S364" s="424"/>
      <c r="T364" s="424"/>
      <c r="U364" s="304"/>
      <c r="V364" s="304"/>
      <c r="Z364" s="304"/>
      <c r="AA364" s="304"/>
      <c r="AB364" s="304"/>
      <c r="AC364" s="304"/>
    </row>
    <row r="365" spans="2:41" ht="30.75" customHeight="1">
      <c r="B365" s="1231" t="s">
        <v>758</v>
      </c>
      <c r="C365" s="1232"/>
      <c r="D365" s="1232"/>
      <c r="E365" s="1232"/>
      <c r="F365" s="1233"/>
      <c r="G365" s="399"/>
      <c r="H365" s="359">
        <f>(G365*H349)*-1</f>
        <v>0</v>
      </c>
      <c r="I365" s="399"/>
      <c r="J365" s="400">
        <f>(I365*J349)*-1</f>
        <v>0</v>
      </c>
      <c r="L365" s="424"/>
      <c r="M365" s="424"/>
      <c r="N365" s="424"/>
      <c r="O365" s="424"/>
      <c r="P365" s="424"/>
      <c r="Q365" s="424"/>
      <c r="R365" s="424"/>
      <c r="S365" s="424"/>
      <c r="T365" s="424"/>
      <c r="U365" s="304"/>
      <c r="V365" s="304"/>
      <c r="Z365" s="304"/>
      <c r="AA365" s="304"/>
      <c r="AB365" s="304"/>
      <c r="AC365" s="304"/>
    </row>
    <row r="366" spans="2:41" ht="31.5" customHeight="1">
      <c r="B366" s="1234" t="s">
        <v>759</v>
      </c>
      <c r="C366" s="1235"/>
      <c r="D366" s="1235"/>
      <c r="E366" s="1235"/>
      <c r="F366" s="1236"/>
      <c r="G366" s="346"/>
      <c r="H366" s="401">
        <f>(G366*H349)*-1</f>
        <v>0</v>
      </c>
      <c r="I366" s="346"/>
      <c r="J366" s="402">
        <f>(I366*J349)*-1</f>
        <v>0</v>
      </c>
      <c r="L366" s="424"/>
      <c r="M366" s="424"/>
      <c r="N366" s="424"/>
      <c r="O366" s="424"/>
      <c r="P366" s="424"/>
      <c r="Q366" s="424"/>
      <c r="R366" s="424"/>
      <c r="S366" s="424"/>
      <c r="T366" s="424"/>
      <c r="U366" s="304"/>
      <c r="V366" s="304"/>
      <c r="Z366" s="304"/>
      <c r="AA366" s="304"/>
      <c r="AB366" s="304"/>
      <c r="AC366" s="304"/>
      <c r="AD366" s="304"/>
      <c r="AE366" s="304"/>
      <c r="AF366" s="304"/>
      <c r="AG366" s="304"/>
      <c r="AH366" s="304"/>
      <c r="AI366" s="304"/>
      <c r="AJ366" s="304"/>
      <c r="AK366" s="304"/>
      <c r="AL366" s="304"/>
      <c r="AM366" s="304"/>
      <c r="AN366" s="304"/>
      <c r="AO366" s="304"/>
    </row>
    <row r="367" spans="2:41" ht="32.25" customHeight="1">
      <c r="B367" s="1158" t="s">
        <v>740</v>
      </c>
      <c r="C367" s="1287"/>
      <c r="D367" s="1287"/>
      <c r="E367" s="1287"/>
      <c r="F367" s="1287"/>
      <c r="G367" s="1156">
        <f>SUM(H351:H366)</f>
        <v>0</v>
      </c>
      <c r="H367" s="1155"/>
      <c r="I367" s="1214">
        <f>SUM(J351:J366)</f>
        <v>0</v>
      </c>
      <c r="J367" s="1216"/>
      <c r="L367" s="424"/>
      <c r="M367" s="424"/>
      <c r="N367" s="424"/>
      <c r="O367" s="424"/>
      <c r="P367" s="424"/>
      <c r="Q367" s="424"/>
      <c r="R367" s="424"/>
      <c r="S367" s="424"/>
      <c r="T367" s="424"/>
      <c r="U367" s="304"/>
      <c r="V367" s="304"/>
      <c r="Z367" s="304"/>
      <c r="AA367" s="304"/>
      <c r="AB367" s="304"/>
      <c r="AC367" s="304"/>
      <c r="AD367" s="304"/>
      <c r="AE367" s="304"/>
      <c r="AF367" s="304"/>
      <c r="AG367" s="304"/>
      <c r="AH367" s="304"/>
      <c r="AI367" s="304"/>
      <c r="AJ367" s="304"/>
      <c r="AK367" s="304"/>
      <c r="AL367" s="304"/>
      <c r="AM367" s="304"/>
      <c r="AN367" s="304"/>
      <c r="AO367" s="304"/>
    </row>
    <row r="368" spans="2:41" ht="21">
      <c r="B368" s="1217" t="s">
        <v>760</v>
      </c>
      <c r="C368" s="1218"/>
      <c r="D368" s="1218"/>
      <c r="E368" s="1218"/>
      <c r="F368" s="1219"/>
      <c r="G368" s="1282" t="str">
        <f>IF(OR(Y347=0, I367=0), "12 Month Average", "24 Month Average")</f>
        <v>12 Month Average</v>
      </c>
      <c r="H368" s="1283"/>
      <c r="I368" s="1283"/>
      <c r="J368" s="1284"/>
      <c r="L368" s="424"/>
      <c r="M368" s="424"/>
      <c r="N368" s="424"/>
      <c r="O368" s="424"/>
      <c r="P368" s="424"/>
      <c r="Q368" s="424"/>
      <c r="R368" s="424"/>
      <c r="S368" s="424"/>
      <c r="T368" s="424"/>
      <c r="U368" s="304"/>
      <c r="V368" s="304"/>
      <c r="Z368" s="304"/>
      <c r="AA368" s="304"/>
      <c r="AB368" s="304"/>
      <c r="AC368" s="304"/>
      <c r="AD368" s="304"/>
      <c r="AE368" s="304"/>
      <c r="AF368" s="304"/>
      <c r="AG368" s="304"/>
      <c r="AH368" s="304"/>
      <c r="AI368" s="304"/>
      <c r="AJ368" s="304"/>
      <c r="AK368" s="304"/>
      <c r="AL368" s="304"/>
      <c r="AM368" s="304"/>
      <c r="AN368" s="304"/>
      <c r="AO368" s="304"/>
    </row>
    <row r="369" spans="2:41" ht="34.5" thickBot="1">
      <c r="B369" s="1220" t="s">
        <v>697</v>
      </c>
      <c r="C369" s="1221"/>
      <c r="D369" s="1221"/>
      <c r="E369" s="1221"/>
      <c r="F369" s="1222"/>
      <c r="G369" s="1167">
        <f xml:space="preserve"> IF(OR(Y347=0, I367=0),Y349,Y350)</f>
        <v>0</v>
      </c>
      <c r="H369" s="1168"/>
      <c r="I369" s="1168"/>
      <c r="J369" s="1169"/>
      <c r="N369" s="304"/>
      <c r="O369" s="304"/>
      <c r="P369" s="304"/>
      <c r="Q369" s="304"/>
      <c r="R369" s="304"/>
      <c r="S369" s="304"/>
      <c r="T369" s="304"/>
      <c r="U369" s="304"/>
      <c r="V369" s="304"/>
      <c r="Z369" s="304"/>
      <c r="AA369" s="304"/>
      <c r="AB369" s="304"/>
      <c r="AC369" s="304"/>
      <c r="AD369" s="304"/>
      <c r="AE369" s="304"/>
      <c r="AF369" s="304"/>
      <c r="AG369" s="304"/>
      <c r="AH369" s="304"/>
      <c r="AI369" s="304"/>
      <c r="AJ369" s="304"/>
      <c r="AK369" s="304"/>
      <c r="AL369" s="304"/>
      <c r="AM369" s="304"/>
      <c r="AN369" s="304"/>
      <c r="AO369" s="304"/>
    </row>
    <row r="370" spans="2:41" s="304" customFormat="1" ht="3" customHeight="1" thickBot="1">
      <c r="B370" s="78"/>
      <c r="C370" s="78"/>
      <c r="D370" s="78"/>
      <c r="E370" s="78"/>
      <c r="F370" s="78"/>
      <c r="G370" s="78"/>
      <c r="H370" s="330"/>
      <c r="I370" s="330"/>
      <c r="J370" s="78"/>
      <c r="W370" s="280"/>
      <c r="X370" s="280"/>
      <c r="Y370" s="280"/>
    </row>
    <row r="371" spans="2:41" s="304" customFormat="1" ht="135" customHeight="1" thickBot="1">
      <c r="B371" s="1148" t="s">
        <v>761</v>
      </c>
      <c r="C371" s="1285"/>
      <c r="D371" s="1285"/>
      <c r="E371" s="1285"/>
      <c r="F371" s="1285"/>
      <c r="G371" s="1285"/>
      <c r="H371" s="1285"/>
      <c r="I371" s="1285"/>
      <c r="J371" s="1286"/>
      <c r="W371" s="280"/>
      <c r="X371" s="280"/>
      <c r="Y371" s="280"/>
    </row>
    <row r="372" spans="2:41" s="280" customFormat="1">
      <c r="B372" s="423"/>
      <c r="C372" s="423"/>
      <c r="D372" s="423"/>
      <c r="E372" s="423"/>
      <c r="F372" s="423"/>
      <c r="G372" s="423"/>
      <c r="H372" s="423"/>
      <c r="I372" s="423"/>
      <c r="J372" s="423"/>
    </row>
    <row r="373" spans="2:41" ht="13.5" customHeight="1" thickBot="1"/>
    <row r="374" spans="2:41" s="404" customFormat="1" ht="69" customHeight="1">
      <c r="B374" s="1187" t="s">
        <v>741</v>
      </c>
      <c r="C374" s="1188"/>
      <c r="D374" s="1188"/>
      <c r="E374" s="1188"/>
      <c r="F374" s="1188"/>
      <c r="G374" s="1188"/>
      <c r="H374" s="1188"/>
      <c r="I374" s="1188"/>
      <c r="J374" s="331" t="str">
        <f>'[3]Reference Sheet'!$B$2</f>
        <v>Rev. 4.12.2016</v>
      </c>
      <c r="L374" s="424"/>
      <c r="M374" s="424"/>
      <c r="N374" s="424"/>
      <c r="O374" s="424"/>
      <c r="P374" s="424"/>
      <c r="Q374" s="424"/>
      <c r="R374" s="424"/>
      <c r="S374" s="424"/>
      <c r="T374" s="424"/>
      <c r="U374" s="367"/>
      <c r="V374" s="367"/>
      <c r="W374" s="405"/>
      <c r="X374" s="405"/>
      <c r="Y374" s="405"/>
      <c r="Z374" s="367"/>
      <c r="AA374" s="367"/>
      <c r="AB374" s="367"/>
      <c r="AC374" s="367"/>
    </row>
    <row r="375" spans="2:41" s="404" customFormat="1" ht="16.5" customHeight="1" thickBot="1">
      <c r="B375" s="332"/>
      <c r="C375" s="368" t="s">
        <v>710</v>
      </c>
      <c r="D375" s="1310"/>
      <c r="E375" s="1311"/>
      <c r="F375" s="1311"/>
      <c r="G375" s="1311"/>
      <c r="H375" s="333"/>
      <c r="I375" s="333"/>
      <c r="J375" s="334"/>
      <c r="L375" s="424"/>
      <c r="M375" s="424"/>
      <c r="N375" s="424"/>
      <c r="O375" s="424"/>
      <c r="P375" s="424"/>
      <c r="Q375" s="424"/>
      <c r="R375" s="424"/>
      <c r="S375" s="424"/>
      <c r="T375" s="424"/>
      <c r="U375" s="367"/>
      <c r="V375" s="367"/>
      <c r="W375" s="280"/>
      <c r="X375" s="280"/>
      <c r="Y375" s="280"/>
      <c r="Z375" s="304"/>
      <c r="AA375" s="304"/>
      <c r="AB375" s="367"/>
      <c r="AC375" s="367"/>
    </row>
    <row r="376" spans="2:41" s="404" customFormat="1" ht="15" customHeight="1" thickBot="1">
      <c r="B376" s="332"/>
      <c r="C376" s="368" t="s">
        <v>711</v>
      </c>
      <c r="D376" s="1312"/>
      <c r="E376" s="1313"/>
      <c r="F376" s="1313"/>
      <c r="G376" s="1313"/>
      <c r="H376" s="368" t="s">
        <v>712</v>
      </c>
      <c r="I376" s="1310"/>
      <c r="J376" s="1314"/>
      <c r="L376" s="424"/>
      <c r="M376" s="424"/>
      <c r="N376" s="424"/>
      <c r="O376" s="424"/>
      <c r="P376" s="424"/>
      <c r="Q376" s="424"/>
      <c r="R376" s="424"/>
      <c r="S376" s="424"/>
      <c r="T376" s="424"/>
      <c r="U376" s="367"/>
      <c r="V376" s="367"/>
      <c r="W376" s="280"/>
      <c r="X376" s="280" t="s">
        <v>680</v>
      </c>
      <c r="Y376" s="280">
        <f>IF(AND(J380=0, J382=0, J390=0, J391=0, J394=0, J396=0, I398=0), 0, 1)</f>
        <v>0</v>
      </c>
      <c r="Z376" s="304"/>
      <c r="AA376" s="304"/>
      <c r="AB376" s="367"/>
      <c r="AC376" s="367"/>
    </row>
    <row r="377" spans="2:41" ht="16.5" thickBot="1">
      <c r="B377" s="1176" t="s">
        <v>671</v>
      </c>
      <c r="C377" s="1177"/>
      <c r="D377" s="1315"/>
      <c r="E377" s="1316"/>
      <c r="F377" s="1316"/>
      <c r="G377" s="1316"/>
      <c r="H377" s="336" t="s">
        <v>673</v>
      </c>
      <c r="I377" s="1315"/>
      <c r="J377" s="1317"/>
      <c r="L377" s="424"/>
      <c r="M377" s="424"/>
      <c r="N377" s="424"/>
      <c r="O377" s="424"/>
      <c r="P377" s="424"/>
      <c r="Q377" s="424"/>
      <c r="R377" s="424"/>
      <c r="S377" s="424"/>
      <c r="T377" s="424"/>
      <c r="U377" s="304"/>
      <c r="V377" s="304"/>
      <c r="X377" s="280" t="s">
        <v>682</v>
      </c>
      <c r="Y377" s="280">
        <f>IF(AND(G398&lt;=I398, I398&lt;&gt;0), 0, 1)</f>
        <v>1</v>
      </c>
      <c r="Z377" s="304"/>
      <c r="AA377" s="304"/>
      <c r="AB377" s="304"/>
      <c r="AC377" s="304"/>
    </row>
    <row r="378" spans="2:41" ht="16.5" customHeight="1" thickBot="1">
      <c r="B378" s="1176" t="s">
        <v>674</v>
      </c>
      <c r="C378" s="1177"/>
      <c r="D378" s="1262"/>
      <c r="E378" s="1263"/>
      <c r="F378" s="1263"/>
      <c r="G378" s="1263"/>
      <c r="H378" s="1263"/>
      <c r="I378" s="1263"/>
      <c r="J378" s="1264"/>
      <c r="L378" s="424"/>
      <c r="M378" s="424"/>
      <c r="N378" s="424"/>
      <c r="O378" s="424"/>
      <c r="P378" s="424"/>
      <c r="Q378" s="424"/>
      <c r="R378" s="424"/>
      <c r="S378" s="424"/>
      <c r="T378" s="424"/>
      <c r="U378" s="304"/>
      <c r="V378" s="304"/>
      <c r="X378" s="280" t="s">
        <v>685</v>
      </c>
      <c r="Y378" s="280">
        <f>IF(AND(Y377=0, Y376=1), 0, 1)</f>
        <v>1</v>
      </c>
      <c r="Z378" s="304"/>
      <c r="AA378" s="304"/>
      <c r="AB378" s="304"/>
      <c r="AC378" s="304"/>
    </row>
    <row r="379" spans="2:41" ht="16.5" customHeight="1">
      <c r="B379" s="1265"/>
      <c r="C379" s="1266"/>
      <c r="D379" s="1266"/>
      <c r="E379" s="1266"/>
      <c r="F379" s="1267"/>
      <c r="G379" s="406" t="s">
        <v>713</v>
      </c>
      <c r="H379" s="372" t="s">
        <v>676</v>
      </c>
      <c r="I379" s="377"/>
      <c r="J379" s="407" t="s">
        <v>677</v>
      </c>
      <c r="L379" s="424"/>
      <c r="M379" s="424"/>
      <c r="N379" s="424"/>
      <c r="O379" s="424"/>
      <c r="P379" s="424"/>
      <c r="Q379" s="424"/>
      <c r="R379" s="424"/>
      <c r="S379" s="424"/>
      <c r="T379" s="424"/>
      <c r="U379" s="304"/>
      <c r="V379" s="304"/>
      <c r="Z379" s="304"/>
      <c r="AA379" s="304"/>
      <c r="AB379" s="304"/>
      <c r="AC379" s="304"/>
    </row>
    <row r="380" spans="2:41" ht="16.5" customHeight="1" thickBot="1">
      <c r="B380" s="1269"/>
      <c r="C380" s="1270"/>
      <c r="D380" s="1270"/>
      <c r="E380" s="1270"/>
      <c r="F380" s="1271"/>
      <c r="G380" s="408" t="s">
        <v>743</v>
      </c>
      <c r="H380" s="409"/>
      <c r="I380" s="377"/>
      <c r="J380" s="410"/>
      <c r="L380" s="424"/>
      <c r="M380" s="424"/>
      <c r="N380" s="424"/>
      <c r="O380" s="424"/>
      <c r="P380" s="424"/>
      <c r="Q380" s="424"/>
      <c r="R380" s="424"/>
      <c r="S380" s="424"/>
      <c r="T380" s="424"/>
      <c r="U380" s="304"/>
      <c r="V380" s="304"/>
      <c r="X380" s="280" t="s">
        <v>689</v>
      </c>
      <c r="Y380" s="362">
        <f>G398/12</f>
        <v>0</v>
      </c>
      <c r="Z380" s="304"/>
      <c r="AA380" s="304"/>
      <c r="AB380" s="304"/>
      <c r="AC380" s="304"/>
    </row>
    <row r="381" spans="2:41">
      <c r="B381" s="1229" t="s">
        <v>744</v>
      </c>
      <c r="C381" s="1273"/>
      <c r="D381" s="1273"/>
      <c r="E381" s="1273"/>
      <c r="F381" s="1273"/>
      <c r="G381" s="377" t="s">
        <v>719</v>
      </c>
      <c r="H381" s="381"/>
      <c r="I381" s="386" t="s">
        <v>719</v>
      </c>
      <c r="J381" s="382"/>
      <c r="L381" s="424"/>
      <c r="M381" s="424"/>
      <c r="N381" s="424"/>
      <c r="O381" s="424"/>
      <c r="P381" s="424"/>
      <c r="Q381" s="424"/>
      <c r="R381" s="424"/>
      <c r="S381" s="424"/>
      <c r="T381" s="424"/>
      <c r="U381" s="304"/>
      <c r="V381" s="304"/>
      <c r="X381" s="280" t="s">
        <v>691</v>
      </c>
      <c r="Y381" s="362">
        <f>(G398+I398)/24</f>
        <v>0</v>
      </c>
      <c r="Z381" s="304"/>
      <c r="AA381" s="304"/>
      <c r="AB381" s="304"/>
      <c r="AC381" s="304"/>
    </row>
    <row r="382" spans="2:41">
      <c r="B382" s="1305" t="s">
        <v>745</v>
      </c>
      <c r="C382" s="1306"/>
      <c r="D382" s="1306"/>
      <c r="E382" s="1306"/>
      <c r="F382" s="1307"/>
      <c r="G382" s="346"/>
      <c r="H382" s="359">
        <f>G382</f>
        <v>0</v>
      </c>
      <c r="I382" s="411"/>
      <c r="J382" s="400">
        <f>I382</f>
        <v>0</v>
      </c>
      <c r="L382" s="424"/>
      <c r="M382" s="424"/>
      <c r="N382" s="424"/>
      <c r="O382" s="424"/>
      <c r="P382" s="424"/>
      <c r="Q382" s="424"/>
      <c r="R382" s="424"/>
      <c r="S382" s="424"/>
      <c r="T382" s="424"/>
      <c r="U382" s="304"/>
      <c r="V382" s="304"/>
      <c r="Z382" s="304"/>
      <c r="AA382" s="304"/>
      <c r="AB382" s="304"/>
      <c r="AC382" s="304"/>
    </row>
    <row r="383" spans="2:41">
      <c r="B383" s="1308" t="s">
        <v>722</v>
      </c>
      <c r="C383" s="1309"/>
      <c r="D383" s="1309"/>
      <c r="E383" s="1309"/>
      <c r="F383" s="1309"/>
      <c r="G383" s="412"/>
      <c r="H383" s="413"/>
      <c r="I383" s="414"/>
      <c r="J383" s="415"/>
      <c r="L383" s="424"/>
      <c r="M383" s="424"/>
      <c r="N383" s="424"/>
      <c r="O383" s="424"/>
      <c r="P383" s="424"/>
      <c r="Q383" s="424"/>
      <c r="R383" s="424"/>
      <c r="S383" s="424"/>
      <c r="T383" s="424"/>
      <c r="U383" s="304"/>
      <c r="V383" s="304"/>
      <c r="Z383" s="304"/>
      <c r="AA383" s="304"/>
      <c r="AB383" s="304"/>
      <c r="AC383" s="304"/>
    </row>
    <row r="384" spans="2:41">
      <c r="B384" s="1248" t="s">
        <v>746</v>
      </c>
      <c r="C384" s="1249"/>
      <c r="D384" s="1249"/>
      <c r="E384" s="1249"/>
      <c r="F384" s="1250"/>
      <c r="G384" s="346"/>
      <c r="H384" s="387" t="str">
        <f>IF(OR(H380=0, H380&gt;100%), "Ownership %", (G384+G385))</f>
        <v>Ownership %</v>
      </c>
      <c r="I384" s="346"/>
      <c r="J384" s="388" t="str">
        <f>IF(OR(J380=0, J380&gt;100%), "Ownership %", (I384+I385))</f>
        <v>Ownership %</v>
      </c>
      <c r="L384" s="424"/>
      <c r="M384" s="424"/>
      <c r="N384" s="424"/>
      <c r="O384" s="424"/>
      <c r="P384" s="424"/>
      <c r="Q384" s="424"/>
      <c r="R384" s="424"/>
      <c r="S384" s="424"/>
      <c r="T384" s="424"/>
      <c r="U384" s="304"/>
      <c r="V384" s="304"/>
      <c r="X384" s="280" t="str">
        <f>IF(OR(Y378=0, I398=0), "12 Month Average", "24 Month Average")</f>
        <v>12 Month Average</v>
      </c>
      <c r="Z384" s="304"/>
      <c r="AA384" s="304"/>
      <c r="AB384" s="304"/>
      <c r="AC384" s="304"/>
    </row>
    <row r="385" spans="2:41">
      <c r="B385" s="1295" t="s">
        <v>747</v>
      </c>
      <c r="C385" s="1296"/>
      <c r="D385" s="1296"/>
      <c r="E385" s="1296"/>
      <c r="F385" s="1296"/>
      <c r="G385" s="346"/>
      <c r="H385" s="389"/>
      <c r="I385" s="346"/>
      <c r="J385" s="390"/>
      <c r="L385" s="424"/>
      <c r="M385" s="424"/>
      <c r="N385" s="424"/>
      <c r="O385" s="424"/>
      <c r="P385" s="424"/>
      <c r="Q385" s="424"/>
      <c r="R385" s="424"/>
      <c r="S385" s="424"/>
      <c r="T385" s="424"/>
      <c r="U385" s="304"/>
      <c r="V385" s="304"/>
      <c r="X385" s="280">
        <f xml:space="preserve"> IF(OR(Y378=0, I398=0),Y380,Y381)</f>
        <v>0</v>
      </c>
      <c r="Z385" s="304"/>
      <c r="AA385" s="304"/>
      <c r="AB385" s="304"/>
      <c r="AC385" s="304"/>
    </row>
    <row r="386" spans="2:41">
      <c r="B386" s="1297" t="s">
        <v>748</v>
      </c>
      <c r="C386" s="1298"/>
      <c r="D386" s="1298"/>
      <c r="E386" s="1298"/>
      <c r="F386" s="1298"/>
      <c r="G386" s="416"/>
      <c r="H386" s="416"/>
      <c r="I386" s="416"/>
      <c r="J386" s="417"/>
      <c r="L386" s="424"/>
      <c r="M386" s="424"/>
      <c r="N386" s="424"/>
      <c r="O386" s="424"/>
      <c r="P386" s="424"/>
      <c r="Q386" s="424"/>
      <c r="R386" s="424"/>
      <c r="S386" s="424"/>
      <c r="T386" s="424"/>
      <c r="U386" s="304"/>
      <c r="V386" s="304"/>
      <c r="Z386" s="304"/>
      <c r="AA386" s="304"/>
      <c r="AB386" s="304"/>
      <c r="AC386" s="304"/>
    </row>
    <row r="387" spans="2:41">
      <c r="B387" s="1299" t="s">
        <v>749</v>
      </c>
      <c r="C387" s="1300"/>
      <c r="D387" s="1300"/>
      <c r="E387" s="1300"/>
      <c r="F387" s="1301"/>
      <c r="G387" s="418"/>
      <c r="H387" s="419">
        <f>(G387*H380)*-1</f>
        <v>0</v>
      </c>
      <c r="I387" s="418"/>
      <c r="J387" s="420">
        <f>(I387*J380)*-1</f>
        <v>0</v>
      </c>
      <c r="L387" s="424"/>
      <c r="M387" s="424"/>
      <c r="N387" s="424"/>
      <c r="O387" s="424"/>
      <c r="P387" s="424"/>
      <c r="Q387" s="424"/>
      <c r="R387" s="424"/>
      <c r="S387" s="424"/>
      <c r="T387" s="424"/>
      <c r="U387" s="304"/>
      <c r="V387" s="304"/>
      <c r="X387" s="280" t="s">
        <v>717</v>
      </c>
      <c r="Y387" s="280" t="str">
        <f>IF(OR(H380=0, H380&gt;100%), "Ownership %", (G384+G385))</f>
        <v>Ownership %</v>
      </c>
      <c r="Z387" s="304"/>
      <c r="AA387" s="304"/>
      <c r="AB387" s="304"/>
      <c r="AC387" s="304"/>
    </row>
    <row r="388" spans="2:41">
      <c r="B388" s="1302" t="s">
        <v>750</v>
      </c>
      <c r="C388" s="1303"/>
      <c r="D388" s="1303"/>
      <c r="E388" s="1303"/>
      <c r="F388" s="1304"/>
      <c r="G388" s="418"/>
      <c r="H388" s="419">
        <f>(G388*H380)*-1</f>
        <v>0</v>
      </c>
      <c r="I388" s="418"/>
      <c r="J388" s="420">
        <f>(I388*J380)*-1</f>
        <v>0</v>
      </c>
      <c r="L388" s="424"/>
      <c r="M388" s="424"/>
      <c r="N388" s="424"/>
      <c r="O388" s="424"/>
      <c r="P388" s="424"/>
      <c r="Q388" s="424"/>
      <c r="R388" s="424"/>
      <c r="S388" s="424"/>
      <c r="T388" s="424"/>
      <c r="U388" s="304"/>
      <c r="V388" s="304"/>
      <c r="X388" s="280" t="s">
        <v>720</v>
      </c>
      <c r="Y388" s="280" t="str">
        <f>IF(OR(L391&gt;100%, L391=0), "Ownership %", I384+I385)</f>
        <v>Ownership %</v>
      </c>
      <c r="Z388" s="304"/>
      <c r="AA388" s="304"/>
      <c r="AB388" s="304"/>
      <c r="AC388" s="304"/>
    </row>
    <row r="389" spans="2:41">
      <c r="B389" s="1229" t="s">
        <v>751</v>
      </c>
      <c r="C389" s="1230"/>
      <c r="D389" s="1230"/>
      <c r="E389" s="1230"/>
      <c r="F389" s="1230"/>
      <c r="G389" s="351"/>
      <c r="H389" s="351"/>
      <c r="I389" s="351"/>
      <c r="J389" s="352"/>
      <c r="L389" s="424"/>
      <c r="M389" s="424"/>
      <c r="N389" s="424"/>
      <c r="O389" s="424"/>
      <c r="P389" s="424"/>
      <c r="Q389" s="424"/>
      <c r="R389" s="424"/>
      <c r="S389" s="424"/>
      <c r="T389" s="424"/>
      <c r="U389" s="304"/>
      <c r="V389" s="304"/>
      <c r="Z389" s="304"/>
      <c r="AA389" s="304"/>
      <c r="AB389" s="304"/>
      <c r="AC389" s="304"/>
    </row>
    <row r="390" spans="2:41">
      <c r="B390" s="1243" t="s">
        <v>752</v>
      </c>
      <c r="C390" s="1244"/>
      <c r="D390" s="1244"/>
      <c r="E390" s="1244"/>
      <c r="F390" s="1245"/>
      <c r="G390" s="346"/>
      <c r="H390" s="359">
        <f>G390*H380</f>
        <v>0</v>
      </c>
      <c r="I390" s="346"/>
      <c r="J390" s="400">
        <f>I390*J380</f>
        <v>0</v>
      </c>
      <c r="L390" s="424"/>
      <c r="M390" s="424"/>
      <c r="N390" s="424"/>
      <c r="O390" s="424"/>
      <c r="P390" s="424"/>
      <c r="Q390" s="424"/>
      <c r="R390" s="424"/>
      <c r="S390" s="424"/>
      <c r="T390" s="424"/>
      <c r="U390" s="304"/>
      <c r="V390" s="304"/>
      <c r="X390" s="349" t="s">
        <v>596</v>
      </c>
      <c r="AA390" s="304"/>
      <c r="AB390" s="304"/>
      <c r="AC390" s="304"/>
    </row>
    <row r="391" spans="2:41">
      <c r="B391" s="1223" t="s">
        <v>753</v>
      </c>
      <c r="C391" s="1224"/>
      <c r="D391" s="1224"/>
      <c r="E391" s="1224"/>
      <c r="F391" s="1225"/>
      <c r="G391" s="346"/>
      <c r="H391" s="359">
        <f>G391*H380</f>
        <v>0</v>
      </c>
      <c r="I391" s="346"/>
      <c r="J391" s="400">
        <f>I391*J380</f>
        <v>0</v>
      </c>
      <c r="L391" s="424"/>
      <c r="M391" s="424"/>
      <c r="N391" s="424"/>
      <c r="O391" s="424"/>
      <c r="P391" s="424"/>
      <c r="Q391" s="424"/>
      <c r="R391" s="424"/>
      <c r="S391" s="424"/>
      <c r="T391" s="424"/>
      <c r="U391" s="304"/>
      <c r="V391" s="304"/>
      <c r="X391" s="349" t="s">
        <v>683</v>
      </c>
      <c r="AA391" s="304"/>
      <c r="AB391" s="304"/>
      <c r="AC391" s="304"/>
    </row>
    <row r="392" spans="2:41">
      <c r="B392" s="1223" t="s">
        <v>754</v>
      </c>
      <c r="C392" s="1224"/>
      <c r="D392" s="1224"/>
      <c r="E392" s="1224"/>
      <c r="F392" s="1225"/>
      <c r="G392" s="421"/>
      <c r="H392" s="359">
        <f>G392*H380</f>
        <v>0</v>
      </c>
      <c r="I392" s="421"/>
      <c r="J392" s="400">
        <f>I392*J380</f>
        <v>0</v>
      </c>
      <c r="L392" s="424"/>
      <c r="M392" s="424"/>
      <c r="N392" s="424"/>
      <c r="O392" s="424"/>
      <c r="P392" s="424"/>
      <c r="Q392" s="424"/>
      <c r="R392" s="424"/>
      <c r="S392" s="424"/>
      <c r="T392" s="424"/>
      <c r="U392" s="304"/>
      <c r="V392" s="304"/>
      <c r="X392" s="349" t="s">
        <v>599</v>
      </c>
      <c r="AA392" s="304"/>
      <c r="AB392" s="304"/>
      <c r="AC392" s="304"/>
    </row>
    <row r="393" spans="2:41">
      <c r="B393" s="1288" t="s">
        <v>755</v>
      </c>
      <c r="C393" s="1289"/>
      <c r="D393" s="1289"/>
      <c r="E393" s="1289"/>
      <c r="F393" s="1289"/>
      <c r="G393" s="1290"/>
      <c r="H393" s="1290"/>
      <c r="I393" s="1290"/>
      <c r="J393" s="1291"/>
      <c r="L393" s="424"/>
      <c r="M393" s="424"/>
      <c r="N393" s="424"/>
      <c r="O393" s="424"/>
      <c r="P393" s="424"/>
      <c r="Q393" s="424"/>
      <c r="R393" s="424"/>
      <c r="S393" s="424"/>
      <c r="T393" s="424"/>
      <c r="U393" s="304"/>
      <c r="V393" s="304"/>
      <c r="X393" s="349" t="s">
        <v>603</v>
      </c>
      <c r="AA393" s="304"/>
      <c r="AB393" s="304"/>
      <c r="AC393" s="304"/>
    </row>
    <row r="394" spans="2:41" ht="16.5" customHeight="1">
      <c r="B394" s="1292" t="s">
        <v>756</v>
      </c>
      <c r="C394" s="1293"/>
      <c r="D394" s="1293"/>
      <c r="E394" s="1293"/>
      <c r="F394" s="1294"/>
      <c r="G394" s="422"/>
      <c r="H394" s="401">
        <f>G394*H380</f>
        <v>0</v>
      </c>
      <c r="I394" s="422"/>
      <c r="J394" s="402">
        <f>I394*J380</f>
        <v>0</v>
      </c>
      <c r="L394" s="424"/>
      <c r="M394" s="424"/>
      <c r="N394" s="424"/>
      <c r="O394" s="424"/>
      <c r="P394" s="424"/>
      <c r="Q394" s="424"/>
      <c r="R394" s="424"/>
      <c r="S394" s="424"/>
      <c r="T394" s="424"/>
      <c r="U394" s="304"/>
      <c r="V394" s="304"/>
      <c r="X394" s="349" t="s">
        <v>605</v>
      </c>
      <c r="AA394" s="304"/>
      <c r="AB394" s="304"/>
      <c r="AC394" s="304"/>
    </row>
    <row r="395" spans="2:41">
      <c r="B395" s="1229" t="s">
        <v>757</v>
      </c>
      <c r="C395" s="1230"/>
      <c r="D395" s="1230"/>
      <c r="E395" s="1230"/>
      <c r="F395" s="1230"/>
      <c r="G395" s="351"/>
      <c r="H395" s="351"/>
      <c r="I395" s="351"/>
      <c r="J395" s="352"/>
      <c r="L395" s="424"/>
      <c r="M395" s="424"/>
      <c r="N395" s="424"/>
      <c r="O395" s="424"/>
      <c r="P395" s="424"/>
      <c r="Q395" s="424"/>
      <c r="R395" s="424"/>
      <c r="S395" s="424"/>
      <c r="T395" s="424"/>
      <c r="U395" s="304"/>
      <c r="V395" s="304"/>
      <c r="Z395" s="304"/>
      <c r="AA395" s="304"/>
      <c r="AB395" s="304"/>
      <c r="AC395" s="304"/>
    </row>
    <row r="396" spans="2:41" ht="30.75" customHeight="1">
      <c r="B396" s="1231" t="s">
        <v>758</v>
      </c>
      <c r="C396" s="1232"/>
      <c r="D396" s="1232"/>
      <c r="E396" s="1232"/>
      <c r="F396" s="1233"/>
      <c r="G396" s="399"/>
      <c r="H396" s="359">
        <f>(G396*H380)*-1</f>
        <v>0</v>
      </c>
      <c r="I396" s="399"/>
      <c r="J396" s="400">
        <f>(I396*J380)*-1</f>
        <v>0</v>
      </c>
      <c r="L396" s="424"/>
      <c r="M396" s="424"/>
      <c r="N396" s="424"/>
      <c r="O396" s="424"/>
      <c r="P396" s="424"/>
      <c r="Q396" s="424"/>
      <c r="R396" s="424"/>
      <c r="S396" s="424"/>
      <c r="T396" s="424"/>
      <c r="U396" s="304"/>
      <c r="V396" s="304"/>
      <c r="Z396" s="304"/>
      <c r="AA396" s="304"/>
      <c r="AB396" s="304"/>
      <c r="AC396" s="304"/>
    </row>
    <row r="397" spans="2:41" ht="31.5" customHeight="1">
      <c r="B397" s="1234" t="s">
        <v>759</v>
      </c>
      <c r="C397" s="1235"/>
      <c r="D397" s="1235"/>
      <c r="E397" s="1235"/>
      <c r="F397" s="1236"/>
      <c r="G397" s="346"/>
      <c r="H397" s="401">
        <f>(G397*H380)*-1</f>
        <v>0</v>
      </c>
      <c r="I397" s="346"/>
      <c r="J397" s="402">
        <f>(I397*J380)*-1</f>
        <v>0</v>
      </c>
      <c r="L397" s="424"/>
      <c r="M397" s="424"/>
      <c r="N397" s="424"/>
      <c r="O397" s="424"/>
      <c r="P397" s="424"/>
      <c r="Q397" s="424"/>
      <c r="R397" s="424"/>
      <c r="S397" s="424"/>
      <c r="T397" s="424"/>
      <c r="U397" s="304"/>
      <c r="V397" s="304"/>
      <c r="Z397" s="304"/>
      <c r="AA397" s="304"/>
      <c r="AB397" s="304"/>
      <c r="AC397" s="304"/>
      <c r="AD397" s="304"/>
      <c r="AE397" s="304"/>
      <c r="AF397" s="304"/>
      <c r="AG397" s="304"/>
      <c r="AH397" s="304"/>
      <c r="AI397" s="304"/>
      <c r="AJ397" s="304"/>
      <c r="AK397" s="304"/>
      <c r="AL397" s="304"/>
      <c r="AM397" s="304"/>
      <c r="AN397" s="304"/>
      <c r="AO397" s="304"/>
    </row>
    <row r="398" spans="2:41" ht="32.25" customHeight="1">
      <c r="B398" s="1158" t="s">
        <v>740</v>
      </c>
      <c r="C398" s="1287"/>
      <c r="D398" s="1287"/>
      <c r="E398" s="1287"/>
      <c r="F398" s="1287"/>
      <c r="G398" s="1156">
        <f>SUM(H382:H397)</f>
        <v>0</v>
      </c>
      <c r="H398" s="1155"/>
      <c r="I398" s="1214">
        <f>SUM(J382:J397)</f>
        <v>0</v>
      </c>
      <c r="J398" s="1216"/>
      <c r="L398" s="424"/>
      <c r="M398" s="424"/>
      <c r="N398" s="424"/>
      <c r="O398" s="424"/>
      <c r="P398" s="424"/>
      <c r="Q398" s="424"/>
      <c r="R398" s="424"/>
      <c r="S398" s="424"/>
      <c r="T398" s="424"/>
      <c r="U398" s="304"/>
      <c r="V398" s="304"/>
      <c r="Z398" s="304"/>
      <c r="AA398" s="304"/>
      <c r="AB398" s="304"/>
      <c r="AC398" s="304"/>
      <c r="AD398" s="304"/>
      <c r="AE398" s="304"/>
      <c r="AF398" s="304"/>
      <c r="AG398" s="304"/>
      <c r="AH398" s="304"/>
      <c r="AI398" s="304"/>
      <c r="AJ398" s="304"/>
      <c r="AK398" s="304"/>
      <c r="AL398" s="304"/>
      <c r="AM398" s="304"/>
      <c r="AN398" s="304"/>
      <c r="AO398" s="304"/>
    </row>
    <row r="399" spans="2:41" ht="21">
      <c r="B399" s="1217" t="s">
        <v>760</v>
      </c>
      <c r="C399" s="1218"/>
      <c r="D399" s="1218"/>
      <c r="E399" s="1218"/>
      <c r="F399" s="1219"/>
      <c r="G399" s="1282" t="str">
        <f>IF(OR(Y378=0, I398=0), "12 Month Average", "24 Month Average")</f>
        <v>12 Month Average</v>
      </c>
      <c r="H399" s="1283"/>
      <c r="I399" s="1283"/>
      <c r="J399" s="1284"/>
      <c r="L399" s="424"/>
      <c r="M399" s="424"/>
      <c r="N399" s="424"/>
      <c r="O399" s="424"/>
      <c r="P399" s="424"/>
      <c r="Q399" s="424"/>
      <c r="R399" s="424"/>
      <c r="S399" s="424"/>
      <c r="T399" s="424"/>
      <c r="U399" s="304"/>
      <c r="V399" s="304"/>
      <c r="Z399" s="304"/>
      <c r="AA399" s="304"/>
      <c r="AB399" s="304"/>
      <c r="AC399" s="304"/>
      <c r="AD399" s="304"/>
      <c r="AE399" s="304"/>
      <c r="AF399" s="304"/>
      <c r="AG399" s="304"/>
      <c r="AH399" s="304"/>
      <c r="AI399" s="304"/>
      <c r="AJ399" s="304"/>
      <c r="AK399" s="304"/>
      <c r="AL399" s="304"/>
      <c r="AM399" s="304"/>
      <c r="AN399" s="304"/>
      <c r="AO399" s="304"/>
    </row>
    <row r="400" spans="2:41" ht="34.5" thickBot="1">
      <c r="B400" s="1220" t="s">
        <v>697</v>
      </c>
      <c r="C400" s="1221"/>
      <c r="D400" s="1221"/>
      <c r="E400" s="1221"/>
      <c r="F400" s="1222"/>
      <c r="G400" s="1167">
        <f xml:space="preserve"> IF(OR(Y378=0, I398=0),Y380,Y381)</f>
        <v>0</v>
      </c>
      <c r="H400" s="1168"/>
      <c r="I400" s="1168"/>
      <c r="J400" s="1169"/>
      <c r="N400" s="304"/>
      <c r="O400" s="304"/>
      <c r="P400" s="304"/>
      <c r="Q400" s="304"/>
      <c r="R400" s="304"/>
      <c r="S400" s="304"/>
      <c r="T400" s="304"/>
      <c r="U400" s="304"/>
      <c r="V400" s="304"/>
      <c r="Z400" s="304"/>
      <c r="AA400" s="304"/>
      <c r="AB400" s="304"/>
      <c r="AC400" s="304"/>
      <c r="AD400" s="304"/>
      <c r="AE400" s="304"/>
      <c r="AF400" s="304"/>
      <c r="AG400" s="304"/>
      <c r="AH400" s="304"/>
      <c r="AI400" s="304"/>
      <c r="AJ400" s="304"/>
      <c r="AK400" s="304"/>
      <c r="AL400" s="304"/>
      <c r="AM400" s="304"/>
      <c r="AN400" s="304"/>
      <c r="AO400" s="304"/>
    </row>
    <row r="401" spans="2:29" s="304" customFormat="1" ht="3" customHeight="1" thickBot="1">
      <c r="B401" s="78"/>
      <c r="C401" s="78"/>
      <c r="D401" s="78"/>
      <c r="E401" s="78"/>
      <c r="F401" s="78"/>
      <c r="G401" s="78"/>
      <c r="H401" s="330"/>
      <c r="I401" s="330"/>
      <c r="J401" s="78"/>
      <c r="W401" s="280"/>
      <c r="X401" s="280"/>
      <c r="Y401" s="280"/>
    </row>
    <row r="402" spans="2:29" s="304" customFormat="1" ht="135" customHeight="1" thickBot="1">
      <c r="B402" s="1148" t="s">
        <v>761</v>
      </c>
      <c r="C402" s="1285"/>
      <c r="D402" s="1285"/>
      <c r="E402" s="1285"/>
      <c r="F402" s="1285"/>
      <c r="G402" s="1285"/>
      <c r="H402" s="1285"/>
      <c r="I402" s="1285"/>
      <c r="J402" s="1286"/>
      <c r="W402" s="280"/>
      <c r="X402" s="280"/>
      <c r="Y402" s="280"/>
    </row>
    <row r="403" spans="2:29" s="280" customFormat="1">
      <c r="B403" s="423"/>
      <c r="C403" s="423"/>
      <c r="D403" s="423"/>
      <c r="E403" s="423"/>
      <c r="F403" s="423"/>
      <c r="G403" s="423"/>
      <c r="H403" s="423"/>
      <c r="I403" s="423"/>
      <c r="J403" s="423"/>
    </row>
    <row r="404" spans="2:29" ht="13.5" customHeight="1" thickBot="1"/>
    <row r="405" spans="2:29" s="404" customFormat="1" ht="69" customHeight="1">
      <c r="B405" s="1187" t="s">
        <v>741</v>
      </c>
      <c r="C405" s="1188"/>
      <c r="D405" s="1188"/>
      <c r="E405" s="1188"/>
      <c r="F405" s="1188"/>
      <c r="G405" s="1188"/>
      <c r="H405" s="1188"/>
      <c r="I405" s="1188"/>
      <c r="J405" s="331" t="str">
        <f>'[3]Reference Sheet'!$B$2</f>
        <v>Rev. 4.12.2016</v>
      </c>
      <c r="L405" s="424"/>
      <c r="M405" s="424"/>
      <c r="N405" s="424"/>
      <c r="O405" s="424"/>
      <c r="P405" s="424"/>
      <c r="Q405" s="424"/>
      <c r="R405" s="424"/>
      <c r="S405" s="424"/>
      <c r="T405" s="424"/>
      <c r="U405" s="367"/>
      <c r="V405" s="367"/>
      <c r="W405" s="405"/>
      <c r="X405" s="405"/>
      <c r="Y405" s="405"/>
      <c r="Z405" s="367"/>
      <c r="AA405" s="367"/>
      <c r="AB405" s="367"/>
      <c r="AC405" s="367"/>
    </row>
    <row r="406" spans="2:29" s="404" customFormat="1" ht="16.5" customHeight="1" thickBot="1">
      <c r="B406" s="332"/>
      <c r="C406" s="368" t="s">
        <v>710</v>
      </c>
      <c r="D406" s="1310"/>
      <c r="E406" s="1311"/>
      <c r="F406" s="1311"/>
      <c r="G406" s="1311"/>
      <c r="H406" s="333"/>
      <c r="I406" s="333"/>
      <c r="J406" s="334"/>
      <c r="L406" s="424"/>
      <c r="M406" s="424"/>
      <c r="N406" s="424"/>
      <c r="O406" s="424"/>
      <c r="P406" s="424"/>
      <c r="Q406" s="424"/>
      <c r="R406" s="424"/>
      <c r="S406" s="424"/>
      <c r="T406" s="424"/>
      <c r="U406" s="367"/>
      <c r="V406" s="367"/>
      <c r="W406" s="280"/>
      <c r="X406" s="280"/>
      <c r="Y406" s="280"/>
      <c r="Z406" s="304"/>
      <c r="AA406" s="304"/>
      <c r="AB406" s="367"/>
      <c r="AC406" s="367"/>
    </row>
    <row r="407" spans="2:29" s="404" customFormat="1" ht="15" customHeight="1" thickBot="1">
      <c r="B407" s="332"/>
      <c r="C407" s="368" t="s">
        <v>711</v>
      </c>
      <c r="D407" s="1312"/>
      <c r="E407" s="1313"/>
      <c r="F407" s="1313"/>
      <c r="G407" s="1313"/>
      <c r="H407" s="368" t="s">
        <v>712</v>
      </c>
      <c r="I407" s="1310"/>
      <c r="J407" s="1314"/>
      <c r="L407" s="424"/>
      <c r="M407" s="424"/>
      <c r="N407" s="424"/>
      <c r="O407" s="424"/>
      <c r="P407" s="424"/>
      <c r="Q407" s="424"/>
      <c r="R407" s="424"/>
      <c r="S407" s="424"/>
      <c r="T407" s="424"/>
      <c r="U407" s="367"/>
      <c r="V407" s="367"/>
      <c r="W407" s="280"/>
      <c r="X407" s="280" t="s">
        <v>680</v>
      </c>
      <c r="Y407" s="280">
        <f>IF(AND(J411=0, J413=0, J421=0, J422=0, J425=0, J427=0, I429=0), 0, 1)</f>
        <v>0</v>
      </c>
      <c r="Z407" s="304"/>
      <c r="AA407" s="304"/>
      <c r="AB407" s="367"/>
      <c r="AC407" s="367"/>
    </row>
    <row r="408" spans="2:29" ht="16.5" thickBot="1">
      <c r="B408" s="1176" t="s">
        <v>671</v>
      </c>
      <c r="C408" s="1177"/>
      <c r="D408" s="1315"/>
      <c r="E408" s="1316"/>
      <c r="F408" s="1316"/>
      <c r="G408" s="1316"/>
      <c r="H408" s="336" t="s">
        <v>673</v>
      </c>
      <c r="I408" s="1315"/>
      <c r="J408" s="1317"/>
      <c r="L408" s="424"/>
      <c r="M408" s="424"/>
      <c r="N408" s="424"/>
      <c r="O408" s="424"/>
      <c r="P408" s="424"/>
      <c r="Q408" s="424"/>
      <c r="R408" s="424"/>
      <c r="S408" s="424"/>
      <c r="T408" s="424"/>
      <c r="U408" s="304"/>
      <c r="V408" s="304"/>
      <c r="X408" s="280" t="s">
        <v>682</v>
      </c>
      <c r="Y408" s="280">
        <f>IF(AND(G429&lt;=I429, I429&lt;&gt;0), 0, 1)</f>
        <v>1</v>
      </c>
      <c r="Z408" s="304"/>
      <c r="AA408" s="304"/>
      <c r="AB408" s="304"/>
      <c r="AC408" s="304"/>
    </row>
    <row r="409" spans="2:29" ht="16.5" customHeight="1" thickBot="1">
      <c r="B409" s="1176" t="s">
        <v>674</v>
      </c>
      <c r="C409" s="1177"/>
      <c r="D409" s="1262"/>
      <c r="E409" s="1263"/>
      <c r="F409" s="1263"/>
      <c r="G409" s="1263"/>
      <c r="H409" s="1263"/>
      <c r="I409" s="1263"/>
      <c r="J409" s="1264"/>
      <c r="L409" s="424"/>
      <c r="M409" s="424"/>
      <c r="N409" s="424"/>
      <c r="O409" s="424"/>
      <c r="P409" s="424"/>
      <c r="Q409" s="424"/>
      <c r="R409" s="424"/>
      <c r="S409" s="424"/>
      <c r="T409" s="424"/>
      <c r="U409" s="304"/>
      <c r="V409" s="304"/>
      <c r="X409" s="280" t="s">
        <v>685</v>
      </c>
      <c r="Y409" s="280">
        <f>IF(AND(Y408=0, Y407=1), 0, 1)</f>
        <v>1</v>
      </c>
      <c r="Z409" s="304"/>
      <c r="AA409" s="304"/>
      <c r="AB409" s="304"/>
      <c r="AC409" s="304"/>
    </row>
    <row r="410" spans="2:29" ht="16.5" customHeight="1">
      <c r="B410" s="1265"/>
      <c r="C410" s="1266"/>
      <c r="D410" s="1266"/>
      <c r="E410" s="1266"/>
      <c r="F410" s="1267"/>
      <c r="G410" s="406" t="s">
        <v>713</v>
      </c>
      <c r="H410" s="372" t="s">
        <v>676</v>
      </c>
      <c r="I410" s="377"/>
      <c r="J410" s="407" t="s">
        <v>677</v>
      </c>
      <c r="L410" s="424"/>
      <c r="M410" s="424"/>
      <c r="N410" s="424"/>
      <c r="O410" s="424"/>
      <c r="P410" s="424"/>
      <c r="Q410" s="424"/>
      <c r="R410" s="424"/>
      <c r="S410" s="424"/>
      <c r="T410" s="424"/>
      <c r="U410" s="304"/>
      <c r="V410" s="304"/>
      <c r="Z410" s="304"/>
      <c r="AA410" s="304"/>
      <c r="AB410" s="304"/>
      <c r="AC410" s="304"/>
    </row>
    <row r="411" spans="2:29" ht="16.5" customHeight="1" thickBot="1">
      <c r="B411" s="1269"/>
      <c r="C411" s="1270"/>
      <c r="D411" s="1270"/>
      <c r="E411" s="1270"/>
      <c r="F411" s="1271"/>
      <c r="G411" s="408" t="s">
        <v>743</v>
      </c>
      <c r="H411" s="409"/>
      <c r="I411" s="377"/>
      <c r="J411" s="410"/>
      <c r="L411" s="424"/>
      <c r="M411" s="424"/>
      <c r="N411" s="424"/>
      <c r="O411" s="424"/>
      <c r="P411" s="424"/>
      <c r="Q411" s="424"/>
      <c r="R411" s="424"/>
      <c r="S411" s="424"/>
      <c r="T411" s="424"/>
      <c r="U411" s="304"/>
      <c r="V411" s="304"/>
      <c r="X411" s="280" t="s">
        <v>689</v>
      </c>
      <c r="Y411" s="362">
        <f>G429/12</f>
        <v>0</v>
      </c>
      <c r="Z411" s="304"/>
      <c r="AA411" s="304"/>
      <c r="AB411" s="304"/>
      <c r="AC411" s="304"/>
    </row>
    <row r="412" spans="2:29">
      <c r="B412" s="1229" t="s">
        <v>744</v>
      </c>
      <c r="C412" s="1273"/>
      <c r="D412" s="1273"/>
      <c r="E412" s="1273"/>
      <c r="F412" s="1273"/>
      <c r="G412" s="377" t="s">
        <v>719</v>
      </c>
      <c r="H412" s="381"/>
      <c r="I412" s="386" t="s">
        <v>719</v>
      </c>
      <c r="J412" s="382"/>
      <c r="L412" s="424"/>
      <c r="M412" s="424"/>
      <c r="N412" s="424"/>
      <c r="O412" s="424"/>
      <c r="P412" s="424"/>
      <c r="Q412" s="424"/>
      <c r="R412" s="424"/>
      <c r="S412" s="424"/>
      <c r="T412" s="424"/>
      <c r="U412" s="304"/>
      <c r="V412" s="304"/>
      <c r="X412" s="280" t="s">
        <v>691</v>
      </c>
      <c r="Y412" s="362">
        <f>(G429+I429)/24</f>
        <v>0</v>
      </c>
      <c r="Z412" s="304"/>
      <c r="AA412" s="304"/>
      <c r="AB412" s="304"/>
      <c r="AC412" s="304"/>
    </row>
    <row r="413" spans="2:29">
      <c r="B413" s="1305" t="s">
        <v>745</v>
      </c>
      <c r="C413" s="1306"/>
      <c r="D413" s="1306"/>
      <c r="E413" s="1306"/>
      <c r="F413" s="1307"/>
      <c r="G413" s="346"/>
      <c r="H413" s="359">
        <f>G413</f>
        <v>0</v>
      </c>
      <c r="I413" s="411"/>
      <c r="J413" s="400">
        <f>I413</f>
        <v>0</v>
      </c>
      <c r="L413" s="424"/>
      <c r="M413" s="424"/>
      <c r="N413" s="424"/>
      <c r="O413" s="424"/>
      <c r="P413" s="424"/>
      <c r="Q413" s="424"/>
      <c r="R413" s="424"/>
      <c r="S413" s="424"/>
      <c r="T413" s="424"/>
      <c r="U413" s="304"/>
      <c r="V413" s="304"/>
      <c r="Z413" s="304"/>
      <c r="AA413" s="304"/>
      <c r="AB413" s="304"/>
      <c r="AC413" s="304"/>
    </row>
    <row r="414" spans="2:29">
      <c r="B414" s="1308" t="s">
        <v>722</v>
      </c>
      <c r="C414" s="1309"/>
      <c r="D414" s="1309"/>
      <c r="E414" s="1309"/>
      <c r="F414" s="1309"/>
      <c r="G414" s="412"/>
      <c r="H414" s="413"/>
      <c r="I414" s="414"/>
      <c r="J414" s="415"/>
      <c r="L414" s="424"/>
      <c r="M414" s="424"/>
      <c r="N414" s="424"/>
      <c r="O414" s="424"/>
      <c r="P414" s="424"/>
      <c r="Q414" s="424"/>
      <c r="R414" s="424"/>
      <c r="S414" s="424"/>
      <c r="T414" s="424"/>
      <c r="U414" s="304"/>
      <c r="V414" s="304"/>
      <c r="Z414" s="304"/>
      <c r="AA414" s="304"/>
      <c r="AB414" s="304"/>
      <c r="AC414" s="304"/>
    </row>
    <row r="415" spans="2:29">
      <c r="B415" s="1248" t="s">
        <v>746</v>
      </c>
      <c r="C415" s="1249"/>
      <c r="D415" s="1249"/>
      <c r="E415" s="1249"/>
      <c r="F415" s="1250"/>
      <c r="G415" s="346"/>
      <c r="H415" s="387" t="str">
        <f>IF(OR(H411=0, H411&gt;100%), "Ownership %", (G415+G416))</f>
        <v>Ownership %</v>
      </c>
      <c r="I415" s="346"/>
      <c r="J415" s="388" t="str">
        <f>IF(OR(J411=0, J411&gt;100%), "Ownership %", (I415+I416))</f>
        <v>Ownership %</v>
      </c>
      <c r="L415" s="424"/>
      <c r="M415" s="424"/>
      <c r="N415" s="424"/>
      <c r="O415" s="424"/>
      <c r="P415" s="424"/>
      <c r="Q415" s="424"/>
      <c r="R415" s="424"/>
      <c r="S415" s="424"/>
      <c r="T415" s="424"/>
      <c r="U415" s="304"/>
      <c r="V415" s="304"/>
      <c r="X415" s="280" t="str">
        <f>IF(OR(Y409=0, I429=0), "12 Month Average", "24 Month Average")</f>
        <v>12 Month Average</v>
      </c>
      <c r="Z415" s="304"/>
      <c r="AA415" s="304"/>
      <c r="AB415" s="304"/>
      <c r="AC415" s="304"/>
    </row>
    <row r="416" spans="2:29">
      <c r="B416" s="1295" t="s">
        <v>747</v>
      </c>
      <c r="C416" s="1296"/>
      <c r="D416" s="1296"/>
      <c r="E416" s="1296"/>
      <c r="F416" s="1296"/>
      <c r="G416" s="346"/>
      <c r="H416" s="389"/>
      <c r="I416" s="346"/>
      <c r="J416" s="390"/>
      <c r="L416" s="424"/>
      <c r="M416" s="424"/>
      <c r="N416" s="424"/>
      <c r="O416" s="424"/>
      <c r="P416" s="424"/>
      <c r="Q416" s="424"/>
      <c r="R416" s="424"/>
      <c r="S416" s="424"/>
      <c r="T416" s="424"/>
      <c r="U416" s="304"/>
      <c r="V416" s="304"/>
      <c r="X416" s="280">
        <f xml:space="preserve"> IF(OR(Y409=0, I429=0),Y411,Y412)</f>
        <v>0</v>
      </c>
      <c r="Z416" s="304"/>
      <c r="AA416" s="304"/>
      <c r="AB416" s="304"/>
      <c r="AC416" s="304"/>
    </row>
    <row r="417" spans="2:41">
      <c r="B417" s="1297" t="s">
        <v>748</v>
      </c>
      <c r="C417" s="1298"/>
      <c r="D417" s="1298"/>
      <c r="E417" s="1298"/>
      <c r="F417" s="1298"/>
      <c r="G417" s="416"/>
      <c r="H417" s="416"/>
      <c r="I417" s="416"/>
      <c r="J417" s="417"/>
      <c r="L417" s="424"/>
      <c r="M417" s="424"/>
      <c r="N417" s="424"/>
      <c r="O417" s="424"/>
      <c r="P417" s="424"/>
      <c r="Q417" s="424"/>
      <c r="R417" s="424"/>
      <c r="S417" s="424"/>
      <c r="T417" s="424"/>
      <c r="U417" s="304"/>
      <c r="V417" s="304"/>
      <c r="Z417" s="304"/>
      <c r="AA417" s="304"/>
      <c r="AB417" s="304"/>
      <c r="AC417" s="304"/>
    </row>
    <row r="418" spans="2:41">
      <c r="B418" s="1299" t="s">
        <v>749</v>
      </c>
      <c r="C418" s="1300"/>
      <c r="D418" s="1300"/>
      <c r="E418" s="1300"/>
      <c r="F418" s="1301"/>
      <c r="G418" s="418"/>
      <c r="H418" s="419">
        <f>(G418*H411)*-1</f>
        <v>0</v>
      </c>
      <c r="I418" s="418"/>
      <c r="J418" s="420">
        <f>(I418*J411)*-1</f>
        <v>0</v>
      </c>
      <c r="L418" s="424"/>
      <c r="M418" s="424"/>
      <c r="N418" s="424"/>
      <c r="O418" s="424"/>
      <c r="P418" s="424"/>
      <c r="Q418" s="424"/>
      <c r="R418" s="424"/>
      <c r="S418" s="424"/>
      <c r="T418" s="424"/>
      <c r="U418" s="304"/>
      <c r="V418" s="304"/>
      <c r="X418" s="280" t="s">
        <v>717</v>
      </c>
      <c r="Y418" s="280" t="str">
        <f>IF(OR(H411=0, H411&gt;100%), "Ownership %", (G415+G416))</f>
        <v>Ownership %</v>
      </c>
      <c r="Z418" s="304"/>
      <c r="AA418" s="304"/>
      <c r="AB418" s="304"/>
      <c r="AC418" s="304"/>
    </row>
    <row r="419" spans="2:41">
      <c r="B419" s="1302" t="s">
        <v>750</v>
      </c>
      <c r="C419" s="1303"/>
      <c r="D419" s="1303"/>
      <c r="E419" s="1303"/>
      <c r="F419" s="1304"/>
      <c r="G419" s="418"/>
      <c r="H419" s="419">
        <f>(G419*H411)*-1</f>
        <v>0</v>
      </c>
      <c r="I419" s="418"/>
      <c r="J419" s="420">
        <f>(I419*J411)*-1</f>
        <v>0</v>
      </c>
      <c r="L419" s="424"/>
      <c r="M419" s="424"/>
      <c r="N419" s="424"/>
      <c r="O419" s="424"/>
      <c r="P419" s="424"/>
      <c r="Q419" s="424"/>
      <c r="R419" s="424"/>
      <c r="S419" s="424"/>
      <c r="T419" s="424"/>
      <c r="U419" s="304"/>
      <c r="V419" s="304"/>
      <c r="X419" s="280" t="s">
        <v>720</v>
      </c>
      <c r="Y419" s="280" t="str">
        <f>IF(OR(L422&gt;100%, L422=0), "Ownership %", I415+I416)</f>
        <v>Ownership %</v>
      </c>
      <c r="Z419" s="304"/>
      <c r="AA419" s="304"/>
      <c r="AB419" s="304"/>
      <c r="AC419" s="304"/>
    </row>
    <row r="420" spans="2:41">
      <c r="B420" s="1229" t="s">
        <v>751</v>
      </c>
      <c r="C420" s="1230"/>
      <c r="D420" s="1230"/>
      <c r="E420" s="1230"/>
      <c r="F420" s="1230"/>
      <c r="G420" s="351"/>
      <c r="H420" s="351"/>
      <c r="I420" s="351"/>
      <c r="J420" s="352"/>
      <c r="L420" s="424"/>
      <c r="M420" s="424"/>
      <c r="N420" s="424"/>
      <c r="O420" s="424"/>
      <c r="P420" s="424"/>
      <c r="Q420" s="424"/>
      <c r="R420" s="424"/>
      <c r="S420" s="424"/>
      <c r="T420" s="424"/>
      <c r="U420" s="304"/>
      <c r="V420" s="304"/>
      <c r="Z420" s="304"/>
      <c r="AA420" s="304"/>
      <c r="AB420" s="304"/>
      <c r="AC420" s="304"/>
    </row>
    <row r="421" spans="2:41">
      <c r="B421" s="1243" t="s">
        <v>752</v>
      </c>
      <c r="C421" s="1244"/>
      <c r="D421" s="1244"/>
      <c r="E421" s="1244"/>
      <c r="F421" s="1245"/>
      <c r="G421" s="346"/>
      <c r="H421" s="359">
        <f>G421*H411</f>
        <v>0</v>
      </c>
      <c r="I421" s="346"/>
      <c r="J421" s="400">
        <f>I421*J411</f>
        <v>0</v>
      </c>
      <c r="L421" s="424"/>
      <c r="M421" s="424"/>
      <c r="N421" s="424"/>
      <c r="O421" s="424"/>
      <c r="P421" s="424"/>
      <c r="Q421" s="424"/>
      <c r="R421" s="424"/>
      <c r="S421" s="424"/>
      <c r="T421" s="424"/>
      <c r="U421" s="304"/>
      <c r="V421" s="304"/>
      <c r="X421" s="349" t="s">
        <v>596</v>
      </c>
      <c r="AA421" s="304"/>
      <c r="AB421" s="304"/>
      <c r="AC421" s="304"/>
    </row>
    <row r="422" spans="2:41">
      <c r="B422" s="1223" t="s">
        <v>753</v>
      </c>
      <c r="C422" s="1224"/>
      <c r="D422" s="1224"/>
      <c r="E422" s="1224"/>
      <c r="F422" s="1225"/>
      <c r="G422" s="346"/>
      <c r="H422" s="359">
        <f>G422*H411</f>
        <v>0</v>
      </c>
      <c r="I422" s="346"/>
      <c r="J422" s="400">
        <f>I422*J411</f>
        <v>0</v>
      </c>
      <c r="L422" s="424"/>
      <c r="M422" s="424"/>
      <c r="N422" s="424"/>
      <c r="O422" s="424"/>
      <c r="P422" s="424"/>
      <c r="Q422" s="424"/>
      <c r="R422" s="424"/>
      <c r="S422" s="424"/>
      <c r="T422" s="424"/>
      <c r="U422" s="304"/>
      <c r="V422" s="304"/>
      <c r="X422" s="349" t="s">
        <v>683</v>
      </c>
      <c r="AA422" s="304"/>
      <c r="AB422" s="304"/>
      <c r="AC422" s="304"/>
    </row>
    <row r="423" spans="2:41">
      <c r="B423" s="1223" t="s">
        <v>754</v>
      </c>
      <c r="C423" s="1224"/>
      <c r="D423" s="1224"/>
      <c r="E423" s="1224"/>
      <c r="F423" s="1225"/>
      <c r="G423" s="421"/>
      <c r="H423" s="359">
        <f>G423*H411</f>
        <v>0</v>
      </c>
      <c r="I423" s="421"/>
      <c r="J423" s="400">
        <f>I423*J411</f>
        <v>0</v>
      </c>
      <c r="L423" s="424"/>
      <c r="M423" s="424"/>
      <c r="N423" s="424"/>
      <c r="O423" s="424"/>
      <c r="P423" s="424"/>
      <c r="Q423" s="424"/>
      <c r="R423" s="424"/>
      <c r="S423" s="424"/>
      <c r="T423" s="424"/>
      <c r="U423" s="304"/>
      <c r="V423" s="304"/>
      <c r="X423" s="349" t="s">
        <v>599</v>
      </c>
      <c r="AA423" s="304"/>
      <c r="AB423" s="304"/>
      <c r="AC423" s="304"/>
    </row>
    <row r="424" spans="2:41">
      <c r="B424" s="1288" t="s">
        <v>755</v>
      </c>
      <c r="C424" s="1289"/>
      <c r="D424" s="1289"/>
      <c r="E424" s="1289"/>
      <c r="F424" s="1289"/>
      <c r="G424" s="1290"/>
      <c r="H424" s="1290"/>
      <c r="I424" s="1290"/>
      <c r="J424" s="1291"/>
      <c r="L424" s="424"/>
      <c r="M424" s="424"/>
      <c r="N424" s="424"/>
      <c r="O424" s="424"/>
      <c r="P424" s="424"/>
      <c r="Q424" s="424"/>
      <c r="R424" s="424"/>
      <c r="S424" s="424"/>
      <c r="T424" s="424"/>
      <c r="U424" s="304"/>
      <c r="V424" s="304"/>
      <c r="X424" s="349" t="s">
        <v>603</v>
      </c>
      <c r="AA424" s="304"/>
      <c r="AB424" s="304"/>
      <c r="AC424" s="304"/>
    </row>
    <row r="425" spans="2:41" ht="16.5" customHeight="1">
      <c r="B425" s="1292" t="s">
        <v>756</v>
      </c>
      <c r="C425" s="1293"/>
      <c r="D425" s="1293"/>
      <c r="E425" s="1293"/>
      <c r="F425" s="1294"/>
      <c r="G425" s="422"/>
      <c r="H425" s="401">
        <f>G425*H411</f>
        <v>0</v>
      </c>
      <c r="I425" s="422"/>
      <c r="J425" s="402">
        <f>I425*J411</f>
        <v>0</v>
      </c>
      <c r="L425" s="424"/>
      <c r="M425" s="424"/>
      <c r="N425" s="424"/>
      <c r="O425" s="424"/>
      <c r="P425" s="424"/>
      <c r="Q425" s="424"/>
      <c r="R425" s="424"/>
      <c r="S425" s="424"/>
      <c r="T425" s="424"/>
      <c r="U425" s="304"/>
      <c r="V425" s="304"/>
      <c r="X425" s="349" t="s">
        <v>605</v>
      </c>
      <c r="AA425" s="304"/>
      <c r="AB425" s="304"/>
      <c r="AC425" s="304"/>
    </row>
    <row r="426" spans="2:41">
      <c r="B426" s="1229" t="s">
        <v>757</v>
      </c>
      <c r="C426" s="1230"/>
      <c r="D426" s="1230"/>
      <c r="E426" s="1230"/>
      <c r="F426" s="1230"/>
      <c r="G426" s="351"/>
      <c r="H426" s="351"/>
      <c r="I426" s="351"/>
      <c r="J426" s="352"/>
      <c r="L426" s="424"/>
      <c r="M426" s="424"/>
      <c r="N426" s="424"/>
      <c r="O426" s="424"/>
      <c r="P426" s="424"/>
      <c r="Q426" s="424"/>
      <c r="R426" s="424"/>
      <c r="S426" s="424"/>
      <c r="T426" s="424"/>
      <c r="U426" s="304"/>
      <c r="V426" s="304"/>
      <c r="Z426" s="304"/>
      <c r="AA426" s="304"/>
      <c r="AB426" s="304"/>
      <c r="AC426" s="304"/>
    </row>
    <row r="427" spans="2:41" ht="30.75" customHeight="1">
      <c r="B427" s="1231" t="s">
        <v>758</v>
      </c>
      <c r="C427" s="1232"/>
      <c r="D427" s="1232"/>
      <c r="E427" s="1232"/>
      <c r="F427" s="1233"/>
      <c r="G427" s="399"/>
      <c r="H427" s="359">
        <f>(G427*H411)*-1</f>
        <v>0</v>
      </c>
      <c r="I427" s="399"/>
      <c r="J427" s="400">
        <f>(I427*J411)*-1</f>
        <v>0</v>
      </c>
      <c r="L427" s="424"/>
      <c r="M427" s="424"/>
      <c r="N427" s="424"/>
      <c r="O427" s="424"/>
      <c r="P427" s="424"/>
      <c r="Q427" s="424"/>
      <c r="R427" s="424"/>
      <c r="S427" s="424"/>
      <c r="T427" s="424"/>
      <c r="U427" s="304"/>
      <c r="V427" s="304"/>
      <c r="Z427" s="304"/>
      <c r="AA427" s="304"/>
      <c r="AB427" s="304"/>
      <c r="AC427" s="304"/>
    </row>
    <row r="428" spans="2:41" ht="31.5" customHeight="1">
      <c r="B428" s="1234" t="s">
        <v>759</v>
      </c>
      <c r="C428" s="1235"/>
      <c r="D428" s="1235"/>
      <c r="E428" s="1235"/>
      <c r="F428" s="1236"/>
      <c r="G428" s="346"/>
      <c r="H428" s="401">
        <f>(G428*H411)*-1</f>
        <v>0</v>
      </c>
      <c r="I428" s="346"/>
      <c r="J428" s="402">
        <f>(I428*J411)*-1</f>
        <v>0</v>
      </c>
      <c r="L428" s="424"/>
      <c r="M428" s="424"/>
      <c r="N428" s="424"/>
      <c r="O428" s="424"/>
      <c r="P428" s="424"/>
      <c r="Q428" s="424"/>
      <c r="R428" s="424"/>
      <c r="S428" s="424"/>
      <c r="T428" s="424"/>
      <c r="U428" s="304"/>
      <c r="V428" s="304"/>
      <c r="Z428" s="304"/>
      <c r="AA428" s="304"/>
      <c r="AB428" s="304"/>
      <c r="AC428" s="304"/>
      <c r="AD428" s="304"/>
      <c r="AE428" s="304"/>
      <c r="AF428" s="304"/>
      <c r="AG428" s="304"/>
      <c r="AH428" s="304"/>
      <c r="AI428" s="304"/>
      <c r="AJ428" s="304"/>
      <c r="AK428" s="304"/>
      <c r="AL428" s="304"/>
      <c r="AM428" s="304"/>
      <c r="AN428" s="304"/>
      <c r="AO428" s="304"/>
    </row>
    <row r="429" spans="2:41" ht="32.25" customHeight="1">
      <c r="B429" s="1158" t="s">
        <v>740</v>
      </c>
      <c r="C429" s="1287"/>
      <c r="D429" s="1287"/>
      <c r="E429" s="1287"/>
      <c r="F429" s="1287"/>
      <c r="G429" s="1156">
        <f>SUM(H413:H428)</f>
        <v>0</v>
      </c>
      <c r="H429" s="1155"/>
      <c r="I429" s="1214">
        <f>SUM(J413:J428)</f>
        <v>0</v>
      </c>
      <c r="J429" s="1216"/>
      <c r="L429" s="424"/>
      <c r="M429" s="424"/>
      <c r="N429" s="424"/>
      <c r="O429" s="424"/>
      <c r="P429" s="424"/>
      <c r="Q429" s="424"/>
      <c r="R429" s="424"/>
      <c r="S429" s="424"/>
      <c r="T429" s="424"/>
      <c r="U429" s="304"/>
      <c r="V429" s="304"/>
      <c r="Z429" s="304"/>
      <c r="AA429" s="304"/>
      <c r="AB429" s="304"/>
      <c r="AC429" s="304"/>
      <c r="AD429" s="304"/>
      <c r="AE429" s="304"/>
      <c r="AF429" s="304"/>
      <c r="AG429" s="304"/>
      <c r="AH429" s="304"/>
      <c r="AI429" s="304"/>
      <c r="AJ429" s="304"/>
      <c r="AK429" s="304"/>
      <c r="AL429" s="304"/>
      <c r="AM429" s="304"/>
      <c r="AN429" s="304"/>
      <c r="AO429" s="304"/>
    </row>
    <row r="430" spans="2:41" ht="21">
      <c r="B430" s="1217" t="s">
        <v>760</v>
      </c>
      <c r="C430" s="1218"/>
      <c r="D430" s="1218"/>
      <c r="E430" s="1218"/>
      <c r="F430" s="1219"/>
      <c r="G430" s="1282" t="str">
        <f>IF(OR(Y409=0, I429=0), "12 Month Average", "24 Month Average")</f>
        <v>12 Month Average</v>
      </c>
      <c r="H430" s="1283"/>
      <c r="I430" s="1283"/>
      <c r="J430" s="1284"/>
      <c r="L430" s="424"/>
      <c r="M430" s="424"/>
      <c r="N430" s="424"/>
      <c r="O430" s="424"/>
      <c r="P430" s="424"/>
      <c r="Q430" s="424"/>
      <c r="R430" s="424"/>
      <c r="S430" s="424"/>
      <c r="T430" s="424"/>
      <c r="U430" s="304"/>
      <c r="V430" s="304"/>
      <c r="Z430" s="304"/>
      <c r="AA430" s="304"/>
      <c r="AB430" s="304"/>
      <c r="AC430" s="304"/>
      <c r="AD430" s="304"/>
      <c r="AE430" s="304"/>
      <c r="AF430" s="304"/>
      <c r="AG430" s="304"/>
      <c r="AH430" s="304"/>
      <c r="AI430" s="304"/>
      <c r="AJ430" s="304"/>
      <c r="AK430" s="304"/>
      <c r="AL430" s="304"/>
      <c r="AM430" s="304"/>
      <c r="AN430" s="304"/>
      <c r="AO430" s="304"/>
    </row>
    <row r="431" spans="2:41" ht="34.5" thickBot="1">
      <c r="B431" s="1220" t="s">
        <v>697</v>
      </c>
      <c r="C431" s="1221"/>
      <c r="D431" s="1221"/>
      <c r="E431" s="1221"/>
      <c r="F431" s="1222"/>
      <c r="G431" s="1167">
        <f xml:space="preserve"> IF(OR(Y409=0, I429=0),Y411,Y412)</f>
        <v>0</v>
      </c>
      <c r="H431" s="1168"/>
      <c r="I431" s="1168"/>
      <c r="J431" s="1169"/>
      <c r="N431" s="304"/>
      <c r="O431" s="304"/>
      <c r="P431" s="304"/>
      <c r="Q431" s="304"/>
      <c r="R431" s="304"/>
      <c r="S431" s="304"/>
      <c r="T431" s="304"/>
      <c r="U431" s="304"/>
      <c r="V431" s="304"/>
      <c r="Z431" s="304"/>
      <c r="AA431" s="304"/>
      <c r="AB431" s="304"/>
      <c r="AC431" s="304"/>
      <c r="AD431" s="304"/>
      <c r="AE431" s="304"/>
      <c r="AF431" s="304"/>
      <c r="AG431" s="304"/>
      <c r="AH431" s="304"/>
      <c r="AI431" s="304"/>
      <c r="AJ431" s="304"/>
      <c r="AK431" s="304"/>
      <c r="AL431" s="304"/>
      <c r="AM431" s="304"/>
      <c r="AN431" s="304"/>
      <c r="AO431" s="304"/>
    </row>
    <row r="432" spans="2:41" s="304" customFormat="1" ht="3" customHeight="1" thickBot="1">
      <c r="B432" s="78"/>
      <c r="C432" s="78"/>
      <c r="D432" s="78"/>
      <c r="E432" s="78"/>
      <c r="F432" s="78"/>
      <c r="G432" s="78"/>
      <c r="H432" s="330"/>
      <c r="I432" s="330"/>
      <c r="J432" s="78"/>
      <c r="W432" s="280"/>
      <c r="X432" s="280"/>
      <c r="Y432" s="280"/>
    </row>
    <row r="433" spans="2:29" s="304" customFormat="1" ht="135" customHeight="1" thickBot="1">
      <c r="B433" s="1148" t="s">
        <v>761</v>
      </c>
      <c r="C433" s="1285"/>
      <c r="D433" s="1285"/>
      <c r="E433" s="1285"/>
      <c r="F433" s="1285"/>
      <c r="G433" s="1285"/>
      <c r="H433" s="1285"/>
      <c r="I433" s="1285"/>
      <c r="J433" s="1286"/>
      <c r="W433" s="280"/>
      <c r="X433" s="280"/>
      <c r="Y433" s="280"/>
    </row>
    <row r="434" spans="2:29" s="280" customFormat="1">
      <c r="B434" s="423"/>
      <c r="C434" s="423"/>
      <c r="D434" s="423"/>
      <c r="E434" s="423"/>
      <c r="F434" s="423"/>
      <c r="G434" s="423"/>
      <c r="H434" s="423"/>
      <c r="I434" s="423"/>
      <c r="J434" s="423"/>
    </row>
    <row r="435" spans="2:29" ht="13.5" customHeight="1" thickBot="1"/>
    <row r="436" spans="2:29" s="404" customFormat="1" ht="69" customHeight="1">
      <c r="B436" s="1187" t="s">
        <v>741</v>
      </c>
      <c r="C436" s="1188"/>
      <c r="D436" s="1188"/>
      <c r="E436" s="1188"/>
      <c r="F436" s="1188"/>
      <c r="G436" s="1188"/>
      <c r="H436" s="1188"/>
      <c r="I436" s="1188"/>
      <c r="J436" s="331" t="str">
        <f>'[3]Reference Sheet'!$B$2</f>
        <v>Rev. 4.12.2016</v>
      </c>
      <c r="L436" s="424"/>
      <c r="M436" s="424"/>
      <c r="N436" s="424"/>
      <c r="O436" s="424"/>
      <c r="P436" s="424"/>
      <c r="Q436" s="424"/>
      <c r="R436" s="424"/>
      <c r="S436" s="424"/>
      <c r="T436" s="424"/>
      <c r="U436" s="367"/>
      <c r="V436" s="367"/>
      <c r="W436" s="405"/>
      <c r="X436" s="405"/>
      <c r="Y436" s="405"/>
      <c r="Z436" s="367"/>
      <c r="AA436" s="367"/>
      <c r="AB436" s="367"/>
      <c r="AC436" s="367"/>
    </row>
    <row r="437" spans="2:29" s="404" customFormat="1" ht="16.5" customHeight="1" thickBot="1">
      <c r="B437" s="332"/>
      <c r="C437" s="368" t="s">
        <v>710</v>
      </c>
      <c r="D437" s="1310"/>
      <c r="E437" s="1311"/>
      <c r="F437" s="1311"/>
      <c r="G437" s="1311"/>
      <c r="H437" s="333"/>
      <c r="I437" s="333"/>
      <c r="J437" s="334"/>
      <c r="L437" s="424"/>
      <c r="M437" s="424"/>
      <c r="N437" s="424"/>
      <c r="O437" s="424"/>
      <c r="P437" s="424"/>
      <c r="Q437" s="424"/>
      <c r="R437" s="424"/>
      <c r="S437" s="424"/>
      <c r="T437" s="424"/>
      <c r="U437" s="367"/>
      <c r="V437" s="367"/>
      <c r="W437" s="280"/>
      <c r="X437" s="280"/>
      <c r="Y437" s="280"/>
      <c r="Z437" s="304"/>
      <c r="AA437" s="304"/>
      <c r="AB437" s="367"/>
      <c r="AC437" s="367"/>
    </row>
    <row r="438" spans="2:29" s="404" customFormat="1" ht="15" customHeight="1" thickBot="1">
      <c r="B438" s="332"/>
      <c r="C438" s="368" t="s">
        <v>711</v>
      </c>
      <c r="D438" s="1312"/>
      <c r="E438" s="1313"/>
      <c r="F438" s="1313"/>
      <c r="G438" s="1313"/>
      <c r="H438" s="368" t="s">
        <v>712</v>
      </c>
      <c r="I438" s="1310"/>
      <c r="J438" s="1314"/>
      <c r="L438" s="424"/>
      <c r="M438" s="424"/>
      <c r="N438" s="424"/>
      <c r="O438" s="424"/>
      <c r="P438" s="424"/>
      <c r="Q438" s="424"/>
      <c r="R438" s="424"/>
      <c r="S438" s="424"/>
      <c r="T438" s="424"/>
      <c r="U438" s="367"/>
      <c r="V438" s="367"/>
      <c r="W438" s="280"/>
      <c r="X438" s="280" t="s">
        <v>680</v>
      </c>
      <c r="Y438" s="280">
        <f>IF(AND(J442=0, J444=0, J452=0, J453=0, J456=0, J458=0, I460=0), 0, 1)</f>
        <v>0</v>
      </c>
      <c r="Z438" s="304"/>
      <c r="AA438" s="304"/>
      <c r="AB438" s="367"/>
      <c r="AC438" s="367"/>
    </row>
    <row r="439" spans="2:29" ht="16.5" thickBot="1">
      <c r="B439" s="1176" t="s">
        <v>671</v>
      </c>
      <c r="C439" s="1177"/>
      <c r="D439" s="1315"/>
      <c r="E439" s="1316"/>
      <c r="F439" s="1316"/>
      <c r="G439" s="1316"/>
      <c r="H439" s="336" t="s">
        <v>673</v>
      </c>
      <c r="I439" s="1315"/>
      <c r="J439" s="1317"/>
      <c r="L439" s="424"/>
      <c r="M439" s="424"/>
      <c r="N439" s="424"/>
      <c r="O439" s="424"/>
      <c r="P439" s="424"/>
      <c r="Q439" s="424"/>
      <c r="R439" s="424"/>
      <c r="S439" s="424"/>
      <c r="T439" s="424"/>
      <c r="U439" s="304"/>
      <c r="V439" s="304"/>
      <c r="X439" s="280" t="s">
        <v>682</v>
      </c>
      <c r="Y439" s="280">
        <f>IF(AND(G460&lt;=I460, I460&lt;&gt;0), 0, 1)</f>
        <v>1</v>
      </c>
      <c r="Z439" s="304"/>
      <c r="AA439" s="304"/>
      <c r="AB439" s="304"/>
      <c r="AC439" s="304"/>
    </row>
    <row r="440" spans="2:29" ht="16.5" customHeight="1" thickBot="1">
      <c r="B440" s="1176" t="s">
        <v>674</v>
      </c>
      <c r="C440" s="1177"/>
      <c r="D440" s="1262"/>
      <c r="E440" s="1263"/>
      <c r="F440" s="1263"/>
      <c r="G440" s="1263"/>
      <c r="H440" s="1263"/>
      <c r="I440" s="1263"/>
      <c r="J440" s="1264"/>
      <c r="L440" s="424"/>
      <c r="M440" s="424"/>
      <c r="N440" s="424"/>
      <c r="O440" s="424"/>
      <c r="P440" s="424"/>
      <c r="Q440" s="424"/>
      <c r="R440" s="424"/>
      <c r="S440" s="424"/>
      <c r="T440" s="424"/>
      <c r="U440" s="304"/>
      <c r="V440" s="304"/>
      <c r="X440" s="280" t="s">
        <v>685</v>
      </c>
      <c r="Y440" s="280">
        <f>IF(AND(Y439=0, Y438=1), 0, 1)</f>
        <v>1</v>
      </c>
      <c r="Z440" s="304"/>
      <c r="AA440" s="304"/>
      <c r="AB440" s="304"/>
      <c r="AC440" s="304"/>
    </row>
    <row r="441" spans="2:29" ht="16.5" customHeight="1">
      <c r="B441" s="1265"/>
      <c r="C441" s="1266"/>
      <c r="D441" s="1266"/>
      <c r="E441" s="1266"/>
      <c r="F441" s="1267"/>
      <c r="G441" s="406" t="s">
        <v>713</v>
      </c>
      <c r="H441" s="372" t="s">
        <v>676</v>
      </c>
      <c r="I441" s="377"/>
      <c r="J441" s="407" t="s">
        <v>677</v>
      </c>
      <c r="L441" s="424"/>
      <c r="M441" s="424"/>
      <c r="N441" s="424"/>
      <c r="O441" s="424"/>
      <c r="P441" s="424"/>
      <c r="Q441" s="424"/>
      <c r="R441" s="424"/>
      <c r="S441" s="424"/>
      <c r="T441" s="424"/>
      <c r="U441" s="304"/>
      <c r="V441" s="304"/>
      <c r="Z441" s="304"/>
      <c r="AA441" s="304"/>
      <c r="AB441" s="304"/>
      <c r="AC441" s="304"/>
    </row>
    <row r="442" spans="2:29" ht="16.5" customHeight="1" thickBot="1">
      <c r="B442" s="1269"/>
      <c r="C442" s="1270"/>
      <c r="D442" s="1270"/>
      <c r="E442" s="1270"/>
      <c r="F442" s="1271"/>
      <c r="G442" s="408" t="s">
        <v>743</v>
      </c>
      <c r="H442" s="409"/>
      <c r="I442" s="377"/>
      <c r="J442" s="410"/>
      <c r="L442" s="424"/>
      <c r="M442" s="424"/>
      <c r="N442" s="424"/>
      <c r="O442" s="424"/>
      <c r="P442" s="424"/>
      <c r="Q442" s="424"/>
      <c r="R442" s="424"/>
      <c r="S442" s="424"/>
      <c r="T442" s="424"/>
      <c r="U442" s="304"/>
      <c r="V442" s="304"/>
      <c r="X442" s="280" t="s">
        <v>689</v>
      </c>
      <c r="Y442" s="362">
        <f>G460/12</f>
        <v>0</v>
      </c>
      <c r="Z442" s="304"/>
      <c r="AA442" s="304"/>
      <c r="AB442" s="304"/>
      <c r="AC442" s="304"/>
    </row>
    <row r="443" spans="2:29">
      <c r="B443" s="1229" t="s">
        <v>744</v>
      </c>
      <c r="C443" s="1273"/>
      <c r="D443" s="1273"/>
      <c r="E443" s="1273"/>
      <c r="F443" s="1273"/>
      <c r="G443" s="377" t="s">
        <v>719</v>
      </c>
      <c r="H443" s="381"/>
      <c r="I443" s="386" t="s">
        <v>719</v>
      </c>
      <c r="J443" s="382"/>
      <c r="L443" s="424"/>
      <c r="M443" s="424"/>
      <c r="N443" s="424"/>
      <c r="O443" s="424"/>
      <c r="P443" s="424"/>
      <c r="Q443" s="424"/>
      <c r="R443" s="424"/>
      <c r="S443" s="424"/>
      <c r="T443" s="424"/>
      <c r="U443" s="304"/>
      <c r="V443" s="304"/>
      <c r="X443" s="280" t="s">
        <v>691</v>
      </c>
      <c r="Y443" s="362">
        <f>(G460+I460)/24</f>
        <v>0</v>
      </c>
      <c r="Z443" s="304"/>
      <c r="AA443" s="304"/>
      <c r="AB443" s="304"/>
      <c r="AC443" s="304"/>
    </row>
    <row r="444" spans="2:29">
      <c r="B444" s="1305" t="s">
        <v>745</v>
      </c>
      <c r="C444" s="1306"/>
      <c r="D444" s="1306"/>
      <c r="E444" s="1306"/>
      <c r="F444" s="1307"/>
      <c r="G444" s="346"/>
      <c r="H444" s="359">
        <f>G444</f>
        <v>0</v>
      </c>
      <c r="I444" s="411"/>
      <c r="J444" s="400">
        <f>I444</f>
        <v>0</v>
      </c>
      <c r="L444" s="424"/>
      <c r="M444" s="424"/>
      <c r="N444" s="424"/>
      <c r="O444" s="424"/>
      <c r="P444" s="424"/>
      <c r="Q444" s="424"/>
      <c r="R444" s="424"/>
      <c r="S444" s="424"/>
      <c r="T444" s="424"/>
      <c r="U444" s="304"/>
      <c r="V444" s="304"/>
      <c r="Z444" s="304"/>
      <c r="AA444" s="304"/>
      <c r="AB444" s="304"/>
      <c r="AC444" s="304"/>
    </row>
    <row r="445" spans="2:29">
      <c r="B445" s="1308" t="s">
        <v>722</v>
      </c>
      <c r="C445" s="1309"/>
      <c r="D445" s="1309"/>
      <c r="E445" s="1309"/>
      <c r="F445" s="1309"/>
      <c r="G445" s="412"/>
      <c r="H445" s="413"/>
      <c r="I445" s="414"/>
      <c r="J445" s="415"/>
      <c r="L445" s="424"/>
      <c r="M445" s="424"/>
      <c r="N445" s="424"/>
      <c r="O445" s="424"/>
      <c r="P445" s="424"/>
      <c r="Q445" s="424"/>
      <c r="R445" s="424"/>
      <c r="S445" s="424"/>
      <c r="T445" s="424"/>
      <c r="U445" s="304"/>
      <c r="V445" s="304"/>
      <c r="Z445" s="304"/>
      <c r="AA445" s="304"/>
      <c r="AB445" s="304"/>
      <c r="AC445" s="304"/>
    </row>
    <row r="446" spans="2:29">
      <c r="B446" s="1248" t="s">
        <v>746</v>
      </c>
      <c r="C446" s="1249"/>
      <c r="D446" s="1249"/>
      <c r="E446" s="1249"/>
      <c r="F446" s="1250"/>
      <c r="G446" s="346"/>
      <c r="H446" s="387" t="str">
        <f>IF(OR(H442=0, H442&gt;100%), "Ownership %", (G446+G447))</f>
        <v>Ownership %</v>
      </c>
      <c r="I446" s="346"/>
      <c r="J446" s="388" t="str">
        <f>IF(OR(J442=0, J442&gt;100%), "Ownership %", (I446+I447))</f>
        <v>Ownership %</v>
      </c>
      <c r="L446" s="424"/>
      <c r="M446" s="424"/>
      <c r="N446" s="424"/>
      <c r="O446" s="424"/>
      <c r="P446" s="424"/>
      <c r="Q446" s="424"/>
      <c r="R446" s="424"/>
      <c r="S446" s="424"/>
      <c r="T446" s="424"/>
      <c r="U446" s="304"/>
      <c r="V446" s="304"/>
      <c r="X446" s="280" t="str">
        <f>IF(OR(Y440=0, I460=0), "12 Month Average", "24 Month Average")</f>
        <v>12 Month Average</v>
      </c>
      <c r="Z446" s="304"/>
      <c r="AA446" s="304"/>
      <c r="AB446" s="304"/>
      <c r="AC446" s="304"/>
    </row>
    <row r="447" spans="2:29">
      <c r="B447" s="1295" t="s">
        <v>747</v>
      </c>
      <c r="C447" s="1296"/>
      <c r="D447" s="1296"/>
      <c r="E447" s="1296"/>
      <c r="F447" s="1296"/>
      <c r="G447" s="346"/>
      <c r="H447" s="389"/>
      <c r="I447" s="346"/>
      <c r="J447" s="390"/>
      <c r="L447" s="424"/>
      <c r="M447" s="424"/>
      <c r="N447" s="424"/>
      <c r="O447" s="424"/>
      <c r="P447" s="424"/>
      <c r="Q447" s="424"/>
      <c r="R447" s="424"/>
      <c r="S447" s="424"/>
      <c r="T447" s="424"/>
      <c r="U447" s="304"/>
      <c r="V447" s="304"/>
      <c r="X447" s="280">
        <f xml:space="preserve"> IF(OR(Y440=0, I460=0),Y442,Y443)</f>
        <v>0</v>
      </c>
      <c r="Z447" s="304"/>
      <c r="AA447" s="304"/>
      <c r="AB447" s="304"/>
      <c r="AC447" s="304"/>
    </row>
    <row r="448" spans="2:29">
      <c r="B448" s="1297" t="s">
        <v>748</v>
      </c>
      <c r="C448" s="1298"/>
      <c r="D448" s="1298"/>
      <c r="E448" s="1298"/>
      <c r="F448" s="1298"/>
      <c r="G448" s="416"/>
      <c r="H448" s="416"/>
      <c r="I448" s="416"/>
      <c r="J448" s="417"/>
      <c r="L448" s="424"/>
      <c r="M448" s="424"/>
      <c r="N448" s="424"/>
      <c r="O448" s="424"/>
      <c r="P448" s="424"/>
      <c r="Q448" s="424"/>
      <c r="R448" s="424"/>
      <c r="S448" s="424"/>
      <c r="T448" s="424"/>
      <c r="U448" s="304"/>
      <c r="V448" s="304"/>
      <c r="Z448" s="304"/>
      <c r="AA448" s="304"/>
      <c r="AB448" s="304"/>
      <c r="AC448" s="304"/>
    </row>
    <row r="449" spans="2:41">
      <c r="B449" s="1299" t="s">
        <v>749</v>
      </c>
      <c r="C449" s="1300"/>
      <c r="D449" s="1300"/>
      <c r="E449" s="1300"/>
      <c r="F449" s="1301"/>
      <c r="G449" s="418"/>
      <c r="H449" s="419">
        <f>(G449*H442)*-1</f>
        <v>0</v>
      </c>
      <c r="I449" s="418"/>
      <c r="J449" s="420">
        <f>(I449*J442)*-1</f>
        <v>0</v>
      </c>
      <c r="L449" s="424"/>
      <c r="M449" s="424"/>
      <c r="N449" s="424"/>
      <c r="O449" s="424"/>
      <c r="P449" s="424"/>
      <c r="Q449" s="424"/>
      <c r="R449" s="424"/>
      <c r="S449" s="424"/>
      <c r="T449" s="424"/>
      <c r="U449" s="304"/>
      <c r="V449" s="304"/>
      <c r="X449" s="280" t="s">
        <v>717</v>
      </c>
      <c r="Y449" s="280" t="str">
        <f>IF(OR(H442=0, H442&gt;100%), "Ownership %", (G446+G447))</f>
        <v>Ownership %</v>
      </c>
      <c r="Z449" s="304"/>
      <c r="AA449" s="304"/>
      <c r="AB449" s="304"/>
      <c r="AC449" s="304"/>
    </row>
    <row r="450" spans="2:41">
      <c r="B450" s="1302" t="s">
        <v>750</v>
      </c>
      <c r="C450" s="1303"/>
      <c r="D450" s="1303"/>
      <c r="E450" s="1303"/>
      <c r="F450" s="1304"/>
      <c r="G450" s="418"/>
      <c r="H450" s="419">
        <f>(G450*H442)*-1</f>
        <v>0</v>
      </c>
      <c r="I450" s="418"/>
      <c r="J450" s="420">
        <f>(I450*J442)*-1</f>
        <v>0</v>
      </c>
      <c r="L450" s="424"/>
      <c r="M450" s="424"/>
      <c r="N450" s="424"/>
      <c r="O450" s="424"/>
      <c r="P450" s="424"/>
      <c r="Q450" s="424"/>
      <c r="R450" s="424"/>
      <c r="S450" s="424"/>
      <c r="T450" s="424"/>
      <c r="U450" s="304"/>
      <c r="V450" s="304"/>
      <c r="X450" s="280" t="s">
        <v>720</v>
      </c>
      <c r="Y450" s="280" t="str">
        <f>IF(OR(L453&gt;100%, L453=0), "Ownership %", I446+I447)</f>
        <v>Ownership %</v>
      </c>
      <c r="Z450" s="304"/>
      <c r="AA450" s="304"/>
      <c r="AB450" s="304"/>
      <c r="AC450" s="304"/>
    </row>
    <row r="451" spans="2:41">
      <c r="B451" s="1229" t="s">
        <v>751</v>
      </c>
      <c r="C451" s="1230"/>
      <c r="D451" s="1230"/>
      <c r="E451" s="1230"/>
      <c r="F451" s="1230"/>
      <c r="G451" s="351"/>
      <c r="H451" s="351"/>
      <c r="I451" s="351"/>
      <c r="J451" s="352"/>
      <c r="L451" s="424"/>
      <c r="M451" s="424"/>
      <c r="N451" s="424"/>
      <c r="O451" s="424"/>
      <c r="P451" s="424"/>
      <c r="Q451" s="424"/>
      <c r="R451" s="424"/>
      <c r="S451" s="424"/>
      <c r="T451" s="424"/>
      <c r="U451" s="304"/>
      <c r="V451" s="304"/>
      <c r="Z451" s="304"/>
      <c r="AA451" s="304"/>
      <c r="AB451" s="304"/>
      <c r="AC451" s="304"/>
    </row>
    <row r="452" spans="2:41">
      <c r="B452" s="1243" t="s">
        <v>752</v>
      </c>
      <c r="C452" s="1244"/>
      <c r="D452" s="1244"/>
      <c r="E452" s="1244"/>
      <c r="F452" s="1245"/>
      <c r="G452" s="346"/>
      <c r="H452" s="359">
        <f>G452*H442</f>
        <v>0</v>
      </c>
      <c r="I452" s="346"/>
      <c r="J452" s="400">
        <f>I452*J442</f>
        <v>0</v>
      </c>
      <c r="L452" s="424"/>
      <c r="M452" s="424"/>
      <c r="N452" s="424"/>
      <c r="O452" s="424"/>
      <c r="P452" s="424"/>
      <c r="Q452" s="424"/>
      <c r="R452" s="424"/>
      <c r="S452" s="424"/>
      <c r="T452" s="424"/>
      <c r="U452" s="304"/>
      <c r="V452" s="304"/>
      <c r="X452" s="349" t="s">
        <v>596</v>
      </c>
      <c r="AA452" s="304"/>
      <c r="AB452" s="304"/>
      <c r="AC452" s="304"/>
    </row>
    <row r="453" spans="2:41">
      <c r="B453" s="1223" t="s">
        <v>753</v>
      </c>
      <c r="C453" s="1224"/>
      <c r="D453" s="1224"/>
      <c r="E453" s="1224"/>
      <c r="F453" s="1225"/>
      <c r="G453" s="346"/>
      <c r="H453" s="359">
        <f>G453*H442</f>
        <v>0</v>
      </c>
      <c r="I453" s="346"/>
      <c r="J453" s="400">
        <f>I453*J442</f>
        <v>0</v>
      </c>
      <c r="L453" s="424"/>
      <c r="M453" s="424"/>
      <c r="N453" s="424"/>
      <c r="O453" s="424"/>
      <c r="P453" s="424"/>
      <c r="Q453" s="424"/>
      <c r="R453" s="424"/>
      <c r="S453" s="424"/>
      <c r="T453" s="424"/>
      <c r="U453" s="304"/>
      <c r="V453" s="304"/>
      <c r="X453" s="349" t="s">
        <v>683</v>
      </c>
      <c r="AA453" s="304"/>
      <c r="AB453" s="304"/>
      <c r="AC453" s="304"/>
    </row>
    <row r="454" spans="2:41">
      <c r="B454" s="1223" t="s">
        <v>754</v>
      </c>
      <c r="C454" s="1224"/>
      <c r="D454" s="1224"/>
      <c r="E454" s="1224"/>
      <c r="F454" s="1225"/>
      <c r="G454" s="421"/>
      <c r="H454" s="359">
        <f>G454*H442</f>
        <v>0</v>
      </c>
      <c r="I454" s="421"/>
      <c r="J454" s="400">
        <f>I454*J442</f>
        <v>0</v>
      </c>
      <c r="L454" s="424"/>
      <c r="M454" s="424"/>
      <c r="N454" s="424"/>
      <c r="O454" s="424"/>
      <c r="P454" s="424"/>
      <c r="Q454" s="424"/>
      <c r="R454" s="424"/>
      <c r="S454" s="424"/>
      <c r="T454" s="424"/>
      <c r="U454" s="304"/>
      <c r="V454" s="304"/>
      <c r="X454" s="349" t="s">
        <v>599</v>
      </c>
      <c r="AA454" s="304"/>
      <c r="AB454" s="304"/>
      <c r="AC454" s="304"/>
    </row>
    <row r="455" spans="2:41">
      <c r="B455" s="1288" t="s">
        <v>755</v>
      </c>
      <c r="C455" s="1289"/>
      <c r="D455" s="1289"/>
      <c r="E455" s="1289"/>
      <c r="F455" s="1289"/>
      <c r="G455" s="1290"/>
      <c r="H455" s="1290"/>
      <c r="I455" s="1290"/>
      <c r="J455" s="1291"/>
      <c r="L455" s="424"/>
      <c r="M455" s="424"/>
      <c r="N455" s="424"/>
      <c r="O455" s="424"/>
      <c r="P455" s="424"/>
      <c r="Q455" s="424"/>
      <c r="R455" s="424"/>
      <c r="S455" s="424"/>
      <c r="T455" s="424"/>
      <c r="U455" s="304"/>
      <c r="V455" s="304"/>
      <c r="X455" s="349" t="s">
        <v>603</v>
      </c>
      <c r="AA455" s="304"/>
      <c r="AB455" s="304"/>
      <c r="AC455" s="304"/>
    </row>
    <row r="456" spans="2:41" ht="16.5" customHeight="1">
      <c r="B456" s="1292" t="s">
        <v>756</v>
      </c>
      <c r="C456" s="1293"/>
      <c r="D456" s="1293"/>
      <c r="E456" s="1293"/>
      <c r="F456" s="1294"/>
      <c r="G456" s="422"/>
      <c r="H456" s="401">
        <f>G456*H442</f>
        <v>0</v>
      </c>
      <c r="I456" s="422"/>
      <c r="J456" s="402">
        <f>I456*J442</f>
        <v>0</v>
      </c>
      <c r="L456" s="424"/>
      <c r="M456" s="424"/>
      <c r="N456" s="424"/>
      <c r="O456" s="424"/>
      <c r="P456" s="424"/>
      <c r="Q456" s="424"/>
      <c r="R456" s="424"/>
      <c r="S456" s="424"/>
      <c r="T456" s="424"/>
      <c r="U456" s="304"/>
      <c r="V456" s="304"/>
      <c r="X456" s="349" t="s">
        <v>605</v>
      </c>
      <c r="AA456" s="304"/>
      <c r="AB456" s="304"/>
      <c r="AC456" s="304"/>
    </row>
    <row r="457" spans="2:41">
      <c r="B457" s="1229" t="s">
        <v>757</v>
      </c>
      <c r="C457" s="1230"/>
      <c r="D457" s="1230"/>
      <c r="E457" s="1230"/>
      <c r="F457" s="1230"/>
      <c r="G457" s="351"/>
      <c r="H457" s="351"/>
      <c r="I457" s="351"/>
      <c r="J457" s="352"/>
      <c r="L457" s="424"/>
      <c r="M457" s="424"/>
      <c r="N457" s="424"/>
      <c r="O457" s="424"/>
      <c r="P457" s="424"/>
      <c r="Q457" s="424"/>
      <c r="R457" s="424"/>
      <c r="S457" s="424"/>
      <c r="T457" s="424"/>
      <c r="U457" s="304"/>
      <c r="V457" s="304"/>
      <c r="Z457" s="304"/>
      <c r="AA457" s="304"/>
      <c r="AB457" s="304"/>
      <c r="AC457" s="304"/>
    </row>
    <row r="458" spans="2:41" ht="30.75" customHeight="1">
      <c r="B458" s="1231" t="s">
        <v>758</v>
      </c>
      <c r="C458" s="1232"/>
      <c r="D458" s="1232"/>
      <c r="E458" s="1232"/>
      <c r="F458" s="1233"/>
      <c r="G458" s="399"/>
      <c r="H458" s="359">
        <f>(G458*H442)*-1</f>
        <v>0</v>
      </c>
      <c r="I458" s="399"/>
      <c r="J458" s="400">
        <f>(I458*J442)*-1</f>
        <v>0</v>
      </c>
      <c r="L458" s="424"/>
      <c r="M458" s="424"/>
      <c r="N458" s="424"/>
      <c r="O458" s="424"/>
      <c r="P458" s="424"/>
      <c r="Q458" s="424"/>
      <c r="R458" s="424"/>
      <c r="S458" s="424"/>
      <c r="T458" s="424"/>
      <c r="U458" s="304"/>
      <c r="V458" s="304"/>
      <c r="Z458" s="304"/>
      <c r="AA458" s="304"/>
      <c r="AB458" s="304"/>
      <c r="AC458" s="304"/>
    </row>
    <row r="459" spans="2:41" ht="31.5" customHeight="1">
      <c r="B459" s="1234" t="s">
        <v>759</v>
      </c>
      <c r="C459" s="1235"/>
      <c r="D459" s="1235"/>
      <c r="E459" s="1235"/>
      <c r="F459" s="1236"/>
      <c r="G459" s="346"/>
      <c r="H459" s="401">
        <f>(G459*H442)*-1</f>
        <v>0</v>
      </c>
      <c r="I459" s="346"/>
      <c r="J459" s="402">
        <f>(I459*J442)*-1</f>
        <v>0</v>
      </c>
      <c r="L459" s="424"/>
      <c r="M459" s="424"/>
      <c r="N459" s="424"/>
      <c r="O459" s="424"/>
      <c r="P459" s="424"/>
      <c r="Q459" s="424"/>
      <c r="R459" s="424"/>
      <c r="S459" s="424"/>
      <c r="T459" s="424"/>
      <c r="U459" s="304"/>
      <c r="V459" s="304"/>
      <c r="Z459" s="304"/>
      <c r="AA459" s="304"/>
      <c r="AB459" s="304"/>
      <c r="AC459" s="304"/>
      <c r="AD459" s="304"/>
      <c r="AE459" s="304"/>
      <c r="AF459" s="304"/>
      <c r="AG459" s="304"/>
      <c r="AH459" s="304"/>
      <c r="AI459" s="304"/>
      <c r="AJ459" s="304"/>
      <c r="AK459" s="304"/>
      <c r="AL459" s="304"/>
      <c r="AM459" s="304"/>
      <c r="AN459" s="304"/>
      <c r="AO459" s="304"/>
    </row>
    <row r="460" spans="2:41" ht="32.25" customHeight="1">
      <c r="B460" s="1158" t="s">
        <v>740</v>
      </c>
      <c r="C460" s="1287"/>
      <c r="D460" s="1287"/>
      <c r="E460" s="1287"/>
      <c r="F460" s="1287"/>
      <c r="G460" s="1156">
        <f>SUM(H444:H459)</f>
        <v>0</v>
      </c>
      <c r="H460" s="1155"/>
      <c r="I460" s="1214">
        <f>SUM(J444:J459)</f>
        <v>0</v>
      </c>
      <c r="J460" s="1216"/>
      <c r="L460" s="424"/>
      <c r="M460" s="424"/>
      <c r="N460" s="424"/>
      <c r="O460" s="424"/>
      <c r="P460" s="424"/>
      <c r="Q460" s="424"/>
      <c r="R460" s="424"/>
      <c r="S460" s="424"/>
      <c r="T460" s="424"/>
      <c r="U460" s="304"/>
      <c r="V460" s="304"/>
      <c r="Z460" s="304"/>
      <c r="AA460" s="304"/>
      <c r="AB460" s="304"/>
      <c r="AC460" s="304"/>
      <c r="AD460" s="304"/>
      <c r="AE460" s="304"/>
      <c r="AF460" s="304"/>
      <c r="AG460" s="304"/>
      <c r="AH460" s="304"/>
      <c r="AI460" s="304"/>
      <c r="AJ460" s="304"/>
      <c r="AK460" s="304"/>
      <c r="AL460" s="304"/>
      <c r="AM460" s="304"/>
      <c r="AN460" s="304"/>
      <c r="AO460" s="304"/>
    </row>
    <row r="461" spans="2:41" ht="21">
      <c r="B461" s="1217" t="s">
        <v>760</v>
      </c>
      <c r="C461" s="1218"/>
      <c r="D461" s="1218"/>
      <c r="E461" s="1218"/>
      <c r="F461" s="1219"/>
      <c r="G461" s="1282" t="str">
        <f>IF(OR(Y440=0, I460=0), "12 Month Average", "24 Month Average")</f>
        <v>12 Month Average</v>
      </c>
      <c r="H461" s="1283"/>
      <c r="I461" s="1283"/>
      <c r="J461" s="1284"/>
      <c r="L461" s="424"/>
      <c r="M461" s="424"/>
      <c r="N461" s="424"/>
      <c r="O461" s="424"/>
      <c r="P461" s="424"/>
      <c r="Q461" s="424"/>
      <c r="R461" s="424"/>
      <c r="S461" s="424"/>
      <c r="T461" s="424"/>
      <c r="U461" s="304"/>
      <c r="V461" s="304"/>
      <c r="Z461" s="304"/>
      <c r="AA461" s="304"/>
      <c r="AB461" s="304"/>
      <c r="AC461" s="304"/>
      <c r="AD461" s="304"/>
      <c r="AE461" s="304"/>
      <c r="AF461" s="304"/>
      <c r="AG461" s="304"/>
      <c r="AH461" s="304"/>
      <c r="AI461" s="304"/>
      <c r="AJ461" s="304"/>
      <c r="AK461" s="304"/>
      <c r="AL461" s="304"/>
      <c r="AM461" s="304"/>
      <c r="AN461" s="304"/>
      <c r="AO461" s="304"/>
    </row>
    <row r="462" spans="2:41" ht="34.5" thickBot="1">
      <c r="B462" s="1220" t="s">
        <v>697</v>
      </c>
      <c r="C462" s="1221"/>
      <c r="D462" s="1221"/>
      <c r="E462" s="1221"/>
      <c r="F462" s="1222"/>
      <c r="G462" s="1167">
        <f xml:space="preserve"> IF(OR(Y440=0, I460=0),Y442,Y443)</f>
        <v>0</v>
      </c>
      <c r="H462" s="1168"/>
      <c r="I462" s="1168"/>
      <c r="J462" s="1169"/>
      <c r="N462" s="304"/>
      <c r="O462" s="304"/>
      <c r="P462" s="304"/>
      <c r="Q462" s="304"/>
      <c r="R462" s="304"/>
      <c r="S462" s="304"/>
      <c r="T462" s="304"/>
      <c r="U462" s="304"/>
      <c r="V462" s="304"/>
      <c r="Z462" s="304"/>
      <c r="AA462" s="304"/>
      <c r="AB462" s="304"/>
      <c r="AC462" s="304"/>
      <c r="AD462" s="304"/>
      <c r="AE462" s="304"/>
      <c r="AF462" s="304"/>
      <c r="AG462" s="304"/>
      <c r="AH462" s="304"/>
      <c r="AI462" s="304"/>
      <c r="AJ462" s="304"/>
      <c r="AK462" s="304"/>
      <c r="AL462" s="304"/>
      <c r="AM462" s="304"/>
      <c r="AN462" s="304"/>
      <c r="AO462" s="304"/>
    </row>
    <row r="463" spans="2:41" s="304" customFormat="1" ht="3" customHeight="1" thickBot="1">
      <c r="B463" s="78"/>
      <c r="C463" s="78"/>
      <c r="D463" s="78"/>
      <c r="E463" s="78"/>
      <c r="F463" s="78"/>
      <c r="G463" s="78"/>
      <c r="H463" s="330"/>
      <c r="I463" s="330"/>
      <c r="J463" s="78"/>
      <c r="W463" s="280"/>
      <c r="X463" s="280"/>
      <c r="Y463" s="280"/>
    </row>
    <row r="464" spans="2:41" s="304" customFormat="1" ht="135" customHeight="1" thickBot="1">
      <c r="B464" s="1148" t="s">
        <v>761</v>
      </c>
      <c r="C464" s="1285"/>
      <c r="D464" s="1285"/>
      <c r="E464" s="1285"/>
      <c r="F464" s="1285"/>
      <c r="G464" s="1285"/>
      <c r="H464" s="1285"/>
      <c r="I464" s="1285"/>
      <c r="J464" s="1286"/>
      <c r="W464" s="280"/>
      <c r="X464" s="280"/>
      <c r="Y464" s="280"/>
    </row>
    <row r="465" spans="2:29" s="280" customFormat="1">
      <c r="B465" s="423"/>
      <c r="C465" s="423"/>
      <c r="D465" s="423"/>
      <c r="E465" s="423"/>
      <c r="F465" s="423"/>
      <c r="G465" s="423"/>
      <c r="H465" s="423"/>
      <c r="I465" s="423"/>
      <c r="J465" s="423"/>
    </row>
    <row r="466" spans="2:29" ht="13.5" customHeight="1" thickBot="1"/>
    <row r="467" spans="2:29" s="404" customFormat="1" ht="69" customHeight="1">
      <c r="B467" s="1187" t="s">
        <v>741</v>
      </c>
      <c r="C467" s="1188"/>
      <c r="D467" s="1188"/>
      <c r="E467" s="1188"/>
      <c r="F467" s="1188"/>
      <c r="G467" s="1188"/>
      <c r="H467" s="1188"/>
      <c r="I467" s="1188"/>
      <c r="J467" s="331" t="str">
        <f>'[3]Reference Sheet'!$B$2</f>
        <v>Rev. 4.12.2016</v>
      </c>
      <c r="L467" s="424"/>
      <c r="M467" s="424"/>
      <c r="N467" s="424"/>
      <c r="O467" s="424"/>
      <c r="P467" s="424"/>
      <c r="Q467" s="424"/>
      <c r="R467" s="424"/>
      <c r="S467" s="424"/>
      <c r="T467" s="424"/>
      <c r="U467" s="367"/>
      <c r="V467" s="367"/>
      <c r="W467" s="405"/>
      <c r="X467" s="405"/>
      <c r="Y467" s="405"/>
      <c r="Z467" s="367"/>
      <c r="AA467" s="367"/>
      <c r="AB467" s="367"/>
      <c r="AC467" s="367"/>
    </row>
    <row r="468" spans="2:29" s="404" customFormat="1" ht="16.5" customHeight="1" thickBot="1">
      <c r="B468" s="332"/>
      <c r="C468" s="368" t="s">
        <v>710</v>
      </c>
      <c r="D468" s="1310"/>
      <c r="E468" s="1311"/>
      <c r="F468" s="1311"/>
      <c r="G468" s="1311"/>
      <c r="H468" s="333"/>
      <c r="I468" s="333"/>
      <c r="J468" s="334"/>
      <c r="L468" s="424"/>
      <c r="M468" s="424"/>
      <c r="N468" s="424"/>
      <c r="O468" s="424"/>
      <c r="P468" s="424"/>
      <c r="Q468" s="424"/>
      <c r="R468" s="424"/>
      <c r="S468" s="424"/>
      <c r="T468" s="424"/>
      <c r="U468" s="367"/>
      <c r="V468" s="367"/>
      <c r="W468" s="280"/>
      <c r="X468" s="280"/>
      <c r="Y468" s="280"/>
      <c r="Z468" s="304"/>
      <c r="AA468" s="304"/>
      <c r="AB468" s="367"/>
      <c r="AC468" s="367"/>
    </row>
    <row r="469" spans="2:29" s="404" customFormat="1" ht="15" customHeight="1" thickBot="1">
      <c r="B469" s="332"/>
      <c r="C469" s="368" t="s">
        <v>711</v>
      </c>
      <c r="D469" s="1312"/>
      <c r="E469" s="1313"/>
      <c r="F469" s="1313"/>
      <c r="G469" s="1313"/>
      <c r="H469" s="368" t="s">
        <v>712</v>
      </c>
      <c r="I469" s="1310"/>
      <c r="J469" s="1314"/>
      <c r="L469" s="424"/>
      <c r="M469" s="424"/>
      <c r="N469" s="424"/>
      <c r="O469" s="424"/>
      <c r="P469" s="424"/>
      <c r="Q469" s="424"/>
      <c r="R469" s="424"/>
      <c r="S469" s="424"/>
      <c r="T469" s="424"/>
      <c r="U469" s="367"/>
      <c r="V469" s="367"/>
      <c r="W469" s="280"/>
      <c r="X469" s="280" t="s">
        <v>680</v>
      </c>
      <c r="Y469" s="280">
        <f>IF(AND(J473=0, J475=0, J483=0, J484=0, J487=0, J489=0, I491=0), 0, 1)</f>
        <v>0</v>
      </c>
      <c r="Z469" s="304"/>
      <c r="AA469" s="304"/>
      <c r="AB469" s="367"/>
      <c r="AC469" s="367"/>
    </row>
    <row r="470" spans="2:29" ht="16.5" thickBot="1">
      <c r="B470" s="1176" t="s">
        <v>671</v>
      </c>
      <c r="C470" s="1177"/>
      <c r="D470" s="1315"/>
      <c r="E470" s="1316"/>
      <c r="F470" s="1316"/>
      <c r="G470" s="1316"/>
      <c r="H470" s="336" t="s">
        <v>673</v>
      </c>
      <c r="I470" s="1315"/>
      <c r="J470" s="1317"/>
      <c r="L470" s="424"/>
      <c r="M470" s="424"/>
      <c r="N470" s="424"/>
      <c r="O470" s="424"/>
      <c r="P470" s="424"/>
      <c r="Q470" s="424"/>
      <c r="R470" s="424"/>
      <c r="S470" s="424"/>
      <c r="T470" s="424"/>
      <c r="U470" s="304"/>
      <c r="V470" s="304"/>
      <c r="X470" s="280" t="s">
        <v>682</v>
      </c>
      <c r="Y470" s="280">
        <f>IF(AND(G491&lt;=I491, I491&lt;&gt;0), 0, 1)</f>
        <v>1</v>
      </c>
      <c r="Z470" s="304"/>
      <c r="AA470" s="304"/>
      <c r="AB470" s="304"/>
      <c r="AC470" s="304"/>
    </row>
    <row r="471" spans="2:29" ht="16.5" customHeight="1" thickBot="1">
      <c r="B471" s="1176" t="s">
        <v>674</v>
      </c>
      <c r="C471" s="1177"/>
      <c r="D471" s="1262"/>
      <c r="E471" s="1263"/>
      <c r="F471" s="1263"/>
      <c r="G471" s="1263"/>
      <c r="H471" s="1263"/>
      <c r="I471" s="1263"/>
      <c r="J471" s="1264"/>
      <c r="L471" s="424"/>
      <c r="M471" s="424"/>
      <c r="N471" s="424"/>
      <c r="O471" s="424"/>
      <c r="P471" s="424"/>
      <c r="Q471" s="424"/>
      <c r="R471" s="424"/>
      <c r="S471" s="424"/>
      <c r="T471" s="424"/>
      <c r="U471" s="304"/>
      <c r="V471" s="304"/>
      <c r="X471" s="280" t="s">
        <v>685</v>
      </c>
      <c r="Y471" s="280">
        <f>IF(AND(Y470=0, Y469=1), 0, 1)</f>
        <v>1</v>
      </c>
      <c r="Z471" s="304"/>
      <c r="AA471" s="304"/>
      <c r="AB471" s="304"/>
      <c r="AC471" s="304"/>
    </row>
    <row r="472" spans="2:29" ht="16.5" customHeight="1">
      <c r="B472" s="1265"/>
      <c r="C472" s="1266"/>
      <c r="D472" s="1266"/>
      <c r="E472" s="1266"/>
      <c r="F472" s="1267"/>
      <c r="G472" s="406" t="s">
        <v>713</v>
      </c>
      <c r="H472" s="372" t="s">
        <v>676</v>
      </c>
      <c r="I472" s="377"/>
      <c r="J472" s="407" t="s">
        <v>677</v>
      </c>
      <c r="L472" s="424"/>
      <c r="M472" s="424"/>
      <c r="N472" s="424"/>
      <c r="O472" s="424"/>
      <c r="P472" s="424"/>
      <c r="Q472" s="424"/>
      <c r="R472" s="424"/>
      <c r="S472" s="424"/>
      <c r="T472" s="424"/>
      <c r="U472" s="304"/>
      <c r="V472" s="304"/>
      <c r="Z472" s="304"/>
      <c r="AA472" s="304"/>
      <c r="AB472" s="304"/>
      <c r="AC472" s="304"/>
    </row>
    <row r="473" spans="2:29" ht="16.5" customHeight="1" thickBot="1">
      <c r="B473" s="1269"/>
      <c r="C473" s="1270"/>
      <c r="D473" s="1270"/>
      <c r="E473" s="1270"/>
      <c r="F473" s="1271"/>
      <c r="G473" s="408" t="s">
        <v>743</v>
      </c>
      <c r="H473" s="409"/>
      <c r="I473" s="377"/>
      <c r="J473" s="410"/>
      <c r="L473" s="424"/>
      <c r="M473" s="424"/>
      <c r="N473" s="424"/>
      <c r="O473" s="424"/>
      <c r="P473" s="424"/>
      <c r="Q473" s="424"/>
      <c r="R473" s="424"/>
      <c r="S473" s="424"/>
      <c r="T473" s="424"/>
      <c r="U473" s="304"/>
      <c r="V473" s="304"/>
      <c r="X473" s="280" t="s">
        <v>689</v>
      </c>
      <c r="Y473" s="362">
        <f>G491/12</f>
        <v>0</v>
      </c>
      <c r="Z473" s="304"/>
      <c r="AA473" s="304"/>
      <c r="AB473" s="304"/>
      <c r="AC473" s="304"/>
    </row>
    <row r="474" spans="2:29">
      <c r="B474" s="1229" t="s">
        <v>744</v>
      </c>
      <c r="C474" s="1273"/>
      <c r="D474" s="1273"/>
      <c r="E474" s="1273"/>
      <c r="F474" s="1273"/>
      <c r="G474" s="377" t="s">
        <v>719</v>
      </c>
      <c r="H474" s="381"/>
      <c r="I474" s="386" t="s">
        <v>719</v>
      </c>
      <c r="J474" s="382"/>
      <c r="L474" s="424"/>
      <c r="M474" s="424"/>
      <c r="N474" s="424"/>
      <c r="O474" s="424"/>
      <c r="P474" s="424"/>
      <c r="Q474" s="424"/>
      <c r="R474" s="424"/>
      <c r="S474" s="424"/>
      <c r="T474" s="424"/>
      <c r="U474" s="304"/>
      <c r="V474" s="304"/>
      <c r="X474" s="280" t="s">
        <v>691</v>
      </c>
      <c r="Y474" s="362">
        <f>(G491+I491)/24</f>
        <v>0</v>
      </c>
      <c r="Z474" s="304"/>
      <c r="AA474" s="304"/>
      <c r="AB474" s="304"/>
      <c r="AC474" s="304"/>
    </row>
    <row r="475" spans="2:29">
      <c r="B475" s="1305" t="s">
        <v>745</v>
      </c>
      <c r="C475" s="1306"/>
      <c r="D475" s="1306"/>
      <c r="E475" s="1306"/>
      <c r="F475" s="1307"/>
      <c r="G475" s="346"/>
      <c r="H475" s="359">
        <f>G475</f>
        <v>0</v>
      </c>
      <c r="I475" s="411"/>
      <c r="J475" s="400">
        <f>I475</f>
        <v>0</v>
      </c>
      <c r="L475" s="424"/>
      <c r="M475" s="424"/>
      <c r="N475" s="424"/>
      <c r="O475" s="424"/>
      <c r="P475" s="424"/>
      <c r="Q475" s="424"/>
      <c r="R475" s="424"/>
      <c r="S475" s="424"/>
      <c r="T475" s="424"/>
      <c r="U475" s="304"/>
      <c r="V475" s="304"/>
      <c r="Z475" s="304"/>
      <c r="AA475" s="304"/>
      <c r="AB475" s="304"/>
      <c r="AC475" s="304"/>
    </row>
    <row r="476" spans="2:29">
      <c r="B476" s="1308" t="s">
        <v>722</v>
      </c>
      <c r="C476" s="1309"/>
      <c r="D476" s="1309"/>
      <c r="E476" s="1309"/>
      <c r="F476" s="1309"/>
      <c r="G476" s="412"/>
      <c r="H476" s="413"/>
      <c r="I476" s="414"/>
      <c r="J476" s="415"/>
      <c r="L476" s="424"/>
      <c r="M476" s="424"/>
      <c r="N476" s="424"/>
      <c r="O476" s="424"/>
      <c r="P476" s="424"/>
      <c r="Q476" s="424"/>
      <c r="R476" s="424"/>
      <c r="S476" s="424"/>
      <c r="T476" s="424"/>
      <c r="U476" s="304"/>
      <c r="V476" s="304"/>
      <c r="Z476" s="304"/>
      <c r="AA476" s="304"/>
      <c r="AB476" s="304"/>
      <c r="AC476" s="304"/>
    </row>
    <row r="477" spans="2:29">
      <c r="B477" s="1248" t="s">
        <v>746</v>
      </c>
      <c r="C477" s="1249"/>
      <c r="D477" s="1249"/>
      <c r="E477" s="1249"/>
      <c r="F477" s="1250"/>
      <c r="G477" s="346"/>
      <c r="H477" s="387" t="str">
        <f>IF(OR(H473=0, H473&gt;100%), "Ownership %", (G477+G478))</f>
        <v>Ownership %</v>
      </c>
      <c r="I477" s="346"/>
      <c r="J477" s="388" t="str">
        <f>IF(OR(J473=0, J473&gt;100%), "Ownership %", (I477+I478))</f>
        <v>Ownership %</v>
      </c>
      <c r="L477" s="424"/>
      <c r="M477" s="424"/>
      <c r="N477" s="424"/>
      <c r="O477" s="424"/>
      <c r="P477" s="424"/>
      <c r="Q477" s="424"/>
      <c r="R477" s="424"/>
      <c r="S477" s="424"/>
      <c r="T477" s="424"/>
      <c r="U477" s="304"/>
      <c r="V477" s="304"/>
      <c r="X477" s="280" t="str">
        <f>IF(OR(Y471=0, I491=0), "12 Month Average", "24 Month Average")</f>
        <v>12 Month Average</v>
      </c>
      <c r="Z477" s="304"/>
      <c r="AA477" s="304"/>
      <c r="AB477" s="304"/>
      <c r="AC477" s="304"/>
    </row>
    <row r="478" spans="2:29">
      <c r="B478" s="1295" t="s">
        <v>747</v>
      </c>
      <c r="C478" s="1296"/>
      <c r="D478" s="1296"/>
      <c r="E478" s="1296"/>
      <c r="F478" s="1296"/>
      <c r="G478" s="346"/>
      <c r="H478" s="389"/>
      <c r="I478" s="346"/>
      <c r="J478" s="390"/>
      <c r="L478" s="424"/>
      <c r="M478" s="424"/>
      <c r="N478" s="424"/>
      <c r="O478" s="424"/>
      <c r="P478" s="424"/>
      <c r="Q478" s="424"/>
      <c r="R478" s="424"/>
      <c r="S478" s="424"/>
      <c r="T478" s="424"/>
      <c r="U478" s="304"/>
      <c r="V478" s="304"/>
      <c r="X478" s="280">
        <f xml:space="preserve"> IF(OR(Y471=0, I491=0),Y473,Y474)</f>
        <v>0</v>
      </c>
      <c r="Z478" s="304"/>
      <c r="AA478" s="304"/>
      <c r="AB478" s="304"/>
      <c r="AC478" s="304"/>
    </row>
    <row r="479" spans="2:29">
      <c r="B479" s="1297" t="s">
        <v>748</v>
      </c>
      <c r="C479" s="1298"/>
      <c r="D479" s="1298"/>
      <c r="E479" s="1298"/>
      <c r="F479" s="1298"/>
      <c r="G479" s="416"/>
      <c r="H479" s="416"/>
      <c r="I479" s="416"/>
      <c r="J479" s="417"/>
      <c r="L479" s="424"/>
      <c r="M479" s="424"/>
      <c r="N479" s="424"/>
      <c r="O479" s="424"/>
      <c r="P479" s="424"/>
      <c r="Q479" s="424"/>
      <c r="R479" s="424"/>
      <c r="S479" s="424"/>
      <c r="T479" s="424"/>
      <c r="U479" s="304"/>
      <c r="V479" s="304"/>
      <c r="Z479" s="304"/>
      <c r="AA479" s="304"/>
      <c r="AB479" s="304"/>
      <c r="AC479" s="304"/>
    </row>
    <row r="480" spans="2:29">
      <c r="B480" s="1299" t="s">
        <v>749</v>
      </c>
      <c r="C480" s="1300"/>
      <c r="D480" s="1300"/>
      <c r="E480" s="1300"/>
      <c r="F480" s="1301"/>
      <c r="G480" s="418"/>
      <c r="H480" s="419">
        <f>(G480*H473)*-1</f>
        <v>0</v>
      </c>
      <c r="I480" s="418"/>
      <c r="J480" s="420">
        <f>(I480*J473)*-1</f>
        <v>0</v>
      </c>
      <c r="L480" s="424"/>
      <c r="M480" s="424"/>
      <c r="N480" s="424"/>
      <c r="O480" s="424"/>
      <c r="P480" s="424"/>
      <c r="Q480" s="424"/>
      <c r="R480" s="424"/>
      <c r="S480" s="424"/>
      <c r="T480" s="424"/>
      <c r="U480" s="304"/>
      <c r="V480" s="304"/>
      <c r="X480" s="280" t="s">
        <v>717</v>
      </c>
      <c r="Y480" s="280" t="str">
        <f>IF(OR(H473=0, H473&gt;100%), "Ownership %", (G477+G478))</f>
        <v>Ownership %</v>
      </c>
      <c r="Z480" s="304"/>
      <c r="AA480" s="304"/>
      <c r="AB480" s="304"/>
      <c r="AC480" s="304"/>
    </row>
    <row r="481" spans="2:41">
      <c r="B481" s="1302" t="s">
        <v>750</v>
      </c>
      <c r="C481" s="1303"/>
      <c r="D481" s="1303"/>
      <c r="E481" s="1303"/>
      <c r="F481" s="1304"/>
      <c r="G481" s="418"/>
      <c r="H481" s="419">
        <f>(G481*H473)*-1</f>
        <v>0</v>
      </c>
      <c r="I481" s="418"/>
      <c r="J481" s="420">
        <f>(I481*J473)*-1</f>
        <v>0</v>
      </c>
      <c r="L481" s="424"/>
      <c r="M481" s="424"/>
      <c r="N481" s="424"/>
      <c r="O481" s="424"/>
      <c r="P481" s="424"/>
      <c r="Q481" s="424"/>
      <c r="R481" s="424"/>
      <c r="S481" s="424"/>
      <c r="T481" s="424"/>
      <c r="U481" s="304"/>
      <c r="V481" s="304"/>
      <c r="X481" s="280" t="s">
        <v>720</v>
      </c>
      <c r="Y481" s="280" t="str">
        <f>IF(OR(L484&gt;100%, L484=0), "Ownership %", I477+I478)</f>
        <v>Ownership %</v>
      </c>
      <c r="Z481" s="304"/>
      <c r="AA481" s="304"/>
      <c r="AB481" s="304"/>
      <c r="AC481" s="304"/>
    </row>
    <row r="482" spans="2:41">
      <c r="B482" s="1229" t="s">
        <v>751</v>
      </c>
      <c r="C482" s="1230"/>
      <c r="D482" s="1230"/>
      <c r="E482" s="1230"/>
      <c r="F482" s="1230"/>
      <c r="G482" s="351"/>
      <c r="H482" s="351"/>
      <c r="I482" s="351"/>
      <c r="J482" s="352"/>
      <c r="L482" s="424"/>
      <c r="M482" s="424"/>
      <c r="N482" s="424"/>
      <c r="O482" s="424"/>
      <c r="P482" s="424"/>
      <c r="Q482" s="424"/>
      <c r="R482" s="424"/>
      <c r="S482" s="424"/>
      <c r="T482" s="424"/>
      <c r="U482" s="304"/>
      <c r="V482" s="304"/>
      <c r="Z482" s="304"/>
      <c r="AA482" s="304"/>
      <c r="AB482" s="304"/>
      <c r="AC482" s="304"/>
    </row>
    <row r="483" spans="2:41">
      <c r="B483" s="1243" t="s">
        <v>752</v>
      </c>
      <c r="C483" s="1244"/>
      <c r="D483" s="1244"/>
      <c r="E483" s="1244"/>
      <c r="F483" s="1245"/>
      <c r="G483" s="346"/>
      <c r="H483" s="359">
        <f>G483*H473</f>
        <v>0</v>
      </c>
      <c r="I483" s="346"/>
      <c r="J483" s="400">
        <f>I483*J473</f>
        <v>0</v>
      </c>
      <c r="L483" s="424"/>
      <c r="M483" s="424"/>
      <c r="N483" s="424"/>
      <c r="O483" s="424"/>
      <c r="P483" s="424"/>
      <c r="Q483" s="424"/>
      <c r="R483" s="424"/>
      <c r="S483" s="424"/>
      <c r="T483" s="424"/>
      <c r="U483" s="304"/>
      <c r="V483" s="304"/>
      <c r="X483" s="349" t="s">
        <v>596</v>
      </c>
      <c r="AA483" s="304"/>
      <c r="AB483" s="304"/>
      <c r="AC483" s="304"/>
    </row>
    <row r="484" spans="2:41">
      <c r="B484" s="1223" t="s">
        <v>753</v>
      </c>
      <c r="C484" s="1224"/>
      <c r="D484" s="1224"/>
      <c r="E484" s="1224"/>
      <c r="F484" s="1225"/>
      <c r="G484" s="346"/>
      <c r="H484" s="359">
        <f>G484*H473</f>
        <v>0</v>
      </c>
      <c r="I484" s="346"/>
      <c r="J484" s="400">
        <f>I484*J473</f>
        <v>0</v>
      </c>
      <c r="L484" s="424"/>
      <c r="M484" s="424"/>
      <c r="N484" s="424"/>
      <c r="O484" s="424"/>
      <c r="P484" s="424"/>
      <c r="Q484" s="424"/>
      <c r="R484" s="424"/>
      <c r="S484" s="424"/>
      <c r="T484" s="424"/>
      <c r="U484" s="304"/>
      <c r="V484" s="304"/>
      <c r="X484" s="349" t="s">
        <v>683</v>
      </c>
      <c r="AA484" s="304"/>
      <c r="AB484" s="304"/>
      <c r="AC484" s="304"/>
    </row>
    <row r="485" spans="2:41">
      <c r="B485" s="1223" t="s">
        <v>754</v>
      </c>
      <c r="C485" s="1224"/>
      <c r="D485" s="1224"/>
      <c r="E485" s="1224"/>
      <c r="F485" s="1225"/>
      <c r="G485" s="421"/>
      <c r="H485" s="359">
        <f>G485*H473</f>
        <v>0</v>
      </c>
      <c r="I485" s="421"/>
      <c r="J485" s="400">
        <f>I485*J473</f>
        <v>0</v>
      </c>
      <c r="L485" s="424"/>
      <c r="M485" s="424"/>
      <c r="N485" s="424"/>
      <c r="O485" s="424"/>
      <c r="P485" s="424"/>
      <c r="Q485" s="424"/>
      <c r="R485" s="424"/>
      <c r="S485" s="424"/>
      <c r="T485" s="424"/>
      <c r="U485" s="304"/>
      <c r="V485" s="304"/>
      <c r="X485" s="349" t="s">
        <v>599</v>
      </c>
      <c r="AA485" s="304"/>
      <c r="AB485" s="304"/>
      <c r="AC485" s="304"/>
    </row>
    <row r="486" spans="2:41">
      <c r="B486" s="1288" t="s">
        <v>755</v>
      </c>
      <c r="C486" s="1289"/>
      <c r="D486" s="1289"/>
      <c r="E486" s="1289"/>
      <c r="F486" s="1289"/>
      <c r="G486" s="1290"/>
      <c r="H486" s="1290"/>
      <c r="I486" s="1290"/>
      <c r="J486" s="1291"/>
      <c r="L486" s="424"/>
      <c r="M486" s="424"/>
      <c r="N486" s="424"/>
      <c r="O486" s="424"/>
      <c r="P486" s="424"/>
      <c r="Q486" s="424"/>
      <c r="R486" s="424"/>
      <c r="S486" s="424"/>
      <c r="T486" s="424"/>
      <c r="U486" s="304"/>
      <c r="V486" s="304"/>
      <c r="X486" s="349" t="s">
        <v>603</v>
      </c>
      <c r="AA486" s="304"/>
      <c r="AB486" s="304"/>
      <c r="AC486" s="304"/>
    </row>
    <row r="487" spans="2:41" ht="16.5" customHeight="1">
      <c r="B487" s="1292" t="s">
        <v>756</v>
      </c>
      <c r="C487" s="1293"/>
      <c r="D487" s="1293"/>
      <c r="E487" s="1293"/>
      <c r="F487" s="1294"/>
      <c r="G487" s="422"/>
      <c r="H487" s="401">
        <f>G487*H473</f>
        <v>0</v>
      </c>
      <c r="I487" s="422"/>
      <c r="J487" s="402">
        <f>I487*J473</f>
        <v>0</v>
      </c>
      <c r="L487" s="424"/>
      <c r="M487" s="424"/>
      <c r="N487" s="424"/>
      <c r="O487" s="424"/>
      <c r="P487" s="424"/>
      <c r="Q487" s="424"/>
      <c r="R487" s="424"/>
      <c r="S487" s="424"/>
      <c r="T487" s="424"/>
      <c r="U487" s="304"/>
      <c r="V487" s="304"/>
      <c r="X487" s="349" t="s">
        <v>605</v>
      </c>
      <c r="AA487" s="304"/>
      <c r="AB487" s="304"/>
      <c r="AC487" s="304"/>
    </row>
    <row r="488" spans="2:41">
      <c r="B488" s="1229" t="s">
        <v>757</v>
      </c>
      <c r="C488" s="1230"/>
      <c r="D488" s="1230"/>
      <c r="E488" s="1230"/>
      <c r="F488" s="1230"/>
      <c r="G488" s="351"/>
      <c r="H488" s="351"/>
      <c r="I488" s="351"/>
      <c r="J488" s="352"/>
      <c r="L488" s="424"/>
      <c r="M488" s="424"/>
      <c r="N488" s="424"/>
      <c r="O488" s="424"/>
      <c r="P488" s="424"/>
      <c r="Q488" s="424"/>
      <c r="R488" s="424"/>
      <c r="S488" s="424"/>
      <c r="T488" s="424"/>
      <c r="U488" s="304"/>
      <c r="V488" s="304"/>
      <c r="Z488" s="304"/>
      <c r="AA488" s="304"/>
      <c r="AB488" s="304"/>
      <c r="AC488" s="304"/>
    </row>
    <row r="489" spans="2:41" ht="30.75" customHeight="1">
      <c r="B489" s="1231" t="s">
        <v>758</v>
      </c>
      <c r="C489" s="1232"/>
      <c r="D489" s="1232"/>
      <c r="E489" s="1232"/>
      <c r="F489" s="1233"/>
      <c r="G489" s="399"/>
      <c r="H489" s="359">
        <f>(G489*H473)*-1</f>
        <v>0</v>
      </c>
      <c r="I489" s="399"/>
      <c r="J489" s="400">
        <f>(I489*J473)*-1</f>
        <v>0</v>
      </c>
      <c r="L489" s="424"/>
      <c r="M489" s="424"/>
      <c r="N489" s="424"/>
      <c r="O489" s="424"/>
      <c r="P489" s="424"/>
      <c r="Q489" s="424"/>
      <c r="R489" s="424"/>
      <c r="S489" s="424"/>
      <c r="T489" s="424"/>
      <c r="U489" s="304"/>
      <c r="V489" s="304"/>
      <c r="Z489" s="304"/>
      <c r="AA489" s="304"/>
      <c r="AB489" s="304"/>
      <c r="AC489" s="304"/>
    </row>
    <row r="490" spans="2:41" ht="31.5" customHeight="1">
      <c r="B490" s="1234" t="s">
        <v>759</v>
      </c>
      <c r="C490" s="1235"/>
      <c r="D490" s="1235"/>
      <c r="E490" s="1235"/>
      <c r="F490" s="1236"/>
      <c r="G490" s="346"/>
      <c r="H490" s="401">
        <f>(G490*H473)*-1</f>
        <v>0</v>
      </c>
      <c r="I490" s="346"/>
      <c r="J490" s="402">
        <f>(I490*J473)*-1</f>
        <v>0</v>
      </c>
      <c r="L490" s="424"/>
      <c r="M490" s="424"/>
      <c r="N490" s="424"/>
      <c r="O490" s="424"/>
      <c r="P490" s="424"/>
      <c r="Q490" s="424"/>
      <c r="R490" s="424"/>
      <c r="S490" s="424"/>
      <c r="T490" s="424"/>
      <c r="U490" s="304"/>
      <c r="V490" s="304"/>
      <c r="Z490" s="304"/>
      <c r="AA490" s="304"/>
      <c r="AB490" s="304"/>
      <c r="AC490" s="304"/>
      <c r="AD490" s="304"/>
      <c r="AE490" s="304"/>
      <c r="AF490" s="304"/>
      <c r="AG490" s="304"/>
      <c r="AH490" s="304"/>
      <c r="AI490" s="304"/>
      <c r="AJ490" s="304"/>
      <c r="AK490" s="304"/>
      <c r="AL490" s="304"/>
      <c r="AM490" s="304"/>
      <c r="AN490" s="304"/>
      <c r="AO490" s="304"/>
    </row>
    <row r="491" spans="2:41" ht="32.25" customHeight="1">
      <c r="B491" s="1158" t="s">
        <v>740</v>
      </c>
      <c r="C491" s="1287"/>
      <c r="D491" s="1287"/>
      <c r="E491" s="1287"/>
      <c r="F491" s="1287"/>
      <c r="G491" s="1156">
        <f>SUM(H475:H490)</f>
        <v>0</v>
      </c>
      <c r="H491" s="1155"/>
      <c r="I491" s="1214">
        <f>SUM(J475:J490)</f>
        <v>0</v>
      </c>
      <c r="J491" s="1216"/>
      <c r="L491" s="424"/>
      <c r="M491" s="424"/>
      <c r="N491" s="424"/>
      <c r="O491" s="424"/>
      <c r="P491" s="424"/>
      <c r="Q491" s="424"/>
      <c r="R491" s="424"/>
      <c r="S491" s="424"/>
      <c r="T491" s="424"/>
      <c r="U491" s="304"/>
      <c r="V491" s="304"/>
      <c r="Z491" s="304"/>
      <c r="AA491" s="304"/>
      <c r="AB491" s="304"/>
      <c r="AC491" s="304"/>
      <c r="AD491" s="304"/>
      <c r="AE491" s="304"/>
      <c r="AF491" s="304"/>
      <c r="AG491" s="304"/>
      <c r="AH491" s="304"/>
      <c r="AI491" s="304"/>
      <c r="AJ491" s="304"/>
      <c r="AK491" s="304"/>
      <c r="AL491" s="304"/>
      <c r="AM491" s="304"/>
      <c r="AN491" s="304"/>
      <c r="AO491" s="304"/>
    </row>
    <row r="492" spans="2:41" ht="21">
      <c r="B492" s="1217" t="s">
        <v>760</v>
      </c>
      <c r="C492" s="1218"/>
      <c r="D492" s="1218"/>
      <c r="E492" s="1218"/>
      <c r="F492" s="1219"/>
      <c r="G492" s="1282" t="str">
        <f>IF(OR(Y471=0, I491=0), "12 Month Average", "24 Month Average")</f>
        <v>12 Month Average</v>
      </c>
      <c r="H492" s="1283"/>
      <c r="I492" s="1283"/>
      <c r="J492" s="1284"/>
      <c r="L492" s="424"/>
      <c r="M492" s="424"/>
      <c r="N492" s="424"/>
      <c r="O492" s="424"/>
      <c r="P492" s="424"/>
      <c r="Q492" s="424"/>
      <c r="R492" s="424"/>
      <c r="S492" s="424"/>
      <c r="T492" s="424"/>
      <c r="U492" s="304"/>
      <c r="V492" s="304"/>
      <c r="Z492" s="304"/>
      <c r="AA492" s="304"/>
      <c r="AB492" s="304"/>
      <c r="AC492" s="304"/>
      <c r="AD492" s="304"/>
      <c r="AE492" s="304"/>
      <c r="AF492" s="304"/>
      <c r="AG492" s="304"/>
      <c r="AH492" s="304"/>
      <c r="AI492" s="304"/>
      <c r="AJ492" s="304"/>
      <c r="AK492" s="304"/>
      <c r="AL492" s="304"/>
      <c r="AM492" s="304"/>
      <c r="AN492" s="304"/>
      <c r="AO492" s="304"/>
    </row>
    <row r="493" spans="2:41" ht="34.5" thickBot="1">
      <c r="B493" s="1220" t="s">
        <v>697</v>
      </c>
      <c r="C493" s="1221"/>
      <c r="D493" s="1221"/>
      <c r="E493" s="1221"/>
      <c r="F493" s="1222"/>
      <c r="G493" s="1167">
        <f xml:space="preserve"> IF(OR(Y471=0, I491=0),Y473,Y474)</f>
        <v>0</v>
      </c>
      <c r="H493" s="1168"/>
      <c r="I493" s="1168"/>
      <c r="J493" s="1169"/>
      <c r="N493" s="304"/>
      <c r="O493" s="304"/>
      <c r="P493" s="304"/>
      <c r="Q493" s="304"/>
      <c r="R493" s="304"/>
      <c r="S493" s="304"/>
      <c r="T493" s="304"/>
      <c r="U493" s="304"/>
      <c r="V493" s="304"/>
      <c r="Z493" s="304"/>
      <c r="AA493" s="304"/>
      <c r="AB493" s="304"/>
      <c r="AC493" s="304"/>
      <c r="AD493" s="304"/>
      <c r="AE493" s="304"/>
      <c r="AF493" s="304"/>
      <c r="AG493" s="304"/>
      <c r="AH493" s="304"/>
      <c r="AI493" s="304"/>
      <c r="AJ493" s="304"/>
      <c r="AK493" s="304"/>
      <c r="AL493" s="304"/>
      <c r="AM493" s="304"/>
      <c r="AN493" s="304"/>
      <c r="AO493" s="304"/>
    </row>
    <row r="494" spans="2:41" s="304" customFormat="1" ht="3" customHeight="1" thickBot="1">
      <c r="B494" s="78"/>
      <c r="C494" s="78"/>
      <c r="D494" s="78"/>
      <c r="E494" s="78"/>
      <c r="F494" s="78"/>
      <c r="G494" s="78"/>
      <c r="H494" s="330"/>
      <c r="I494" s="330"/>
      <c r="J494" s="78"/>
      <c r="W494" s="280"/>
      <c r="X494" s="280"/>
      <c r="Y494" s="280"/>
    </row>
    <row r="495" spans="2:41" s="304" customFormat="1" ht="135" customHeight="1" thickBot="1">
      <c r="B495" s="1148" t="s">
        <v>761</v>
      </c>
      <c r="C495" s="1285"/>
      <c r="D495" s="1285"/>
      <c r="E495" s="1285"/>
      <c r="F495" s="1285"/>
      <c r="G495" s="1285"/>
      <c r="H495" s="1285"/>
      <c r="I495" s="1285"/>
      <c r="J495" s="1286"/>
      <c r="W495" s="280"/>
      <c r="X495" s="280"/>
      <c r="Y495" s="280"/>
    </row>
    <row r="496" spans="2:41" s="280" customFormat="1">
      <c r="B496" s="423"/>
      <c r="C496" s="423"/>
      <c r="D496" s="423"/>
      <c r="E496" s="423"/>
      <c r="F496" s="423"/>
      <c r="G496" s="423"/>
      <c r="H496" s="423"/>
      <c r="I496" s="423"/>
      <c r="J496" s="423"/>
    </row>
    <row r="497" spans="2:29" ht="13.5" customHeight="1" thickBot="1"/>
    <row r="498" spans="2:29" s="404" customFormat="1" ht="69" customHeight="1">
      <c r="B498" s="1187" t="s">
        <v>741</v>
      </c>
      <c r="C498" s="1188"/>
      <c r="D498" s="1188"/>
      <c r="E498" s="1188"/>
      <c r="F498" s="1188"/>
      <c r="G498" s="1188"/>
      <c r="H498" s="1188"/>
      <c r="I498" s="1188"/>
      <c r="J498" s="331" t="str">
        <f>'[3]Reference Sheet'!$B$2</f>
        <v>Rev. 4.12.2016</v>
      </c>
      <c r="L498" s="424"/>
      <c r="M498" s="424"/>
      <c r="N498" s="424"/>
      <c r="O498" s="424"/>
      <c r="P498" s="424"/>
      <c r="Q498" s="424"/>
      <c r="R498" s="424"/>
      <c r="S498" s="424"/>
      <c r="T498" s="424"/>
      <c r="U498" s="367"/>
      <c r="V498" s="367"/>
      <c r="W498" s="405"/>
      <c r="X498" s="405"/>
      <c r="Y498" s="405"/>
      <c r="Z498" s="367"/>
      <c r="AA498" s="367"/>
      <c r="AB498" s="367"/>
      <c r="AC498" s="367"/>
    </row>
    <row r="499" spans="2:29" s="404" customFormat="1" ht="16.5" customHeight="1" thickBot="1">
      <c r="B499" s="332"/>
      <c r="C499" s="368" t="s">
        <v>710</v>
      </c>
      <c r="D499" s="1310"/>
      <c r="E499" s="1311"/>
      <c r="F499" s="1311"/>
      <c r="G499" s="1311"/>
      <c r="H499" s="333"/>
      <c r="I499" s="333"/>
      <c r="J499" s="334"/>
      <c r="L499" s="424"/>
      <c r="M499" s="424"/>
      <c r="N499" s="424"/>
      <c r="O499" s="424"/>
      <c r="P499" s="424"/>
      <c r="Q499" s="424"/>
      <c r="R499" s="424"/>
      <c r="S499" s="424"/>
      <c r="T499" s="424"/>
      <c r="U499" s="367"/>
      <c r="V499" s="367"/>
      <c r="W499" s="280"/>
      <c r="X499" s="280"/>
      <c r="Y499" s="280"/>
      <c r="Z499" s="304"/>
      <c r="AA499" s="304"/>
      <c r="AB499" s="367"/>
      <c r="AC499" s="367"/>
    </row>
    <row r="500" spans="2:29" s="404" customFormat="1" ht="15" customHeight="1" thickBot="1">
      <c r="B500" s="332"/>
      <c r="C500" s="368" t="s">
        <v>711</v>
      </c>
      <c r="D500" s="1312"/>
      <c r="E500" s="1313"/>
      <c r="F500" s="1313"/>
      <c r="G500" s="1313"/>
      <c r="H500" s="368" t="s">
        <v>712</v>
      </c>
      <c r="I500" s="1310"/>
      <c r="J500" s="1314"/>
      <c r="L500" s="424"/>
      <c r="M500" s="424"/>
      <c r="N500" s="424"/>
      <c r="O500" s="424"/>
      <c r="P500" s="424"/>
      <c r="Q500" s="424"/>
      <c r="R500" s="424"/>
      <c r="S500" s="424"/>
      <c r="T500" s="424"/>
      <c r="U500" s="367"/>
      <c r="V500" s="367"/>
      <c r="W500" s="280"/>
      <c r="X500" s="280" t="s">
        <v>680</v>
      </c>
      <c r="Y500" s="280">
        <f>IF(AND(J504=0, J506=0, J514=0, J515=0, J518=0, J520=0, I522=0), 0, 1)</f>
        <v>0</v>
      </c>
      <c r="Z500" s="304"/>
      <c r="AA500" s="304"/>
      <c r="AB500" s="367"/>
      <c r="AC500" s="367"/>
    </row>
    <row r="501" spans="2:29" ht="16.5" thickBot="1">
      <c r="B501" s="1176" t="s">
        <v>671</v>
      </c>
      <c r="C501" s="1177"/>
      <c r="D501" s="1315"/>
      <c r="E501" s="1316"/>
      <c r="F501" s="1316"/>
      <c r="G501" s="1316"/>
      <c r="H501" s="336" t="s">
        <v>673</v>
      </c>
      <c r="I501" s="1315"/>
      <c r="J501" s="1317"/>
      <c r="L501" s="424"/>
      <c r="M501" s="424"/>
      <c r="N501" s="424"/>
      <c r="O501" s="424"/>
      <c r="P501" s="424"/>
      <c r="Q501" s="424"/>
      <c r="R501" s="424"/>
      <c r="S501" s="424"/>
      <c r="T501" s="424"/>
      <c r="U501" s="304"/>
      <c r="V501" s="304"/>
      <c r="X501" s="280" t="s">
        <v>682</v>
      </c>
      <c r="Y501" s="280">
        <f>IF(AND(G522&lt;=I522, I522&lt;&gt;0), 0, 1)</f>
        <v>1</v>
      </c>
      <c r="Z501" s="304"/>
      <c r="AA501" s="304"/>
      <c r="AB501" s="304"/>
      <c r="AC501" s="304"/>
    </row>
    <row r="502" spans="2:29" ht="16.5" customHeight="1" thickBot="1">
      <c r="B502" s="1176" t="s">
        <v>674</v>
      </c>
      <c r="C502" s="1177"/>
      <c r="D502" s="1262"/>
      <c r="E502" s="1263"/>
      <c r="F502" s="1263"/>
      <c r="G502" s="1263"/>
      <c r="H502" s="1263"/>
      <c r="I502" s="1263"/>
      <c r="J502" s="1264"/>
      <c r="L502" s="424"/>
      <c r="M502" s="424"/>
      <c r="N502" s="424"/>
      <c r="O502" s="424"/>
      <c r="P502" s="424"/>
      <c r="Q502" s="424"/>
      <c r="R502" s="424"/>
      <c r="S502" s="424"/>
      <c r="T502" s="424"/>
      <c r="U502" s="304"/>
      <c r="V502" s="304"/>
      <c r="X502" s="280" t="s">
        <v>685</v>
      </c>
      <c r="Y502" s="280">
        <f>IF(AND(Y501=0, Y500=1), 0, 1)</f>
        <v>1</v>
      </c>
      <c r="Z502" s="304"/>
      <c r="AA502" s="304"/>
      <c r="AB502" s="304"/>
      <c r="AC502" s="304"/>
    </row>
    <row r="503" spans="2:29" ht="16.5" customHeight="1">
      <c r="B503" s="1265"/>
      <c r="C503" s="1266"/>
      <c r="D503" s="1266"/>
      <c r="E503" s="1266"/>
      <c r="F503" s="1267"/>
      <c r="G503" s="406" t="s">
        <v>713</v>
      </c>
      <c r="H503" s="372" t="s">
        <v>676</v>
      </c>
      <c r="I503" s="377"/>
      <c r="J503" s="407" t="s">
        <v>677</v>
      </c>
      <c r="L503" s="424"/>
      <c r="M503" s="424"/>
      <c r="N503" s="424"/>
      <c r="O503" s="424"/>
      <c r="P503" s="424"/>
      <c r="Q503" s="424"/>
      <c r="R503" s="424"/>
      <c r="S503" s="424"/>
      <c r="T503" s="424"/>
      <c r="U503" s="304"/>
      <c r="V503" s="304"/>
      <c r="Z503" s="304"/>
      <c r="AA503" s="304"/>
      <c r="AB503" s="304"/>
      <c r="AC503" s="304"/>
    </row>
    <row r="504" spans="2:29" ht="16.5" customHeight="1" thickBot="1">
      <c r="B504" s="1269"/>
      <c r="C504" s="1270"/>
      <c r="D504" s="1270"/>
      <c r="E504" s="1270"/>
      <c r="F504" s="1271"/>
      <c r="G504" s="408" t="s">
        <v>743</v>
      </c>
      <c r="H504" s="409"/>
      <c r="I504" s="377"/>
      <c r="J504" s="410"/>
      <c r="L504" s="424"/>
      <c r="M504" s="424"/>
      <c r="N504" s="424"/>
      <c r="O504" s="424"/>
      <c r="P504" s="424"/>
      <c r="Q504" s="424"/>
      <c r="R504" s="424"/>
      <c r="S504" s="424"/>
      <c r="T504" s="424"/>
      <c r="U504" s="304"/>
      <c r="V504" s="304"/>
      <c r="X504" s="280" t="s">
        <v>689</v>
      </c>
      <c r="Y504" s="362">
        <f>G522/12</f>
        <v>0</v>
      </c>
      <c r="Z504" s="304"/>
      <c r="AA504" s="304"/>
      <c r="AB504" s="304"/>
      <c r="AC504" s="304"/>
    </row>
    <row r="505" spans="2:29">
      <c r="B505" s="1229" t="s">
        <v>744</v>
      </c>
      <c r="C505" s="1273"/>
      <c r="D505" s="1273"/>
      <c r="E505" s="1273"/>
      <c r="F505" s="1273"/>
      <c r="G505" s="377" t="s">
        <v>719</v>
      </c>
      <c r="H505" s="381"/>
      <c r="I505" s="386" t="s">
        <v>719</v>
      </c>
      <c r="J505" s="382"/>
      <c r="L505" s="424"/>
      <c r="M505" s="424"/>
      <c r="N505" s="424"/>
      <c r="O505" s="424"/>
      <c r="P505" s="424"/>
      <c r="Q505" s="424"/>
      <c r="R505" s="424"/>
      <c r="S505" s="424"/>
      <c r="T505" s="424"/>
      <c r="U505" s="304"/>
      <c r="V505" s="304"/>
      <c r="X505" s="280" t="s">
        <v>691</v>
      </c>
      <c r="Y505" s="362">
        <f>(G522+I522)/24</f>
        <v>0</v>
      </c>
      <c r="Z505" s="304"/>
      <c r="AA505" s="304"/>
      <c r="AB505" s="304"/>
      <c r="AC505" s="304"/>
    </row>
    <row r="506" spans="2:29">
      <c r="B506" s="1305" t="s">
        <v>745</v>
      </c>
      <c r="C506" s="1306"/>
      <c r="D506" s="1306"/>
      <c r="E506" s="1306"/>
      <c r="F506" s="1307"/>
      <c r="G506" s="346"/>
      <c r="H506" s="359">
        <f>G506</f>
        <v>0</v>
      </c>
      <c r="I506" s="411"/>
      <c r="J506" s="400">
        <f>I506</f>
        <v>0</v>
      </c>
      <c r="L506" s="424"/>
      <c r="M506" s="424"/>
      <c r="N506" s="424"/>
      <c r="O506" s="424"/>
      <c r="P506" s="424"/>
      <c r="Q506" s="424"/>
      <c r="R506" s="424"/>
      <c r="S506" s="424"/>
      <c r="T506" s="424"/>
      <c r="U506" s="304"/>
      <c r="V506" s="304"/>
      <c r="Z506" s="304"/>
      <c r="AA506" s="304"/>
      <c r="AB506" s="304"/>
      <c r="AC506" s="304"/>
    </row>
    <row r="507" spans="2:29">
      <c r="B507" s="1308" t="s">
        <v>722</v>
      </c>
      <c r="C507" s="1309"/>
      <c r="D507" s="1309"/>
      <c r="E507" s="1309"/>
      <c r="F507" s="1309"/>
      <c r="G507" s="412"/>
      <c r="H507" s="413"/>
      <c r="I507" s="414"/>
      <c r="J507" s="415"/>
      <c r="L507" s="424"/>
      <c r="M507" s="424"/>
      <c r="N507" s="424"/>
      <c r="O507" s="424"/>
      <c r="P507" s="424"/>
      <c r="Q507" s="424"/>
      <c r="R507" s="424"/>
      <c r="S507" s="424"/>
      <c r="T507" s="424"/>
      <c r="U507" s="304"/>
      <c r="V507" s="304"/>
      <c r="Z507" s="304"/>
      <c r="AA507" s="304"/>
      <c r="AB507" s="304"/>
      <c r="AC507" s="304"/>
    </row>
    <row r="508" spans="2:29">
      <c r="B508" s="1248" t="s">
        <v>746</v>
      </c>
      <c r="C508" s="1249"/>
      <c r="D508" s="1249"/>
      <c r="E508" s="1249"/>
      <c r="F508" s="1250"/>
      <c r="G508" s="346"/>
      <c r="H508" s="387" t="str">
        <f>IF(OR(H504=0, H504&gt;100%), "Ownership %", (G508+G509))</f>
        <v>Ownership %</v>
      </c>
      <c r="I508" s="346"/>
      <c r="J508" s="388" t="str">
        <f>IF(OR(J504=0, J504&gt;100%), "Ownership %", (I508+I509))</f>
        <v>Ownership %</v>
      </c>
      <c r="L508" s="424"/>
      <c r="M508" s="424"/>
      <c r="N508" s="424"/>
      <c r="O508" s="424"/>
      <c r="P508" s="424"/>
      <c r="Q508" s="424"/>
      <c r="R508" s="424"/>
      <c r="S508" s="424"/>
      <c r="T508" s="424"/>
      <c r="U508" s="304"/>
      <c r="V508" s="304"/>
      <c r="X508" s="280" t="str">
        <f>IF(OR(Y502=0, I522=0), "12 Month Average", "24 Month Average")</f>
        <v>12 Month Average</v>
      </c>
      <c r="Z508" s="304"/>
      <c r="AA508" s="304"/>
      <c r="AB508" s="304"/>
      <c r="AC508" s="304"/>
    </row>
    <row r="509" spans="2:29">
      <c r="B509" s="1295" t="s">
        <v>747</v>
      </c>
      <c r="C509" s="1296"/>
      <c r="D509" s="1296"/>
      <c r="E509" s="1296"/>
      <c r="F509" s="1296"/>
      <c r="G509" s="346"/>
      <c r="H509" s="389"/>
      <c r="I509" s="346"/>
      <c r="J509" s="390"/>
      <c r="L509" s="424"/>
      <c r="M509" s="424"/>
      <c r="N509" s="424"/>
      <c r="O509" s="424"/>
      <c r="P509" s="424"/>
      <c r="Q509" s="424"/>
      <c r="R509" s="424"/>
      <c r="S509" s="424"/>
      <c r="T509" s="424"/>
      <c r="U509" s="304"/>
      <c r="V509" s="304"/>
      <c r="X509" s="280">
        <f xml:space="preserve"> IF(OR(Y502=0, I522=0),Y504,Y505)</f>
        <v>0</v>
      </c>
      <c r="Z509" s="304"/>
      <c r="AA509" s="304"/>
      <c r="AB509" s="304"/>
      <c r="AC509" s="304"/>
    </row>
    <row r="510" spans="2:29">
      <c r="B510" s="1297" t="s">
        <v>748</v>
      </c>
      <c r="C510" s="1298"/>
      <c r="D510" s="1298"/>
      <c r="E510" s="1298"/>
      <c r="F510" s="1298"/>
      <c r="G510" s="416"/>
      <c r="H510" s="416"/>
      <c r="I510" s="416"/>
      <c r="J510" s="417"/>
      <c r="L510" s="424"/>
      <c r="M510" s="424"/>
      <c r="N510" s="424"/>
      <c r="O510" s="424"/>
      <c r="P510" s="424"/>
      <c r="Q510" s="424"/>
      <c r="R510" s="424"/>
      <c r="S510" s="424"/>
      <c r="T510" s="424"/>
      <c r="U510" s="304"/>
      <c r="V510" s="304"/>
      <c r="Z510" s="304"/>
      <c r="AA510" s="304"/>
      <c r="AB510" s="304"/>
      <c r="AC510" s="304"/>
    </row>
    <row r="511" spans="2:29">
      <c r="B511" s="1299" t="s">
        <v>749</v>
      </c>
      <c r="C511" s="1300"/>
      <c r="D511" s="1300"/>
      <c r="E511" s="1300"/>
      <c r="F511" s="1301"/>
      <c r="G511" s="418"/>
      <c r="H511" s="419">
        <f>(G511*H504)*-1</f>
        <v>0</v>
      </c>
      <c r="I511" s="418"/>
      <c r="J511" s="420">
        <f>(I511*J504)*-1</f>
        <v>0</v>
      </c>
      <c r="L511" s="424"/>
      <c r="M511" s="424"/>
      <c r="N511" s="424"/>
      <c r="O511" s="424"/>
      <c r="P511" s="424"/>
      <c r="Q511" s="424"/>
      <c r="R511" s="424"/>
      <c r="S511" s="424"/>
      <c r="T511" s="424"/>
      <c r="U511" s="304"/>
      <c r="V511" s="304"/>
      <c r="X511" s="280" t="s">
        <v>717</v>
      </c>
      <c r="Y511" s="280" t="str">
        <f>IF(OR(H504=0, H504&gt;100%), "Ownership %", (G508+G509))</f>
        <v>Ownership %</v>
      </c>
      <c r="Z511" s="304"/>
      <c r="AA511" s="304"/>
      <c r="AB511" s="304"/>
      <c r="AC511" s="304"/>
    </row>
    <row r="512" spans="2:29">
      <c r="B512" s="1302" t="s">
        <v>750</v>
      </c>
      <c r="C512" s="1303"/>
      <c r="D512" s="1303"/>
      <c r="E512" s="1303"/>
      <c r="F512" s="1304"/>
      <c r="G512" s="418"/>
      <c r="H512" s="419">
        <f>(G512*H504)*-1</f>
        <v>0</v>
      </c>
      <c r="I512" s="418"/>
      <c r="J512" s="420">
        <f>(I512*J504)*-1</f>
        <v>0</v>
      </c>
      <c r="L512" s="424"/>
      <c r="M512" s="424"/>
      <c r="N512" s="424"/>
      <c r="O512" s="424"/>
      <c r="P512" s="424"/>
      <c r="Q512" s="424"/>
      <c r="R512" s="424"/>
      <c r="S512" s="424"/>
      <c r="T512" s="424"/>
      <c r="U512" s="304"/>
      <c r="V512" s="304"/>
      <c r="X512" s="280" t="s">
        <v>720</v>
      </c>
      <c r="Y512" s="280" t="str">
        <f>IF(OR(L515&gt;100%, L515=0), "Ownership %", I508+I509)</f>
        <v>Ownership %</v>
      </c>
      <c r="Z512" s="304"/>
      <c r="AA512" s="304"/>
      <c r="AB512" s="304"/>
      <c r="AC512" s="304"/>
    </row>
    <row r="513" spans="2:41">
      <c r="B513" s="1229" t="s">
        <v>751</v>
      </c>
      <c r="C513" s="1230"/>
      <c r="D513" s="1230"/>
      <c r="E513" s="1230"/>
      <c r="F513" s="1230"/>
      <c r="G513" s="351"/>
      <c r="H513" s="351"/>
      <c r="I513" s="351"/>
      <c r="J513" s="352"/>
      <c r="L513" s="424"/>
      <c r="M513" s="424"/>
      <c r="N513" s="424"/>
      <c r="O513" s="424"/>
      <c r="P513" s="424"/>
      <c r="Q513" s="424"/>
      <c r="R513" s="424"/>
      <c r="S513" s="424"/>
      <c r="T513" s="424"/>
      <c r="U513" s="304"/>
      <c r="V513" s="304"/>
      <c r="Z513" s="304"/>
      <c r="AA513" s="304"/>
      <c r="AB513" s="304"/>
      <c r="AC513" s="304"/>
    </row>
    <row r="514" spans="2:41">
      <c r="B514" s="1243" t="s">
        <v>752</v>
      </c>
      <c r="C514" s="1244"/>
      <c r="D514" s="1244"/>
      <c r="E514" s="1244"/>
      <c r="F514" s="1245"/>
      <c r="G514" s="346"/>
      <c r="H514" s="359">
        <f>G514*H504</f>
        <v>0</v>
      </c>
      <c r="I514" s="346"/>
      <c r="J514" s="400">
        <f>I514*J504</f>
        <v>0</v>
      </c>
      <c r="L514" s="424"/>
      <c r="M514" s="424"/>
      <c r="N514" s="424"/>
      <c r="O514" s="424"/>
      <c r="P514" s="424"/>
      <c r="Q514" s="424"/>
      <c r="R514" s="424"/>
      <c r="S514" s="424"/>
      <c r="T514" s="424"/>
      <c r="U514" s="304"/>
      <c r="V514" s="304"/>
      <c r="X514" s="349" t="s">
        <v>596</v>
      </c>
      <c r="AA514" s="304"/>
      <c r="AB514" s="304"/>
      <c r="AC514" s="304"/>
    </row>
    <row r="515" spans="2:41">
      <c r="B515" s="1223" t="s">
        <v>753</v>
      </c>
      <c r="C515" s="1224"/>
      <c r="D515" s="1224"/>
      <c r="E515" s="1224"/>
      <c r="F515" s="1225"/>
      <c r="G515" s="346"/>
      <c r="H515" s="359">
        <f>G515*H504</f>
        <v>0</v>
      </c>
      <c r="I515" s="346"/>
      <c r="J515" s="400">
        <f>I515*J504</f>
        <v>0</v>
      </c>
      <c r="L515" s="424"/>
      <c r="M515" s="424"/>
      <c r="N515" s="424"/>
      <c r="O515" s="424"/>
      <c r="P515" s="424"/>
      <c r="Q515" s="424"/>
      <c r="R515" s="424"/>
      <c r="S515" s="424"/>
      <c r="T515" s="424"/>
      <c r="U515" s="304"/>
      <c r="V515" s="304"/>
      <c r="X515" s="349" t="s">
        <v>683</v>
      </c>
      <c r="AA515" s="304"/>
      <c r="AB515" s="304"/>
      <c r="AC515" s="304"/>
    </row>
    <row r="516" spans="2:41">
      <c r="B516" s="1223" t="s">
        <v>754</v>
      </c>
      <c r="C516" s="1224"/>
      <c r="D516" s="1224"/>
      <c r="E516" s="1224"/>
      <c r="F516" s="1225"/>
      <c r="G516" s="421"/>
      <c r="H516" s="359">
        <f>G516*H504</f>
        <v>0</v>
      </c>
      <c r="I516" s="421"/>
      <c r="J516" s="400">
        <f>I516*J504</f>
        <v>0</v>
      </c>
      <c r="L516" s="424"/>
      <c r="M516" s="424"/>
      <c r="N516" s="424"/>
      <c r="O516" s="424"/>
      <c r="P516" s="424"/>
      <c r="Q516" s="424"/>
      <c r="R516" s="424"/>
      <c r="S516" s="424"/>
      <c r="T516" s="424"/>
      <c r="U516" s="304"/>
      <c r="V516" s="304"/>
      <c r="X516" s="349" t="s">
        <v>599</v>
      </c>
      <c r="AA516" s="304"/>
      <c r="AB516" s="304"/>
      <c r="AC516" s="304"/>
    </row>
    <row r="517" spans="2:41">
      <c r="B517" s="1288" t="s">
        <v>755</v>
      </c>
      <c r="C517" s="1289"/>
      <c r="D517" s="1289"/>
      <c r="E517" s="1289"/>
      <c r="F517" s="1289"/>
      <c r="G517" s="1290"/>
      <c r="H517" s="1290"/>
      <c r="I517" s="1290"/>
      <c r="J517" s="1291"/>
      <c r="L517" s="424"/>
      <c r="M517" s="424"/>
      <c r="N517" s="424"/>
      <c r="O517" s="424"/>
      <c r="P517" s="424"/>
      <c r="Q517" s="424"/>
      <c r="R517" s="424"/>
      <c r="S517" s="424"/>
      <c r="T517" s="424"/>
      <c r="U517" s="304"/>
      <c r="V517" s="304"/>
      <c r="X517" s="349" t="s">
        <v>603</v>
      </c>
      <c r="AA517" s="304"/>
      <c r="AB517" s="304"/>
      <c r="AC517" s="304"/>
    </row>
    <row r="518" spans="2:41" ht="16.5" customHeight="1">
      <c r="B518" s="1292" t="s">
        <v>756</v>
      </c>
      <c r="C518" s="1293"/>
      <c r="D518" s="1293"/>
      <c r="E518" s="1293"/>
      <c r="F518" s="1294"/>
      <c r="G518" s="422"/>
      <c r="H518" s="401">
        <f>G518*H504</f>
        <v>0</v>
      </c>
      <c r="I518" s="422"/>
      <c r="J518" s="402">
        <f>I518*J504</f>
        <v>0</v>
      </c>
      <c r="L518" s="424"/>
      <c r="M518" s="424"/>
      <c r="N518" s="424"/>
      <c r="O518" s="424"/>
      <c r="P518" s="424"/>
      <c r="Q518" s="424"/>
      <c r="R518" s="424"/>
      <c r="S518" s="424"/>
      <c r="T518" s="424"/>
      <c r="U518" s="304"/>
      <c r="V518" s="304"/>
      <c r="X518" s="349" t="s">
        <v>605</v>
      </c>
      <c r="AA518" s="304"/>
      <c r="AB518" s="304"/>
      <c r="AC518" s="304"/>
    </row>
    <row r="519" spans="2:41">
      <c r="B519" s="1229" t="s">
        <v>757</v>
      </c>
      <c r="C519" s="1230"/>
      <c r="D519" s="1230"/>
      <c r="E519" s="1230"/>
      <c r="F519" s="1230"/>
      <c r="G519" s="351"/>
      <c r="H519" s="351"/>
      <c r="I519" s="351"/>
      <c r="J519" s="352"/>
      <c r="L519" s="424"/>
      <c r="M519" s="424"/>
      <c r="N519" s="424"/>
      <c r="O519" s="424"/>
      <c r="P519" s="424"/>
      <c r="Q519" s="424"/>
      <c r="R519" s="424"/>
      <c r="S519" s="424"/>
      <c r="T519" s="424"/>
      <c r="U519" s="304"/>
      <c r="V519" s="304"/>
      <c r="Z519" s="304"/>
      <c r="AA519" s="304"/>
      <c r="AB519" s="304"/>
      <c r="AC519" s="304"/>
    </row>
    <row r="520" spans="2:41" ht="30.75" customHeight="1">
      <c r="B520" s="1231" t="s">
        <v>758</v>
      </c>
      <c r="C520" s="1232"/>
      <c r="D520" s="1232"/>
      <c r="E520" s="1232"/>
      <c r="F520" s="1233"/>
      <c r="G520" s="399"/>
      <c r="H520" s="359">
        <f>(G520*H504)*-1</f>
        <v>0</v>
      </c>
      <c r="I520" s="399"/>
      <c r="J520" s="400">
        <f>(I520*J504)*-1</f>
        <v>0</v>
      </c>
      <c r="L520" s="424"/>
      <c r="M520" s="424"/>
      <c r="N520" s="424"/>
      <c r="O520" s="424"/>
      <c r="P520" s="424"/>
      <c r="Q520" s="424"/>
      <c r="R520" s="424"/>
      <c r="S520" s="424"/>
      <c r="T520" s="424"/>
      <c r="U520" s="304"/>
      <c r="V520" s="304"/>
      <c r="Z520" s="304"/>
      <c r="AA520" s="304"/>
      <c r="AB520" s="304"/>
      <c r="AC520" s="304"/>
    </row>
    <row r="521" spans="2:41" ht="31.5" customHeight="1">
      <c r="B521" s="1234" t="s">
        <v>759</v>
      </c>
      <c r="C521" s="1235"/>
      <c r="D521" s="1235"/>
      <c r="E521" s="1235"/>
      <c r="F521" s="1236"/>
      <c r="G521" s="346"/>
      <c r="H521" s="401">
        <f>(G521*H504)*-1</f>
        <v>0</v>
      </c>
      <c r="I521" s="346"/>
      <c r="J521" s="402">
        <f>(I521*J504)*-1</f>
        <v>0</v>
      </c>
      <c r="L521" s="424"/>
      <c r="M521" s="424"/>
      <c r="N521" s="424"/>
      <c r="O521" s="424"/>
      <c r="P521" s="424"/>
      <c r="Q521" s="424"/>
      <c r="R521" s="424"/>
      <c r="S521" s="424"/>
      <c r="T521" s="424"/>
      <c r="U521" s="304"/>
      <c r="V521" s="304"/>
      <c r="Z521" s="304"/>
      <c r="AA521" s="304"/>
      <c r="AB521" s="304"/>
      <c r="AC521" s="304"/>
      <c r="AD521" s="304"/>
      <c r="AE521" s="304"/>
      <c r="AF521" s="304"/>
      <c r="AG521" s="304"/>
      <c r="AH521" s="304"/>
      <c r="AI521" s="304"/>
      <c r="AJ521" s="304"/>
      <c r="AK521" s="304"/>
      <c r="AL521" s="304"/>
      <c r="AM521" s="304"/>
      <c r="AN521" s="304"/>
      <c r="AO521" s="304"/>
    </row>
    <row r="522" spans="2:41" ht="32.25" customHeight="1">
      <c r="B522" s="1158" t="s">
        <v>740</v>
      </c>
      <c r="C522" s="1287"/>
      <c r="D522" s="1287"/>
      <c r="E522" s="1287"/>
      <c r="F522" s="1287"/>
      <c r="G522" s="1156">
        <f>SUM(H506:H521)</f>
        <v>0</v>
      </c>
      <c r="H522" s="1155"/>
      <c r="I522" s="1214">
        <f>SUM(J506:J521)</f>
        <v>0</v>
      </c>
      <c r="J522" s="1216"/>
      <c r="L522" s="424"/>
      <c r="M522" s="424"/>
      <c r="N522" s="424"/>
      <c r="O522" s="424"/>
      <c r="P522" s="424"/>
      <c r="Q522" s="424"/>
      <c r="R522" s="424"/>
      <c r="S522" s="424"/>
      <c r="T522" s="424"/>
      <c r="U522" s="304"/>
      <c r="V522" s="304"/>
      <c r="Z522" s="304"/>
      <c r="AA522" s="304"/>
      <c r="AB522" s="304"/>
      <c r="AC522" s="304"/>
      <c r="AD522" s="304"/>
      <c r="AE522" s="304"/>
      <c r="AF522" s="304"/>
      <c r="AG522" s="304"/>
      <c r="AH522" s="304"/>
      <c r="AI522" s="304"/>
      <c r="AJ522" s="304"/>
      <c r="AK522" s="304"/>
      <c r="AL522" s="304"/>
      <c r="AM522" s="304"/>
      <c r="AN522" s="304"/>
      <c r="AO522" s="304"/>
    </row>
    <row r="523" spans="2:41" ht="21">
      <c r="B523" s="1217" t="s">
        <v>760</v>
      </c>
      <c r="C523" s="1218"/>
      <c r="D523" s="1218"/>
      <c r="E523" s="1218"/>
      <c r="F523" s="1219"/>
      <c r="G523" s="1282" t="str">
        <f>IF(OR(Y502=0, I522=0), "12 Month Average", "24 Month Average")</f>
        <v>12 Month Average</v>
      </c>
      <c r="H523" s="1283"/>
      <c r="I523" s="1283"/>
      <c r="J523" s="1284"/>
      <c r="L523" s="424"/>
      <c r="M523" s="424"/>
      <c r="N523" s="424"/>
      <c r="O523" s="424"/>
      <c r="P523" s="424"/>
      <c r="Q523" s="424"/>
      <c r="R523" s="424"/>
      <c r="S523" s="424"/>
      <c r="T523" s="424"/>
      <c r="U523" s="304"/>
      <c r="V523" s="304"/>
      <c r="Z523" s="304"/>
      <c r="AA523" s="304"/>
      <c r="AB523" s="304"/>
      <c r="AC523" s="304"/>
      <c r="AD523" s="304"/>
      <c r="AE523" s="304"/>
      <c r="AF523" s="304"/>
      <c r="AG523" s="304"/>
      <c r="AH523" s="304"/>
      <c r="AI523" s="304"/>
      <c r="AJ523" s="304"/>
      <c r="AK523" s="304"/>
      <c r="AL523" s="304"/>
      <c r="AM523" s="304"/>
      <c r="AN523" s="304"/>
      <c r="AO523" s="304"/>
    </row>
    <row r="524" spans="2:41" ht="34.5" thickBot="1">
      <c r="B524" s="1220" t="s">
        <v>697</v>
      </c>
      <c r="C524" s="1221"/>
      <c r="D524" s="1221"/>
      <c r="E524" s="1221"/>
      <c r="F524" s="1222"/>
      <c r="G524" s="1167">
        <f xml:space="preserve"> IF(OR(Y502=0, I522=0),Y504,Y505)</f>
        <v>0</v>
      </c>
      <c r="H524" s="1168"/>
      <c r="I524" s="1168"/>
      <c r="J524" s="1169"/>
      <c r="N524" s="304"/>
      <c r="O524" s="304"/>
      <c r="P524" s="304"/>
      <c r="Q524" s="304"/>
      <c r="R524" s="304"/>
      <c r="S524" s="304"/>
      <c r="T524" s="304"/>
      <c r="U524" s="304"/>
      <c r="V524" s="304"/>
      <c r="Z524" s="304"/>
      <c r="AA524" s="304"/>
      <c r="AB524" s="304"/>
      <c r="AC524" s="304"/>
      <c r="AD524" s="304"/>
      <c r="AE524" s="304"/>
      <c r="AF524" s="304"/>
      <c r="AG524" s="304"/>
      <c r="AH524" s="304"/>
      <c r="AI524" s="304"/>
      <c r="AJ524" s="304"/>
      <c r="AK524" s="304"/>
      <c r="AL524" s="304"/>
      <c r="AM524" s="304"/>
      <c r="AN524" s="304"/>
      <c r="AO524" s="304"/>
    </row>
    <row r="525" spans="2:41" s="304" customFormat="1" ht="3" customHeight="1" thickBot="1">
      <c r="B525" s="78"/>
      <c r="C525" s="78"/>
      <c r="D525" s="78"/>
      <c r="E525" s="78"/>
      <c r="F525" s="78"/>
      <c r="G525" s="78"/>
      <c r="H525" s="330"/>
      <c r="I525" s="330"/>
      <c r="J525" s="78"/>
      <c r="W525" s="280"/>
      <c r="X525" s="280"/>
      <c r="Y525" s="280"/>
    </row>
    <row r="526" spans="2:41" s="304" customFormat="1" ht="135" customHeight="1" thickBot="1">
      <c r="B526" s="1148" t="s">
        <v>761</v>
      </c>
      <c r="C526" s="1285"/>
      <c r="D526" s="1285"/>
      <c r="E526" s="1285"/>
      <c r="F526" s="1285"/>
      <c r="G526" s="1285"/>
      <c r="H526" s="1285"/>
      <c r="I526" s="1285"/>
      <c r="J526" s="1286"/>
      <c r="W526" s="280"/>
      <c r="X526" s="280"/>
      <c r="Y526" s="280"/>
    </row>
    <row r="527" spans="2:41" s="280" customFormat="1">
      <c r="B527" s="423"/>
      <c r="C527" s="423"/>
      <c r="D527" s="423"/>
      <c r="E527" s="423"/>
      <c r="F527" s="423"/>
      <c r="G527" s="423"/>
      <c r="H527" s="423"/>
      <c r="I527" s="423"/>
      <c r="J527" s="423"/>
    </row>
    <row r="528" spans="2:41" ht="13.5" customHeight="1" thickBot="1"/>
    <row r="529" spans="2:29" s="404" customFormat="1" ht="69" customHeight="1">
      <c r="B529" s="1187" t="s">
        <v>741</v>
      </c>
      <c r="C529" s="1188"/>
      <c r="D529" s="1188"/>
      <c r="E529" s="1188"/>
      <c r="F529" s="1188"/>
      <c r="G529" s="1188"/>
      <c r="H529" s="1188"/>
      <c r="I529" s="1188"/>
      <c r="J529" s="331" t="str">
        <f>'[3]Reference Sheet'!$B$2</f>
        <v>Rev. 4.12.2016</v>
      </c>
      <c r="L529" s="424"/>
      <c r="M529" s="424"/>
      <c r="N529" s="424"/>
      <c r="O529" s="424"/>
      <c r="P529" s="424"/>
      <c r="Q529" s="424"/>
      <c r="R529" s="424"/>
      <c r="S529" s="424"/>
      <c r="T529" s="424"/>
      <c r="U529" s="367"/>
      <c r="V529" s="367"/>
      <c r="W529" s="405"/>
      <c r="X529" s="405"/>
      <c r="Y529" s="405"/>
      <c r="Z529" s="367"/>
      <c r="AA529" s="367"/>
      <c r="AB529" s="367"/>
      <c r="AC529" s="367"/>
    </row>
    <row r="530" spans="2:29" s="404" customFormat="1" ht="16.5" customHeight="1" thickBot="1">
      <c r="B530" s="332"/>
      <c r="C530" s="368" t="s">
        <v>710</v>
      </c>
      <c r="D530" s="1310"/>
      <c r="E530" s="1311"/>
      <c r="F530" s="1311"/>
      <c r="G530" s="1311"/>
      <c r="H530" s="333"/>
      <c r="I530" s="333"/>
      <c r="J530" s="334"/>
      <c r="L530" s="424"/>
      <c r="M530" s="424"/>
      <c r="N530" s="424"/>
      <c r="O530" s="424"/>
      <c r="P530" s="424"/>
      <c r="Q530" s="424"/>
      <c r="R530" s="424"/>
      <c r="S530" s="424"/>
      <c r="T530" s="424"/>
      <c r="U530" s="367"/>
      <c r="V530" s="367"/>
      <c r="W530" s="280"/>
      <c r="X530" s="280"/>
      <c r="Y530" s="280"/>
      <c r="Z530" s="304"/>
      <c r="AA530" s="304"/>
      <c r="AB530" s="367"/>
      <c r="AC530" s="367"/>
    </row>
    <row r="531" spans="2:29" s="404" customFormat="1" ht="15" customHeight="1" thickBot="1">
      <c r="B531" s="332"/>
      <c r="C531" s="368" t="s">
        <v>711</v>
      </c>
      <c r="D531" s="1312"/>
      <c r="E531" s="1313"/>
      <c r="F531" s="1313"/>
      <c r="G531" s="1313"/>
      <c r="H531" s="368" t="s">
        <v>712</v>
      </c>
      <c r="I531" s="1310"/>
      <c r="J531" s="1314"/>
      <c r="L531" s="424"/>
      <c r="M531" s="424"/>
      <c r="N531" s="424"/>
      <c r="O531" s="424"/>
      <c r="P531" s="424"/>
      <c r="Q531" s="424"/>
      <c r="R531" s="424"/>
      <c r="S531" s="424"/>
      <c r="T531" s="424"/>
      <c r="U531" s="367"/>
      <c r="V531" s="367"/>
      <c r="W531" s="280"/>
      <c r="X531" s="280" t="s">
        <v>680</v>
      </c>
      <c r="Y531" s="280">
        <f>IF(AND(J535=0, J537=0, J545=0, J546=0, J549=0, J551=0, I553=0), 0, 1)</f>
        <v>0</v>
      </c>
      <c r="Z531" s="304"/>
      <c r="AA531" s="304"/>
      <c r="AB531" s="367"/>
      <c r="AC531" s="367"/>
    </row>
    <row r="532" spans="2:29" ht="16.5" thickBot="1">
      <c r="B532" s="1176" t="s">
        <v>671</v>
      </c>
      <c r="C532" s="1177"/>
      <c r="D532" s="1315"/>
      <c r="E532" s="1316"/>
      <c r="F532" s="1316"/>
      <c r="G532" s="1316"/>
      <c r="H532" s="336" t="s">
        <v>673</v>
      </c>
      <c r="I532" s="1315"/>
      <c r="J532" s="1317"/>
      <c r="L532" s="424"/>
      <c r="M532" s="424"/>
      <c r="N532" s="424"/>
      <c r="O532" s="424"/>
      <c r="P532" s="424"/>
      <c r="Q532" s="424"/>
      <c r="R532" s="424"/>
      <c r="S532" s="424"/>
      <c r="T532" s="424"/>
      <c r="U532" s="304"/>
      <c r="V532" s="304"/>
      <c r="X532" s="280" t="s">
        <v>682</v>
      </c>
      <c r="Y532" s="280">
        <f>IF(AND(G553&lt;=I553, I553&lt;&gt;0), 0, 1)</f>
        <v>1</v>
      </c>
      <c r="Z532" s="304"/>
      <c r="AA532" s="304"/>
      <c r="AB532" s="304"/>
      <c r="AC532" s="304"/>
    </row>
    <row r="533" spans="2:29" ht="16.5" customHeight="1" thickBot="1">
      <c r="B533" s="1176" t="s">
        <v>674</v>
      </c>
      <c r="C533" s="1177"/>
      <c r="D533" s="1262"/>
      <c r="E533" s="1263"/>
      <c r="F533" s="1263"/>
      <c r="G533" s="1263"/>
      <c r="H533" s="1263"/>
      <c r="I533" s="1263"/>
      <c r="J533" s="1264"/>
      <c r="L533" s="424"/>
      <c r="M533" s="424"/>
      <c r="N533" s="424"/>
      <c r="O533" s="424"/>
      <c r="P533" s="424"/>
      <c r="Q533" s="424"/>
      <c r="R533" s="424"/>
      <c r="S533" s="424"/>
      <c r="T533" s="424"/>
      <c r="U533" s="304"/>
      <c r="V533" s="304"/>
      <c r="X533" s="280" t="s">
        <v>685</v>
      </c>
      <c r="Y533" s="280">
        <f>IF(AND(Y532=0, Y531=1), 0, 1)</f>
        <v>1</v>
      </c>
      <c r="Z533" s="304"/>
      <c r="AA533" s="304"/>
      <c r="AB533" s="304"/>
      <c r="AC533" s="304"/>
    </row>
    <row r="534" spans="2:29" ht="16.5" customHeight="1">
      <c r="B534" s="1265"/>
      <c r="C534" s="1266"/>
      <c r="D534" s="1266"/>
      <c r="E534" s="1266"/>
      <c r="F534" s="1267"/>
      <c r="G534" s="406" t="s">
        <v>713</v>
      </c>
      <c r="H534" s="372" t="s">
        <v>676</v>
      </c>
      <c r="I534" s="377"/>
      <c r="J534" s="407" t="s">
        <v>677</v>
      </c>
      <c r="L534" s="424"/>
      <c r="M534" s="424"/>
      <c r="N534" s="424"/>
      <c r="O534" s="424"/>
      <c r="P534" s="424"/>
      <c r="Q534" s="424"/>
      <c r="R534" s="424"/>
      <c r="S534" s="424"/>
      <c r="T534" s="424"/>
      <c r="U534" s="304"/>
      <c r="V534" s="304"/>
      <c r="Z534" s="304"/>
      <c r="AA534" s="304"/>
      <c r="AB534" s="304"/>
      <c r="AC534" s="304"/>
    </row>
    <row r="535" spans="2:29" ht="16.5" customHeight="1" thickBot="1">
      <c r="B535" s="1269"/>
      <c r="C535" s="1270"/>
      <c r="D535" s="1270"/>
      <c r="E535" s="1270"/>
      <c r="F535" s="1271"/>
      <c r="G535" s="408" t="s">
        <v>743</v>
      </c>
      <c r="H535" s="409"/>
      <c r="I535" s="377"/>
      <c r="J535" s="410"/>
      <c r="L535" s="424"/>
      <c r="M535" s="424"/>
      <c r="N535" s="424"/>
      <c r="O535" s="424"/>
      <c r="P535" s="424"/>
      <c r="Q535" s="424"/>
      <c r="R535" s="424"/>
      <c r="S535" s="424"/>
      <c r="T535" s="424"/>
      <c r="U535" s="304"/>
      <c r="V535" s="304"/>
      <c r="X535" s="280" t="s">
        <v>689</v>
      </c>
      <c r="Y535" s="362">
        <f>G553/12</f>
        <v>0</v>
      </c>
      <c r="Z535" s="304"/>
      <c r="AA535" s="304"/>
      <c r="AB535" s="304"/>
      <c r="AC535" s="304"/>
    </row>
    <row r="536" spans="2:29">
      <c r="B536" s="1229" t="s">
        <v>744</v>
      </c>
      <c r="C536" s="1273"/>
      <c r="D536" s="1273"/>
      <c r="E536" s="1273"/>
      <c r="F536" s="1273"/>
      <c r="G536" s="377" t="s">
        <v>719</v>
      </c>
      <c r="H536" s="381"/>
      <c r="I536" s="386" t="s">
        <v>719</v>
      </c>
      <c r="J536" s="382"/>
      <c r="L536" s="424"/>
      <c r="M536" s="424"/>
      <c r="N536" s="424"/>
      <c r="O536" s="424"/>
      <c r="P536" s="424"/>
      <c r="Q536" s="424"/>
      <c r="R536" s="424"/>
      <c r="S536" s="424"/>
      <c r="T536" s="424"/>
      <c r="U536" s="304"/>
      <c r="V536" s="304"/>
      <c r="X536" s="280" t="s">
        <v>691</v>
      </c>
      <c r="Y536" s="362">
        <f>(G553+I553)/24</f>
        <v>0</v>
      </c>
      <c r="Z536" s="304"/>
      <c r="AA536" s="304"/>
      <c r="AB536" s="304"/>
      <c r="AC536" s="304"/>
    </row>
    <row r="537" spans="2:29">
      <c r="B537" s="1305" t="s">
        <v>745</v>
      </c>
      <c r="C537" s="1306"/>
      <c r="D537" s="1306"/>
      <c r="E537" s="1306"/>
      <c r="F537" s="1307"/>
      <c r="G537" s="346"/>
      <c r="H537" s="359">
        <f>G537</f>
        <v>0</v>
      </c>
      <c r="I537" s="411"/>
      <c r="J537" s="400">
        <f>I537</f>
        <v>0</v>
      </c>
      <c r="L537" s="424"/>
      <c r="M537" s="424"/>
      <c r="N537" s="424"/>
      <c r="O537" s="424"/>
      <c r="P537" s="424"/>
      <c r="Q537" s="424"/>
      <c r="R537" s="424"/>
      <c r="S537" s="424"/>
      <c r="T537" s="424"/>
      <c r="U537" s="304"/>
      <c r="V537" s="304"/>
      <c r="Z537" s="304"/>
      <c r="AA537" s="304"/>
      <c r="AB537" s="304"/>
      <c r="AC537" s="304"/>
    </row>
    <row r="538" spans="2:29">
      <c r="B538" s="1308" t="s">
        <v>722</v>
      </c>
      <c r="C538" s="1309"/>
      <c r="D538" s="1309"/>
      <c r="E538" s="1309"/>
      <c r="F538" s="1309"/>
      <c r="G538" s="412"/>
      <c r="H538" s="413"/>
      <c r="I538" s="414"/>
      <c r="J538" s="415"/>
      <c r="L538" s="424"/>
      <c r="M538" s="424"/>
      <c r="N538" s="424"/>
      <c r="O538" s="424"/>
      <c r="P538" s="424"/>
      <c r="Q538" s="424"/>
      <c r="R538" s="424"/>
      <c r="S538" s="424"/>
      <c r="T538" s="424"/>
      <c r="U538" s="304"/>
      <c r="V538" s="304"/>
      <c r="Z538" s="304"/>
      <c r="AA538" s="304"/>
      <c r="AB538" s="304"/>
      <c r="AC538" s="304"/>
    </row>
    <row r="539" spans="2:29">
      <c r="B539" s="1248" t="s">
        <v>746</v>
      </c>
      <c r="C539" s="1249"/>
      <c r="D539" s="1249"/>
      <c r="E539" s="1249"/>
      <c r="F539" s="1250"/>
      <c r="G539" s="346"/>
      <c r="H539" s="387" t="str">
        <f>IF(OR(H535=0, H535&gt;100%), "Ownership %", (G539+G540))</f>
        <v>Ownership %</v>
      </c>
      <c r="I539" s="346"/>
      <c r="J539" s="388" t="str">
        <f>IF(OR(J535=0, J535&gt;100%), "Ownership %", (I539+I540))</f>
        <v>Ownership %</v>
      </c>
      <c r="L539" s="424"/>
      <c r="M539" s="424"/>
      <c r="N539" s="424"/>
      <c r="O539" s="424"/>
      <c r="P539" s="424"/>
      <c r="Q539" s="424"/>
      <c r="R539" s="424"/>
      <c r="S539" s="424"/>
      <c r="T539" s="424"/>
      <c r="U539" s="304"/>
      <c r="V539" s="304"/>
      <c r="X539" s="280" t="str">
        <f>IF(OR(Y533=0, I553=0), "12 Month Average", "24 Month Average")</f>
        <v>12 Month Average</v>
      </c>
      <c r="Z539" s="304"/>
      <c r="AA539" s="304"/>
      <c r="AB539" s="304"/>
      <c r="AC539" s="304"/>
    </row>
    <row r="540" spans="2:29">
      <c r="B540" s="1295" t="s">
        <v>747</v>
      </c>
      <c r="C540" s="1296"/>
      <c r="D540" s="1296"/>
      <c r="E540" s="1296"/>
      <c r="F540" s="1296"/>
      <c r="G540" s="346"/>
      <c r="H540" s="389"/>
      <c r="I540" s="346"/>
      <c r="J540" s="390"/>
      <c r="L540" s="424"/>
      <c r="M540" s="424"/>
      <c r="N540" s="424"/>
      <c r="O540" s="424"/>
      <c r="P540" s="424"/>
      <c r="Q540" s="424"/>
      <c r="R540" s="424"/>
      <c r="S540" s="424"/>
      <c r="T540" s="424"/>
      <c r="U540" s="304"/>
      <c r="V540" s="304"/>
      <c r="X540" s="280">
        <f xml:space="preserve"> IF(OR(Y533=0, I553=0),Y535,Y536)</f>
        <v>0</v>
      </c>
      <c r="Z540" s="304"/>
      <c r="AA540" s="304"/>
      <c r="AB540" s="304"/>
      <c r="AC540" s="304"/>
    </row>
    <row r="541" spans="2:29">
      <c r="B541" s="1297" t="s">
        <v>748</v>
      </c>
      <c r="C541" s="1298"/>
      <c r="D541" s="1298"/>
      <c r="E541" s="1298"/>
      <c r="F541" s="1298"/>
      <c r="G541" s="416"/>
      <c r="H541" s="416"/>
      <c r="I541" s="416"/>
      <c r="J541" s="417"/>
      <c r="L541" s="424"/>
      <c r="M541" s="424"/>
      <c r="N541" s="424"/>
      <c r="O541" s="424"/>
      <c r="P541" s="424"/>
      <c r="Q541" s="424"/>
      <c r="R541" s="424"/>
      <c r="S541" s="424"/>
      <c r="T541" s="424"/>
      <c r="U541" s="304"/>
      <c r="V541" s="304"/>
      <c r="Z541" s="304"/>
      <c r="AA541" s="304"/>
      <c r="AB541" s="304"/>
      <c r="AC541" s="304"/>
    </row>
    <row r="542" spans="2:29">
      <c r="B542" s="1299" t="s">
        <v>749</v>
      </c>
      <c r="C542" s="1300"/>
      <c r="D542" s="1300"/>
      <c r="E542" s="1300"/>
      <c r="F542" s="1301"/>
      <c r="G542" s="418"/>
      <c r="H542" s="419">
        <f>(G542*H535)*-1</f>
        <v>0</v>
      </c>
      <c r="I542" s="418"/>
      <c r="J542" s="420">
        <f>(I542*J535)*-1</f>
        <v>0</v>
      </c>
      <c r="L542" s="424"/>
      <c r="M542" s="424"/>
      <c r="N542" s="424"/>
      <c r="O542" s="424"/>
      <c r="P542" s="424"/>
      <c r="Q542" s="424"/>
      <c r="R542" s="424"/>
      <c r="S542" s="424"/>
      <c r="T542" s="424"/>
      <c r="U542" s="304"/>
      <c r="V542" s="304"/>
      <c r="X542" s="280" t="s">
        <v>717</v>
      </c>
      <c r="Y542" s="280" t="str">
        <f>IF(OR(H535=0, H535&gt;100%), "Ownership %", (G539+G540))</f>
        <v>Ownership %</v>
      </c>
      <c r="Z542" s="304"/>
      <c r="AA542" s="304"/>
      <c r="AB542" s="304"/>
      <c r="AC542" s="304"/>
    </row>
    <row r="543" spans="2:29">
      <c r="B543" s="1302" t="s">
        <v>750</v>
      </c>
      <c r="C543" s="1303"/>
      <c r="D543" s="1303"/>
      <c r="E543" s="1303"/>
      <c r="F543" s="1304"/>
      <c r="G543" s="418"/>
      <c r="H543" s="419">
        <f>(G543*H535)*-1</f>
        <v>0</v>
      </c>
      <c r="I543" s="418"/>
      <c r="J543" s="420">
        <f>(I543*J535)*-1</f>
        <v>0</v>
      </c>
      <c r="L543" s="424"/>
      <c r="M543" s="424"/>
      <c r="N543" s="424"/>
      <c r="O543" s="424"/>
      <c r="P543" s="424"/>
      <c r="Q543" s="424"/>
      <c r="R543" s="424"/>
      <c r="S543" s="424"/>
      <c r="T543" s="424"/>
      <c r="U543" s="304"/>
      <c r="V543" s="304"/>
      <c r="X543" s="280" t="s">
        <v>720</v>
      </c>
      <c r="Y543" s="280" t="str">
        <f>IF(OR(L546&gt;100%, L546=0), "Ownership %", I539+I540)</f>
        <v>Ownership %</v>
      </c>
      <c r="Z543" s="304"/>
      <c r="AA543" s="304"/>
      <c r="AB543" s="304"/>
      <c r="AC543" s="304"/>
    </row>
    <row r="544" spans="2:29">
      <c r="B544" s="1229" t="s">
        <v>751</v>
      </c>
      <c r="C544" s="1230"/>
      <c r="D544" s="1230"/>
      <c r="E544" s="1230"/>
      <c r="F544" s="1230"/>
      <c r="G544" s="351"/>
      <c r="H544" s="351"/>
      <c r="I544" s="351"/>
      <c r="J544" s="352"/>
      <c r="L544" s="424"/>
      <c r="M544" s="424"/>
      <c r="N544" s="424"/>
      <c r="O544" s="424"/>
      <c r="P544" s="424"/>
      <c r="Q544" s="424"/>
      <c r="R544" s="424"/>
      <c r="S544" s="424"/>
      <c r="T544" s="424"/>
      <c r="U544" s="304"/>
      <c r="V544" s="304"/>
      <c r="Z544" s="304"/>
      <c r="AA544" s="304"/>
      <c r="AB544" s="304"/>
      <c r="AC544" s="304"/>
    </row>
    <row r="545" spans="2:41">
      <c r="B545" s="1243" t="s">
        <v>752</v>
      </c>
      <c r="C545" s="1244"/>
      <c r="D545" s="1244"/>
      <c r="E545" s="1244"/>
      <c r="F545" s="1245"/>
      <c r="G545" s="346"/>
      <c r="H545" s="359">
        <f>G545*H535</f>
        <v>0</v>
      </c>
      <c r="I545" s="346"/>
      <c r="J545" s="400">
        <f>I545*J535</f>
        <v>0</v>
      </c>
      <c r="L545" s="424"/>
      <c r="M545" s="424"/>
      <c r="N545" s="424"/>
      <c r="O545" s="424"/>
      <c r="P545" s="424"/>
      <c r="Q545" s="424"/>
      <c r="R545" s="424"/>
      <c r="S545" s="424"/>
      <c r="T545" s="424"/>
      <c r="U545" s="304"/>
      <c r="V545" s="304"/>
      <c r="X545" s="349" t="s">
        <v>596</v>
      </c>
      <c r="AA545" s="304"/>
      <c r="AB545" s="304"/>
      <c r="AC545" s="304"/>
    </row>
    <row r="546" spans="2:41">
      <c r="B546" s="1223" t="s">
        <v>753</v>
      </c>
      <c r="C546" s="1224"/>
      <c r="D546" s="1224"/>
      <c r="E546" s="1224"/>
      <c r="F546" s="1225"/>
      <c r="G546" s="346"/>
      <c r="H546" s="359">
        <f>G546*H535</f>
        <v>0</v>
      </c>
      <c r="I546" s="346"/>
      <c r="J546" s="400">
        <f>I546*J535</f>
        <v>0</v>
      </c>
      <c r="L546" s="424"/>
      <c r="M546" s="424"/>
      <c r="N546" s="424"/>
      <c r="O546" s="424"/>
      <c r="P546" s="424"/>
      <c r="Q546" s="424"/>
      <c r="R546" s="424"/>
      <c r="S546" s="424"/>
      <c r="T546" s="424"/>
      <c r="U546" s="304"/>
      <c r="V546" s="304"/>
      <c r="X546" s="349" t="s">
        <v>683</v>
      </c>
      <c r="AA546" s="304"/>
      <c r="AB546" s="304"/>
      <c r="AC546" s="304"/>
    </row>
    <row r="547" spans="2:41">
      <c r="B547" s="1223" t="s">
        <v>754</v>
      </c>
      <c r="C547" s="1224"/>
      <c r="D547" s="1224"/>
      <c r="E547" s="1224"/>
      <c r="F547" s="1225"/>
      <c r="G547" s="421"/>
      <c r="H547" s="359">
        <f>G547*H535</f>
        <v>0</v>
      </c>
      <c r="I547" s="421"/>
      <c r="J547" s="400">
        <f>I547*J535</f>
        <v>0</v>
      </c>
      <c r="L547" s="424"/>
      <c r="M547" s="424"/>
      <c r="N547" s="424"/>
      <c r="O547" s="424"/>
      <c r="P547" s="424"/>
      <c r="Q547" s="424"/>
      <c r="R547" s="424"/>
      <c r="S547" s="424"/>
      <c r="T547" s="424"/>
      <c r="U547" s="304"/>
      <c r="V547" s="304"/>
      <c r="X547" s="349" t="s">
        <v>599</v>
      </c>
      <c r="AA547" s="304"/>
      <c r="AB547" s="304"/>
      <c r="AC547" s="304"/>
    </row>
    <row r="548" spans="2:41">
      <c r="B548" s="1288" t="s">
        <v>755</v>
      </c>
      <c r="C548" s="1289"/>
      <c r="D548" s="1289"/>
      <c r="E548" s="1289"/>
      <c r="F548" s="1289"/>
      <c r="G548" s="1290"/>
      <c r="H548" s="1290"/>
      <c r="I548" s="1290"/>
      <c r="J548" s="1291"/>
      <c r="L548" s="424"/>
      <c r="M548" s="424"/>
      <c r="N548" s="424"/>
      <c r="O548" s="424"/>
      <c r="P548" s="424"/>
      <c r="Q548" s="424"/>
      <c r="R548" s="424"/>
      <c r="S548" s="424"/>
      <c r="T548" s="424"/>
      <c r="U548" s="304"/>
      <c r="V548" s="304"/>
      <c r="X548" s="349" t="s">
        <v>603</v>
      </c>
      <c r="AA548" s="304"/>
      <c r="AB548" s="304"/>
      <c r="AC548" s="304"/>
    </row>
    <row r="549" spans="2:41" ht="16.5" customHeight="1">
      <c r="B549" s="1292" t="s">
        <v>756</v>
      </c>
      <c r="C549" s="1293"/>
      <c r="D549" s="1293"/>
      <c r="E549" s="1293"/>
      <c r="F549" s="1294"/>
      <c r="G549" s="422"/>
      <c r="H549" s="401">
        <f>G549*H535</f>
        <v>0</v>
      </c>
      <c r="I549" s="422"/>
      <c r="J549" s="402">
        <f>I549*J535</f>
        <v>0</v>
      </c>
      <c r="L549" s="424"/>
      <c r="M549" s="424"/>
      <c r="N549" s="424"/>
      <c r="O549" s="424"/>
      <c r="P549" s="424"/>
      <c r="Q549" s="424"/>
      <c r="R549" s="424"/>
      <c r="S549" s="424"/>
      <c r="T549" s="424"/>
      <c r="U549" s="304"/>
      <c r="V549" s="304"/>
      <c r="X549" s="349" t="s">
        <v>605</v>
      </c>
      <c r="AA549" s="304"/>
      <c r="AB549" s="304"/>
      <c r="AC549" s="304"/>
    </row>
    <row r="550" spans="2:41">
      <c r="B550" s="1229" t="s">
        <v>757</v>
      </c>
      <c r="C550" s="1230"/>
      <c r="D550" s="1230"/>
      <c r="E550" s="1230"/>
      <c r="F550" s="1230"/>
      <c r="G550" s="351"/>
      <c r="H550" s="351"/>
      <c r="I550" s="351"/>
      <c r="J550" s="352"/>
      <c r="L550" s="424"/>
      <c r="M550" s="424"/>
      <c r="N550" s="424"/>
      <c r="O550" s="424"/>
      <c r="P550" s="424"/>
      <c r="Q550" s="424"/>
      <c r="R550" s="424"/>
      <c r="S550" s="424"/>
      <c r="T550" s="424"/>
      <c r="U550" s="304"/>
      <c r="V550" s="304"/>
      <c r="Z550" s="304"/>
      <c r="AA550" s="304"/>
      <c r="AB550" s="304"/>
      <c r="AC550" s="304"/>
    </row>
    <row r="551" spans="2:41" ht="30.75" customHeight="1">
      <c r="B551" s="1231" t="s">
        <v>758</v>
      </c>
      <c r="C551" s="1232"/>
      <c r="D551" s="1232"/>
      <c r="E551" s="1232"/>
      <c r="F551" s="1233"/>
      <c r="G551" s="399"/>
      <c r="H551" s="359">
        <f>(G551*H535)*-1</f>
        <v>0</v>
      </c>
      <c r="I551" s="399"/>
      <c r="J551" s="400">
        <f>(I551*J535)*-1</f>
        <v>0</v>
      </c>
      <c r="L551" s="424"/>
      <c r="M551" s="424"/>
      <c r="N551" s="424"/>
      <c r="O551" s="424"/>
      <c r="P551" s="424"/>
      <c r="Q551" s="424"/>
      <c r="R551" s="424"/>
      <c r="S551" s="424"/>
      <c r="T551" s="424"/>
      <c r="U551" s="304"/>
      <c r="V551" s="304"/>
      <c r="Z551" s="304"/>
      <c r="AA551" s="304"/>
      <c r="AB551" s="304"/>
      <c r="AC551" s="304"/>
    </row>
    <row r="552" spans="2:41" ht="31.5" customHeight="1">
      <c r="B552" s="1234" t="s">
        <v>759</v>
      </c>
      <c r="C552" s="1235"/>
      <c r="D552" s="1235"/>
      <c r="E552" s="1235"/>
      <c r="F552" s="1236"/>
      <c r="G552" s="346"/>
      <c r="H552" s="401">
        <f>(G552*H535)*-1</f>
        <v>0</v>
      </c>
      <c r="I552" s="346"/>
      <c r="J552" s="402">
        <f>(I552*J535)*-1</f>
        <v>0</v>
      </c>
      <c r="L552" s="424"/>
      <c r="M552" s="424"/>
      <c r="N552" s="424"/>
      <c r="O552" s="424"/>
      <c r="P552" s="424"/>
      <c r="Q552" s="424"/>
      <c r="R552" s="424"/>
      <c r="S552" s="424"/>
      <c r="T552" s="424"/>
      <c r="U552" s="304"/>
      <c r="V552" s="304"/>
      <c r="Z552" s="304"/>
      <c r="AA552" s="304"/>
      <c r="AB552" s="304"/>
      <c r="AC552" s="304"/>
      <c r="AD552" s="304"/>
      <c r="AE552" s="304"/>
      <c r="AF552" s="304"/>
      <c r="AG552" s="304"/>
      <c r="AH552" s="304"/>
      <c r="AI552" s="304"/>
      <c r="AJ552" s="304"/>
      <c r="AK552" s="304"/>
      <c r="AL552" s="304"/>
      <c r="AM552" s="304"/>
      <c r="AN552" s="304"/>
      <c r="AO552" s="304"/>
    </row>
    <row r="553" spans="2:41" ht="32.25" customHeight="1">
      <c r="B553" s="1158" t="s">
        <v>740</v>
      </c>
      <c r="C553" s="1287"/>
      <c r="D553" s="1287"/>
      <c r="E553" s="1287"/>
      <c r="F553" s="1287"/>
      <c r="G553" s="1156">
        <f>SUM(H537:H552)</f>
        <v>0</v>
      </c>
      <c r="H553" s="1155"/>
      <c r="I553" s="1214">
        <f>SUM(J537:J552)</f>
        <v>0</v>
      </c>
      <c r="J553" s="1216"/>
      <c r="L553" s="424"/>
      <c r="M553" s="424"/>
      <c r="N553" s="424"/>
      <c r="O553" s="424"/>
      <c r="P553" s="424"/>
      <c r="Q553" s="424"/>
      <c r="R553" s="424"/>
      <c r="S553" s="424"/>
      <c r="T553" s="424"/>
      <c r="U553" s="304"/>
      <c r="V553" s="304"/>
      <c r="Z553" s="304"/>
      <c r="AA553" s="304"/>
      <c r="AB553" s="304"/>
      <c r="AC553" s="304"/>
      <c r="AD553" s="304"/>
      <c r="AE553" s="304"/>
      <c r="AF553" s="304"/>
      <c r="AG553" s="304"/>
      <c r="AH553" s="304"/>
      <c r="AI553" s="304"/>
      <c r="AJ553" s="304"/>
      <c r="AK553" s="304"/>
      <c r="AL553" s="304"/>
      <c r="AM553" s="304"/>
      <c r="AN553" s="304"/>
      <c r="AO553" s="304"/>
    </row>
    <row r="554" spans="2:41" ht="21">
      <c r="B554" s="1217" t="s">
        <v>760</v>
      </c>
      <c r="C554" s="1218"/>
      <c r="D554" s="1218"/>
      <c r="E554" s="1218"/>
      <c r="F554" s="1219"/>
      <c r="G554" s="1282" t="str">
        <f>IF(OR(Y533=0, I553=0), "12 Month Average", "24 Month Average")</f>
        <v>12 Month Average</v>
      </c>
      <c r="H554" s="1283"/>
      <c r="I554" s="1283"/>
      <c r="J554" s="1284"/>
      <c r="L554" s="424"/>
      <c r="M554" s="424"/>
      <c r="N554" s="424"/>
      <c r="O554" s="424"/>
      <c r="P554" s="424"/>
      <c r="Q554" s="424"/>
      <c r="R554" s="424"/>
      <c r="S554" s="424"/>
      <c r="T554" s="424"/>
      <c r="U554" s="304"/>
      <c r="V554" s="304"/>
      <c r="Z554" s="304"/>
      <c r="AA554" s="304"/>
      <c r="AB554" s="304"/>
      <c r="AC554" s="304"/>
      <c r="AD554" s="304"/>
      <c r="AE554" s="304"/>
      <c r="AF554" s="304"/>
      <c r="AG554" s="304"/>
      <c r="AH554" s="304"/>
      <c r="AI554" s="304"/>
      <c r="AJ554" s="304"/>
      <c r="AK554" s="304"/>
      <c r="AL554" s="304"/>
      <c r="AM554" s="304"/>
      <c r="AN554" s="304"/>
      <c r="AO554" s="304"/>
    </row>
    <row r="555" spans="2:41" ht="34.5" thickBot="1">
      <c r="B555" s="1220" t="s">
        <v>697</v>
      </c>
      <c r="C555" s="1221"/>
      <c r="D555" s="1221"/>
      <c r="E555" s="1221"/>
      <c r="F555" s="1222"/>
      <c r="G555" s="1167">
        <f xml:space="preserve"> IF(OR(Y533=0, I553=0),Y535,Y536)</f>
        <v>0</v>
      </c>
      <c r="H555" s="1168"/>
      <c r="I555" s="1168"/>
      <c r="J555" s="1169"/>
      <c r="N555" s="304"/>
      <c r="O555" s="304"/>
      <c r="P555" s="304"/>
      <c r="Q555" s="304"/>
      <c r="R555" s="304"/>
      <c r="S555" s="304"/>
      <c r="T555" s="304"/>
      <c r="U555" s="304"/>
      <c r="V555" s="304"/>
      <c r="Z555" s="304"/>
      <c r="AA555" s="304"/>
      <c r="AB555" s="304"/>
      <c r="AC555" s="304"/>
      <c r="AD555" s="304"/>
      <c r="AE555" s="304"/>
      <c r="AF555" s="304"/>
      <c r="AG555" s="304"/>
      <c r="AH555" s="304"/>
      <c r="AI555" s="304"/>
      <c r="AJ555" s="304"/>
      <c r="AK555" s="304"/>
      <c r="AL555" s="304"/>
      <c r="AM555" s="304"/>
      <c r="AN555" s="304"/>
      <c r="AO555" s="304"/>
    </row>
    <row r="556" spans="2:41" s="304" customFormat="1" ht="3" customHeight="1" thickBot="1">
      <c r="B556" s="78"/>
      <c r="C556" s="78"/>
      <c r="D556" s="78"/>
      <c r="E556" s="78"/>
      <c r="F556" s="78"/>
      <c r="G556" s="78"/>
      <c r="H556" s="330"/>
      <c r="I556" s="330"/>
      <c r="J556" s="78"/>
      <c r="W556" s="280"/>
      <c r="X556" s="280"/>
      <c r="Y556" s="280"/>
    </row>
    <row r="557" spans="2:41" s="304" customFormat="1" ht="135" customHeight="1" thickBot="1">
      <c r="B557" s="1148" t="s">
        <v>761</v>
      </c>
      <c r="C557" s="1285"/>
      <c r="D557" s="1285"/>
      <c r="E557" s="1285"/>
      <c r="F557" s="1285"/>
      <c r="G557" s="1285"/>
      <c r="H557" s="1285"/>
      <c r="I557" s="1285"/>
      <c r="J557" s="1286"/>
      <c r="W557" s="280"/>
      <c r="X557" s="280"/>
      <c r="Y557" s="280"/>
    </row>
    <row r="558" spans="2:41" s="280" customFormat="1">
      <c r="B558" s="423"/>
      <c r="C558" s="423"/>
      <c r="D558" s="423"/>
      <c r="E558" s="423"/>
      <c r="F558" s="423"/>
      <c r="G558" s="423"/>
      <c r="H558" s="423"/>
      <c r="I558" s="423"/>
      <c r="J558" s="423"/>
    </row>
    <row r="559" spans="2:41" ht="13.5" customHeight="1" thickBot="1"/>
    <row r="560" spans="2:41" s="404" customFormat="1" ht="69" customHeight="1">
      <c r="B560" s="1187" t="s">
        <v>741</v>
      </c>
      <c r="C560" s="1188"/>
      <c r="D560" s="1188"/>
      <c r="E560" s="1188"/>
      <c r="F560" s="1188"/>
      <c r="G560" s="1188"/>
      <c r="H560" s="1188"/>
      <c r="I560" s="1188"/>
      <c r="J560" s="331" t="str">
        <f>'[3]Reference Sheet'!$B$2</f>
        <v>Rev. 4.12.2016</v>
      </c>
      <c r="L560" s="424"/>
      <c r="M560" s="424"/>
      <c r="N560" s="424"/>
      <c r="O560" s="424"/>
      <c r="P560" s="424"/>
      <c r="Q560" s="424"/>
      <c r="R560" s="424"/>
      <c r="S560" s="424"/>
      <c r="T560" s="424"/>
      <c r="U560" s="367"/>
      <c r="V560" s="367"/>
      <c r="W560" s="405"/>
      <c r="X560" s="405"/>
      <c r="Y560" s="405"/>
      <c r="Z560" s="367"/>
      <c r="AA560" s="367"/>
      <c r="AB560" s="367"/>
      <c r="AC560" s="367"/>
    </row>
    <row r="561" spans="2:29" s="404" customFormat="1" ht="16.5" customHeight="1" thickBot="1">
      <c r="B561" s="332"/>
      <c r="C561" s="368" t="s">
        <v>710</v>
      </c>
      <c r="D561" s="1310"/>
      <c r="E561" s="1311"/>
      <c r="F561" s="1311"/>
      <c r="G561" s="1311"/>
      <c r="H561" s="333"/>
      <c r="I561" s="333"/>
      <c r="J561" s="334"/>
      <c r="L561" s="424"/>
      <c r="M561" s="424"/>
      <c r="N561" s="424"/>
      <c r="O561" s="424"/>
      <c r="P561" s="424"/>
      <c r="Q561" s="424"/>
      <c r="R561" s="424"/>
      <c r="S561" s="424"/>
      <c r="T561" s="424"/>
      <c r="U561" s="367"/>
      <c r="V561" s="367"/>
      <c r="W561" s="280"/>
      <c r="X561" s="280"/>
      <c r="Y561" s="280"/>
      <c r="Z561" s="304"/>
      <c r="AA561" s="304"/>
      <c r="AB561" s="367"/>
      <c r="AC561" s="367"/>
    </row>
    <row r="562" spans="2:29" s="404" customFormat="1" ht="15" customHeight="1" thickBot="1">
      <c r="B562" s="332"/>
      <c r="C562" s="368" t="s">
        <v>711</v>
      </c>
      <c r="D562" s="1312"/>
      <c r="E562" s="1313"/>
      <c r="F562" s="1313"/>
      <c r="G562" s="1313"/>
      <c r="H562" s="368" t="s">
        <v>712</v>
      </c>
      <c r="I562" s="1310"/>
      <c r="J562" s="1314"/>
      <c r="L562" s="424"/>
      <c r="M562" s="424"/>
      <c r="N562" s="424"/>
      <c r="O562" s="424"/>
      <c r="P562" s="424"/>
      <c r="Q562" s="424"/>
      <c r="R562" s="424"/>
      <c r="S562" s="424"/>
      <c r="T562" s="424"/>
      <c r="U562" s="367"/>
      <c r="V562" s="367"/>
      <c r="W562" s="280"/>
      <c r="X562" s="280" t="s">
        <v>680</v>
      </c>
      <c r="Y562" s="280">
        <f>IF(AND(J566=0, J568=0, J576=0, J577=0, J580=0, J582=0, I584=0), 0, 1)</f>
        <v>0</v>
      </c>
      <c r="Z562" s="304"/>
      <c r="AA562" s="304"/>
      <c r="AB562" s="367"/>
      <c r="AC562" s="367"/>
    </row>
    <row r="563" spans="2:29" ht="16.5" thickBot="1">
      <c r="B563" s="1176" t="s">
        <v>671</v>
      </c>
      <c r="C563" s="1177"/>
      <c r="D563" s="1315"/>
      <c r="E563" s="1316"/>
      <c r="F563" s="1316"/>
      <c r="G563" s="1316"/>
      <c r="H563" s="336" t="s">
        <v>673</v>
      </c>
      <c r="I563" s="1315"/>
      <c r="J563" s="1317"/>
      <c r="L563" s="424"/>
      <c r="M563" s="424"/>
      <c r="N563" s="424"/>
      <c r="O563" s="424"/>
      <c r="P563" s="424"/>
      <c r="Q563" s="424"/>
      <c r="R563" s="424"/>
      <c r="S563" s="424"/>
      <c r="T563" s="424"/>
      <c r="U563" s="304"/>
      <c r="V563" s="304"/>
      <c r="X563" s="280" t="s">
        <v>682</v>
      </c>
      <c r="Y563" s="280">
        <f>IF(AND(G584&lt;=I584, I584&lt;&gt;0), 0, 1)</f>
        <v>1</v>
      </c>
      <c r="Z563" s="304"/>
      <c r="AA563" s="304"/>
      <c r="AB563" s="304"/>
      <c r="AC563" s="304"/>
    </row>
    <row r="564" spans="2:29" ht="16.5" customHeight="1" thickBot="1">
      <c r="B564" s="1176" t="s">
        <v>674</v>
      </c>
      <c r="C564" s="1177"/>
      <c r="D564" s="1262"/>
      <c r="E564" s="1263"/>
      <c r="F564" s="1263"/>
      <c r="G564" s="1263"/>
      <c r="H564" s="1263"/>
      <c r="I564" s="1263"/>
      <c r="J564" s="1264"/>
      <c r="L564" s="424"/>
      <c r="M564" s="424"/>
      <c r="N564" s="424"/>
      <c r="O564" s="424"/>
      <c r="P564" s="424"/>
      <c r="Q564" s="424"/>
      <c r="R564" s="424"/>
      <c r="S564" s="424"/>
      <c r="T564" s="424"/>
      <c r="U564" s="304"/>
      <c r="V564" s="304"/>
      <c r="X564" s="280" t="s">
        <v>685</v>
      </c>
      <c r="Y564" s="280">
        <f>IF(AND(Y563=0, Y562=1), 0, 1)</f>
        <v>1</v>
      </c>
      <c r="Z564" s="304"/>
      <c r="AA564" s="304"/>
      <c r="AB564" s="304"/>
      <c r="AC564" s="304"/>
    </row>
    <row r="565" spans="2:29" ht="16.5" customHeight="1">
      <c r="B565" s="1265"/>
      <c r="C565" s="1266"/>
      <c r="D565" s="1266"/>
      <c r="E565" s="1266"/>
      <c r="F565" s="1267"/>
      <c r="G565" s="406" t="s">
        <v>713</v>
      </c>
      <c r="H565" s="372" t="s">
        <v>676</v>
      </c>
      <c r="I565" s="377"/>
      <c r="J565" s="407" t="s">
        <v>677</v>
      </c>
      <c r="L565" s="424"/>
      <c r="M565" s="424"/>
      <c r="N565" s="424"/>
      <c r="O565" s="424"/>
      <c r="P565" s="424"/>
      <c r="Q565" s="424"/>
      <c r="R565" s="424"/>
      <c r="S565" s="424"/>
      <c r="T565" s="424"/>
      <c r="U565" s="304"/>
      <c r="V565" s="304"/>
      <c r="Z565" s="304"/>
      <c r="AA565" s="304"/>
      <c r="AB565" s="304"/>
      <c r="AC565" s="304"/>
    </row>
    <row r="566" spans="2:29" ht="16.5" customHeight="1" thickBot="1">
      <c r="B566" s="1269"/>
      <c r="C566" s="1270"/>
      <c r="D566" s="1270"/>
      <c r="E566" s="1270"/>
      <c r="F566" s="1271"/>
      <c r="G566" s="408" t="s">
        <v>743</v>
      </c>
      <c r="H566" s="409"/>
      <c r="I566" s="377"/>
      <c r="J566" s="410"/>
      <c r="L566" s="424"/>
      <c r="M566" s="424"/>
      <c r="N566" s="424"/>
      <c r="O566" s="424"/>
      <c r="P566" s="424"/>
      <c r="Q566" s="424"/>
      <c r="R566" s="424"/>
      <c r="S566" s="424"/>
      <c r="T566" s="424"/>
      <c r="U566" s="304"/>
      <c r="V566" s="304"/>
      <c r="X566" s="280" t="s">
        <v>689</v>
      </c>
      <c r="Y566" s="362">
        <f>G584/12</f>
        <v>0</v>
      </c>
      <c r="Z566" s="304"/>
      <c r="AA566" s="304"/>
      <c r="AB566" s="304"/>
      <c r="AC566" s="304"/>
    </row>
    <row r="567" spans="2:29">
      <c r="B567" s="1229" t="s">
        <v>744</v>
      </c>
      <c r="C567" s="1273"/>
      <c r="D567" s="1273"/>
      <c r="E567" s="1273"/>
      <c r="F567" s="1273"/>
      <c r="G567" s="377" t="s">
        <v>719</v>
      </c>
      <c r="H567" s="381"/>
      <c r="I567" s="386" t="s">
        <v>719</v>
      </c>
      <c r="J567" s="382"/>
      <c r="L567" s="424"/>
      <c r="M567" s="424"/>
      <c r="N567" s="424"/>
      <c r="O567" s="424"/>
      <c r="P567" s="424"/>
      <c r="Q567" s="424"/>
      <c r="R567" s="424"/>
      <c r="S567" s="424"/>
      <c r="T567" s="424"/>
      <c r="U567" s="304"/>
      <c r="V567" s="304"/>
      <c r="X567" s="280" t="s">
        <v>691</v>
      </c>
      <c r="Y567" s="362">
        <f>(G584+I584)/24</f>
        <v>0</v>
      </c>
      <c r="Z567" s="304"/>
      <c r="AA567" s="304"/>
      <c r="AB567" s="304"/>
      <c r="AC567" s="304"/>
    </row>
    <row r="568" spans="2:29">
      <c r="B568" s="1305" t="s">
        <v>745</v>
      </c>
      <c r="C568" s="1306"/>
      <c r="D568" s="1306"/>
      <c r="E568" s="1306"/>
      <c r="F568" s="1307"/>
      <c r="G568" s="346"/>
      <c r="H568" s="359">
        <f>G568</f>
        <v>0</v>
      </c>
      <c r="I568" s="411"/>
      <c r="J568" s="400">
        <f>I568</f>
        <v>0</v>
      </c>
      <c r="L568" s="424"/>
      <c r="M568" s="424"/>
      <c r="N568" s="424"/>
      <c r="O568" s="424"/>
      <c r="P568" s="424"/>
      <c r="Q568" s="424"/>
      <c r="R568" s="424"/>
      <c r="S568" s="424"/>
      <c r="T568" s="424"/>
      <c r="U568" s="304"/>
      <c r="V568" s="304"/>
      <c r="Z568" s="304"/>
      <c r="AA568" s="304"/>
      <c r="AB568" s="304"/>
      <c r="AC568" s="304"/>
    </row>
    <row r="569" spans="2:29">
      <c r="B569" s="1308" t="s">
        <v>722</v>
      </c>
      <c r="C569" s="1309"/>
      <c r="D569" s="1309"/>
      <c r="E569" s="1309"/>
      <c r="F569" s="1309"/>
      <c r="G569" s="412"/>
      <c r="H569" s="413"/>
      <c r="I569" s="414"/>
      <c r="J569" s="415"/>
      <c r="L569" s="424"/>
      <c r="M569" s="424"/>
      <c r="N569" s="424"/>
      <c r="O569" s="424"/>
      <c r="P569" s="424"/>
      <c r="Q569" s="424"/>
      <c r="R569" s="424"/>
      <c r="S569" s="424"/>
      <c r="T569" s="424"/>
      <c r="U569" s="304"/>
      <c r="V569" s="304"/>
      <c r="Z569" s="304"/>
      <c r="AA569" s="304"/>
      <c r="AB569" s="304"/>
      <c r="AC569" s="304"/>
    </row>
    <row r="570" spans="2:29">
      <c r="B570" s="1248" t="s">
        <v>746</v>
      </c>
      <c r="C570" s="1249"/>
      <c r="D570" s="1249"/>
      <c r="E570" s="1249"/>
      <c r="F570" s="1250"/>
      <c r="G570" s="346"/>
      <c r="H570" s="387" t="str">
        <f>IF(OR(H566=0, H566&gt;100%), "Ownership %", (G570+G571))</f>
        <v>Ownership %</v>
      </c>
      <c r="I570" s="346"/>
      <c r="J570" s="388" t="str">
        <f>IF(OR(J566=0, J566&gt;100%), "Ownership %", (I570+I571))</f>
        <v>Ownership %</v>
      </c>
      <c r="L570" s="424"/>
      <c r="M570" s="424"/>
      <c r="N570" s="424"/>
      <c r="O570" s="424"/>
      <c r="P570" s="424"/>
      <c r="Q570" s="424"/>
      <c r="R570" s="424"/>
      <c r="S570" s="424"/>
      <c r="T570" s="424"/>
      <c r="U570" s="304"/>
      <c r="V570" s="304"/>
      <c r="X570" s="280" t="str">
        <f>IF(OR(Y564=0, I584=0), "12 Month Average", "24 Month Average")</f>
        <v>12 Month Average</v>
      </c>
      <c r="Z570" s="304"/>
      <c r="AA570" s="304"/>
      <c r="AB570" s="304"/>
      <c r="AC570" s="304"/>
    </row>
    <row r="571" spans="2:29">
      <c r="B571" s="1295" t="s">
        <v>747</v>
      </c>
      <c r="C571" s="1296"/>
      <c r="D571" s="1296"/>
      <c r="E571" s="1296"/>
      <c r="F571" s="1296"/>
      <c r="G571" s="346"/>
      <c r="H571" s="389"/>
      <c r="I571" s="346"/>
      <c r="J571" s="390"/>
      <c r="L571" s="424"/>
      <c r="M571" s="424"/>
      <c r="N571" s="424"/>
      <c r="O571" s="424"/>
      <c r="P571" s="424"/>
      <c r="Q571" s="424"/>
      <c r="R571" s="424"/>
      <c r="S571" s="424"/>
      <c r="T571" s="424"/>
      <c r="U571" s="304"/>
      <c r="V571" s="304"/>
      <c r="X571" s="280">
        <f xml:space="preserve"> IF(OR(Y564=0, I584=0),Y566,Y567)</f>
        <v>0</v>
      </c>
      <c r="Z571" s="304"/>
      <c r="AA571" s="304"/>
      <c r="AB571" s="304"/>
      <c r="AC571" s="304"/>
    </row>
    <row r="572" spans="2:29">
      <c r="B572" s="1297" t="s">
        <v>748</v>
      </c>
      <c r="C572" s="1298"/>
      <c r="D572" s="1298"/>
      <c r="E572" s="1298"/>
      <c r="F572" s="1298"/>
      <c r="G572" s="416"/>
      <c r="H572" s="416"/>
      <c r="I572" s="416"/>
      <c r="J572" s="417"/>
      <c r="L572" s="424"/>
      <c r="M572" s="424"/>
      <c r="N572" s="424"/>
      <c r="O572" s="424"/>
      <c r="P572" s="424"/>
      <c r="Q572" s="424"/>
      <c r="R572" s="424"/>
      <c r="S572" s="424"/>
      <c r="T572" s="424"/>
      <c r="U572" s="304"/>
      <c r="V572" s="304"/>
      <c r="Z572" s="304"/>
      <c r="AA572" s="304"/>
      <c r="AB572" s="304"/>
      <c r="AC572" s="304"/>
    </row>
    <row r="573" spans="2:29">
      <c r="B573" s="1299" t="s">
        <v>749</v>
      </c>
      <c r="C573" s="1300"/>
      <c r="D573" s="1300"/>
      <c r="E573" s="1300"/>
      <c r="F573" s="1301"/>
      <c r="G573" s="418"/>
      <c r="H573" s="419">
        <f>(G573*H566)*-1</f>
        <v>0</v>
      </c>
      <c r="I573" s="418"/>
      <c r="J573" s="420">
        <f>(I573*J566)*-1</f>
        <v>0</v>
      </c>
      <c r="L573" s="424"/>
      <c r="M573" s="424"/>
      <c r="N573" s="424"/>
      <c r="O573" s="424"/>
      <c r="P573" s="424"/>
      <c r="Q573" s="424"/>
      <c r="R573" s="424"/>
      <c r="S573" s="424"/>
      <c r="T573" s="424"/>
      <c r="U573" s="304"/>
      <c r="V573" s="304"/>
      <c r="X573" s="280" t="s">
        <v>717</v>
      </c>
      <c r="Y573" s="280" t="str">
        <f>IF(OR(H566=0, H566&gt;100%), "Ownership %", (G570+G571))</f>
        <v>Ownership %</v>
      </c>
      <c r="Z573" s="304"/>
      <c r="AA573" s="304"/>
      <c r="AB573" s="304"/>
      <c r="AC573" s="304"/>
    </row>
    <row r="574" spans="2:29">
      <c r="B574" s="1302" t="s">
        <v>750</v>
      </c>
      <c r="C574" s="1303"/>
      <c r="D574" s="1303"/>
      <c r="E574" s="1303"/>
      <c r="F574" s="1304"/>
      <c r="G574" s="418"/>
      <c r="H574" s="419">
        <f>(G574*H566)*-1</f>
        <v>0</v>
      </c>
      <c r="I574" s="418"/>
      <c r="J574" s="420">
        <f>(I574*J566)*-1</f>
        <v>0</v>
      </c>
      <c r="L574" s="424"/>
      <c r="M574" s="424"/>
      <c r="N574" s="424"/>
      <c r="O574" s="424"/>
      <c r="P574" s="424"/>
      <c r="Q574" s="424"/>
      <c r="R574" s="424"/>
      <c r="S574" s="424"/>
      <c r="T574" s="424"/>
      <c r="U574" s="304"/>
      <c r="V574" s="304"/>
      <c r="X574" s="280" t="s">
        <v>720</v>
      </c>
      <c r="Y574" s="280" t="str">
        <f>IF(OR(L577&gt;100%, L577=0), "Ownership %", I570+I571)</f>
        <v>Ownership %</v>
      </c>
      <c r="Z574" s="304"/>
      <c r="AA574" s="304"/>
      <c r="AB574" s="304"/>
      <c r="AC574" s="304"/>
    </row>
    <row r="575" spans="2:29">
      <c r="B575" s="1229" t="s">
        <v>751</v>
      </c>
      <c r="C575" s="1230"/>
      <c r="D575" s="1230"/>
      <c r="E575" s="1230"/>
      <c r="F575" s="1230"/>
      <c r="G575" s="351"/>
      <c r="H575" s="351"/>
      <c r="I575" s="351"/>
      <c r="J575" s="352"/>
      <c r="L575" s="424"/>
      <c r="M575" s="424"/>
      <c r="N575" s="424"/>
      <c r="O575" s="424"/>
      <c r="P575" s="424"/>
      <c r="Q575" s="424"/>
      <c r="R575" s="424"/>
      <c r="S575" s="424"/>
      <c r="T575" s="424"/>
      <c r="U575" s="304"/>
      <c r="V575" s="304"/>
      <c r="Z575" s="304"/>
      <c r="AA575" s="304"/>
      <c r="AB575" s="304"/>
      <c r="AC575" s="304"/>
    </row>
    <row r="576" spans="2:29">
      <c r="B576" s="1243" t="s">
        <v>752</v>
      </c>
      <c r="C576" s="1244"/>
      <c r="D576" s="1244"/>
      <c r="E576" s="1244"/>
      <c r="F576" s="1245"/>
      <c r="G576" s="346"/>
      <c r="H576" s="359">
        <f>G576*H566</f>
        <v>0</v>
      </c>
      <c r="I576" s="346"/>
      <c r="J576" s="400">
        <f>I576*J566</f>
        <v>0</v>
      </c>
      <c r="L576" s="424"/>
      <c r="M576" s="424"/>
      <c r="N576" s="424"/>
      <c r="O576" s="424"/>
      <c r="P576" s="424"/>
      <c r="Q576" s="424"/>
      <c r="R576" s="424"/>
      <c r="S576" s="424"/>
      <c r="T576" s="424"/>
      <c r="U576" s="304"/>
      <c r="V576" s="304"/>
      <c r="X576" s="349" t="s">
        <v>596</v>
      </c>
      <c r="AA576" s="304"/>
      <c r="AB576" s="304"/>
      <c r="AC576" s="304"/>
    </row>
    <row r="577" spans="2:41">
      <c r="B577" s="1223" t="s">
        <v>753</v>
      </c>
      <c r="C577" s="1224"/>
      <c r="D577" s="1224"/>
      <c r="E577" s="1224"/>
      <c r="F577" s="1225"/>
      <c r="G577" s="346"/>
      <c r="H577" s="359">
        <f>G577*H566</f>
        <v>0</v>
      </c>
      <c r="I577" s="346"/>
      <c r="J577" s="400">
        <f>I577*J566</f>
        <v>0</v>
      </c>
      <c r="L577" s="424"/>
      <c r="M577" s="424"/>
      <c r="N577" s="424"/>
      <c r="O577" s="424"/>
      <c r="P577" s="424"/>
      <c r="Q577" s="424"/>
      <c r="R577" s="424"/>
      <c r="S577" s="424"/>
      <c r="T577" s="424"/>
      <c r="U577" s="304"/>
      <c r="V577" s="304"/>
      <c r="X577" s="349" t="s">
        <v>683</v>
      </c>
      <c r="AA577" s="304"/>
      <c r="AB577" s="304"/>
      <c r="AC577" s="304"/>
    </row>
    <row r="578" spans="2:41">
      <c r="B578" s="1223" t="s">
        <v>754</v>
      </c>
      <c r="C578" s="1224"/>
      <c r="D578" s="1224"/>
      <c r="E578" s="1224"/>
      <c r="F578" s="1225"/>
      <c r="G578" s="421"/>
      <c r="H578" s="359">
        <f>G578*H566</f>
        <v>0</v>
      </c>
      <c r="I578" s="421"/>
      <c r="J578" s="400">
        <f>I578*J566</f>
        <v>0</v>
      </c>
      <c r="L578" s="424"/>
      <c r="M578" s="424"/>
      <c r="N578" s="424"/>
      <c r="O578" s="424"/>
      <c r="P578" s="424"/>
      <c r="Q578" s="424"/>
      <c r="R578" s="424"/>
      <c r="S578" s="424"/>
      <c r="T578" s="424"/>
      <c r="U578" s="304"/>
      <c r="V578" s="304"/>
      <c r="X578" s="349" t="s">
        <v>599</v>
      </c>
      <c r="AA578" s="304"/>
      <c r="AB578" s="304"/>
      <c r="AC578" s="304"/>
    </row>
    <row r="579" spans="2:41">
      <c r="B579" s="1288" t="s">
        <v>755</v>
      </c>
      <c r="C579" s="1289"/>
      <c r="D579" s="1289"/>
      <c r="E579" s="1289"/>
      <c r="F579" s="1289"/>
      <c r="G579" s="1290"/>
      <c r="H579" s="1290"/>
      <c r="I579" s="1290"/>
      <c r="J579" s="1291"/>
      <c r="L579" s="424"/>
      <c r="M579" s="424"/>
      <c r="N579" s="424"/>
      <c r="O579" s="424"/>
      <c r="P579" s="424"/>
      <c r="Q579" s="424"/>
      <c r="R579" s="424"/>
      <c r="S579" s="424"/>
      <c r="T579" s="424"/>
      <c r="U579" s="304"/>
      <c r="V579" s="304"/>
      <c r="X579" s="349" t="s">
        <v>603</v>
      </c>
      <c r="AA579" s="304"/>
      <c r="AB579" s="304"/>
      <c r="AC579" s="304"/>
    </row>
    <row r="580" spans="2:41" ht="16.5" customHeight="1">
      <c r="B580" s="1292" t="s">
        <v>756</v>
      </c>
      <c r="C580" s="1293"/>
      <c r="D580" s="1293"/>
      <c r="E580" s="1293"/>
      <c r="F580" s="1294"/>
      <c r="G580" s="422"/>
      <c r="H580" s="401">
        <f>G580*H566</f>
        <v>0</v>
      </c>
      <c r="I580" s="422"/>
      <c r="J580" s="402">
        <f>I580*J566</f>
        <v>0</v>
      </c>
      <c r="L580" s="424"/>
      <c r="M580" s="424"/>
      <c r="N580" s="424"/>
      <c r="O580" s="424"/>
      <c r="P580" s="424"/>
      <c r="Q580" s="424"/>
      <c r="R580" s="424"/>
      <c r="S580" s="424"/>
      <c r="T580" s="424"/>
      <c r="U580" s="304"/>
      <c r="V580" s="304"/>
      <c r="X580" s="349" t="s">
        <v>605</v>
      </c>
      <c r="AA580" s="304"/>
      <c r="AB580" s="304"/>
      <c r="AC580" s="304"/>
    </row>
    <row r="581" spans="2:41">
      <c r="B581" s="1229" t="s">
        <v>757</v>
      </c>
      <c r="C581" s="1230"/>
      <c r="D581" s="1230"/>
      <c r="E581" s="1230"/>
      <c r="F581" s="1230"/>
      <c r="G581" s="351"/>
      <c r="H581" s="351"/>
      <c r="I581" s="351"/>
      <c r="J581" s="352"/>
      <c r="L581" s="424"/>
      <c r="M581" s="424"/>
      <c r="N581" s="424"/>
      <c r="O581" s="424"/>
      <c r="P581" s="424"/>
      <c r="Q581" s="424"/>
      <c r="R581" s="424"/>
      <c r="S581" s="424"/>
      <c r="T581" s="424"/>
      <c r="U581" s="304"/>
      <c r="V581" s="304"/>
      <c r="Z581" s="304"/>
      <c r="AA581" s="304"/>
      <c r="AB581" s="304"/>
      <c r="AC581" s="304"/>
    </row>
    <row r="582" spans="2:41" ht="30.75" customHeight="1">
      <c r="B582" s="1231" t="s">
        <v>758</v>
      </c>
      <c r="C582" s="1232"/>
      <c r="D582" s="1232"/>
      <c r="E582" s="1232"/>
      <c r="F582" s="1233"/>
      <c r="G582" s="399"/>
      <c r="H582" s="359">
        <f>(G582*H566)*-1</f>
        <v>0</v>
      </c>
      <c r="I582" s="399"/>
      <c r="J582" s="400">
        <f>(I582*J566)*-1</f>
        <v>0</v>
      </c>
      <c r="L582" s="424"/>
      <c r="M582" s="424"/>
      <c r="N582" s="424"/>
      <c r="O582" s="424"/>
      <c r="P582" s="424"/>
      <c r="Q582" s="424"/>
      <c r="R582" s="424"/>
      <c r="S582" s="424"/>
      <c r="T582" s="424"/>
      <c r="U582" s="304"/>
      <c r="V582" s="304"/>
      <c r="Z582" s="304"/>
      <c r="AA582" s="304"/>
      <c r="AB582" s="304"/>
      <c r="AC582" s="304"/>
    </row>
    <row r="583" spans="2:41" ht="31.5" customHeight="1">
      <c r="B583" s="1234" t="s">
        <v>759</v>
      </c>
      <c r="C583" s="1235"/>
      <c r="D583" s="1235"/>
      <c r="E583" s="1235"/>
      <c r="F583" s="1236"/>
      <c r="G583" s="346"/>
      <c r="H583" s="401">
        <f>(G583*H566)*-1</f>
        <v>0</v>
      </c>
      <c r="I583" s="346"/>
      <c r="J583" s="402">
        <f>(I583*J566)*-1</f>
        <v>0</v>
      </c>
      <c r="L583" s="424"/>
      <c r="M583" s="424"/>
      <c r="N583" s="424"/>
      <c r="O583" s="424"/>
      <c r="P583" s="424"/>
      <c r="Q583" s="424"/>
      <c r="R583" s="424"/>
      <c r="S583" s="424"/>
      <c r="T583" s="424"/>
      <c r="U583" s="304"/>
      <c r="V583" s="304"/>
      <c r="Z583" s="304"/>
      <c r="AA583" s="304"/>
      <c r="AB583" s="304"/>
      <c r="AC583" s="304"/>
      <c r="AD583" s="304"/>
      <c r="AE583" s="304"/>
      <c r="AF583" s="304"/>
      <c r="AG583" s="304"/>
      <c r="AH583" s="304"/>
      <c r="AI583" s="304"/>
      <c r="AJ583" s="304"/>
      <c r="AK583" s="304"/>
      <c r="AL583" s="304"/>
      <c r="AM583" s="304"/>
      <c r="AN583" s="304"/>
      <c r="AO583" s="304"/>
    </row>
    <row r="584" spans="2:41" ht="32.25" customHeight="1">
      <c r="B584" s="1158" t="s">
        <v>740</v>
      </c>
      <c r="C584" s="1287"/>
      <c r="D584" s="1287"/>
      <c r="E584" s="1287"/>
      <c r="F584" s="1287"/>
      <c r="G584" s="1156">
        <f>SUM(H568:H583)</f>
        <v>0</v>
      </c>
      <c r="H584" s="1155"/>
      <c r="I584" s="1214">
        <f>SUM(J568:J583)</f>
        <v>0</v>
      </c>
      <c r="J584" s="1216"/>
      <c r="L584" s="424"/>
      <c r="M584" s="424"/>
      <c r="N584" s="424"/>
      <c r="O584" s="424"/>
      <c r="P584" s="424"/>
      <c r="Q584" s="424"/>
      <c r="R584" s="424"/>
      <c r="S584" s="424"/>
      <c r="T584" s="424"/>
      <c r="U584" s="304"/>
      <c r="V584" s="304"/>
      <c r="Z584" s="304"/>
      <c r="AA584" s="304"/>
      <c r="AB584" s="304"/>
      <c r="AC584" s="304"/>
      <c r="AD584" s="304"/>
      <c r="AE584" s="304"/>
      <c r="AF584" s="304"/>
      <c r="AG584" s="304"/>
      <c r="AH584" s="304"/>
      <c r="AI584" s="304"/>
      <c r="AJ584" s="304"/>
      <c r="AK584" s="304"/>
      <c r="AL584" s="304"/>
      <c r="AM584" s="304"/>
      <c r="AN584" s="304"/>
      <c r="AO584" s="304"/>
    </row>
    <row r="585" spans="2:41" ht="21">
      <c r="B585" s="1217" t="s">
        <v>760</v>
      </c>
      <c r="C585" s="1218"/>
      <c r="D585" s="1218"/>
      <c r="E585" s="1218"/>
      <c r="F585" s="1219"/>
      <c r="G585" s="1282" t="str">
        <f>IF(OR(Y564=0, I584=0), "12 Month Average", "24 Month Average")</f>
        <v>12 Month Average</v>
      </c>
      <c r="H585" s="1283"/>
      <c r="I585" s="1283"/>
      <c r="J585" s="1284"/>
      <c r="L585" s="424"/>
      <c r="M585" s="424"/>
      <c r="N585" s="424"/>
      <c r="O585" s="424"/>
      <c r="P585" s="424"/>
      <c r="Q585" s="424"/>
      <c r="R585" s="424"/>
      <c r="S585" s="424"/>
      <c r="T585" s="424"/>
      <c r="U585" s="304"/>
      <c r="V585" s="304"/>
      <c r="Z585" s="304"/>
      <c r="AA585" s="304"/>
      <c r="AB585" s="304"/>
      <c r="AC585" s="304"/>
      <c r="AD585" s="304"/>
      <c r="AE585" s="304"/>
      <c r="AF585" s="304"/>
      <c r="AG585" s="304"/>
      <c r="AH585" s="304"/>
      <c r="AI585" s="304"/>
      <c r="AJ585" s="304"/>
      <c r="AK585" s="304"/>
      <c r="AL585" s="304"/>
      <c r="AM585" s="304"/>
      <c r="AN585" s="304"/>
      <c r="AO585" s="304"/>
    </row>
    <row r="586" spans="2:41" ht="34.5" thickBot="1">
      <c r="B586" s="1220" t="s">
        <v>697</v>
      </c>
      <c r="C586" s="1221"/>
      <c r="D586" s="1221"/>
      <c r="E586" s="1221"/>
      <c r="F586" s="1222"/>
      <c r="G586" s="1167">
        <f xml:space="preserve"> IF(OR(Y564=0, I584=0),Y566,Y567)</f>
        <v>0</v>
      </c>
      <c r="H586" s="1168"/>
      <c r="I586" s="1168"/>
      <c r="J586" s="1169"/>
      <c r="N586" s="304"/>
      <c r="O586" s="304"/>
      <c r="P586" s="304"/>
      <c r="Q586" s="304"/>
      <c r="R586" s="304"/>
      <c r="S586" s="304"/>
      <c r="T586" s="304"/>
      <c r="U586" s="304"/>
      <c r="V586" s="304"/>
      <c r="Z586" s="304"/>
      <c r="AA586" s="304"/>
      <c r="AB586" s="304"/>
      <c r="AC586" s="304"/>
      <c r="AD586" s="304"/>
      <c r="AE586" s="304"/>
      <c r="AF586" s="304"/>
      <c r="AG586" s="304"/>
      <c r="AH586" s="304"/>
      <c r="AI586" s="304"/>
      <c r="AJ586" s="304"/>
      <c r="AK586" s="304"/>
      <c r="AL586" s="304"/>
      <c r="AM586" s="304"/>
      <c r="AN586" s="304"/>
      <c r="AO586" s="304"/>
    </row>
    <row r="587" spans="2:41" s="304" customFormat="1" ht="3" customHeight="1" thickBot="1">
      <c r="B587" s="78"/>
      <c r="C587" s="78"/>
      <c r="D587" s="78"/>
      <c r="E587" s="78"/>
      <c r="F587" s="78"/>
      <c r="G587" s="78"/>
      <c r="H587" s="330"/>
      <c r="I587" s="330"/>
      <c r="J587" s="78"/>
      <c r="W587" s="280"/>
      <c r="X587" s="280"/>
      <c r="Y587" s="280"/>
    </row>
    <row r="588" spans="2:41" s="304" customFormat="1" ht="135" customHeight="1" thickBot="1">
      <c r="B588" s="1148" t="s">
        <v>761</v>
      </c>
      <c r="C588" s="1285"/>
      <c r="D588" s="1285"/>
      <c r="E588" s="1285"/>
      <c r="F588" s="1285"/>
      <c r="G588" s="1285"/>
      <c r="H588" s="1285"/>
      <c r="I588" s="1285"/>
      <c r="J588" s="1286"/>
      <c r="W588" s="280"/>
      <c r="X588" s="280"/>
      <c r="Y588" s="280"/>
    </row>
    <row r="589" spans="2:41" s="280" customFormat="1">
      <c r="B589" s="423"/>
      <c r="C589" s="423"/>
      <c r="D589" s="423"/>
      <c r="E589" s="423"/>
      <c r="F589" s="423"/>
      <c r="G589" s="423"/>
      <c r="H589" s="423"/>
      <c r="I589" s="423"/>
      <c r="J589" s="423"/>
    </row>
    <row r="590" spans="2:41" ht="13.5" customHeight="1" thickBot="1"/>
    <row r="591" spans="2:41" s="404" customFormat="1" ht="69" customHeight="1">
      <c r="B591" s="1187" t="s">
        <v>741</v>
      </c>
      <c r="C591" s="1188"/>
      <c r="D591" s="1188"/>
      <c r="E591" s="1188"/>
      <c r="F591" s="1188"/>
      <c r="G591" s="1188"/>
      <c r="H591" s="1188"/>
      <c r="I591" s="1188"/>
      <c r="J591" s="331" t="str">
        <f>'[3]Reference Sheet'!$B$2</f>
        <v>Rev. 4.12.2016</v>
      </c>
      <c r="L591" s="424"/>
      <c r="M591" s="424"/>
      <c r="N591" s="424"/>
      <c r="O591" s="424"/>
      <c r="P591" s="424"/>
      <c r="Q591" s="424"/>
      <c r="R591" s="424"/>
      <c r="S591" s="424"/>
      <c r="T591" s="424"/>
      <c r="U591" s="367"/>
      <c r="V591" s="367"/>
      <c r="W591" s="405"/>
      <c r="X591" s="405"/>
      <c r="Y591" s="405"/>
      <c r="Z591" s="367"/>
      <c r="AA591" s="367"/>
      <c r="AB591" s="367"/>
      <c r="AC591" s="367"/>
    </row>
    <row r="592" spans="2:41" s="404" customFormat="1" ht="16.5" customHeight="1" thickBot="1">
      <c r="B592" s="332"/>
      <c r="C592" s="368" t="s">
        <v>710</v>
      </c>
      <c r="D592" s="1310"/>
      <c r="E592" s="1311"/>
      <c r="F592" s="1311"/>
      <c r="G592" s="1311"/>
      <c r="H592" s="333"/>
      <c r="I592" s="333"/>
      <c r="J592" s="334"/>
      <c r="L592" s="424"/>
      <c r="M592" s="424"/>
      <c r="N592" s="424"/>
      <c r="O592" s="424"/>
      <c r="P592" s="424"/>
      <c r="Q592" s="424"/>
      <c r="R592" s="424"/>
      <c r="S592" s="424"/>
      <c r="T592" s="424"/>
      <c r="U592" s="367"/>
      <c r="V592" s="367"/>
      <c r="W592" s="280"/>
      <c r="X592" s="280"/>
      <c r="Y592" s="280"/>
      <c r="Z592" s="304"/>
      <c r="AA592" s="304"/>
      <c r="AB592" s="367"/>
      <c r="AC592" s="367"/>
    </row>
    <row r="593" spans="2:29" s="404" customFormat="1" ht="15" customHeight="1" thickBot="1">
      <c r="B593" s="332"/>
      <c r="C593" s="368" t="s">
        <v>711</v>
      </c>
      <c r="D593" s="1312"/>
      <c r="E593" s="1313"/>
      <c r="F593" s="1313"/>
      <c r="G593" s="1313"/>
      <c r="H593" s="368" t="s">
        <v>712</v>
      </c>
      <c r="I593" s="1310"/>
      <c r="J593" s="1314"/>
      <c r="L593" s="424"/>
      <c r="M593" s="424"/>
      <c r="N593" s="424"/>
      <c r="O593" s="424"/>
      <c r="P593" s="424"/>
      <c r="Q593" s="424"/>
      <c r="R593" s="424"/>
      <c r="S593" s="424"/>
      <c r="T593" s="424"/>
      <c r="U593" s="367"/>
      <c r="V593" s="367"/>
      <c r="W593" s="280"/>
      <c r="X593" s="280" t="s">
        <v>680</v>
      </c>
      <c r="Y593" s="280">
        <f>IF(AND(J597=0, J599=0, J607=0, J608=0, J611=0, J613=0, I615=0), 0, 1)</f>
        <v>0</v>
      </c>
      <c r="Z593" s="304"/>
      <c r="AA593" s="304"/>
      <c r="AB593" s="367"/>
      <c r="AC593" s="367"/>
    </row>
    <row r="594" spans="2:29" ht="16.5" thickBot="1">
      <c r="B594" s="1176" t="s">
        <v>671</v>
      </c>
      <c r="C594" s="1177"/>
      <c r="D594" s="1315"/>
      <c r="E594" s="1316"/>
      <c r="F594" s="1316"/>
      <c r="G594" s="1316"/>
      <c r="H594" s="336" t="s">
        <v>673</v>
      </c>
      <c r="I594" s="1315"/>
      <c r="J594" s="1317"/>
      <c r="L594" s="424"/>
      <c r="M594" s="424"/>
      <c r="N594" s="424"/>
      <c r="O594" s="424"/>
      <c r="P594" s="424"/>
      <c r="Q594" s="424"/>
      <c r="R594" s="424"/>
      <c r="S594" s="424"/>
      <c r="T594" s="424"/>
      <c r="U594" s="304"/>
      <c r="V594" s="304"/>
      <c r="X594" s="280" t="s">
        <v>682</v>
      </c>
      <c r="Y594" s="280">
        <f>IF(AND(G615&lt;=I615, I615&lt;&gt;0), 0, 1)</f>
        <v>1</v>
      </c>
      <c r="Z594" s="304"/>
      <c r="AA594" s="304"/>
      <c r="AB594" s="304"/>
      <c r="AC594" s="304"/>
    </row>
    <row r="595" spans="2:29" ht="16.5" customHeight="1" thickBot="1">
      <c r="B595" s="1176" t="s">
        <v>674</v>
      </c>
      <c r="C595" s="1177"/>
      <c r="D595" s="1262"/>
      <c r="E595" s="1263"/>
      <c r="F595" s="1263"/>
      <c r="G595" s="1263"/>
      <c r="H595" s="1263"/>
      <c r="I595" s="1263"/>
      <c r="J595" s="1264"/>
      <c r="L595" s="424"/>
      <c r="M595" s="424"/>
      <c r="N595" s="424"/>
      <c r="O595" s="424"/>
      <c r="P595" s="424"/>
      <c r="Q595" s="424"/>
      <c r="R595" s="424"/>
      <c r="S595" s="424"/>
      <c r="T595" s="424"/>
      <c r="U595" s="304"/>
      <c r="V595" s="304"/>
      <c r="X595" s="280" t="s">
        <v>685</v>
      </c>
      <c r="Y595" s="280">
        <f>IF(AND(Y594=0, Y593=1), 0, 1)</f>
        <v>1</v>
      </c>
      <c r="Z595" s="304"/>
      <c r="AA595" s="304"/>
      <c r="AB595" s="304"/>
      <c r="AC595" s="304"/>
    </row>
    <row r="596" spans="2:29" ht="16.5" customHeight="1">
      <c r="B596" s="1265"/>
      <c r="C596" s="1266"/>
      <c r="D596" s="1266"/>
      <c r="E596" s="1266"/>
      <c r="F596" s="1267"/>
      <c r="G596" s="406" t="s">
        <v>713</v>
      </c>
      <c r="H596" s="372" t="s">
        <v>676</v>
      </c>
      <c r="I596" s="377"/>
      <c r="J596" s="407" t="s">
        <v>677</v>
      </c>
      <c r="L596" s="424"/>
      <c r="M596" s="424"/>
      <c r="N596" s="424"/>
      <c r="O596" s="424"/>
      <c r="P596" s="424"/>
      <c r="Q596" s="424"/>
      <c r="R596" s="424"/>
      <c r="S596" s="424"/>
      <c r="T596" s="424"/>
      <c r="U596" s="304"/>
      <c r="V596" s="304"/>
      <c r="Z596" s="304"/>
      <c r="AA596" s="304"/>
      <c r="AB596" s="304"/>
      <c r="AC596" s="304"/>
    </row>
    <row r="597" spans="2:29" ht="16.5" customHeight="1" thickBot="1">
      <c r="B597" s="1269"/>
      <c r="C597" s="1270"/>
      <c r="D597" s="1270"/>
      <c r="E597" s="1270"/>
      <c r="F597" s="1271"/>
      <c r="G597" s="408" t="s">
        <v>743</v>
      </c>
      <c r="H597" s="409"/>
      <c r="I597" s="377"/>
      <c r="J597" s="410"/>
      <c r="L597" s="424"/>
      <c r="M597" s="424"/>
      <c r="N597" s="424"/>
      <c r="O597" s="424"/>
      <c r="P597" s="424"/>
      <c r="Q597" s="424"/>
      <c r="R597" s="424"/>
      <c r="S597" s="424"/>
      <c r="T597" s="424"/>
      <c r="U597" s="304"/>
      <c r="V597" s="304"/>
      <c r="X597" s="280" t="s">
        <v>689</v>
      </c>
      <c r="Y597" s="362">
        <f>G615/12</f>
        <v>0</v>
      </c>
      <c r="Z597" s="304"/>
      <c r="AA597" s="304"/>
      <c r="AB597" s="304"/>
      <c r="AC597" s="304"/>
    </row>
    <row r="598" spans="2:29">
      <c r="B598" s="1229" t="s">
        <v>744</v>
      </c>
      <c r="C598" s="1273"/>
      <c r="D598" s="1273"/>
      <c r="E598" s="1273"/>
      <c r="F598" s="1273"/>
      <c r="G598" s="377" t="s">
        <v>719</v>
      </c>
      <c r="H598" s="381"/>
      <c r="I598" s="386" t="s">
        <v>719</v>
      </c>
      <c r="J598" s="382"/>
      <c r="L598" s="424"/>
      <c r="M598" s="424"/>
      <c r="N598" s="424"/>
      <c r="O598" s="424"/>
      <c r="P598" s="424"/>
      <c r="Q598" s="424"/>
      <c r="R598" s="424"/>
      <c r="S598" s="424"/>
      <c r="T598" s="424"/>
      <c r="U598" s="304"/>
      <c r="V598" s="304"/>
      <c r="X598" s="280" t="s">
        <v>691</v>
      </c>
      <c r="Y598" s="362">
        <f>(G615+I615)/24</f>
        <v>0</v>
      </c>
      <c r="Z598" s="304"/>
      <c r="AA598" s="304"/>
      <c r="AB598" s="304"/>
      <c r="AC598" s="304"/>
    </row>
    <row r="599" spans="2:29">
      <c r="B599" s="1305" t="s">
        <v>745</v>
      </c>
      <c r="C599" s="1306"/>
      <c r="D599" s="1306"/>
      <c r="E599" s="1306"/>
      <c r="F599" s="1307"/>
      <c r="G599" s="346"/>
      <c r="H599" s="359">
        <f>G599</f>
        <v>0</v>
      </c>
      <c r="I599" s="411"/>
      <c r="J599" s="400">
        <f>I599</f>
        <v>0</v>
      </c>
      <c r="L599" s="424"/>
      <c r="M599" s="424"/>
      <c r="N599" s="424"/>
      <c r="O599" s="424"/>
      <c r="P599" s="424"/>
      <c r="Q599" s="424"/>
      <c r="R599" s="424"/>
      <c r="S599" s="424"/>
      <c r="T599" s="424"/>
      <c r="U599" s="304"/>
      <c r="V599" s="304"/>
      <c r="Z599" s="304"/>
      <c r="AA599" s="304"/>
      <c r="AB599" s="304"/>
      <c r="AC599" s="304"/>
    </row>
    <row r="600" spans="2:29">
      <c r="B600" s="1308" t="s">
        <v>722</v>
      </c>
      <c r="C600" s="1309"/>
      <c r="D600" s="1309"/>
      <c r="E600" s="1309"/>
      <c r="F600" s="1309"/>
      <c r="G600" s="412"/>
      <c r="H600" s="413"/>
      <c r="I600" s="414"/>
      <c r="J600" s="415"/>
      <c r="L600" s="424"/>
      <c r="M600" s="424"/>
      <c r="N600" s="424"/>
      <c r="O600" s="424"/>
      <c r="P600" s="424"/>
      <c r="Q600" s="424"/>
      <c r="R600" s="424"/>
      <c r="S600" s="424"/>
      <c r="T600" s="424"/>
      <c r="U600" s="304"/>
      <c r="V600" s="304"/>
      <c r="Z600" s="304"/>
      <c r="AA600" s="304"/>
      <c r="AB600" s="304"/>
      <c r="AC600" s="304"/>
    </row>
    <row r="601" spans="2:29">
      <c r="B601" s="1248" t="s">
        <v>746</v>
      </c>
      <c r="C601" s="1249"/>
      <c r="D601" s="1249"/>
      <c r="E601" s="1249"/>
      <c r="F601" s="1250"/>
      <c r="G601" s="346"/>
      <c r="H601" s="387" t="str">
        <f>IF(OR(H597=0, H597&gt;100%), "Ownership %", (G601+G602))</f>
        <v>Ownership %</v>
      </c>
      <c r="I601" s="346"/>
      <c r="J601" s="388" t="str">
        <f>IF(OR(J597=0, J597&gt;100%), "Ownership %", (I601+I602))</f>
        <v>Ownership %</v>
      </c>
      <c r="L601" s="424"/>
      <c r="M601" s="424"/>
      <c r="N601" s="424"/>
      <c r="O601" s="424"/>
      <c r="P601" s="424"/>
      <c r="Q601" s="424"/>
      <c r="R601" s="424"/>
      <c r="S601" s="424"/>
      <c r="T601" s="424"/>
      <c r="U601" s="304"/>
      <c r="V601" s="304"/>
      <c r="X601" s="280" t="str">
        <f>IF(OR(Y595=0, I615=0), "12 Month Average", "24 Month Average")</f>
        <v>12 Month Average</v>
      </c>
      <c r="Z601" s="304"/>
      <c r="AA601" s="304"/>
      <c r="AB601" s="304"/>
      <c r="AC601" s="304"/>
    </row>
    <row r="602" spans="2:29">
      <c r="B602" s="1295" t="s">
        <v>747</v>
      </c>
      <c r="C602" s="1296"/>
      <c r="D602" s="1296"/>
      <c r="E602" s="1296"/>
      <c r="F602" s="1296"/>
      <c r="G602" s="346"/>
      <c r="H602" s="389"/>
      <c r="I602" s="346"/>
      <c r="J602" s="390"/>
      <c r="L602" s="424"/>
      <c r="M602" s="424"/>
      <c r="N602" s="424"/>
      <c r="O602" s="424"/>
      <c r="P602" s="424"/>
      <c r="Q602" s="424"/>
      <c r="R602" s="424"/>
      <c r="S602" s="424"/>
      <c r="T602" s="424"/>
      <c r="U602" s="304"/>
      <c r="V602" s="304"/>
      <c r="X602" s="280">
        <f xml:space="preserve"> IF(OR(Y595=0, I615=0),Y597,Y598)</f>
        <v>0</v>
      </c>
      <c r="Z602" s="304"/>
      <c r="AA602" s="304"/>
      <c r="AB602" s="304"/>
      <c r="AC602" s="304"/>
    </row>
    <row r="603" spans="2:29">
      <c r="B603" s="1297" t="s">
        <v>748</v>
      </c>
      <c r="C603" s="1298"/>
      <c r="D603" s="1298"/>
      <c r="E603" s="1298"/>
      <c r="F603" s="1298"/>
      <c r="G603" s="416"/>
      <c r="H603" s="416"/>
      <c r="I603" s="416"/>
      <c r="J603" s="417"/>
      <c r="L603" s="424"/>
      <c r="M603" s="424"/>
      <c r="N603" s="424"/>
      <c r="O603" s="424"/>
      <c r="P603" s="424"/>
      <c r="Q603" s="424"/>
      <c r="R603" s="424"/>
      <c r="S603" s="424"/>
      <c r="T603" s="424"/>
      <c r="U603" s="304"/>
      <c r="V603" s="304"/>
      <c r="Z603" s="304"/>
      <c r="AA603" s="304"/>
      <c r="AB603" s="304"/>
      <c r="AC603" s="304"/>
    </row>
    <row r="604" spans="2:29">
      <c r="B604" s="1299" t="s">
        <v>749</v>
      </c>
      <c r="C604" s="1300"/>
      <c r="D604" s="1300"/>
      <c r="E604" s="1300"/>
      <c r="F604" s="1301"/>
      <c r="G604" s="418"/>
      <c r="H604" s="419">
        <f>(G604*H597)*-1</f>
        <v>0</v>
      </c>
      <c r="I604" s="418"/>
      <c r="J604" s="420">
        <f>(I604*J597)*-1</f>
        <v>0</v>
      </c>
      <c r="L604" s="424"/>
      <c r="M604" s="424"/>
      <c r="N604" s="424"/>
      <c r="O604" s="424"/>
      <c r="P604" s="424"/>
      <c r="Q604" s="424"/>
      <c r="R604" s="424"/>
      <c r="S604" s="424"/>
      <c r="T604" s="424"/>
      <c r="U604" s="304"/>
      <c r="V604" s="304"/>
      <c r="X604" s="280" t="s">
        <v>717</v>
      </c>
      <c r="Y604" s="280" t="str">
        <f>IF(OR(H597=0, H597&gt;100%), "Ownership %", (G601+G602))</f>
        <v>Ownership %</v>
      </c>
      <c r="Z604" s="304"/>
      <c r="AA604" s="304"/>
      <c r="AB604" s="304"/>
      <c r="AC604" s="304"/>
    </row>
    <row r="605" spans="2:29">
      <c r="B605" s="1302" t="s">
        <v>750</v>
      </c>
      <c r="C605" s="1303"/>
      <c r="D605" s="1303"/>
      <c r="E605" s="1303"/>
      <c r="F605" s="1304"/>
      <c r="G605" s="418"/>
      <c r="H605" s="419">
        <f>(G605*H597)*-1</f>
        <v>0</v>
      </c>
      <c r="I605" s="418"/>
      <c r="J605" s="420">
        <f>(I605*J597)*-1</f>
        <v>0</v>
      </c>
      <c r="L605" s="424"/>
      <c r="M605" s="424"/>
      <c r="N605" s="424"/>
      <c r="O605" s="424"/>
      <c r="P605" s="424"/>
      <c r="Q605" s="424"/>
      <c r="R605" s="424"/>
      <c r="S605" s="424"/>
      <c r="T605" s="424"/>
      <c r="U605" s="304"/>
      <c r="V605" s="304"/>
      <c r="X605" s="280" t="s">
        <v>720</v>
      </c>
      <c r="Y605" s="280" t="str">
        <f>IF(OR(L608&gt;100%, L608=0), "Ownership %", I601+I602)</f>
        <v>Ownership %</v>
      </c>
      <c r="Z605" s="304"/>
      <c r="AA605" s="304"/>
      <c r="AB605" s="304"/>
      <c r="AC605" s="304"/>
    </row>
    <row r="606" spans="2:29">
      <c r="B606" s="1229" t="s">
        <v>751</v>
      </c>
      <c r="C606" s="1230"/>
      <c r="D606" s="1230"/>
      <c r="E606" s="1230"/>
      <c r="F606" s="1230"/>
      <c r="G606" s="351"/>
      <c r="H606" s="351"/>
      <c r="I606" s="351"/>
      <c r="J606" s="352"/>
      <c r="L606" s="424"/>
      <c r="M606" s="424"/>
      <c r="N606" s="424"/>
      <c r="O606" s="424"/>
      <c r="P606" s="424"/>
      <c r="Q606" s="424"/>
      <c r="R606" s="424"/>
      <c r="S606" s="424"/>
      <c r="T606" s="424"/>
      <c r="U606" s="304"/>
      <c r="V606" s="304"/>
      <c r="Z606" s="304"/>
      <c r="AA606" s="304"/>
      <c r="AB606" s="304"/>
      <c r="AC606" s="304"/>
    </row>
    <row r="607" spans="2:29">
      <c r="B607" s="1243" t="s">
        <v>752</v>
      </c>
      <c r="C607" s="1244"/>
      <c r="D607" s="1244"/>
      <c r="E607" s="1244"/>
      <c r="F607" s="1245"/>
      <c r="G607" s="346"/>
      <c r="H607" s="359">
        <f>G607*H597</f>
        <v>0</v>
      </c>
      <c r="I607" s="346"/>
      <c r="J607" s="400">
        <f>I607*J597</f>
        <v>0</v>
      </c>
      <c r="L607" s="424"/>
      <c r="M607" s="424"/>
      <c r="N607" s="424"/>
      <c r="O607" s="424"/>
      <c r="P607" s="424"/>
      <c r="Q607" s="424"/>
      <c r="R607" s="424"/>
      <c r="S607" s="424"/>
      <c r="T607" s="424"/>
      <c r="U607" s="304"/>
      <c r="V607" s="304"/>
      <c r="X607" s="349" t="s">
        <v>596</v>
      </c>
      <c r="AA607" s="304"/>
      <c r="AB607" s="304"/>
      <c r="AC607" s="304"/>
    </row>
    <row r="608" spans="2:29">
      <c r="B608" s="1223" t="s">
        <v>753</v>
      </c>
      <c r="C608" s="1224"/>
      <c r="D608" s="1224"/>
      <c r="E608" s="1224"/>
      <c r="F608" s="1225"/>
      <c r="G608" s="346"/>
      <c r="H608" s="359">
        <f>G608*H597</f>
        <v>0</v>
      </c>
      <c r="I608" s="346"/>
      <c r="J608" s="400">
        <f>I608*J597</f>
        <v>0</v>
      </c>
      <c r="L608" s="424"/>
      <c r="M608" s="424"/>
      <c r="N608" s="424"/>
      <c r="O608" s="424"/>
      <c r="P608" s="424"/>
      <c r="Q608" s="424"/>
      <c r="R608" s="424"/>
      <c r="S608" s="424"/>
      <c r="T608" s="424"/>
      <c r="U608" s="304"/>
      <c r="V608" s="304"/>
      <c r="X608" s="349" t="s">
        <v>683</v>
      </c>
      <c r="AA608" s="304"/>
      <c r="AB608" s="304"/>
      <c r="AC608" s="304"/>
    </row>
    <row r="609" spans="2:41">
      <c r="B609" s="1223" t="s">
        <v>754</v>
      </c>
      <c r="C609" s="1224"/>
      <c r="D609" s="1224"/>
      <c r="E609" s="1224"/>
      <c r="F609" s="1225"/>
      <c r="G609" s="421"/>
      <c r="H609" s="359">
        <f>G609*H597</f>
        <v>0</v>
      </c>
      <c r="I609" s="421"/>
      <c r="J609" s="400">
        <f>I609*J597</f>
        <v>0</v>
      </c>
      <c r="L609" s="424"/>
      <c r="M609" s="424"/>
      <c r="N609" s="424"/>
      <c r="O609" s="424"/>
      <c r="P609" s="424"/>
      <c r="Q609" s="424"/>
      <c r="R609" s="424"/>
      <c r="S609" s="424"/>
      <c r="T609" s="424"/>
      <c r="U609" s="304"/>
      <c r="V609" s="304"/>
      <c r="X609" s="349" t="s">
        <v>599</v>
      </c>
      <c r="AA609" s="304"/>
      <c r="AB609" s="304"/>
      <c r="AC609" s="304"/>
    </row>
    <row r="610" spans="2:41">
      <c r="B610" s="1288" t="s">
        <v>755</v>
      </c>
      <c r="C610" s="1289"/>
      <c r="D610" s="1289"/>
      <c r="E610" s="1289"/>
      <c r="F610" s="1289"/>
      <c r="G610" s="1290"/>
      <c r="H610" s="1290"/>
      <c r="I610" s="1290"/>
      <c r="J610" s="1291"/>
      <c r="L610" s="424"/>
      <c r="M610" s="424"/>
      <c r="N610" s="424"/>
      <c r="O610" s="424"/>
      <c r="P610" s="424"/>
      <c r="Q610" s="424"/>
      <c r="R610" s="424"/>
      <c r="S610" s="424"/>
      <c r="T610" s="424"/>
      <c r="U610" s="304"/>
      <c r="V610" s="304"/>
      <c r="X610" s="349" t="s">
        <v>603</v>
      </c>
      <c r="AA610" s="304"/>
      <c r="AB610" s="304"/>
      <c r="AC610" s="304"/>
    </row>
    <row r="611" spans="2:41" ht="16.5" customHeight="1">
      <c r="B611" s="1292" t="s">
        <v>756</v>
      </c>
      <c r="C611" s="1293"/>
      <c r="D611" s="1293"/>
      <c r="E611" s="1293"/>
      <c r="F611" s="1294"/>
      <c r="G611" s="422"/>
      <c r="H611" s="401">
        <f>G611*H597</f>
        <v>0</v>
      </c>
      <c r="I611" s="422"/>
      <c r="J611" s="402">
        <f>I611*J597</f>
        <v>0</v>
      </c>
      <c r="L611" s="424"/>
      <c r="M611" s="424"/>
      <c r="N611" s="424"/>
      <c r="O611" s="424"/>
      <c r="P611" s="424"/>
      <c r="Q611" s="424"/>
      <c r="R611" s="424"/>
      <c r="S611" s="424"/>
      <c r="T611" s="424"/>
      <c r="U611" s="304"/>
      <c r="V611" s="304"/>
      <c r="X611" s="349" t="s">
        <v>605</v>
      </c>
      <c r="AA611" s="304"/>
      <c r="AB611" s="304"/>
      <c r="AC611" s="304"/>
    </row>
    <row r="612" spans="2:41">
      <c r="B612" s="1229" t="s">
        <v>757</v>
      </c>
      <c r="C612" s="1230"/>
      <c r="D612" s="1230"/>
      <c r="E612" s="1230"/>
      <c r="F612" s="1230"/>
      <c r="G612" s="351"/>
      <c r="H612" s="351"/>
      <c r="I612" s="351"/>
      <c r="J612" s="352"/>
      <c r="L612" s="424"/>
      <c r="M612" s="424"/>
      <c r="N612" s="424"/>
      <c r="O612" s="424"/>
      <c r="P612" s="424"/>
      <c r="Q612" s="424"/>
      <c r="R612" s="424"/>
      <c r="S612" s="424"/>
      <c r="T612" s="424"/>
      <c r="U612" s="304"/>
      <c r="V612" s="304"/>
      <c r="Z612" s="304"/>
      <c r="AA612" s="304"/>
      <c r="AB612" s="304"/>
      <c r="AC612" s="304"/>
    </row>
    <row r="613" spans="2:41" ht="30.75" customHeight="1">
      <c r="B613" s="1231" t="s">
        <v>758</v>
      </c>
      <c r="C613" s="1232"/>
      <c r="D613" s="1232"/>
      <c r="E613" s="1232"/>
      <c r="F613" s="1233"/>
      <c r="G613" s="399"/>
      <c r="H613" s="359">
        <f>(G613*H597)*-1</f>
        <v>0</v>
      </c>
      <c r="I613" s="399"/>
      <c r="J613" s="400">
        <f>(I613*J597)*-1</f>
        <v>0</v>
      </c>
      <c r="L613" s="424"/>
      <c r="M613" s="424"/>
      <c r="N613" s="424"/>
      <c r="O613" s="424"/>
      <c r="P613" s="424"/>
      <c r="Q613" s="424"/>
      <c r="R613" s="424"/>
      <c r="S613" s="424"/>
      <c r="T613" s="424"/>
      <c r="U613" s="304"/>
      <c r="V613" s="304"/>
      <c r="Z613" s="304"/>
      <c r="AA613" s="304"/>
      <c r="AB613" s="304"/>
      <c r="AC613" s="304"/>
    </row>
    <row r="614" spans="2:41" ht="31.5" customHeight="1">
      <c r="B614" s="1234" t="s">
        <v>759</v>
      </c>
      <c r="C614" s="1235"/>
      <c r="D614" s="1235"/>
      <c r="E614" s="1235"/>
      <c r="F614" s="1236"/>
      <c r="G614" s="346"/>
      <c r="H614" s="401">
        <f>(G614*H597)*-1</f>
        <v>0</v>
      </c>
      <c r="I614" s="346"/>
      <c r="J614" s="402">
        <f>(I614*J597)*-1</f>
        <v>0</v>
      </c>
      <c r="L614" s="424"/>
      <c r="M614" s="424"/>
      <c r="N614" s="424"/>
      <c r="O614" s="424"/>
      <c r="P614" s="424"/>
      <c r="Q614" s="424"/>
      <c r="R614" s="424"/>
      <c r="S614" s="424"/>
      <c r="T614" s="424"/>
      <c r="U614" s="304"/>
      <c r="V614" s="304"/>
      <c r="Z614" s="304"/>
      <c r="AA614" s="304"/>
      <c r="AB614" s="304"/>
      <c r="AC614" s="304"/>
      <c r="AD614" s="304"/>
      <c r="AE614" s="304"/>
      <c r="AF614" s="304"/>
      <c r="AG614" s="304"/>
      <c r="AH614" s="304"/>
      <c r="AI614" s="304"/>
      <c r="AJ614" s="304"/>
      <c r="AK614" s="304"/>
      <c r="AL614" s="304"/>
      <c r="AM614" s="304"/>
      <c r="AN614" s="304"/>
      <c r="AO614" s="304"/>
    </row>
    <row r="615" spans="2:41" ht="32.25" customHeight="1">
      <c r="B615" s="1158" t="s">
        <v>740</v>
      </c>
      <c r="C615" s="1287"/>
      <c r="D615" s="1287"/>
      <c r="E615" s="1287"/>
      <c r="F615" s="1287"/>
      <c r="G615" s="1156">
        <f>SUM(H599:H614)</f>
        <v>0</v>
      </c>
      <c r="H615" s="1155"/>
      <c r="I615" s="1214">
        <f>SUM(J599:J614)</f>
        <v>0</v>
      </c>
      <c r="J615" s="1216"/>
      <c r="L615" s="424"/>
      <c r="M615" s="424"/>
      <c r="N615" s="424"/>
      <c r="O615" s="424"/>
      <c r="P615" s="424"/>
      <c r="Q615" s="424"/>
      <c r="R615" s="424"/>
      <c r="S615" s="424"/>
      <c r="T615" s="424"/>
      <c r="U615" s="304"/>
      <c r="V615" s="304"/>
      <c r="Z615" s="304"/>
      <c r="AA615" s="304"/>
      <c r="AB615" s="304"/>
      <c r="AC615" s="304"/>
      <c r="AD615" s="304"/>
      <c r="AE615" s="304"/>
      <c r="AF615" s="304"/>
      <c r="AG615" s="304"/>
      <c r="AH615" s="304"/>
      <c r="AI615" s="304"/>
      <c r="AJ615" s="304"/>
      <c r="AK615" s="304"/>
      <c r="AL615" s="304"/>
      <c r="AM615" s="304"/>
      <c r="AN615" s="304"/>
      <c r="AO615" s="304"/>
    </row>
    <row r="616" spans="2:41" ht="21">
      <c r="B616" s="1217" t="s">
        <v>760</v>
      </c>
      <c r="C616" s="1218"/>
      <c r="D616" s="1218"/>
      <c r="E616" s="1218"/>
      <c r="F616" s="1219"/>
      <c r="G616" s="1282" t="str">
        <f>IF(OR(Y595=0, I615=0), "12 Month Average", "24 Month Average")</f>
        <v>12 Month Average</v>
      </c>
      <c r="H616" s="1283"/>
      <c r="I616" s="1283"/>
      <c r="J616" s="1284"/>
      <c r="L616" s="424"/>
      <c r="M616" s="424"/>
      <c r="N616" s="424"/>
      <c r="O616" s="424"/>
      <c r="P616" s="424"/>
      <c r="Q616" s="424"/>
      <c r="R616" s="424"/>
      <c r="S616" s="424"/>
      <c r="T616" s="424"/>
      <c r="U616" s="304"/>
      <c r="V616" s="304"/>
      <c r="Z616" s="304"/>
      <c r="AA616" s="304"/>
      <c r="AB616" s="304"/>
      <c r="AC616" s="304"/>
      <c r="AD616" s="304"/>
      <c r="AE616" s="304"/>
      <c r="AF616" s="304"/>
      <c r="AG616" s="304"/>
      <c r="AH616" s="304"/>
      <c r="AI616" s="304"/>
      <c r="AJ616" s="304"/>
      <c r="AK616" s="304"/>
      <c r="AL616" s="304"/>
      <c r="AM616" s="304"/>
      <c r="AN616" s="304"/>
      <c r="AO616" s="304"/>
    </row>
    <row r="617" spans="2:41" ht="34.5" thickBot="1">
      <c r="B617" s="1220" t="s">
        <v>697</v>
      </c>
      <c r="C617" s="1221"/>
      <c r="D617" s="1221"/>
      <c r="E617" s="1221"/>
      <c r="F617" s="1222"/>
      <c r="G617" s="1167">
        <f xml:space="preserve"> IF(OR(Y595=0, I615=0),Y597,Y598)</f>
        <v>0</v>
      </c>
      <c r="H617" s="1168"/>
      <c r="I617" s="1168"/>
      <c r="J617" s="1169"/>
      <c r="N617" s="304"/>
      <c r="O617" s="304"/>
      <c r="P617" s="304"/>
      <c r="Q617" s="304"/>
      <c r="R617" s="304"/>
      <c r="S617" s="304"/>
      <c r="T617" s="304"/>
      <c r="U617" s="304"/>
      <c r="V617" s="304"/>
      <c r="Z617" s="304"/>
      <c r="AA617" s="304"/>
      <c r="AB617" s="304"/>
      <c r="AC617" s="304"/>
      <c r="AD617" s="304"/>
      <c r="AE617" s="304"/>
      <c r="AF617" s="304"/>
      <c r="AG617" s="304"/>
      <c r="AH617" s="304"/>
      <c r="AI617" s="304"/>
      <c r="AJ617" s="304"/>
      <c r="AK617" s="304"/>
      <c r="AL617" s="304"/>
      <c r="AM617" s="304"/>
      <c r="AN617" s="304"/>
      <c r="AO617" s="304"/>
    </row>
    <row r="618" spans="2:41" s="304" customFormat="1" ht="3" customHeight="1" thickBot="1">
      <c r="B618" s="78"/>
      <c r="C618" s="78"/>
      <c r="D618" s="78"/>
      <c r="E618" s="78"/>
      <c r="F618" s="78"/>
      <c r="G618" s="78"/>
      <c r="H618" s="330"/>
      <c r="I618" s="330"/>
      <c r="J618" s="78"/>
      <c r="W618" s="280"/>
      <c r="X618" s="280"/>
      <c r="Y618" s="280"/>
    </row>
    <row r="619" spans="2:41" s="304" customFormat="1" ht="135" customHeight="1" thickBot="1">
      <c r="B619" s="1148" t="s">
        <v>761</v>
      </c>
      <c r="C619" s="1285"/>
      <c r="D619" s="1285"/>
      <c r="E619" s="1285"/>
      <c r="F619" s="1285"/>
      <c r="G619" s="1285"/>
      <c r="H619" s="1285"/>
      <c r="I619" s="1285"/>
      <c r="J619" s="1286"/>
      <c r="W619" s="280"/>
      <c r="X619" s="280"/>
      <c r="Y619" s="280"/>
    </row>
    <row r="620" spans="2:41" s="280" customFormat="1">
      <c r="B620" s="423"/>
      <c r="C620" s="423"/>
      <c r="D620" s="423"/>
      <c r="E620" s="423"/>
      <c r="F620" s="423"/>
      <c r="G620" s="423"/>
      <c r="H620" s="423"/>
      <c r="I620" s="423"/>
      <c r="J620" s="423"/>
    </row>
  </sheetData>
  <sheetProtection algorithmName="SHA-512" hashValue="SqAnoCWJWai1HfPI6aP2zrnip8zd9Ijs8S4Xa9m0xaFiOYB6sjH6JydyMqaF2JoWWhsgmGNX5+KGtBKiObsBqQ==" saltValue="iuZus7furDg1paimsVz46A==" spinCount="100000" sheet="1" objects="1" scenarios="1" selectLockedCells="1"/>
  <mergeCells count="721">
    <mergeCell ref="B2:I2"/>
    <mergeCell ref="L2:T27"/>
    <mergeCell ref="D3:G3"/>
    <mergeCell ref="D4:G4"/>
    <mergeCell ref="I4:J4"/>
    <mergeCell ref="B5:C5"/>
    <mergeCell ref="D5:G5"/>
    <mergeCell ref="I5:J5"/>
    <mergeCell ref="B6:C6"/>
    <mergeCell ref="D6:J6"/>
    <mergeCell ref="B14:F14"/>
    <mergeCell ref="B15:F15"/>
    <mergeCell ref="B16:F16"/>
    <mergeCell ref="B17:F17"/>
    <mergeCell ref="B18:F18"/>
    <mergeCell ref="B19:F19"/>
    <mergeCell ref="B7:F8"/>
    <mergeCell ref="B9:F9"/>
    <mergeCell ref="B10:F10"/>
    <mergeCell ref="B11:F11"/>
    <mergeCell ref="B12:F12"/>
    <mergeCell ref="B13:F13"/>
    <mergeCell ref="B25:F25"/>
    <mergeCell ref="B26:F26"/>
    <mergeCell ref="G26:H26"/>
    <mergeCell ref="I26:J26"/>
    <mergeCell ref="B27:F27"/>
    <mergeCell ref="G27:J27"/>
    <mergeCell ref="B20:F20"/>
    <mergeCell ref="B21:F21"/>
    <mergeCell ref="G21:J21"/>
    <mergeCell ref="B22:F22"/>
    <mergeCell ref="B23:F23"/>
    <mergeCell ref="B24:F24"/>
    <mergeCell ref="B36:C36"/>
    <mergeCell ref="D36:G36"/>
    <mergeCell ref="I36:J36"/>
    <mergeCell ref="B37:C37"/>
    <mergeCell ref="D37:J37"/>
    <mergeCell ref="B38:F39"/>
    <mergeCell ref="B28:F28"/>
    <mergeCell ref="G28:J28"/>
    <mergeCell ref="B30:J30"/>
    <mergeCell ref="B33:I33"/>
    <mergeCell ref="D34:G34"/>
    <mergeCell ref="D35:G35"/>
    <mergeCell ref="I35:J35"/>
    <mergeCell ref="B46:F46"/>
    <mergeCell ref="B47:F47"/>
    <mergeCell ref="B48:F48"/>
    <mergeCell ref="B49:F49"/>
    <mergeCell ref="B50:F50"/>
    <mergeCell ref="B51:F51"/>
    <mergeCell ref="B40:F40"/>
    <mergeCell ref="B41:F41"/>
    <mergeCell ref="B42:F42"/>
    <mergeCell ref="B43:F43"/>
    <mergeCell ref="B44:F44"/>
    <mergeCell ref="B45:F45"/>
    <mergeCell ref="B57:F57"/>
    <mergeCell ref="G57:H57"/>
    <mergeCell ref="I57:J57"/>
    <mergeCell ref="B58:F58"/>
    <mergeCell ref="G58:J58"/>
    <mergeCell ref="B59:F59"/>
    <mergeCell ref="G59:J59"/>
    <mergeCell ref="B52:F52"/>
    <mergeCell ref="G52:J52"/>
    <mergeCell ref="B53:F53"/>
    <mergeCell ref="B54:F54"/>
    <mergeCell ref="B55:F55"/>
    <mergeCell ref="B56:F56"/>
    <mergeCell ref="B68:C68"/>
    <mergeCell ref="D68:J68"/>
    <mergeCell ref="B69:F70"/>
    <mergeCell ref="B71:F71"/>
    <mergeCell ref="B72:F72"/>
    <mergeCell ref="B73:F73"/>
    <mergeCell ref="B61:J61"/>
    <mergeCell ref="B64:I64"/>
    <mergeCell ref="D65:G65"/>
    <mergeCell ref="D66:G66"/>
    <mergeCell ref="I66:J66"/>
    <mergeCell ref="B67:C67"/>
    <mergeCell ref="D67:G67"/>
    <mergeCell ref="I67:J67"/>
    <mergeCell ref="B80:F80"/>
    <mergeCell ref="B81:F81"/>
    <mergeCell ref="B82:F82"/>
    <mergeCell ref="B83:F83"/>
    <mergeCell ref="G83:J83"/>
    <mergeCell ref="B84:F84"/>
    <mergeCell ref="B74:F74"/>
    <mergeCell ref="B75:F75"/>
    <mergeCell ref="B76:F76"/>
    <mergeCell ref="B77:F77"/>
    <mergeCell ref="B78:F78"/>
    <mergeCell ref="B79:F79"/>
    <mergeCell ref="B89:F89"/>
    <mergeCell ref="G89:J89"/>
    <mergeCell ref="B90:F90"/>
    <mergeCell ref="G90:J90"/>
    <mergeCell ref="B92:J92"/>
    <mergeCell ref="B95:I95"/>
    <mergeCell ref="B85:F85"/>
    <mergeCell ref="B86:F86"/>
    <mergeCell ref="B87:F87"/>
    <mergeCell ref="B88:F88"/>
    <mergeCell ref="G88:H88"/>
    <mergeCell ref="I88:J88"/>
    <mergeCell ref="B99:C99"/>
    <mergeCell ref="D99:J99"/>
    <mergeCell ref="B100:F101"/>
    <mergeCell ref="B102:F102"/>
    <mergeCell ref="B103:F103"/>
    <mergeCell ref="B104:F104"/>
    <mergeCell ref="D96:G96"/>
    <mergeCell ref="D97:G97"/>
    <mergeCell ref="I97:J97"/>
    <mergeCell ref="B98:C98"/>
    <mergeCell ref="D98:G98"/>
    <mergeCell ref="I98:J98"/>
    <mergeCell ref="B111:F111"/>
    <mergeCell ref="B112:F112"/>
    <mergeCell ref="B113:F113"/>
    <mergeCell ref="B114:F114"/>
    <mergeCell ref="G114:J114"/>
    <mergeCell ref="B115:F115"/>
    <mergeCell ref="B105:F105"/>
    <mergeCell ref="B106:F106"/>
    <mergeCell ref="B107:F107"/>
    <mergeCell ref="B108:F108"/>
    <mergeCell ref="B109:F109"/>
    <mergeCell ref="B110:F110"/>
    <mergeCell ref="B120:F120"/>
    <mergeCell ref="G120:J120"/>
    <mergeCell ref="B121:F121"/>
    <mergeCell ref="G121:J121"/>
    <mergeCell ref="B123:J123"/>
    <mergeCell ref="B126:I126"/>
    <mergeCell ref="B116:F116"/>
    <mergeCell ref="B117:F117"/>
    <mergeCell ref="B118:F118"/>
    <mergeCell ref="B119:F119"/>
    <mergeCell ref="G119:H119"/>
    <mergeCell ref="I119:J119"/>
    <mergeCell ref="B130:C130"/>
    <mergeCell ref="D130:J130"/>
    <mergeCell ref="B131:F132"/>
    <mergeCell ref="B133:F133"/>
    <mergeCell ref="B134:F134"/>
    <mergeCell ref="B135:F135"/>
    <mergeCell ref="D127:G127"/>
    <mergeCell ref="D128:G128"/>
    <mergeCell ref="I128:J128"/>
    <mergeCell ref="B129:C129"/>
    <mergeCell ref="D129:G129"/>
    <mergeCell ref="I129:J129"/>
    <mergeCell ref="B142:F142"/>
    <mergeCell ref="B143:F143"/>
    <mergeCell ref="B144:F144"/>
    <mergeCell ref="B145:F145"/>
    <mergeCell ref="G145:J145"/>
    <mergeCell ref="B146:F146"/>
    <mergeCell ref="B136:F136"/>
    <mergeCell ref="B137:F137"/>
    <mergeCell ref="B138:F138"/>
    <mergeCell ref="B139:F139"/>
    <mergeCell ref="B140:F140"/>
    <mergeCell ref="B141:F141"/>
    <mergeCell ref="B151:F151"/>
    <mergeCell ref="G151:J151"/>
    <mergeCell ref="B152:F152"/>
    <mergeCell ref="G152:J152"/>
    <mergeCell ref="B154:J154"/>
    <mergeCell ref="B157:I157"/>
    <mergeCell ref="B147:F147"/>
    <mergeCell ref="B148:F148"/>
    <mergeCell ref="B149:F149"/>
    <mergeCell ref="B150:F150"/>
    <mergeCell ref="G150:H150"/>
    <mergeCell ref="I150:J150"/>
    <mergeCell ref="B161:C161"/>
    <mergeCell ref="D161:J161"/>
    <mergeCell ref="B162:F163"/>
    <mergeCell ref="B164:F164"/>
    <mergeCell ref="B165:F165"/>
    <mergeCell ref="B166:F166"/>
    <mergeCell ref="D158:G158"/>
    <mergeCell ref="D159:G159"/>
    <mergeCell ref="I159:J159"/>
    <mergeCell ref="B160:C160"/>
    <mergeCell ref="D160:G160"/>
    <mergeCell ref="I160:J160"/>
    <mergeCell ref="B173:F173"/>
    <mergeCell ref="B174:F174"/>
    <mergeCell ref="B175:F175"/>
    <mergeCell ref="B176:F176"/>
    <mergeCell ref="G176:J176"/>
    <mergeCell ref="B177:F177"/>
    <mergeCell ref="B167:F167"/>
    <mergeCell ref="B168:F168"/>
    <mergeCell ref="B169:F169"/>
    <mergeCell ref="B170:F170"/>
    <mergeCell ref="B171:F171"/>
    <mergeCell ref="B172:F172"/>
    <mergeCell ref="B182:F182"/>
    <mergeCell ref="G182:J182"/>
    <mergeCell ref="B183:F183"/>
    <mergeCell ref="G183:J183"/>
    <mergeCell ref="B185:J185"/>
    <mergeCell ref="B188:I188"/>
    <mergeCell ref="B178:F178"/>
    <mergeCell ref="B179:F179"/>
    <mergeCell ref="B180:F180"/>
    <mergeCell ref="B181:F181"/>
    <mergeCell ref="G181:H181"/>
    <mergeCell ref="I181:J181"/>
    <mergeCell ref="B192:C192"/>
    <mergeCell ref="D192:J192"/>
    <mergeCell ref="B193:F194"/>
    <mergeCell ref="B195:F195"/>
    <mergeCell ref="B196:F196"/>
    <mergeCell ref="B197:F197"/>
    <mergeCell ref="D189:G189"/>
    <mergeCell ref="D190:G190"/>
    <mergeCell ref="I190:J190"/>
    <mergeCell ref="B191:C191"/>
    <mergeCell ref="D191:G191"/>
    <mergeCell ref="I191:J191"/>
    <mergeCell ref="B204:F204"/>
    <mergeCell ref="B205:F205"/>
    <mergeCell ref="B206:F206"/>
    <mergeCell ref="B207:F207"/>
    <mergeCell ref="G207:J207"/>
    <mergeCell ref="B208:F208"/>
    <mergeCell ref="B198:F198"/>
    <mergeCell ref="B199:F199"/>
    <mergeCell ref="B200:F200"/>
    <mergeCell ref="B201:F201"/>
    <mergeCell ref="B202:F202"/>
    <mergeCell ref="B203:F203"/>
    <mergeCell ref="B213:F213"/>
    <mergeCell ref="G213:J213"/>
    <mergeCell ref="B214:F214"/>
    <mergeCell ref="G214:J214"/>
    <mergeCell ref="B216:J216"/>
    <mergeCell ref="B219:I219"/>
    <mergeCell ref="B209:F209"/>
    <mergeCell ref="B210:F210"/>
    <mergeCell ref="B211:F211"/>
    <mergeCell ref="B212:F212"/>
    <mergeCell ref="G212:H212"/>
    <mergeCell ref="I212:J212"/>
    <mergeCell ref="B223:C223"/>
    <mergeCell ref="D223:J223"/>
    <mergeCell ref="B224:F225"/>
    <mergeCell ref="B226:F226"/>
    <mergeCell ref="B227:F227"/>
    <mergeCell ref="B228:F228"/>
    <mergeCell ref="D220:G220"/>
    <mergeCell ref="D221:G221"/>
    <mergeCell ref="I221:J221"/>
    <mergeCell ref="B222:C222"/>
    <mergeCell ref="D222:G222"/>
    <mergeCell ref="I222:J222"/>
    <mergeCell ref="B235:F235"/>
    <mergeCell ref="B236:F236"/>
    <mergeCell ref="B237:F237"/>
    <mergeCell ref="B238:F238"/>
    <mergeCell ref="G238:J238"/>
    <mergeCell ref="B239:F239"/>
    <mergeCell ref="B229:F229"/>
    <mergeCell ref="B230:F230"/>
    <mergeCell ref="B231:F231"/>
    <mergeCell ref="B232:F232"/>
    <mergeCell ref="B233:F233"/>
    <mergeCell ref="B234:F234"/>
    <mergeCell ref="B244:F244"/>
    <mergeCell ref="G244:J244"/>
    <mergeCell ref="B245:F245"/>
    <mergeCell ref="G245:J245"/>
    <mergeCell ref="B247:J247"/>
    <mergeCell ref="B250:I250"/>
    <mergeCell ref="B240:F240"/>
    <mergeCell ref="B241:F241"/>
    <mergeCell ref="B242:F242"/>
    <mergeCell ref="B243:F243"/>
    <mergeCell ref="G243:H243"/>
    <mergeCell ref="I243:J243"/>
    <mergeCell ref="B254:C254"/>
    <mergeCell ref="D254:J254"/>
    <mergeCell ref="B255:F256"/>
    <mergeCell ref="B257:F257"/>
    <mergeCell ref="B258:F258"/>
    <mergeCell ref="B259:F259"/>
    <mergeCell ref="D251:G251"/>
    <mergeCell ref="D252:G252"/>
    <mergeCell ref="I252:J252"/>
    <mergeCell ref="B253:C253"/>
    <mergeCell ref="D253:G253"/>
    <mergeCell ref="I253:J253"/>
    <mergeCell ref="B266:F266"/>
    <mergeCell ref="B267:F267"/>
    <mergeCell ref="B268:F268"/>
    <mergeCell ref="B269:F269"/>
    <mergeCell ref="G269:J269"/>
    <mergeCell ref="B270:F270"/>
    <mergeCell ref="B260:F260"/>
    <mergeCell ref="B261:F261"/>
    <mergeCell ref="B262:F262"/>
    <mergeCell ref="B263:F263"/>
    <mergeCell ref="B264:F264"/>
    <mergeCell ref="B265:F265"/>
    <mergeCell ref="B275:F275"/>
    <mergeCell ref="G275:J275"/>
    <mergeCell ref="B276:F276"/>
    <mergeCell ref="G276:J276"/>
    <mergeCell ref="B278:J278"/>
    <mergeCell ref="B281:I281"/>
    <mergeCell ref="B271:F271"/>
    <mergeCell ref="B272:F272"/>
    <mergeCell ref="B273:F273"/>
    <mergeCell ref="B274:F274"/>
    <mergeCell ref="G274:H274"/>
    <mergeCell ref="I274:J274"/>
    <mergeCell ref="B285:C285"/>
    <mergeCell ref="D285:J285"/>
    <mergeCell ref="B286:F287"/>
    <mergeCell ref="B288:F288"/>
    <mergeCell ref="B289:F289"/>
    <mergeCell ref="B290:F290"/>
    <mergeCell ref="D282:G282"/>
    <mergeCell ref="D283:G283"/>
    <mergeCell ref="I283:J283"/>
    <mergeCell ref="B284:C284"/>
    <mergeCell ref="D284:G284"/>
    <mergeCell ref="I284:J284"/>
    <mergeCell ref="B297:F297"/>
    <mergeCell ref="B298:F298"/>
    <mergeCell ref="B299:F299"/>
    <mergeCell ref="B300:F300"/>
    <mergeCell ref="G300:J300"/>
    <mergeCell ref="B301:F301"/>
    <mergeCell ref="B291:F291"/>
    <mergeCell ref="B292:F292"/>
    <mergeCell ref="B293:F293"/>
    <mergeCell ref="B294:F294"/>
    <mergeCell ref="B295:F295"/>
    <mergeCell ref="B296:F296"/>
    <mergeCell ref="B306:F306"/>
    <mergeCell ref="G306:J306"/>
    <mergeCell ref="B307:F307"/>
    <mergeCell ref="G307:J307"/>
    <mergeCell ref="B309:J309"/>
    <mergeCell ref="B312:I312"/>
    <mergeCell ref="B302:F302"/>
    <mergeCell ref="B303:F303"/>
    <mergeCell ref="B304:F304"/>
    <mergeCell ref="B305:F305"/>
    <mergeCell ref="G305:H305"/>
    <mergeCell ref="I305:J305"/>
    <mergeCell ref="B316:C316"/>
    <mergeCell ref="D316:J316"/>
    <mergeCell ref="B317:F318"/>
    <mergeCell ref="B319:F319"/>
    <mergeCell ref="B320:F320"/>
    <mergeCell ref="B321:F321"/>
    <mergeCell ref="D313:G313"/>
    <mergeCell ref="D314:G314"/>
    <mergeCell ref="I314:J314"/>
    <mergeCell ref="B315:C315"/>
    <mergeCell ref="D315:G315"/>
    <mergeCell ref="I315:J315"/>
    <mergeCell ref="B328:F328"/>
    <mergeCell ref="B329:F329"/>
    <mergeCell ref="B330:F330"/>
    <mergeCell ref="B331:F331"/>
    <mergeCell ref="G331:J331"/>
    <mergeCell ref="B332:F332"/>
    <mergeCell ref="B322:F322"/>
    <mergeCell ref="B323:F323"/>
    <mergeCell ref="B324:F324"/>
    <mergeCell ref="B325:F325"/>
    <mergeCell ref="B326:F326"/>
    <mergeCell ref="B327:F327"/>
    <mergeCell ref="B337:F337"/>
    <mergeCell ref="G337:J337"/>
    <mergeCell ref="B338:F338"/>
    <mergeCell ref="G338:J338"/>
    <mergeCell ref="B340:J340"/>
    <mergeCell ref="B343:I343"/>
    <mergeCell ref="B333:F333"/>
    <mergeCell ref="B334:F334"/>
    <mergeCell ref="B335:F335"/>
    <mergeCell ref="B336:F336"/>
    <mergeCell ref="G336:H336"/>
    <mergeCell ref="I336:J336"/>
    <mergeCell ref="B347:C347"/>
    <mergeCell ref="D347:J347"/>
    <mergeCell ref="B348:F349"/>
    <mergeCell ref="B350:F350"/>
    <mergeCell ref="B351:F351"/>
    <mergeCell ref="B352:F352"/>
    <mergeCell ref="D344:G344"/>
    <mergeCell ref="D345:G345"/>
    <mergeCell ref="I345:J345"/>
    <mergeCell ref="B346:C346"/>
    <mergeCell ref="D346:G346"/>
    <mergeCell ref="I346:J346"/>
    <mergeCell ref="B359:F359"/>
    <mergeCell ref="B360:F360"/>
    <mergeCell ref="B361:F361"/>
    <mergeCell ref="B362:F362"/>
    <mergeCell ref="G362:J362"/>
    <mergeCell ref="B363:F363"/>
    <mergeCell ref="B353:F353"/>
    <mergeCell ref="B354:F354"/>
    <mergeCell ref="B355:F355"/>
    <mergeCell ref="B356:F356"/>
    <mergeCell ref="B357:F357"/>
    <mergeCell ref="B358:F358"/>
    <mergeCell ref="B368:F368"/>
    <mergeCell ref="G368:J368"/>
    <mergeCell ref="B369:F369"/>
    <mergeCell ref="G369:J369"/>
    <mergeCell ref="B371:J371"/>
    <mergeCell ref="B374:I374"/>
    <mergeCell ref="B364:F364"/>
    <mergeCell ref="B365:F365"/>
    <mergeCell ref="B366:F366"/>
    <mergeCell ref="B367:F367"/>
    <mergeCell ref="G367:H367"/>
    <mergeCell ref="I367:J367"/>
    <mergeCell ref="B378:C378"/>
    <mergeCell ref="D378:J378"/>
    <mergeCell ref="B379:F380"/>
    <mergeCell ref="B381:F381"/>
    <mergeCell ref="B382:F382"/>
    <mergeCell ref="B383:F383"/>
    <mergeCell ref="D375:G375"/>
    <mergeCell ref="D376:G376"/>
    <mergeCell ref="I376:J376"/>
    <mergeCell ref="B377:C377"/>
    <mergeCell ref="D377:G377"/>
    <mergeCell ref="I377:J377"/>
    <mergeCell ref="B390:F390"/>
    <mergeCell ref="B391:F391"/>
    <mergeCell ref="B392:F392"/>
    <mergeCell ref="B393:F393"/>
    <mergeCell ref="G393:J393"/>
    <mergeCell ref="B394:F394"/>
    <mergeCell ref="B384:F384"/>
    <mergeCell ref="B385:F385"/>
    <mergeCell ref="B386:F386"/>
    <mergeCell ref="B387:F387"/>
    <mergeCell ref="B388:F388"/>
    <mergeCell ref="B389:F389"/>
    <mergeCell ref="B399:F399"/>
    <mergeCell ref="G399:J399"/>
    <mergeCell ref="B400:F400"/>
    <mergeCell ref="G400:J400"/>
    <mergeCell ref="B402:J402"/>
    <mergeCell ref="B405:I405"/>
    <mergeCell ref="B395:F395"/>
    <mergeCell ref="B396:F396"/>
    <mergeCell ref="B397:F397"/>
    <mergeCell ref="B398:F398"/>
    <mergeCell ref="G398:H398"/>
    <mergeCell ref="I398:J398"/>
    <mergeCell ref="B409:C409"/>
    <mergeCell ref="D409:J409"/>
    <mergeCell ref="B410:F411"/>
    <mergeCell ref="B412:F412"/>
    <mergeCell ref="B413:F413"/>
    <mergeCell ref="B414:F414"/>
    <mergeCell ref="D406:G406"/>
    <mergeCell ref="D407:G407"/>
    <mergeCell ref="I407:J407"/>
    <mergeCell ref="B408:C408"/>
    <mergeCell ref="D408:G408"/>
    <mergeCell ref="I408:J408"/>
    <mergeCell ref="B421:F421"/>
    <mergeCell ref="B422:F422"/>
    <mergeCell ref="B423:F423"/>
    <mergeCell ref="B424:F424"/>
    <mergeCell ref="G424:J424"/>
    <mergeCell ref="B425:F425"/>
    <mergeCell ref="B415:F415"/>
    <mergeCell ref="B416:F416"/>
    <mergeCell ref="B417:F417"/>
    <mergeCell ref="B418:F418"/>
    <mergeCell ref="B419:F419"/>
    <mergeCell ref="B420:F420"/>
    <mergeCell ref="B430:F430"/>
    <mergeCell ref="G430:J430"/>
    <mergeCell ref="B431:F431"/>
    <mergeCell ref="G431:J431"/>
    <mergeCell ref="B433:J433"/>
    <mergeCell ref="B436:I436"/>
    <mergeCell ref="B426:F426"/>
    <mergeCell ref="B427:F427"/>
    <mergeCell ref="B428:F428"/>
    <mergeCell ref="B429:F429"/>
    <mergeCell ref="G429:H429"/>
    <mergeCell ref="I429:J429"/>
    <mergeCell ref="B440:C440"/>
    <mergeCell ref="D440:J440"/>
    <mergeCell ref="B441:F442"/>
    <mergeCell ref="B443:F443"/>
    <mergeCell ref="B444:F444"/>
    <mergeCell ref="B445:F445"/>
    <mergeCell ref="D437:G437"/>
    <mergeCell ref="D438:G438"/>
    <mergeCell ref="I438:J438"/>
    <mergeCell ref="B439:C439"/>
    <mergeCell ref="D439:G439"/>
    <mergeCell ref="I439:J439"/>
    <mergeCell ref="B452:F452"/>
    <mergeCell ref="B453:F453"/>
    <mergeCell ref="B454:F454"/>
    <mergeCell ref="B455:F455"/>
    <mergeCell ref="G455:J455"/>
    <mergeCell ref="B456:F456"/>
    <mergeCell ref="B446:F446"/>
    <mergeCell ref="B447:F447"/>
    <mergeCell ref="B448:F448"/>
    <mergeCell ref="B449:F449"/>
    <mergeCell ref="B450:F450"/>
    <mergeCell ref="B451:F451"/>
    <mergeCell ref="B461:F461"/>
    <mergeCell ref="G461:J461"/>
    <mergeCell ref="B462:F462"/>
    <mergeCell ref="G462:J462"/>
    <mergeCell ref="B464:J464"/>
    <mergeCell ref="B467:I467"/>
    <mergeCell ref="B457:F457"/>
    <mergeCell ref="B458:F458"/>
    <mergeCell ref="B459:F459"/>
    <mergeCell ref="B460:F460"/>
    <mergeCell ref="G460:H460"/>
    <mergeCell ref="I460:J460"/>
    <mergeCell ref="B471:C471"/>
    <mergeCell ref="D471:J471"/>
    <mergeCell ref="B472:F473"/>
    <mergeCell ref="B474:F474"/>
    <mergeCell ref="B475:F475"/>
    <mergeCell ref="B476:F476"/>
    <mergeCell ref="D468:G468"/>
    <mergeCell ref="D469:G469"/>
    <mergeCell ref="I469:J469"/>
    <mergeCell ref="B470:C470"/>
    <mergeCell ref="D470:G470"/>
    <mergeCell ref="I470:J470"/>
    <mergeCell ref="B483:F483"/>
    <mergeCell ref="B484:F484"/>
    <mergeCell ref="B485:F485"/>
    <mergeCell ref="B486:F486"/>
    <mergeCell ref="G486:J486"/>
    <mergeCell ref="B487:F487"/>
    <mergeCell ref="B477:F477"/>
    <mergeCell ref="B478:F478"/>
    <mergeCell ref="B479:F479"/>
    <mergeCell ref="B480:F480"/>
    <mergeCell ref="B481:F481"/>
    <mergeCell ref="B482:F482"/>
    <mergeCell ref="B492:F492"/>
    <mergeCell ref="G492:J492"/>
    <mergeCell ref="B493:F493"/>
    <mergeCell ref="G493:J493"/>
    <mergeCell ref="B495:J495"/>
    <mergeCell ref="B498:I498"/>
    <mergeCell ref="B488:F488"/>
    <mergeCell ref="B489:F489"/>
    <mergeCell ref="B490:F490"/>
    <mergeCell ref="B491:F491"/>
    <mergeCell ref="G491:H491"/>
    <mergeCell ref="I491:J491"/>
    <mergeCell ref="B502:C502"/>
    <mergeCell ref="D502:J502"/>
    <mergeCell ref="B503:F504"/>
    <mergeCell ref="B505:F505"/>
    <mergeCell ref="B506:F506"/>
    <mergeCell ref="B507:F507"/>
    <mergeCell ref="D499:G499"/>
    <mergeCell ref="D500:G500"/>
    <mergeCell ref="I500:J500"/>
    <mergeCell ref="B501:C501"/>
    <mergeCell ref="D501:G501"/>
    <mergeCell ref="I501:J501"/>
    <mergeCell ref="B514:F514"/>
    <mergeCell ref="B515:F515"/>
    <mergeCell ref="B516:F516"/>
    <mergeCell ref="B517:F517"/>
    <mergeCell ref="G517:J517"/>
    <mergeCell ref="B518:F518"/>
    <mergeCell ref="B508:F508"/>
    <mergeCell ref="B509:F509"/>
    <mergeCell ref="B510:F510"/>
    <mergeCell ref="B511:F511"/>
    <mergeCell ref="B512:F512"/>
    <mergeCell ref="B513:F513"/>
    <mergeCell ref="B523:F523"/>
    <mergeCell ref="G523:J523"/>
    <mergeCell ref="B524:F524"/>
    <mergeCell ref="G524:J524"/>
    <mergeCell ref="B526:J526"/>
    <mergeCell ref="B529:I529"/>
    <mergeCell ref="B519:F519"/>
    <mergeCell ref="B520:F520"/>
    <mergeCell ref="B521:F521"/>
    <mergeCell ref="B522:F522"/>
    <mergeCell ref="G522:H522"/>
    <mergeCell ref="I522:J522"/>
    <mergeCell ref="B533:C533"/>
    <mergeCell ref="D533:J533"/>
    <mergeCell ref="B534:F535"/>
    <mergeCell ref="B536:F536"/>
    <mergeCell ref="B537:F537"/>
    <mergeCell ref="B538:F538"/>
    <mergeCell ref="D530:G530"/>
    <mergeCell ref="D531:G531"/>
    <mergeCell ref="I531:J531"/>
    <mergeCell ref="B532:C532"/>
    <mergeCell ref="D532:G532"/>
    <mergeCell ref="I532:J532"/>
    <mergeCell ref="B545:F545"/>
    <mergeCell ref="B546:F546"/>
    <mergeCell ref="B547:F547"/>
    <mergeCell ref="B548:F548"/>
    <mergeCell ref="G548:J548"/>
    <mergeCell ref="B549:F549"/>
    <mergeCell ref="B539:F539"/>
    <mergeCell ref="B540:F540"/>
    <mergeCell ref="B541:F541"/>
    <mergeCell ref="B542:F542"/>
    <mergeCell ref="B543:F543"/>
    <mergeCell ref="B544:F544"/>
    <mergeCell ref="B554:F554"/>
    <mergeCell ref="G554:J554"/>
    <mergeCell ref="B555:F555"/>
    <mergeCell ref="G555:J555"/>
    <mergeCell ref="B557:J557"/>
    <mergeCell ref="B560:I560"/>
    <mergeCell ref="B550:F550"/>
    <mergeCell ref="B551:F551"/>
    <mergeCell ref="B552:F552"/>
    <mergeCell ref="B553:F553"/>
    <mergeCell ref="G553:H553"/>
    <mergeCell ref="I553:J553"/>
    <mergeCell ref="B564:C564"/>
    <mergeCell ref="D564:J564"/>
    <mergeCell ref="B565:F566"/>
    <mergeCell ref="B567:F567"/>
    <mergeCell ref="B568:F568"/>
    <mergeCell ref="B569:F569"/>
    <mergeCell ref="D561:G561"/>
    <mergeCell ref="D562:G562"/>
    <mergeCell ref="I562:J562"/>
    <mergeCell ref="B563:C563"/>
    <mergeCell ref="D563:G563"/>
    <mergeCell ref="I563:J563"/>
    <mergeCell ref="B576:F576"/>
    <mergeCell ref="B577:F577"/>
    <mergeCell ref="B578:F578"/>
    <mergeCell ref="B579:F579"/>
    <mergeCell ref="G579:J579"/>
    <mergeCell ref="B580:F580"/>
    <mergeCell ref="B570:F570"/>
    <mergeCell ref="B571:F571"/>
    <mergeCell ref="B572:F572"/>
    <mergeCell ref="B573:F573"/>
    <mergeCell ref="B574:F574"/>
    <mergeCell ref="B575:F575"/>
    <mergeCell ref="B585:F585"/>
    <mergeCell ref="G585:J585"/>
    <mergeCell ref="B586:F586"/>
    <mergeCell ref="G586:J586"/>
    <mergeCell ref="B588:J588"/>
    <mergeCell ref="B591:I591"/>
    <mergeCell ref="B581:F581"/>
    <mergeCell ref="B582:F582"/>
    <mergeCell ref="B583:F583"/>
    <mergeCell ref="B584:F584"/>
    <mergeCell ref="G584:H584"/>
    <mergeCell ref="I584:J584"/>
    <mergeCell ref="B595:C595"/>
    <mergeCell ref="D595:J595"/>
    <mergeCell ref="B596:F597"/>
    <mergeCell ref="B598:F598"/>
    <mergeCell ref="B599:F599"/>
    <mergeCell ref="B600:F600"/>
    <mergeCell ref="D592:G592"/>
    <mergeCell ref="D593:G593"/>
    <mergeCell ref="I593:J593"/>
    <mergeCell ref="B594:C594"/>
    <mergeCell ref="D594:G594"/>
    <mergeCell ref="I594:J594"/>
    <mergeCell ref="B607:F607"/>
    <mergeCell ref="B608:F608"/>
    <mergeCell ref="B609:F609"/>
    <mergeCell ref="B610:F610"/>
    <mergeCell ref="G610:J610"/>
    <mergeCell ref="B611:F611"/>
    <mergeCell ref="B601:F601"/>
    <mergeCell ref="B602:F602"/>
    <mergeCell ref="B603:F603"/>
    <mergeCell ref="B604:F604"/>
    <mergeCell ref="B605:F605"/>
    <mergeCell ref="B606:F606"/>
    <mergeCell ref="B616:F616"/>
    <mergeCell ref="G616:J616"/>
    <mergeCell ref="B617:F617"/>
    <mergeCell ref="G617:J617"/>
    <mergeCell ref="B619:J619"/>
    <mergeCell ref="B612:F612"/>
    <mergeCell ref="B613:F613"/>
    <mergeCell ref="B614:F614"/>
    <mergeCell ref="B615:F615"/>
    <mergeCell ref="G615:H615"/>
    <mergeCell ref="I615:J615"/>
  </mergeCells>
  <conditionalFormatting sqref="G27">
    <cfRule type="containsText" dxfId="280" priority="100" operator="containsText" text="Use This One">
      <formula>NOT(ISERROR(SEARCH("Use This One",G27)))</formula>
    </cfRule>
  </conditionalFormatting>
  <conditionalFormatting sqref="G27:J27">
    <cfRule type="containsText" dxfId="279" priority="98" operator="containsText" text="12 Month Average">
      <formula>NOT(ISERROR(SEARCH("12 Month Average",G27)))</formula>
    </cfRule>
    <cfRule type="containsText" dxfId="278" priority="99" operator="containsText" text="24 Month Average">
      <formula>NOT(ISERROR(SEARCH("24 Month Average",G27)))</formula>
    </cfRule>
  </conditionalFormatting>
  <conditionalFormatting sqref="H12">
    <cfRule type="containsText" dxfId="277" priority="97" operator="containsText" text="Ownership %">
      <formula>NOT(ISERROR(SEARCH("Ownership %",H12)))</formula>
    </cfRule>
  </conditionalFormatting>
  <conditionalFormatting sqref="J12">
    <cfRule type="containsText" dxfId="276" priority="96" operator="containsText" text="Ownership %">
      <formula>NOT(ISERROR(SEARCH("Ownership %",J12)))</formula>
    </cfRule>
  </conditionalFormatting>
  <conditionalFormatting sqref="G58">
    <cfRule type="containsText" dxfId="275" priority="95" operator="containsText" text="Use This One">
      <formula>NOT(ISERROR(SEARCH("Use This One",G58)))</formula>
    </cfRule>
  </conditionalFormatting>
  <conditionalFormatting sqref="G58:J58">
    <cfRule type="containsText" dxfId="274" priority="93" operator="containsText" text="12 Month Average">
      <formula>NOT(ISERROR(SEARCH("12 Month Average",G58)))</formula>
    </cfRule>
    <cfRule type="containsText" dxfId="273" priority="94" operator="containsText" text="24 Month Average">
      <formula>NOT(ISERROR(SEARCH("24 Month Average",G58)))</formula>
    </cfRule>
  </conditionalFormatting>
  <conditionalFormatting sqref="H43">
    <cfRule type="containsText" dxfId="272" priority="92" operator="containsText" text="Ownership %">
      <formula>NOT(ISERROR(SEARCH("Ownership %",H43)))</formula>
    </cfRule>
  </conditionalFormatting>
  <conditionalFormatting sqref="J43">
    <cfRule type="containsText" dxfId="271" priority="91" operator="containsText" text="Ownership %">
      <formula>NOT(ISERROR(SEARCH("Ownership %",J43)))</formula>
    </cfRule>
  </conditionalFormatting>
  <conditionalFormatting sqref="G89">
    <cfRule type="containsText" dxfId="270" priority="90" operator="containsText" text="Use This One">
      <formula>NOT(ISERROR(SEARCH("Use This One",G89)))</formula>
    </cfRule>
  </conditionalFormatting>
  <conditionalFormatting sqref="G89:J89">
    <cfRule type="containsText" dxfId="269" priority="88" operator="containsText" text="12 Month Average">
      <formula>NOT(ISERROR(SEARCH("12 Month Average",G89)))</formula>
    </cfRule>
    <cfRule type="containsText" dxfId="268" priority="89" operator="containsText" text="24 Month Average">
      <formula>NOT(ISERROR(SEARCH("24 Month Average",G89)))</formula>
    </cfRule>
  </conditionalFormatting>
  <conditionalFormatting sqref="H74">
    <cfRule type="containsText" dxfId="267" priority="87" operator="containsText" text="Ownership %">
      <formula>NOT(ISERROR(SEARCH("Ownership %",H74)))</formula>
    </cfRule>
  </conditionalFormatting>
  <conditionalFormatting sqref="J74">
    <cfRule type="containsText" dxfId="266" priority="86" operator="containsText" text="Ownership %">
      <formula>NOT(ISERROR(SEARCH("Ownership %",J74)))</formula>
    </cfRule>
  </conditionalFormatting>
  <conditionalFormatting sqref="G120">
    <cfRule type="containsText" dxfId="265" priority="85" operator="containsText" text="Use This One">
      <formula>NOT(ISERROR(SEARCH("Use This One",G120)))</formula>
    </cfRule>
  </conditionalFormatting>
  <conditionalFormatting sqref="G120:J120">
    <cfRule type="containsText" dxfId="264" priority="83" operator="containsText" text="12 Month Average">
      <formula>NOT(ISERROR(SEARCH("12 Month Average",G120)))</formula>
    </cfRule>
    <cfRule type="containsText" dxfId="263" priority="84" operator="containsText" text="24 Month Average">
      <formula>NOT(ISERROR(SEARCH("24 Month Average",G120)))</formula>
    </cfRule>
  </conditionalFormatting>
  <conditionalFormatting sqref="H105">
    <cfRule type="containsText" dxfId="262" priority="82" operator="containsText" text="Ownership %">
      <formula>NOT(ISERROR(SEARCH("Ownership %",H105)))</formula>
    </cfRule>
  </conditionalFormatting>
  <conditionalFormatting sqref="J105">
    <cfRule type="containsText" dxfId="261" priority="81" operator="containsText" text="Ownership %">
      <formula>NOT(ISERROR(SEARCH("Ownership %",J105)))</formula>
    </cfRule>
  </conditionalFormatting>
  <conditionalFormatting sqref="G151">
    <cfRule type="containsText" dxfId="260" priority="80" operator="containsText" text="Use This One">
      <formula>NOT(ISERROR(SEARCH("Use This One",G151)))</formula>
    </cfRule>
  </conditionalFormatting>
  <conditionalFormatting sqref="G151:J151">
    <cfRule type="containsText" dxfId="259" priority="78" operator="containsText" text="12 Month Average">
      <formula>NOT(ISERROR(SEARCH("12 Month Average",G151)))</formula>
    </cfRule>
    <cfRule type="containsText" dxfId="258" priority="79" operator="containsText" text="24 Month Average">
      <formula>NOT(ISERROR(SEARCH("24 Month Average",G151)))</formula>
    </cfRule>
  </conditionalFormatting>
  <conditionalFormatting sqref="H136">
    <cfRule type="containsText" dxfId="257" priority="77" operator="containsText" text="Ownership %">
      <formula>NOT(ISERROR(SEARCH("Ownership %",H136)))</formula>
    </cfRule>
  </conditionalFormatting>
  <conditionalFormatting sqref="J136">
    <cfRule type="containsText" dxfId="256" priority="76" operator="containsText" text="Ownership %">
      <formula>NOT(ISERROR(SEARCH("Ownership %",J136)))</formula>
    </cfRule>
  </conditionalFormatting>
  <conditionalFormatting sqref="G182">
    <cfRule type="containsText" dxfId="255" priority="75" operator="containsText" text="Use This One">
      <formula>NOT(ISERROR(SEARCH("Use This One",G182)))</formula>
    </cfRule>
  </conditionalFormatting>
  <conditionalFormatting sqref="G182:J182">
    <cfRule type="containsText" dxfId="254" priority="73" operator="containsText" text="12 Month Average">
      <formula>NOT(ISERROR(SEARCH("12 Month Average",G182)))</formula>
    </cfRule>
    <cfRule type="containsText" dxfId="253" priority="74" operator="containsText" text="24 Month Average">
      <formula>NOT(ISERROR(SEARCH("24 Month Average",G182)))</formula>
    </cfRule>
  </conditionalFormatting>
  <conditionalFormatting sqref="H167">
    <cfRule type="containsText" dxfId="252" priority="72" operator="containsText" text="Ownership %">
      <formula>NOT(ISERROR(SEARCH("Ownership %",H167)))</formula>
    </cfRule>
  </conditionalFormatting>
  <conditionalFormatting sqref="J167">
    <cfRule type="containsText" dxfId="251" priority="71" operator="containsText" text="Ownership %">
      <formula>NOT(ISERROR(SEARCH("Ownership %",J167)))</formula>
    </cfRule>
  </conditionalFormatting>
  <conditionalFormatting sqref="G213">
    <cfRule type="containsText" dxfId="250" priority="70" operator="containsText" text="Use This One">
      <formula>NOT(ISERROR(SEARCH("Use This One",G213)))</formula>
    </cfRule>
  </conditionalFormatting>
  <conditionalFormatting sqref="G213:J213">
    <cfRule type="containsText" dxfId="249" priority="68" operator="containsText" text="12 Month Average">
      <formula>NOT(ISERROR(SEARCH("12 Month Average",G213)))</formula>
    </cfRule>
    <cfRule type="containsText" dxfId="248" priority="69" operator="containsText" text="24 Month Average">
      <formula>NOT(ISERROR(SEARCH("24 Month Average",G213)))</formula>
    </cfRule>
  </conditionalFormatting>
  <conditionalFormatting sqref="H198">
    <cfRule type="containsText" dxfId="247" priority="67" operator="containsText" text="Ownership %">
      <formula>NOT(ISERROR(SEARCH("Ownership %",H198)))</formula>
    </cfRule>
  </conditionalFormatting>
  <conditionalFormatting sqref="J198">
    <cfRule type="containsText" dxfId="246" priority="66" operator="containsText" text="Ownership %">
      <formula>NOT(ISERROR(SEARCH("Ownership %",J198)))</formula>
    </cfRule>
  </conditionalFormatting>
  <conditionalFormatting sqref="G244">
    <cfRule type="containsText" dxfId="245" priority="65" operator="containsText" text="Use This One">
      <formula>NOT(ISERROR(SEARCH("Use This One",G244)))</formula>
    </cfRule>
  </conditionalFormatting>
  <conditionalFormatting sqref="G244:J244">
    <cfRule type="containsText" dxfId="244" priority="63" operator="containsText" text="12 Month Average">
      <formula>NOT(ISERROR(SEARCH("12 Month Average",G244)))</formula>
    </cfRule>
    <cfRule type="containsText" dxfId="243" priority="64" operator="containsText" text="24 Month Average">
      <formula>NOT(ISERROR(SEARCH("24 Month Average",G244)))</formula>
    </cfRule>
  </conditionalFormatting>
  <conditionalFormatting sqref="H229">
    <cfRule type="containsText" dxfId="242" priority="62" operator="containsText" text="Ownership %">
      <formula>NOT(ISERROR(SEARCH("Ownership %",H229)))</formula>
    </cfRule>
  </conditionalFormatting>
  <conditionalFormatting sqref="J229">
    <cfRule type="containsText" dxfId="241" priority="61" operator="containsText" text="Ownership %">
      <formula>NOT(ISERROR(SEARCH("Ownership %",J229)))</formula>
    </cfRule>
  </conditionalFormatting>
  <conditionalFormatting sqref="G275">
    <cfRule type="containsText" dxfId="240" priority="60" operator="containsText" text="Use This One">
      <formula>NOT(ISERROR(SEARCH("Use This One",G275)))</formula>
    </cfRule>
  </conditionalFormatting>
  <conditionalFormatting sqref="G275:J275">
    <cfRule type="containsText" dxfId="239" priority="58" operator="containsText" text="12 Month Average">
      <formula>NOT(ISERROR(SEARCH("12 Month Average",G275)))</formula>
    </cfRule>
    <cfRule type="containsText" dxfId="238" priority="59" operator="containsText" text="24 Month Average">
      <formula>NOT(ISERROR(SEARCH("24 Month Average",G275)))</formula>
    </cfRule>
  </conditionalFormatting>
  <conditionalFormatting sqref="H260">
    <cfRule type="containsText" dxfId="237" priority="57" operator="containsText" text="Ownership %">
      <formula>NOT(ISERROR(SEARCH("Ownership %",H260)))</formula>
    </cfRule>
  </conditionalFormatting>
  <conditionalFormatting sqref="J260">
    <cfRule type="containsText" dxfId="236" priority="56" operator="containsText" text="Ownership %">
      <formula>NOT(ISERROR(SEARCH("Ownership %",J260)))</formula>
    </cfRule>
  </conditionalFormatting>
  <conditionalFormatting sqref="G306">
    <cfRule type="containsText" dxfId="235" priority="55" operator="containsText" text="Use This One">
      <formula>NOT(ISERROR(SEARCH("Use This One",G306)))</formula>
    </cfRule>
  </conditionalFormatting>
  <conditionalFormatting sqref="G306:J306">
    <cfRule type="containsText" dxfId="234" priority="53" operator="containsText" text="12 Month Average">
      <formula>NOT(ISERROR(SEARCH("12 Month Average",G306)))</formula>
    </cfRule>
    <cfRule type="containsText" dxfId="233" priority="54" operator="containsText" text="24 Month Average">
      <formula>NOT(ISERROR(SEARCH("24 Month Average",G306)))</formula>
    </cfRule>
  </conditionalFormatting>
  <conditionalFormatting sqref="H291">
    <cfRule type="containsText" dxfId="232" priority="52" operator="containsText" text="Ownership %">
      <formula>NOT(ISERROR(SEARCH("Ownership %",H291)))</formula>
    </cfRule>
  </conditionalFormatting>
  <conditionalFormatting sqref="J291">
    <cfRule type="containsText" dxfId="231" priority="51" operator="containsText" text="Ownership %">
      <formula>NOT(ISERROR(SEARCH("Ownership %",J291)))</formula>
    </cfRule>
  </conditionalFormatting>
  <conditionalFormatting sqref="G337">
    <cfRule type="containsText" dxfId="230" priority="50" operator="containsText" text="Use This One">
      <formula>NOT(ISERROR(SEARCH("Use This One",G337)))</formula>
    </cfRule>
  </conditionalFormatting>
  <conditionalFormatting sqref="G337:J337">
    <cfRule type="containsText" dxfId="229" priority="48" operator="containsText" text="12 Month Average">
      <formula>NOT(ISERROR(SEARCH("12 Month Average",G337)))</formula>
    </cfRule>
    <cfRule type="containsText" dxfId="228" priority="49" operator="containsText" text="24 Month Average">
      <formula>NOT(ISERROR(SEARCH("24 Month Average",G337)))</formula>
    </cfRule>
  </conditionalFormatting>
  <conditionalFormatting sqref="H322">
    <cfRule type="containsText" dxfId="227" priority="47" operator="containsText" text="Ownership %">
      <formula>NOT(ISERROR(SEARCH("Ownership %",H322)))</formula>
    </cfRule>
  </conditionalFormatting>
  <conditionalFormatting sqref="J322">
    <cfRule type="containsText" dxfId="226" priority="46" operator="containsText" text="Ownership %">
      <formula>NOT(ISERROR(SEARCH("Ownership %",J322)))</formula>
    </cfRule>
  </conditionalFormatting>
  <conditionalFormatting sqref="G368">
    <cfRule type="containsText" dxfId="225" priority="45" operator="containsText" text="Use This One">
      <formula>NOT(ISERROR(SEARCH("Use This One",G368)))</formula>
    </cfRule>
  </conditionalFormatting>
  <conditionalFormatting sqref="G368:J368">
    <cfRule type="containsText" dxfId="224" priority="43" operator="containsText" text="12 Month Average">
      <formula>NOT(ISERROR(SEARCH("12 Month Average",G368)))</formula>
    </cfRule>
    <cfRule type="containsText" dxfId="223" priority="44" operator="containsText" text="24 Month Average">
      <formula>NOT(ISERROR(SEARCH("24 Month Average",G368)))</formula>
    </cfRule>
  </conditionalFormatting>
  <conditionalFormatting sqref="H353">
    <cfRule type="containsText" dxfId="222" priority="42" operator="containsText" text="Ownership %">
      <formula>NOT(ISERROR(SEARCH("Ownership %",H353)))</formula>
    </cfRule>
  </conditionalFormatting>
  <conditionalFormatting sqref="J353">
    <cfRule type="containsText" dxfId="221" priority="41" operator="containsText" text="Ownership %">
      <formula>NOT(ISERROR(SEARCH("Ownership %",J353)))</formula>
    </cfRule>
  </conditionalFormatting>
  <conditionalFormatting sqref="G399">
    <cfRule type="containsText" dxfId="220" priority="40" operator="containsText" text="Use This One">
      <formula>NOT(ISERROR(SEARCH("Use This One",G399)))</formula>
    </cfRule>
  </conditionalFormatting>
  <conditionalFormatting sqref="G399:J399">
    <cfRule type="containsText" dxfId="219" priority="38" operator="containsText" text="12 Month Average">
      <formula>NOT(ISERROR(SEARCH("12 Month Average",G399)))</formula>
    </cfRule>
    <cfRule type="containsText" dxfId="218" priority="39" operator="containsText" text="24 Month Average">
      <formula>NOT(ISERROR(SEARCH("24 Month Average",G399)))</formula>
    </cfRule>
  </conditionalFormatting>
  <conditionalFormatting sqref="H384">
    <cfRule type="containsText" dxfId="217" priority="37" operator="containsText" text="Ownership %">
      <formula>NOT(ISERROR(SEARCH("Ownership %",H384)))</formula>
    </cfRule>
  </conditionalFormatting>
  <conditionalFormatting sqref="J384">
    <cfRule type="containsText" dxfId="216" priority="36" operator="containsText" text="Ownership %">
      <formula>NOT(ISERROR(SEARCH("Ownership %",J384)))</formula>
    </cfRule>
  </conditionalFormatting>
  <conditionalFormatting sqref="G430">
    <cfRule type="containsText" dxfId="215" priority="35" operator="containsText" text="Use This One">
      <formula>NOT(ISERROR(SEARCH("Use This One",G430)))</formula>
    </cfRule>
  </conditionalFormatting>
  <conditionalFormatting sqref="G430:J430">
    <cfRule type="containsText" dxfId="214" priority="33" operator="containsText" text="12 Month Average">
      <formula>NOT(ISERROR(SEARCH("12 Month Average",G430)))</formula>
    </cfRule>
    <cfRule type="containsText" dxfId="213" priority="34" operator="containsText" text="24 Month Average">
      <formula>NOT(ISERROR(SEARCH("24 Month Average",G430)))</formula>
    </cfRule>
  </conditionalFormatting>
  <conditionalFormatting sqref="H415">
    <cfRule type="containsText" dxfId="212" priority="32" operator="containsText" text="Ownership %">
      <formula>NOT(ISERROR(SEARCH("Ownership %",H415)))</formula>
    </cfRule>
  </conditionalFormatting>
  <conditionalFormatting sqref="J415">
    <cfRule type="containsText" dxfId="211" priority="31" operator="containsText" text="Ownership %">
      <formula>NOT(ISERROR(SEARCH("Ownership %",J415)))</formula>
    </cfRule>
  </conditionalFormatting>
  <conditionalFormatting sqref="G461">
    <cfRule type="containsText" dxfId="210" priority="30" operator="containsText" text="Use This One">
      <formula>NOT(ISERROR(SEARCH("Use This One",G461)))</formula>
    </cfRule>
  </conditionalFormatting>
  <conditionalFormatting sqref="G461:J461">
    <cfRule type="containsText" dxfId="209" priority="28" operator="containsText" text="12 Month Average">
      <formula>NOT(ISERROR(SEARCH("12 Month Average",G461)))</formula>
    </cfRule>
    <cfRule type="containsText" dxfId="208" priority="29" operator="containsText" text="24 Month Average">
      <formula>NOT(ISERROR(SEARCH("24 Month Average",G461)))</formula>
    </cfRule>
  </conditionalFormatting>
  <conditionalFormatting sqref="H446">
    <cfRule type="containsText" dxfId="207" priority="27" operator="containsText" text="Ownership %">
      <formula>NOT(ISERROR(SEARCH("Ownership %",H446)))</formula>
    </cfRule>
  </conditionalFormatting>
  <conditionalFormatting sqref="J446">
    <cfRule type="containsText" dxfId="206" priority="26" operator="containsText" text="Ownership %">
      <formula>NOT(ISERROR(SEARCH("Ownership %",J446)))</formula>
    </cfRule>
  </conditionalFormatting>
  <conditionalFormatting sqref="G492">
    <cfRule type="containsText" dxfId="205" priority="25" operator="containsText" text="Use This One">
      <formula>NOT(ISERROR(SEARCH("Use This One",G492)))</formula>
    </cfRule>
  </conditionalFormatting>
  <conditionalFormatting sqref="G492:J492">
    <cfRule type="containsText" dxfId="204" priority="23" operator="containsText" text="12 Month Average">
      <formula>NOT(ISERROR(SEARCH("12 Month Average",G492)))</formula>
    </cfRule>
    <cfRule type="containsText" dxfId="203" priority="24" operator="containsText" text="24 Month Average">
      <formula>NOT(ISERROR(SEARCH("24 Month Average",G492)))</formula>
    </cfRule>
  </conditionalFormatting>
  <conditionalFormatting sqref="H477">
    <cfRule type="containsText" dxfId="202" priority="22" operator="containsText" text="Ownership %">
      <formula>NOT(ISERROR(SEARCH("Ownership %",H477)))</formula>
    </cfRule>
  </conditionalFormatting>
  <conditionalFormatting sqref="J477">
    <cfRule type="containsText" dxfId="201" priority="21" operator="containsText" text="Ownership %">
      <formula>NOT(ISERROR(SEARCH("Ownership %",J477)))</formula>
    </cfRule>
  </conditionalFormatting>
  <conditionalFormatting sqref="G523">
    <cfRule type="containsText" dxfId="200" priority="20" operator="containsText" text="Use This One">
      <formula>NOT(ISERROR(SEARCH("Use This One",G523)))</formula>
    </cfRule>
  </conditionalFormatting>
  <conditionalFormatting sqref="G523:J523">
    <cfRule type="containsText" dxfId="199" priority="18" operator="containsText" text="12 Month Average">
      <formula>NOT(ISERROR(SEARCH("12 Month Average",G523)))</formula>
    </cfRule>
    <cfRule type="containsText" dxfId="198" priority="19" operator="containsText" text="24 Month Average">
      <formula>NOT(ISERROR(SEARCH("24 Month Average",G523)))</formula>
    </cfRule>
  </conditionalFormatting>
  <conditionalFormatting sqref="H508">
    <cfRule type="containsText" dxfId="197" priority="17" operator="containsText" text="Ownership %">
      <formula>NOT(ISERROR(SEARCH("Ownership %",H508)))</formula>
    </cfRule>
  </conditionalFormatting>
  <conditionalFormatting sqref="J508">
    <cfRule type="containsText" dxfId="196" priority="16" operator="containsText" text="Ownership %">
      <formula>NOT(ISERROR(SEARCH("Ownership %",J508)))</formula>
    </cfRule>
  </conditionalFormatting>
  <conditionalFormatting sqref="G554">
    <cfRule type="containsText" dxfId="195" priority="15" operator="containsText" text="Use This One">
      <formula>NOT(ISERROR(SEARCH("Use This One",G554)))</formula>
    </cfRule>
  </conditionalFormatting>
  <conditionalFormatting sqref="G554:J554">
    <cfRule type="containsText" dxfId="194" priority="13" operator="containsText" text="12 Month Average">
      <formula>NOT(ISERROR(SEARCH("12 Month Average",G554)))</formula>
    </cfRule>
    <cfRule type="containsText" dxfId="193" priority="14" operator="containsText" text="24 Month Average">
      <formula>NOT(ISERROR(SEARCH("24 Month Average",G554)))</formula>
    </cfRule>
  </conditionalFormatting>
  <conditionalFormatting sqref="H539">
    <cfRule type="containsText" dxfId="192" priority="12" operator="containsText" text="Ownership %">
      <formula>NOT(ISERROR(SEARCH("Ownership %",H539)))</formula>
    </cfRule>
  </conditionalFormatting>
  <conditionalFormatting sqref="J539">
    <cfRule type="containsText" dxfId="191" priority="11" operator="containsText" text="Ownership %">
      <formula>NOT(ISERROR(SEARCH("Ownership %",J539)))</formula>
    </cfRule>
  </conditionalFormatting>
  <conditionalFormatting sqref="G585">
    <cfRule type="containsText" dxfId="190" priority="10" operator="containsText" text="Use This One">
      <formula>NOT(ISERROR(SEARCH("Use This One",G585)))</formula>
    </cfRule>
  </conditionalFormatting>
  <conditionalFormatting sqref="G585:J585">
    <cfRule type="containsText" dxfId="189" priority="8" operator="containsText" text="12 Month Average">
      <formula>NOT(ISERROR(SEARCH("12 Month Average",G585)))</formula>
    </cfRule>
    <cfRule type="containsText" dxfId="188" priority="9" operator="containsText" text="24 Month Average">
      <formula>NOT(ISERROR(SEARCH("24 Month Average",G585)))</formula>
    </cfRule>
  </conditionalFormatting>
  <conditionalFormatting sqref="H570">
    <cfRule type="containsText" dxfId="187" priority="7" operator="containsText" text="Ownership %">
      <formula>NOT(ISERROR(SEARCH("Ownership %",H570)))</formula>
    </cfRule>
  </conditionalFormatting>
  <conditionalFormatting sqref="J570">
    <cfRule type="containsText" dxfId="186" priority="6" operator="containsText" text="Ownership %">
      <formula>NOT(ISERROR(SEARCH("Ownership %",J570)))</formula>
    </cfRule>
  </conditionalFormatting>
  <conditionalFormatting sqref="G616">
    <cfRule type="containsText" dxfId="185" priority="5" operator="containsText" text="Use This One">
      <formula>NOT(ISERROR(SEARCH("Use This One",G616)))</formula>
    </cfRule>
  </conditionalFormatting>
  <conditionalFormatting sqref="G616:J616">
    <cfRule type="containsText" dxfId="184" priority="3" operator="containsText" text="12 Month Average">
      <formula>NOT(ISERROR(SEARCH("12 Month Average",G616)))</formula>
    </cfRule>
    <cfRule type="containsText" dxfId="183" priority="4" operator="containsText" text="24 Month Average">
      <formula>NOT(ISERROR(SEARCH("24 Month Average",G616)))</formula>
    </cfRule>
  </conditionalFormatting>
  <conditionalFormatting sqref="H601">
    <cfRule type="containsText" dxfId="182" priority="2" operator="containsText" text="Ownership %">
      <formula>NOT(ISERROR(SEARCH("Ownership %",H601)))</formula>
    </cfRule>
  </conditionalFormatting>
  <conditionalFormatting sqref="J601">
    <cfRule type="containsText" dxfId="181" priority="1" operator="containsText" text="Ownership %">
      <formula>NOT(ISERROR(SEARCH("Ownership %",J601)))</formula>
    </cfRule>
  </conditionalFormatting>
  <dataValidations count="1">
    <dataValidation type="list" allowBlank="1" showInputMessage="1" showErrorMessage="1" sqref="D4:G4 D35:G35 D66:G66 D97:G97 D128:G128 D159:G159 D190:G190 D221:G221 D252:G252 D283:G283 D314:G314 D345:G345 D376:G376 D407:G407 D438:G438 D469:G469 D500:G500 D531:G531 D562:G562 D593:G593" xr:uid="{DA2A7F49-A601-4801-A518-29AB9BEE8034}">
      <formula1>$X$18:$X$22</formula1>
    </dataValidation>
  </dataValidations>
  <pageMargins left="0.25" right="0.25" top="0.75" bottom="0.75" header="0.3" footer="0.3"/>
  <pageSetup scale="84" fitToHeight="0" orientation="portrait" r:id="rId1"/>
  <rowBreaks count="19" manualBreakCount="19">
    <brk id="31" max="16383" man="1"/>
    <brk id="62" max="16383" man="1"/>
    <brk id="93" max="16383" man="1"/>
    <brk id="124" max="16383" man="1"/>
    <brk id="155" max="16383" man="1"/>
    <brk id="186" max="16383" man="1"/>
    <brk id="217" max="16383" man="1"/>
    <brk id="248" max="16383" man="1"/>
    <brk id="279" max="16383" man="1"/>
    <brk id="310" max="16383" man="1"/>
    <brk id="341" max="16383" man="1"/>
    <brk id="372" max="16383" man="1"/>
    <brk id="403" max="16383" man="1"/>
    <brk id="434" max="16383" man="1"/>
    <brk id="465" max="16383" man="1"/>
    <brk id="496" max="16383" man="1"/>
    <brk id="527" max="16383" man="1"/>
    <brk id="558" max="16383" man="1"/>
    <brk id="589" max="16383" man="1"/>
  </rowBreaks>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0DE7F-ED3C-4683-8F7D-8D02A5575ECF}">
  <sheetPr codeName="Sheet8">
    <tabColor rgb="FF7030A0"/>
    <pageSetUpPr fitToPage="1"/>
  </sheetPr>
  <dimension ref="A1:AE630"/>
  <sheetViews>
    <sheetView topLeftCell="A3" zoomScale="85" zoomScaleNormal="85" workbookViewId="0">
      <selection activeCell="C13" sqref="C13"/>
    </sheetView>
  </sheetViews>
  <sheetFormatPr defaultColWidth="9.140625" defaultRowHeight="15"/>
  <cols>
    <col min="1" max="1" width="3.7109375" style="78" customWidth="1"/>
    <col min="2" max="2" width="32.7109375" style="78" customWidth="1"/>
    <col min="3" max="3" width="20.7109375" style="450" customWidth="1"/>
    <col min="4" max="4" width="5.7109375" style="78" customWidth="1"/>
    <col min="5" max="5" width="32.7109375" style="78" customWidth="1"/>
    <col min="6" max="6" width="20.7109375" style="450" customWidth="1"/>
    <col min="7" max="7" width="3.7109375" style="78" customWidth="1"/>
    <col min="8" max="8" width="6" style="78" customWidth="1"/>
    <col min="9" max="9" width="20.7109375" style="78" customWidth="1"/>
    <col min="10" max="10" width="5.7109375" style="78" customWidth="1"/>
    <col min="11" max="11" width="9.140625" style="78"/>
    <col min="12" max="12" width="20.7109375" style="78" customWidth="1"/>
    <col min="13" max="13" width="5.7109375" style="78" customWidth="1"/>
    <col min="14" max="17" width="9.140625" style="78"/>
    <col min="18" max="31" width="9.140625" style="304"/>
    <col min="32" max="16384" width="9.140625" style="78"/>
  </cols>
  <sheetData>
    <row r="1" spans="1:16" ht="12.75" customHeight="1" thickBot="1">
      <c r="A1" s="425"/>
      <c r="B1" s="425"/>
      <c r="C1" s="426"/>
      <c r="D1" s="425"/>
      <c r="E1" s="425"/>
      <c r="F1" s="426"/>
      <c r="G1" s="425"/>
    </row>
    <row r="2" spans="1:16" ht="15.75" thickBot="1">
      <c r="A2" s="425"/>
      <c r="B2" s="1337" t="s">
        <v>762</v>
      </c>
      <c r="C2" s="1338"/>
      <c r="D2" s="1338"/>
      <c r="E2" s="1338"/>
      <c r="F2" s="1339"/>
      <c r="G2" s="425"/>
    </row>
    <row r="3" spans="1:16" ht="55.5" customHeight="1">
      <c r="A3" s="425"/>
      <c r="B3" s="1340"/>
      <c r="C3" s="1341"/>
      <c r="D3" s="1341"/>
      <c r="E3" s="1341"/>
      <c r="F3" s="1342"/>
      <c r="G3" s="425"/>
      <c r="I3" s="1350" t="s">
        <v>763</v>
      </c>
      <c r="J3" s="1351"/>
      <c r="K3" s="1351"/>
      <c r="L3" s="1351"/>
      <c r="M3" s="1351"/>
      <c r="N3" s="1351"/>
      <c r="O3" s="1351"/>
      <c r="P3" s="1352"/>
    </row>
    <row r="4" spans="1:16" ht="22.5" customHeight="1">
      <c r="A4" s="425"/>
      <c r="B4" s="1340"/>
      <c r="C4" s="1341"/>
      <c r="D4" s="1341"/>
      <c r="E4" s="1341"/>
      <c r="F4" s="1342"/>
      <c r="G4" s="425"/>
      <c r="I4" s="1353"/>
      <c r="J4" s="1354"/>
      <c r="K4" s="1354"/>
      <c r="L4" s="1354"/>
      <c r="M4" s="1354"/>
      <c r="N4" s="1354"/>
      <c r="O4" s="1354"/>
      <c r="P4" s="1355"/>
    </row>
    <row r="5" spans="1:16" ht="22.5" customHeight="1" thickBot="1">
      <c r="A5" s="425"/>
      <c r="B5" s="427"/>
      <c r="C5" s="428"/>
      <c r="D5" s="428"/>
      <c r="E5" s="428"/>
      <c r="F5" s="429" t="str">
        <f>'[3]Reference Sheet'!$B$2</f>
        <v>Rev. 4.12.2016</v>
      </c>
      <c r="G5" s="425"/>
      <c r="I5" s="1353"/>
      <c r="J5" s="1354"/>
      <c r="K5" s="1354"/>
      <c r="L5" s="1354"/>
      <c r="M5" s="1354"/>
      <c r="N5" s="1354"/>
      <c r="O5" s="1354"/>
      <c r="P5" s="1355"/>
    </row>
    <row r="6" spans="1:16" ht="9" customHeight="1" thickBot="1">
      <c r="A6" s="425"/>
      <c r="B6" s="425"/>
      <c r="C6" s="426"/>
      <c r="D6" s="425"/>
      <c r="E6" s="425"/>
      <c r="F6" s="426"/>
      <c r="G6" s="425"/>
      <c r="I6" s="1353"/>
      <c r="J6" s="1354"/>
      <c r="K6" s="1354"/>
      <c r="L6" s="1354"/>
      <c r="M6" s="1354"/>
      <c r="N6" s="1354"/>
      <c r="O6" s="1354"/>
      <c r="P6" s="1355"/>
    </row>
    <row r="7" spans="1:16">
      <c r="A7" s="430"/>
      <c r="B7" s="1343" t="s">
        <v>764</v>
      </c>
      <c r="C7" s="1344"/>
      <c r="D7" s="425"/>
      <c r="E7" s="1347" t="s">
        <v>765</v>
      </c>
      <c r="F7" s="1344"/>
      <c r="G7" s="425"/>
      <c r="H7" s="79"/>
      <c r="I7" s="1353"/>
      <c r="J7" s="1354"/>
      <c r="K7" s="1354"/>
      <c r="L7" s="1354"/>
      <c r="M7" s="1354"/>
      <c r="N7" s="1354"/>
      <c r="O7" s="1354"/>
      <c r="P7" s="1355"/>
    </row>
    <row r="8" spans="1:16" ht="15.75" thickBot="1">
      <c r="A8" s="430"/>
      <c r="B8" s="1345"/>
      <c r="C8" s="1346"/>
      <c r="D8" s="425"/>
      <c r="E8" s="1345"/>
      <c r="F8" s="1346"/>
      <c r="G8" s="425"/>
      <c r="H8" s="79"/>
      <c r="I8" s="1353"/>
      <c r="J8" s="1354"/>
      <c r="K8" s="1354"/>
      <c r="L8" s="1354"/>
      <c r="M8" s="1354"/>
      <c r="N8" s="1354"/>
      <c r="O8" s="1354"/>
      <c r="P8" s="1355"/>
    </row>
    <row r="9" spans="1:16" ht="9" customHeight="1" thickBot="1">
      <c r="A9" s="425"/>
      <c r="B9" s="425"/>
      <c r="C9" s="426"/>
      <c r="D9" s="425"/>
      <c r="E9" s="425"/>
      <c r="F9" s="426"/>
      <c r="G9" s="425"/>
      <c r="I9" s="1353"/>
      <c r="J9" s="1354"/>
      <c r="K9" s="1354"/>
      <c r="L9" s="1354"/>
      <c r="M9" s="1354"/>
      <c r="N9" s="1354"/>
      <c r="O9" s="1354"/>
      <c r="P9" s="1355"/>
    </row>
    <row r="10" spans="1:16" ht="30" customHeight="1">
      <c r="A10" s="425"/>
      <c r="B10" s="1348" t="s">
        <v>766</v>
      </c>
      <c r="C10" s="1349"/>
      <c r="D10" s="425"/>
      <c r="E10" s="1348" t="s">
        <v>767</v>
      </c>
      <c r="F10" s="1349"/>
      <c r="G10" s="425"/>
      <c r="I10" s="1353"/>
      <c r="J10" s="1354"/>
      <c r="K10" s="1354"/>
      <c r="L10" s="1354"/>
      <c r="M10" s="1354"/>
      <c r="N10" s="1354"/>
      <c r="O10" s="1354"/>
      <c r="P10" s="1355"/>
    </row>
    <row r="11" spans="1:16" ht="25.5" customHeight="1">
      <c r="A11" s="425"/>
      <c r="B11" s="431" t="s">
        <v>768</v>
      </c>
      <c r="C11" s="432">
        <v>365</v>
      </c>
      <c r="D11" s="425"/>
      <c r="E11" s="431" t="s">
        <v>768</v>
      </c>
      <c r="F11" s="432">
        <v>365</v>
      </c>
      <c r="G11" s="425"/>
      <c r="I11" s="1353"/>
      <c r="J11" s="1354"/>
      <c r="K11" s="1354"/>
      <c r="L11" s="1354"/>
      <c r="M11" s="1354"/>
      <c r="N11" s="1354"/>
      <c r="O11" s="1354"/>
      <c r="P11" s="1355"/>
    </row>
    <row r="12" spans="1:16" ht="18" customHeight="1">
      <c r="A12" s="425"/>
      <c r="B12" s="433" t="s">
        <v>769</v>
      </c>
      <c r="C12" s="434">
        <v>10930</v>
      </c>
      <c r="D12" s="425"/>
      <c r="E12" s="433" t="s">
        <v>769</v>
      </c>
      <c r="F12" s="434">
        <v>12339</v>
      </c>
      <c r="G12" s="425"/>
      <c r="I12" s="1353"/>
      <c r="J12" s="1354"/>
      <c r="K12" s="1354"/>
      <c r="L12" s="1354"/>
      <c r="M12" s="1354"/>
      <c r="N12" s="1354"/>
      <c r="O12" s="1354"/>
      <c r="P12" s="1355"/>
    </row>
    <row r="13" spans="1:16" ht="18" customHeight="1">
      <c r="A13" s="425"/>
      <c r="B13" s="435" t="s">
        <v>770</v>
      </c>
      <c r="C13" s="434">
        <v>17013</v>
      </c>
      <c r="D13" s="425"/>
      <c r="E13" s="435" t="s">
        <v>770</v>
      </c>
      <c r="F13" s="434">
        <v>14873</v>
      </c>
      <c r="G13" s="425"/>
      <c r="I13" s="1353"/>
      <c r="J13" s="1354"/>
      <c r="K13" s="1354"/>
      <c r="L13" s="1354"/>
      <c r="M13" s="1354"/>
      <c r="N13" s="1354"/>
      <c r="O13" s="1354"/>
      <c r="P13" s="1355"/>
    </row>
    <row r="14" spans="1:16" ht="18" customHeight="1">
      <c r="A14" s="425"/>
      <c r="B14" s="435" t="s">
        <v>771</v>
      </c>
      <c r="C14" s="434">
        <v>10581</v>
      </c>
      <c r="D14" s="425"/>
      <c r="E14" s="435" t="s">
        <v>771</v>
      </c>
      <c r="F14" s="434">
        <v>10414</v>
      </c>
      <c r="G14" s="425"/>
      <c r="I14" s="1353"/>
      <c r="J14" s="1354"/>
      <c r="K14" s="1354"/>
      <c r="L14" s="1354"/>
      <c r="M14" s="1354"/>
      <c r="N14" s="1354"/>
      <c r="O14" s="1354"/>
      <c r="P14" s="1355"/>
    </row>
    <row r="15" spans="1:16" ht="18" customHeight="1">
      <c r="A15" s="425"/>
      <c r="B15" s="435" t="s">
        <v>772</v>
      </c>
      <c r="C15" s="434">
        <v>1673</v>
      </c>
      <c r="D15" s="425"/>
      <c r="E15" s="435" t="s">
        <v>772</v>
      </c>
      <c r="F15" s="434">
        <v>1479</v>
      </c>
      <c r="G15" s="425"/>
      <c r="I15" s="1353"/>
      <c r="J15" s="1354"/>
      <c r="K15" s="1354"/>
      <c r="L15" s="1354"/>
      <c r="M15" s="1354"/>
      <c r="N15" s="1354"/>
      <c r="O15" s="1354"/>
      <c r="P15" s="1355"/>
    </row>
    <row r="16" spans="1:16" ht="18" customHeight="1">
      <c r="A16" s="425"/>
      <c r="B16" s="436" t="s">
        <v>773</v>
      </c>
      <c r="C16" s="434">
        <v>0</v>
      </c>
      <c r="D16" s="425"/>
      <c r="E16" s="436" t="s">
        <v>773</v>
      </c>
      <c r="F16" s="434">
        <v>0</v>
      </c>
      <c r="G16" s="425"/>
      <c r="I16" s="1353"/>
      <c r="J16" s="1354"/>
      <c r="K16" s="1354"/>
      <c r="L16" s="1354"/>
      <c r="M16" s="1354"/>
      <c r="N16" s="1354"/>
      <c r="O16" s="1354"/>
      <c r="P16" s="1355"/>
    </row>
    <row r="17" spans="1:16" ht="18" customHeight="1">
      <c r="A17" s="425"/>
      <c r="B17" s="436" t="s">
        <v>774</v>
      </c>
      <c r="C17" s="434">
        <v>1828</v>
      </c>
      <c r="D17" s="425"/>
      <c r="E17" s="436" t="s">
        <v>774</v>
      </c>
      <c r="F17" s="434">
        <v>1199</v>
      </c>
      <c r="G17" s="425"/>
      <c r="I17" s="1353"/>
      <c r="J17" s="1354"/>
      <c r="K17" s="1354"/>
      <c r="L17" s="1354"/>
      <c r="M17" s="1354"/>
      <c r="N17" s="1354"/>
      <c r="O17" s="1354"/>
      <c r="P17" s="1355"/>
    </row>
    <row r="18" spans="1:16" ht="33.75" customHeight="1">
      <c r="A18" s="425"/>
      <c r="B18" s="435" t="s">
        <v>775</v>
      </c>
      <c r="C18" s="434"/>
      <c r="D18" s="425"/>
      <c r="E18" s="435" t="s">
        <v>775</v>
      </c>
      <c r="F18" s="434">
        <v>0</v>
      </c>
      <c r="G18" s="425"/>
      <c r="I18" s="1353"/>
      <c r="J18" s="1354"/>
      <c r="K18" s="1354"/>
      <c r="L18" s="1354"/>
      <c r="M18" s="1354"/>
      <c r="N18" s="1354"/>
      <c r="O18" s="1354"/>
      <c r="P18" s="1355"/>
    </row>
    <row r="19" spans="1:16" ht="18" customHeight="1">
      <c r="A19" s="425"/>
      <c r="B19" s="435" t="s">
        <v>776</v>
      </c>
      <c r="C19" s="437">
        <f>SUM(C12-C13+C14+C16+C17+C15,C18)</f>
        <v>7999</v>
      </c>
      <c r="D19" s="425"/>
      <c r="E19" s="435" t="s">
        <v>776</v>
      </c>
      <c r="F19" s="437">
        <f>SUM(F12-F13+F14+F16+F17+F15,F18)</f>
        <v>10558</v>
      </c>
      <c r="G19" s="425"/>
      <c r="I19" s="1353"/>
      <c r="J19" s="1354"/>
      <c r="K19" s="1354"/>
      <c r="L19" s="1354"/>
      <c r="M19" s="1354"/>
      <c r="N19" s="1354"/>
      <c r="O19" s="1354"/>
      <c r="P19" s="1355"/>
    </row>
    <row r="20" spans="1:16" ht="18" customHeight="1">
      <c r="A20" s="425"/>
      <c r="B20" s="435" t="s">
        <v>777</v>
      </c>
      <c r="C20" s="437">
        <f>C19/(C11/30.4165)</f>
        <v>666.5796808219178</v>
      </c>
      <c r="D20" s="425"/>
      <c r="E20" s="435" t="s">
        <v>777</v>
      </c>
      <c r="F20" s="437">
        <f>F19/(F11/30.4165)</f>
        <v>879.82851232876715</v>
      </c>
      <c r="G20" s="425"/>
      <c r="I20" s="1353"/>
      <c r="J20" s="1354"/>
      <c r="K20" s="1354"/>
      <c r="L20" s="1354"/>
      <c r="M20" s="1354"/>
      <c r="N20" s="1354"/>
      <c r="O20" s="1354"/>
      <c r="P20" s="1355"/>
    </row>
    <row r="21" spans="1:16" ht="58.5" customHeight="1">
      <c r="A21" s="425"/>
      <c r="B21" s="438" t="s">
        <v>778</v>
      </c>
      <c r="C21" s="434"/>
      <c r="D21" s="425"/>
      <c r="E21" s="438" t="s">
        <v>779</v>
      </c>
      <c r="F21" s="434"/>
      <c r="G21" s="425"/>
      <c r="I21" s="1353"/>
      <c r="J21" s="1354"/>
      <c r="K21" s="1354"/>
      <c r="L21" s="1354"/>
      <c r="M21" s="1354"/>
      <c r="N21" s="1354"/>
      <c r="O21" s="1354"/>
      <c r="P21" s="1355"/>
    </row>
    <row r="22" spans="1:16" ht="58.5" customHeight="1">
      <c r="A22" s="425"/>
      <c r="B22" s="439" t="s">
        <v>780</v>
      </c>
      <c r="C22" s="440">
        <v>305.25</v>
      </c>
      <c r="D22" s="425"/>
      <c r="E22" s="439" t="s">
        <v>781</v>
      </c>
      <c r="F22" s="440">
        <v>289.73</v>
      </c>
      <c r="G22" s="425"/>
      <c r="I22" s="1353"/>
      <c r="J22" s="1354"/>
      <c r="K22" s="1354"/>
      <c r="L22" s="1354"/>
      <c r="M22" s="1354"/>
      <c r="N22" s="1354"/>
      <c r="O22" s="1354"/>
      <c r="P22" s="1355"/>
    </row>
    <row r="23" spans="1:16" ht="36.75" customHeight="1" thickBot="1">
      <c r="A23" s="425"/>
      <c r="B23" s="441" t="s">
        <v>782</v>
      </c>
      <c r="C23" s="442">
        <f>C20-(C21+C22)</f>
        <v>361.3296808219178</v>
      </c>
      <c r="D23" s="425"/>
      <c r="E23" s="441" t="s">
        <v>783</v>
      </c>
      <c r="F23" s="442">
        <f>F20-(F21+F22)</f>
        <v>590.09851232876713</v>
      </c>
      <c r="G23" s="425"/>
      <c r="I23" s="1356"/>
      <c r="J23" s="1357"/>
      <c r="K23" s="1357"/>
      <c r="L23" s="1357"/>
      <c r="M23" s="1357"/>
      <c r="N23" s="1357"/>
      <c r="O23" s="1357"/>
      <c r="P23" s="1358"/>
    </row>
    <row r="24" spans="1:16" ht="9" customHeight="1" thickBot="1">
      <c r="A24" s="425"/>
      <c r="B24" s="425"/>
      <c r="C24" s="1327"/>
      <c r="D24" s="1327"/>
      <c r="E24" s="1327"/>
      <c r="F24" s="426"/>
      <c r="G24" s="425"/>
    </row>
    <row r="25" spans="1:16" ht="28.5" customHeight="1" thickBot="1">
      <c r="A25" s="425"/>
      <c r="B25" s="444" t="s">
        <v>784</v>
      </c>
      <c r="C25" s="445" t="s">
        <v>785</v>
      </c>
      <c r="D25" s="446"/>
      <c r="E25" s="447" t="s">
        <v>786</v>
      </c>
      <c r="F25" s="448">
        <f>IF(C25="Y", I25, "N/A")</f>
        <v>475.71409657534247</v>
      </c>
      <c r="G25" s="425"/>
      <c r="I25" s="449">
        <f>(SUM(C23:F23)/2)</f>
        <v>475.71409657534247</v>
      </c>
    </row>
    <row r="26" spans="1:16" ht="9" customHeight="1" thickBot="1">
      <c r="A26" s="425"/>
      <c r="B26" s="425"/>
      <c r="C26" s="443"/>
      <c r="D26" s="443"/>
      <c r="E26" s="443"/>
      <c r="F26" s="426"/>
      <c r="G26" s="425"/>
    </row>
    <row r="27" spans="1:16" ht="21.75" customHeight="1">
      <c r="A27" s="425"/>
      <c r="B27" s="1328" t="s">
        <v>787</v>
      </c>
      <c r="C27" s="1329"/>
      <c r="D27" s="1329"/>
      <c r="E27" s="1329"/>
      <c r="F27" s="1330"/>
      <c r="G27" s="425"/>
    </row>
    <row r="28" spans="1:16" ht="21.75" customHeight="1">
      <c r="A28" s="425"/>
      <c r="B28" s="1331"/>
      <c r="C28" s="1332"/>
      <c r="D28" s="1332"/>
      <c r="E28" s="1332"/>
      <c r="F28" s="1333"/>
      <c r="G28" s="425"/>
    </row>
    <row r="29" spans="1:16" ht="57" customHeight="1" thickBot="1">
      <c r="A29" s="425"/>
      <c r="B29" s="1334"/>
      <c r="C29" s="1335"/>
      <c r="D29" s="1335"/>
      <c r="E29" s="1335"/>
      <c r="F29" s="1336"/>
      <c r="G29" s="425"/>
    </row>
    <row r="30" spans="1:16" ht="9" customHeight="1">
      <c r="A30" s="425"/>
      <c r="B30" s="425"/>
      <c r="C30" s="426"/>
      <c r="D30" s="425"/>
      <c r="E30" s="425"/>
      <c r="F30" s="426"/>
      <c r="G30" s="425"/>
    </row>
    <row r="31" spans="1:16" ht="15.75" thickBot="1">
      <c r="A31" s="425"/>
      <c r="B31" s="425"/>
      <c r="C31" s="426"/>
      <c r="D31" s="425"/>
      <c r="E31" s="425"/>
      <c r="F31" s="426"/>
      <c r="G31" s="425"/>
    </row>
    <row r="32" spans="1:16">
      <c r="A32" s="425"/>
      <c r="B32" s="1337" t="s">
        <v>762</v>
      </c>
      <c r="C32" s="1338"/>
      <c r="D32" s="1338"/>
      <c r="E32" s="1338"/>
      <c r="F32" s="1339"/>
      <c r="G32" s="425"/>
    </row>
    <row r="33" spans="1:7">
      <c r="A33" s="425"/>
      <c r="B33" s="1340"/>
      <c r="C33" s="1341"/>
      <c r="D33" s="1341"/>
      <c r="E33" s="1341"/>
      <c r="F33" s="1342"/>
      <c r="G33" s="425"/>
    </row>
    <row r="34" spans="1:7">
      <c r="A34" s="425"/>
      <c r="B34" s="1340"/>
      <c r="C34" s="1341"/>
      <c r="D34" s="1341"/>
      <c r="E34" s="1341"/>
      <c r="F34" s="1342"/>
      <c r="G34" s="425"/>
    </row>
    <row r="35" spans="1:7" ht="15.75" thickBot="1">
      <c r="A35" s="425"/>
      <c r="B35" s="427"/>
      <c r="C35" s="428"/>
      <c r="D35" s="428"/>
      <c r="E35" s="428"/>
      <c r="F35" s="429" t="str">
        <f>'[3]Reference Sheet'!$B$2</f>
        <v>Rev. 4.12.2016</v>
      </c>
      <c r="G35" s="425"/>
    </row>
    <row r="36" spans="1:7" ht="15.75" thickBot="1">
      <c r="A36" s="425"/>
      <c r="B36" s="425"/>
      <c r="C36" s="426"/>
      <c r="D36" s="425"/>
      <c r="E36" s="425"/>
      <c r="F36" s="426"/>
      <c r="G36" s="425"/>
    </row>
    <row r="37" spans="1:7">
      <c r="A37" s="430"/>
      <c r="B37" s="1343" t="s">
        <v>764</v>
      </c>
      <c r="C37" s="1344"/>
      <c r="D37" s="425"/>
      <c r="E37" s="1347" t="s">
        <v>765</v>
      </c>
      <c r="F37" s="1344"/>
      <c r="G37" s="425"/>
    </row>
    <row r="38" spans="1:7" ht="15.75" thickBot="1">
      <c r="A38" s="430"/>
      <c r="B38" s="1345"/>
      <c r="C38" s="1346"/>
      <c r="D38" s="425"/>
      <c r="E38" s="1345"/>
      <c r="F38" s="1346"/>
      <c r="G38" s="425"/>
    </row>
    <row r="39" spans="1:7" ht="15.75" thickBot="1">
      <c r="A39" s="425"/>
      <c r="B39" s="425"/>
      <c r="C39" s="426"/>
      <c r="D39" s="425"/>
      <c r="E39" s="425"/>
      <c r="F39" s="426"/>
      <c r="G39" s="425"/>
    </row>
    <row r="40" spans="1:7">
      <c r="A40" s="425"/>
      <c r="B40" s="1348" t="s">
        <v>767</v>
      </c>
      <c r="C40" s="1349"/>
      <c r="D40" s="425"/>
      <c r="E40" s="1348" t="s">
        <v>767</v>
      </c>
      <c r="F40" s="1349"/>
      <c r="G40" s="425"/>
    </row>
    <row r="41" spans="1:7">
      <c r="A41" s="425"/>
      <c r="B41" s="431" t="s">
        <v>768</v>
      </c>
      <c r="C41" s="432">
        <v>365</v>
      </c>
      <c r="D41" s="425"/>
      <c r="E41" s="431" t="s">
        <v>768</v>
      </c>
      <c r="F41" s="432">
        <v>365</v>
      </c>
      <c r="G41" s="425"/>
    </row>
    <row r="42" spans="1:7">
      <c r="A42" s="425"/>
      <c r="B42" s="433" t="s">
        <v>769</v>
      </c>
      <c r="C42" s="434"/>
      <c r="D42" s="425"/>
      <c r="E42" s="433" t="s">
        <v>769</v>
      </c>
      <c r="F42" s="434"/>
      <c r="G42" s="425"/>
    </row>
    <row r="43" spans="1:7">
      <c r="A43" s="425"/>
      <c r="B43" s="435" t="s">
        <v>770</v>
      </c>
      <c r="C43" s="434"/>
      <c r="D43" s="425"/>
      <c r="E43" s="435" t="s">
        <v>770</v>
      </c>
      <c r="F43" s="434"/>
      <c r="G43" s="425"/>
    </row>
    <row r="44" spans="1:7">
      <c r="A44" s="425"/>
      <c r="B44" s="435" t="s">
        <v>771</v>
      </c>
      <c r="C44" s="434"/>
      <c r="D44" s="425"/>
      <c r="E44" s="435" t="s">
        <v>771</v>
      </c>
      <c r="F44" s="434"/>
      <c r="G44" s="425"/>
    </row>
    <row r="45" spans="1:7">
      <c r="A45" s="425"/>
      <c r="B45" s="435" t="s">
        <v>772</v>
      </c>
      <c r="C45" s="434"/>
      <c r="D45" s="425"/>
      <c r="E45" s="435" t="s">
        <v>772</v>
      </c>
      <c r="F45" s="434"/>
      <c r="G45" s="425"/>
    </row>
    <row r="46" spans="1:7">
      <c r="A46" s="425"/>
      <c r="B46" s="436" t="s">
        <v>773</v>
      </c>
      <c r="C46" s="434"/>
      <c r="D46" s="425"/>
      <c r="E46" s="436" t="s">
        <v>773</v>
      </c>
      <c r="F46" s="434"/>
      <c r="G46" s="425"/>
    </row>
    <row r="47" spans="1:7">
      <c r="A47" s="425"/>
      <c r="B47" s="436" t="s">
        <v>774</v>
      </c>
      <c r="C47" s="434"/>
      <c r="D47" s="425"/>
      <c r="E47" s="436" t="s">
        <v>774</v>
      </c>
      <c r="F47" s="434"/>
      <c r="G47" s="425"/>
    </row>
    <row r="48" spans="1:7" ht="33.75">
      <c r="A48" s="425"/>
      <c r="B48" s="435" t="s">
        <v>775</v>
      </c>
      <c r="C48" s="434"/>
      <c r="D48" s="425"/>
      <c r="E48" s="435" t="s">
        <v>775</v>
      </c>
      <c r="F48" s="434"/>
      <c r="G48" s="425"/>
    </row>
    <row r="49" spans="1:9">
      <c r="A49" s="425"/>
      <c r="B49" s="435" t="s">
        <v>776</v>
      </c>
      <c r="C49" s="437">
        <f>SUM(C42-C43+C44+C46+C47+C45,C48)</f>
        <v>0</v>
      </c>
      <c r="D49" s="425"/>
      <c r="E49" s="435" t="s">
        <v>776</v>
      </c>
      <c r="F49" s="437">
        <f>SUM(F42-F43+F44+F46+F47+F45,F48)</f>
        <v>0</v>
      </c>
      <c r="G49" s="425"/>
    </row>
    <row r="50" spans="1:9">
      <c r="A50" s="425"/>
      <c r="B50" s="435" t="s">
        <v>777</v>
      </c>
      <c r="C50" s="437">
        <f>C49/(C41/30.4165)</f>
        <v>0</v>
      </c>
      <c r="D50" s="425"/>
      <c r="E50" s="435" t="s">
        <v>777</v>
      </c>
      <c r="F50" s="437">
        <f>F49/(F41/30.4165)</f>
        <v>0</v>
      </c>
      <c r="G50" s="425"/>
    </row>
    <row r="51" spans="1:9" ht="45">
      <c r="A51" s="425"/>
      <c r="B51" s="438" t="s">
        <v>778</v>
      </c>
      <c r="C51" s="434"/>
      <c r="D51" s="425"/>
      <c r="E51" s="438" t="s">
        <v>779</v>
      </c>
      <c r="F51" s="434"/>
      <c r="G51" s="425"/>
    </row>
    <row r="52" spans="1:9" ht="45">
      <c r="A52" s="425"/>
      <c r="B52" s="439" t="s">
        <v>780</v>
      </c>
      <c r="C52" s="440"/>
      <c r="D52" s="425"/>
      <c r="E52" s="439" t="s">
        <v>781</v>
      </c>
      <c r="F52" s="440"/>
      <c r="G52" s="425"/>
    </row>
    <row r="53" spans="1:9" ht="24" thickBot="1">
      <c r="A53" s="425"/>
      <c r="B53" s="441" t="s">
        <v>788</v>
      </c>
      <c r="C53" s="442">
        <f>C50-(C51+C52)</f>
        <v>0</v>
      </c>
      <c r="D53" s="425"/>
      <c r="E53" s="441" t="s">
        <v>789</v>
      </c>
      <c r="F53" s="442">
        <f>F50-(F51+F52)</f>
        <v>0</v>
      </c>
      <c r="G53" s="425"/>
    </row>
    <row r="54" spans="1:9" ht="19.5" thickBot="1">
      <c r="A54" s="425"/>
      <c r="B54" s="425"/>
      <c r="C54" s="1327"/>
      <c r="D54" s="1327"/>
      <c r="E54" s="1327"/>
      <c r="F54" s="426"/>
      <c r="G54" s="425"/>
    </row>
    <row r="55" spans="1:9" ht="23.25" thickBot="1">
      <c r="A55" s="425"/>
      <c r="B55" s="444" t="s">
        <v>784</v>
      </c>
      <c r="C55" s="445" t="s">
        <v>790</v>
      </c>
      <c r="D55" s="446"/>
      <c r="E55" s="447" t="s">
        <v>786</v>
      </c>
      <c r="F55" s="448" t="str">
        <f>IF(C55="Y", I55, "N/A")</f>
        <v>N/A</v>
      </c>
      <c r="G55" s="425"/>
      <c r="I55" s="449">
        <f>(SUM(C53:F53)/2)</f>
        <v>0</v>
      </c>
    </row>
    <row r="56" spans="1:9" ht="19.5" thickBot="1">
      <c r="A56" s="425"/>
      <c r="B56" s="425"/>
      <c r="C56" s="443"/>
      <c r="D56" s="443"/>
      <c r="E56" s="443"/>
      <c r="F56" s="426"/>
      <c r="G56" s="425"/>
    </row>
    <row r="57" spans="1:9">
      <c r="A57" s="425"/>
      <c r="B57" s="1328" t="s">
        <v>787</v>
      </c>
      <c r="C57" s="1329"/>
      <c r="D57" s="1329"/>
      <c r="E57" s="1329"/>
      <c r="F57" s="1330"/>
      <c r="G57" s="425"/>
    </row>
    <row r="58" spans="1:9">
      <c r="A58" s="425"/>
      <c r="B58" s="1331"/>
      <c r="C58" s="1332"/>
      <c r="D58" s="1332"/>
      <c r="E58" s="1332"/>
      <c r="F58" s="1333"/>
      <c r="G58" s="425"/>
    </row>
    <row r="59" spans="1:9" ht="15.75" thickBot="1">
      <c r="A59" s="425"/>
      <c r="B59" s="1334"/>
      <c r="C59" s="1335"/>
      <c r="D59" s="1335"/>
      <c r="E59" s="1335"/>
      <c r="F59" s="1336"/>
      <c r="G59" s="425"/>
    </row>
    <row r="60" spans="1:9">
      <c r="A60" s="425"/>
      <c r="B60" s="425"/>
      <c r="C60" s="426"/>
      <c r="D60" s="425"/>
      <c r="E60" s="425"/>
      <c r="F60" s="426"/>
      <c r="G60" s="425"/>
    </row>
    <row r="61" spans="1:9" ht="15.75" thickBot="1">
      <c r="A61" s="425"/>
      <c r="B61" s="425"/>
      <c r="C61" s="426"/>
      <c r="D61" s="425"/>
      <c r="E61" s="425"/>
      <c r="F61" s="426"/>
      <c r="G61" s="425"/>
    </row>
    <row r="62" spans="1:9">
      <c r="A62" s="425"/>
      <c r="B62" s="1337" t="s">
        <v>762</v>
      </c>
      <c r="C62" s="1338"/>
      <c r="D62" s="1338"/>
      <c r="E62" s="1338"/>
      <c r="F62" s="1339"/>
      <c r="G62" s="425"/>
    </row>
    <row r="63" spans="1:9">
      <c r="A63" s="425"/>
      <c r="B63" s="1340"/>
      <c r="C63" s="1341"/>
      <c r="D63" s="1341"/>
      <c r="E63" s="1341"/>
      <c r="F63" s="1342"/>
      <c r="G63" s="425"/>
    </row>
    <row r="64" spans="1:9">
      <c r="A64" s="425"/>
      <c r="B64" s="1340"/>
      <c r="C64" s="1341"/>
      <c r="D64" s="1341"/>
      <c r="E64" s="1341"/>
      <c r="F64" s="1342"/>
      <c r="G64" s="425"/>
    </row>
    <row r="65" spans="1:7" ht="15.75" thickBot="1">
      <c r="A65" s="425"/>
      <c r="B65" s="427"/>
      <c r="C65" s="428"/>
      <c r="D65" s="428"/>
      <c r="E65" s="428"/>
      <c r="F65" s="429" t="str">
        <f>'[3]Reference Sheet'!$B$2</f>
        <v>Rev. 4.12.2016</v>
      </c>
      <c r="G65" s="425"/>
    </row>
    <row r="66" spans="1:7" ht="15.75" thickBot="1">
      <c r="A66" s="425"/>
      <c r="B66" s="425"/>
      <c r="C66" s="426"/>
      <c r="D66" s="425"/>
      <c r="E66" s="425"/>
      <c r="F66" s="426"/>
      <c r="G66" s="425"/>
    </row>
    <row r="67" spans="1:7">
      <c r="A67" s="430"/>
      <c r="B67" s="1343" t="s">
        <v>764</v>
      </c>
      <c r="C67" s="1344"/>
      <c r="D67" s="425"/>
      <c r="E67" s="1347" t="s">
        <v>765</v>
      </c>
      <c r="F67" s="1344"/>
      <c r="G67" s="425"/>
    </row>
    <row r="68" spans="1:7" ht="15.75" thickBot="1">
      <c r="A68" s="430"/>
      <c r="B68" s="1345"/>
      <c r="C68" s="1346"/>
      <c r="D68" s="425"/>
      <c r="E68" s="1345"/>
      <c r="F68" s="1346"/>
      <c r="G68" s="425"/>
    </row>
    <row r="69" spans="1:7" ht="15.75" thickBot="1">
      <c r="A69" s="425"/>
      <c r="B69" s="425"/>
      <c r="C69" s="426"/>
      <c r="D69" s="425"/>
      <c r="E69" s="425"/>
      <c r="F69" s="426"/>
      <c r="G69" s="425"/>
    </row>
    <row r="70" spans="1:7">
      <c r="A70" s="425"/>
      <c r="B70" s="1348" t="s">
        <v>767</v>
      </c>
      <c r="C70" s="1349"/>
      <c r="D70" s="425"/>
      <c r="E70" s="1348" t="s">
        <v>767</v>
      </c>
      <c r="F70" s="1349"/>
      <c r="G70" s="425"/>
    </row>
    <row r="71" spans="1:7">
      <c r="A71" s="425"/>
      <c r="B71" s="431" t="s">
        <v>768</v>
      </c>
      <c r="C71" s="432">
        <v>365</v>
      </c>
      <c r="D71" s="425"/>
      <c r="E71" s="431" t="s">
        <v>768</v>
      </c>
      <c r="F71" s="432">
        <v>365</v>
      </c>
      <c r="G71" s="425"/>
    </row>
    <row r="72" spans="1:7">
      <c r="A72" s="425"/>
      <c r="B72" s="433" t="s">
        <v>769</v>
      </c>
      <c r="C72" s="434"/>
      <c r="D72" s="425"/>
      <c r="E72" s="433" t="s">
        <v>769</v>
      </c>
      <c r="F72" s="434"/>
      <c r="G72" s="425"/>
    </row>
    <row r="73" spans="1:7">
      <c r="A73" s="425"/>
      <c r="B73" s="435" t="s">
        <v>770</v>
      </c>
      <c r="C73" s="434"/>
      <c r="D73" s="425"/>
      <c r="E73" s="435" t="s">
        <v>770</v>
      </c>
      <c r="F73" s="434"/>
      <c r="G73" s="425"/>
    </row>
    <row r="74" spans="1:7">
      <c r="A74" s="425"/>
      <c r="B74" s="435" t="s">
        <v>771</v>
      </c>
      <c r="C74" s="434"/>
      <c r="D74" s="425"/>
      <c r="E74" s="435" t="s">
        <v>771</v>
      </c>
      <c r="F74" s="434"/>
      <c r="G74" s="425"/>
    </row>
    <row r="75" spans="1:7">
      <c r="A75" s="425"/>
      <c r="B75" s="435" t="s">
        <v>772</v>
      </c>
      <c r="C75" s="434"/>
      <c r="D75" s="425"/>
      <c r="E75" s="435" t="s">
        <v>772</v>
      </c>
      <c r="F75" s="434"/>
      <c r="G75" s="425"/>
    </row>
    <row r="76" spans="1:7">
      <c r="A76" s="425"/>
      <c r="B76" s="436" t="s">
        <v>773</v>
      </c>
      <c r="C76" s="434"/>
      <c r="D76" s="425"/>
      <c r="E76" s="436" t="s">
        <v>773</v>
      </c>
      <c r="F76" s="434"/>
      <c r="G76" s="425"/>
    </row>
    <row r="77" spans="1:7">
      <c r="A77" s="425"/>
      <c r="B77" s="436" t="s">
        <v>774</v>
      </c>
      <c r="C77" s="434"/>
      <c r="D77" s="425"/>
      <c r="E77" s="436" t="s">
        <v>774</v>
      </c>
      <c r="F77" s="434"/>
      <c r="G77" s="425"/>
    </row>
    <row r="78" spans="1:7" ht="33.75">
      <c r="A78" s="425"/>
      <c r="B78" s="435" t="s">
        <v>775</v>
      </c>
      <c r="C78" s="434"/>
      <c r="D78" s="425"/>
      <c r="E78" s="435" t="s">
        <v>775</v>
      </c>
      <c r="F78" s="434"/>
      <c r="G78" s="425"/>
    </row>
    <row r="79" spans="1:7">
      <c r="A79" s="425"/>
      <c r="B79" s="435" t="s">
        <v>776</v>
      </c>
      <c r="C79" s="437">
        <f>SUM(C72-C73+C74+C76+C77+C75,C78)</f>
        <v>0</v>
      </c>
      <c r="D79" s="425"/>
      <c r="E79" s="435" t="s">
        <v>776</v>
      </c>
      <c r="F79" s="437">
        <f>SUM(F72-F73+F74+F76+F77+F75,F78)</f>
        <v>0</v>
      </c>
      <c r="G79" s="425"/>
    </row>
    <row r="80" spans="1:7">
      <c r="A80" s="425"/>
      <c r="B80" s="435" t="s">
        <v>777</v>
      </c>
      <c r="C80" s="437">
        <f>C79/(C71/30.4165)</f>
        <v>0</v>
      </c>
      <c r="D80" s="425"/>
      <c r="E80" s="435" t="s">
        <v>777</v>
      </c>
      <c r="F80" s="437">
        <f>F79/(F71/30.4165)</f>
        <v>0</v>
      </c>
      <c r="G80" s="425"/>
    </row>
    <row r="81" spans="1:9" ht="45">
      <c r="A81" s="425"/>
      <c r="B81" s="438" t="s">
        <v>778</v>
      </c>
      <c r="C81" s="434"/>
      <c r="D81" s="425"/>
      <c r="E81" s="438" t="s">
        <v>779</v>
      </c>
      <c r="F81" s="434"/>
      <c r="G81" s="425"/>
    </row>
    <row r="82" spans="1:9" ht="45">
      <c r="A82" s="425"/>
      <c r="B82" s="439" t="s">
        <v>780</v>
      </c>
      <c r="C82" s="440"/>
      <c r="D82" s="425"/>
      <c r="E82" s="439" t="s">
        <v>781</v>
      </c>
      <c r="F82" s="440"/>
      <c r="G82" s="425"/>
    </row>
    <row r="83" spans="1:9" ht="24" thickBot="1">
      <c r="A83" s="425"/>
      <c r="B83" s="441" t="s">
        <v>788</v>
      </c>
      <c r="C83" s="442">
        <f>C80-(C81+C82)</f>
        <v>0</v>
      </c>
      <c r="D83" s="425"/>
      <c r="E83" s="441" t="s">
        <v>789</v>
      </c>
      <c r="F83" s="442">
        <f>F80-(F81+F82)</f>
        <v>0</v>
      </c>
      <c r="G83" s="425"/>
    </row>
    <row r="84" spans="1:9" ht="19.5" thickBot="1">
      <c r="A84" s="425"/>
      <c r="B84" s="425"/>
      <c r="C84" s="1327"/>
      <c r="D84" s="1327"/>
      <c r="E84" s="1327"/>
      <c r="F84" s="426"/>
      <c r="G84" s="425"/>
    </row>
    <row r="85" spans="1:9" ht="23.25" thickBot="1">
      <c r="A85" s="425"/>
      <c r="B85" s="444" t="s">
        <v>784</v>
      </c>
      <c r="C85" s="445" t="s">
        <v>790</v>
      </c>
      <c r="D85" s="446"/>
      <c r="E85" s="447" t="s">
        <v>786</v>
      </c>
      <c r="F85" s="448" t="str">
        <f>IF(C85="Y", I85, "N/A")</f>
        <v>N/A</v>
      </c>
      <c r="G85" s="425"/>
      <c r="I85" s="449">
        <f>(SUM(C83:F83)/2)</f>
        <v>0</v>
      </c>
    </row>
    <row r="86" spans="1:9" ht="19.5" thickBot="1">
      <c r="A86" s="425"/>
      <c r="B86" s="425"/>
      <c r="C86" s="443"/>
      <c r="D86" s="443"/>
      <c r="E86" s="443"/>
      <c r="F86" s="426"/>
      <c r="G86" s="425"/>
    </row>
    <row r="87" spans="1:9">
      <c r="A87" s="425"/>
      <c r="B87" s="1328" t="s">
        <v>787</v>
      </c>
      <c r="C87" s="1329"/>
      <c r="D87" s="1329"/>
      <c r="E87" s="1329"/>
      <c r="F87" s="1330"/>
      <c r="G87" s="425"/>
    </row>
    <row r="88" spans="1:9">
      <c r="A88" s="425"/>
      <c r="B88" s="1331"/>
      <c r="C88" s="1332"/>
      <c r="D88" s="1332"/>
      <c r="E88" s="1332"/>
      <c r="F88" s="1333"/>
      <c r="G88" s="425"/>
    </row>
    <row r="89" spans="1:9" ht="15.75" thickBot="1">
      <c r="A89" s="425"/>
      <c r="B89" s="1334"/>
      <c r="C89" s="1335"/>
      <c r="D89" s="1335"/>
      <c r="E89" s="1335"/>
      <c r="F89" s="1336"/>
      <c r="G89" s="425"/>
    </row>
    <row r="90" spans="1:9">
      <c r="A90" s="425"/>
      <c r="B90" s="425"/>
      <c r="C90" s="426"/>
      <c r="D90" s="425"/>
      <c r="E90" s="425"/>
      <c r="F90" s="426"/>
      <c r="G90" s="425"/>
    </row>
    <row r="91" spans="1:9" ht="15.75" thickBot="1">
      <c r="A91" s="425"/>
      <c r="B91" s="425"/>
      <c r="C91" s="426"/>
      <c r="D91" s="425"/>
      <c r="E91" s="425"/>
      <c r="F91" s="426"/>
      <c r="G91" s="425"/>
    </row>
    <row r="92" spans="1:9">
      <c r="A92" s="425"/>
      <c r="B92" s="1337" t="s">
        <v>762</v>
      </c>
      <c r="C92" s="1338"/>
      <c r="D92" s="1338"/>
      <c r="E92" s="1338"/>
      <c r="F92" s="1339"/>
      <c r="G92" s="425"/>
    </row>
    <row r="93" spans="1:9">
      <c r="A93" s="425"/>
      <c r="B93" s="1340"/>
      <c r="C93" s="1341"/>
      <c r="D93" s="1341"/>
      <c r="E93" s="1341"/>
      <c r="F93" s="1342"/>
      <c r="G93" s="425"/>
    </row>
    <row r="94" spans="1:9">
      <c r="A94" s="425"/>
      <c r="B94" s="1340"/>
      <c r="C94" s="1341"/>
      <c r="D94" s="1341"/>
      <c r="E94" s="1341"/>
      <c r="F94" s="1342"/>
      <c r="G94" s="425"/>
    </row>
    <row r="95" spans="1:9" ht="15.75" thickBot="1">
      <c r="A95" s="425"/>
      <c r="B95" s="427"/>
      <c r="C95" s="428"/>
      <c r="D95" s="428"/>
      <c r="E95" s="428"/>
      <c r="F95" s="429" t="str">
        <f>'[3]Reference Sheet'!$B$2</f>
        <v>Rev. 4.12.2016</v>
      </c>
      <c r="G95" s="425"/>
    </row>
    <row r="96" spans="1:9" ht="15.75" thickBot="1">
      <c r="A96" s="425"/>
      <c r="B96" s="425"/>
      <c r="C96" s="426"/>
      <c r="D96" s="425"/>
      <c r="E96" s="425"/>
      <c r="F96" s="426"/>
      <c r="G96" s="425"/>
    </row>
    <row r="97" spans="1:7">
      <c r="A97" s="430"/>
      <c r="B97" s="1343" t="s">
        <v>764</v>
      </c>
      <c r="C97" s="1344"/>
      <c r="D97" s="425"/>
      <c r="E97" s="1347" t="s">
        <v>765</v>
      </c>
      <c r="F97" s="1344"/>
      <c r="G97" s="425"/>
    </row>
    <row r="98" spans="1:7" ht="15.75" thickBot="1">
      <c r="A98" s="430"/>
      <c r="B98" s="1345"/>
      <c r="C98" s="1346"/>
      <c r="D98" s="425"/>
      <c r="E98" s="1345"/>
      <c r="F98" s="1346"/>
      <c r="G98" s="425"/>
    </row>
    <row r="99" spans="1:7" ht="15.75" thickBot="1">
      <c r="A99" s="425"/>
      <c r="B99" s="425"/>
      <c r="C99" s="426"/>
      <c r="D99" s="425"/>
      <c r="E99" s="425"/>
      <c r="F99" s="426"/>
      <c r="G99" s="425"/>
    </row>
    <row r="100" spans="1:7">
      <c r="A100" s="425"/>
      <c r="B100" s="1348" t="s">
        <v>767</v>
      </c>
      <c r="C100" s="1349"/>
      <c r="D100" s="425"/>
      <c r="E100" s="1348" t="s">
        <v>767</v>
      </c>
      <c r="F100" s="1349"/>
      <c r="G100" s="425"/>
    </row>
    <row r="101" spans="1:7">
      <c r="A101" s="425"/>
      <c r="B101" s="431" t="s">
        <v>768</v>
      </c>
      <c r="C101" s="432">
        <v>365</v>
      </c>
      <c r="D101" s="425"/>
      <c r="E101" s="431" t="s">
        <v>768</v>
      </c>
      <c r="F101" s="432">
        <v>365</v>
      </c>
      <c r="G101" s="425"/>
    </row>
    <row r="102" spans="1:7">
      <c r="A102" s="425"/>
      <c r="B102" s="433" t="s">
        <v>769</v>
      </c>
      <c r="C102" s="434"/>
      <c r="D102" s="425"/>
      <c r="E102" s="433" t="s">
        <v>769</v>
      </c>
      <c r="F102" s="434"/>
      <c r="G102" s="425"/>
    </row>
    <row r="103" spans="1:7">
      <c r="A103" s="425"/>
      <c r="B103" s="435" t="s">
        <v>770</v>
      </c>
      <c r="C103" s="434"/>
      <c r="D103" s="425"/>
      <c r="E103" s="435" t="s">
        <v>770</v>
      </c>
      <c r="F103" s="434"/>
      <c r="G103" s="425"/>
    </row>
    <row r="104" spans="1:7">
      <c r="A104" s="425"/>
      <c r="B104" s="435" t="s">
        <v>771</v>
      </c>
      <c r="C104" s="434"/>
      <c r="D104" s="425"/>
      <c r="E104" s="435" t="s">
        <v>771</v>
      </c>
      <c r="F104" s="434"/>
      <c r="G104" s="425"/>
    </row>
    <row r="105" spans="1:7">
      <c r="A105" s="425"/>
      <c r="B105" s="435" t="s">
        <v>772</v>
      </c>
      <c r="C105" s="434"/>
      <c r="D105" s="425"/>
      <c r="E105" s="435" t="s">
        <v>772</v>
      </c>
      <c r="F105" s="434"/>
      <c r="G105" s="425"/>
    </row>
    <row r="106" spans="1:7">
      <c r="A106" s="425"/>
      <c r="B106" s="436" t="s">
        <v>773</v>
      </c>
      <c r="C106" s="434"/>
      <c r="D106" s="425"/>
      <c r="E106" s="436" t="s">
        <v>773</v>
      </c>
      <c r="F106" s="434"/>
      <c r="G106" s="425"/>
    </row>
    <row r="107" spans="1:7">
      <c r="A107" s="425"/>
      <c r="B107" s="436" t="s">
        <v>774</v>
      </c>
      <c r="C107" s="434"/>
      <c r="D107" s="425"/>
      <c r="E107" s="436" t="s">
        <v>774</v>
      </c>
      <c r="F107" s="434"/>
      <c r="G107" s="425"/>
    </row>
    <row r="108" spans="1:7" ht="33.75">
      <c r="A108" s="425"/>
      <c r="B108" s="435" t="s">
        <v>775</v>
      </c>
      <c r="C108" s="434"/>
      <c r="D108" s="425"/>
      <c r="E108" s="435" t="s">
        <v>775</v>
      </c>
      <c r="F108" s="434"/>
      <c r="G108" s="425"/>
    </row>
    <row r="109" spans="1:7">
      <c r="A109" s="425"/>
      <c r="B109" s="435" t="s">
        <v>776</v>
      </c>
      <c r="C109" s="437">
        <f>SUM(C102-C103+C104+C106+C107+C105,C108)</f>
        <v>0</v>
      </c>
      <c r="D109" s="425"/>
      <c r="E109" s="435" t="s">
        <v>776</v>
      </c>
      <c r="F109" s="437">
        <f>SUM(F102-F103+F104+F106+F107+F105,F108)</f>
        <v>0</v>
      </c>
      <c r="G109" s="425"/>
    </row>
    <row r="110" spans="1:7">
      <c r="A110" s="425"/>
      <c r="B110" s="435" t="s">
        <v>777</v>
      </c>
      <c r="C110" s="437">
        <f>C109/(C101/30.4165)</f>
        <v>0</v>
      </c>
      <c r="D110" s="425"/>
      <c r="E110" s="435" t="s">
        <v>777</v>
      </c>
      <c r="F110" s="437">
        <f>F109/(F101/30.4165)</f>
        <v>0</v>
      </c>
      <c r="G110" s="425"/>
    </row>
    <row r="111" spans="1:7" ht="45">
      <c r="A111" s="425"/>
      <c r="B111" s="438" t="s">
        <v>778</v>
      </c>
      <c r="C111" s="434"/>
      <c r="D111" s="425"/>
      <c r="E111" s="438" t="s">
        <v>779</v>
      </c>
      <c r="F111" s="434"/>
      <c r="G111" s="425"/>
    </row>
    <row r="112" spans="1:7" ht="45">
      <c r="A112" s="425"/>
      <c r="B112" s="439" t="s">
        <v>780</v>
      </c>
      <c r="C112" s="440"/>
      <c r="D112" s="425"/>
      <c r="E112" s="439" t="s">
        <v>781</v>
      </c>
      <c r="F112" s="440"/>
      <c r="G112" s="425"/>
    </row>
    <row r="113" spans="1:9" ht="24" thickBot="1">
      <c r="A113" s="425"/>
      <c r="B113" s="441" t="s">
        <v>788</v>
      </c>
      <c r="C113" s="442">
        <f>C110-(C111+C112)</f>
        <v>0</v>
      </c>
      <c r="D113" s="425"/>
      <c r="E113" s="441" t="s">
        <v>789</v>
      </c>
      <c r="F113" s="442">
        <f>F110-(F111+F112)</f>
        <v>0</v>
      </c>
      <c r="G113" s="425"/>
    </row>
    <row r="114" spans="1:9" ht="19.5" thickBot="1">
      <c r="A114" s="425"/>
      <c r="B114" s="425"/>
      <c r="C114" s="1327"/>
      <c r="D114" s="1327"/>
      <c r="E114" s="1327"/>
      <c r="F114" s="426"/>
      <c r="G114" s="425"/>
    </row>
    <row r="115" spans="1:9" ht="23.25" thickBot="1">
      <c r="A115" s="425"/>
      <c r="B115" s="444" t="s">
        <v>784</v>
      </c>
      <c r="C115" s="445" t="s">
        <v>790</v>
      </c>
      <c r="D115" s="446"/>
      <c r="E115" s="447" t="s">
        <v>786</v>
      </c>
      <c r="F115" s="448" t="str">
        <f>IF(C115="Y", I115, "N/A")</f>
        <v>N/A</v>
      </c>
      <c r="G115" s="425"/>
      <c r="I115" s="449">
        <f>(SUM(C113:F113)/2)</f>
        <v>0</v>
      </c>
    </row>
    <row r="116" spans="1:9" ht="19.5" thickBot="1">
      <c r="A116" s="425"/>
      <c r="B116" s="425"/>
      <c r="C116" s="443"/>
      <c r="D116" s="443"/>
      <c r="E116" s="443"/>
      <c r="F116" s="426"/>
      <c r="G116" s="425"/>
    </row>
    <row r="117" spans="1:9">
      <c r="A117" s="425"/>
      <c r="B117" s="1328" t="s">
        <v>787</v>
      </c>
      <c r="C117" s="1329"/>
      <c r="D117" s="1329"/>
      <c r="E117" s="1329"/>
      <c r="F117" s="1330"/>
      <c r="G117" s="425"/>
    </row>
    <row r="118" spans="1:9">
      <c r="A118" s="425"/>
      <c r="B118" s="1331"/>
      <c r="C118" s="1332"/>
      <c r="D118" s="1332"/>
      <c r="E118" s="1332"/>
      <c r="F118" s="1333"/>
      <c r="G118" s="425"/>
    </row>
    <row r="119" spans="1:9" ht="15.75" thickBot="1">
      <c r="A119" s="425"/>
      <c r="B119" s="1334"/>
      <c r="C119" s="1335"/>
      <c r="D119" s="1335"/>
      <c r="E119" s="1335"/>
      <c r="F119" s="1336"/>
      <c r="G119" s="425"/>
    </row>
    <row r="120" spans="1:9">
      <c r="A120" s="425"/>
      <c r="B120" s="425"/>
      <c r="C120" s="426"/>
      <c r="D120" s="425"/>
      <c r="E120" s="425"/>
      <c r="F120" s="426"/>
      <c r="G120" s="425"/>
    </row>
    <row r="121" spans="1:9" ht="15.75" thickBot="1">
      <c r="A121" s="425"/>
      <c r="B121" s="425"/>
      <c r="C121" s="426"/>
      <c r="D121" s="425"/>
      <c r="E121" s="425"/>
      <c r="F121" s="426"/>
      <c r="G121" s="425"/>
    </row>
    <row r="122" spans="1:9">
      <c r="A122" s="425"/>
      <c r="B122" s="1337" t="s">
        <v>762</v>
      </c>
      <c r="C122" s="1338"/>
      <c r="D122" s="1338"/>
      <c r="E122" s="1338"/>
      <c r="F122" s="1339"/>
      <c r="G122" s="425"/>
    </row>
    <row r="123" spans="1:9">
      <c r="A123" s="425"/>
      <c r="B123" s="1340"/>
      <c r="C123" s="1341"/>
      <c r="D123" s="1341"/>
      <c r="E123" s="1341"/>
      <c r="F123" s="1342"/>
      <c r="G123" s="425"/>
    </row>
    <row r="124" spans="1:9">
      <c r="A124" s="425"/>
      <c r="B124" s="1340"/>
      <c r="C124" s="1341"/>
      <c r="D124" s="1341"/>
      <c r="E124" s="1341"/>
      <c r="F124" s="1342"/>
      <c r="G124" s="425"/>
    </row>
    <row r="125" spans="1:9" ht="15.75" thickBot="1">
      <c r="A125" s="425"/>
      <c r="B125" s="427"/>
      <c r="C125" s="428"/>
      <c r="D125" s="428"/>
      <c r="E125" s="428"/>
      <c r="F125" s="429" t="str">
        <f>'[3]Reference Sheet'!$B$2</f>
        <v>Rev. 4.12.2016</v>
      </c>
      <c r="G125" s="425"/>
    </row>
    <row r="126" spans="1:9" ht="15.75" thickBot="1">
      <c r="A126" s="425"/>
      <c r="B126" s="425"/>
      <c r="C126" s="426"/>
      <c r="D126" s="425"/>
      <c r="E126" s="425"/>
      <c r="F126" s="426"/>
      <c r="G126" s="425"/>
    </row>
    <row r="127" spans="1:9">
      <c r="A127" s="430"/>
      <c r="B127" s="1343" t="s">
        <v>764</v>
      </c>
      <c r="C127" s="1344"/>
      <c r="D127" s="425"/>
      <c r="E127" s="1347" t="s">
        <v>765</v>
      </c>
      <c r="F127" s="1344"/>
      <c r="G127" s="425"/>
    </row>
    <row r="128" spans="1:9" ht="15.75" thickBot="1">
      <c r="A128" s="430"/>
      <c r="B128" s="1345"/>
      <c r="C128" s="1346"/>
      <c r="D128" s="425"/>
      <c r="E128" s="1345"/>
      <c r="F128" s="1346"/>
      <c r="G128" s="425"/>
    </row>
    <row r="129" spans="1:7" ht="15.75" thickBot="1">
      <c r="A129" s="425"/>
      <c r="B129" s="425"/>
      <c r="C129" s="426"/>
      <c r="D129" s="425"/>
      <c r="E129" s="425"/>
      <c r="F129" s="426"/>
      <c r="G129" s="425"/>
    </row>
    <row r="130" spans="1:7">
      <c r="A130" s="425"/>
      <c r="B130" s="1348" t="s">
        <v>767</v>
      </c>
      <c r="C130" s="1349"/>
      <c r="D130" s="425"/>
      <c r="E130" s="1348" t="s">
        <v>767</v>
      </c>
      <c r="F130" s="1349"/>
      <c r="G130" s="425"/>
    </row>
    <row r="131" spans="1:7">
      <c r="A131" s="425"/>
      <c r="B131" s="431" t="s">
        <v>768</v>
      </c>
      <c r="C131" s="432">
        <v>365</v>
      </c>
      <c r="D131" s="425"/>
      <c r="E131" s="431" t="s">
        <v>768</v>
      </c>
      <c r="F131" s="432">
        <v>365</v>
      </c>
      <c r="G131" s="425"/>
    </row>
    <row r="132" spans="1:7">
      <c r="A132" s="425"/>
      <c r="B132" s="433" t="s">
        <v>769</v>
      </c>
      <c r="C132" s="434"/>
      <c r="D132" s="425"/>
      <c r="E132" s="433" t="s">
        <v>769</v>
      </c>
      <c r="F132" s="434"/>
      <c r="G132" s="425"/>
    </row>
    <row r="133" spans="1:7">
      <c r="A133" s="425"/>
      <c r="B133" s="435" t="s">
        <v>770</v>
      </c>
      <c r="C133" s="434"/>
      <c r="D133" s="425"/>
      <c r="E133" s="435" t="s">
        <v>770</v>
      </c>
      <c r="F133" s="434"/>
      <c r="G133" s="425"/>
    </row>
    <row r="134" spans="1:7">
      <c r="A134" s="425"/>
      <c r="B134" s="435" t="s">
        <v>771</v>
      </c>
      <c r="C134" s="434"/>
      <c r="D134" s="425"/>
      <c r="E134" s="435" t="s">
        <v>771</v>
      </c>
      <c r="F134" s="434"/>
      <c r="G134" s="425"/>
    </row>
    <row r="135" spans="1:7">
      <c r="A135" s="425"/>
      <c r="B135" s="435" t="s">
        <v>772</v>
      </c>
      <c r="C135" s="434"/>
      <c r="D135" s="425"/>
      <c r="E135" s="435" t="s">
        <v>772</v>
      </c>
      <c r="F135" s="434"/>
      <c r="G135" s="425"/>
    </row>
    <row r="136" spans="1:7">
      <c r="A136" s="425"/>
      <c r="B136" s="436" t="s">
        <v>773</v>
      </c>
      <c r="C136" s="434"/>
      <c r="D136" s="425"/>
      <c r="E136" s="436" t="s">
        <v>773</v>
      </c>
      <c r="F136" s="434"/>
      <c r="G136" s="425"/>
    </row>
    <row r="137" spans="1:7">
      <c r="A137" s="425"/>
      <c r="B137" s="436" t="s">
        <v>774</v>
      </c>
      <c r="C137" s="434"/>
      <c r="D137" s="425"/>
      <c r="E137" s="436" t="s">
        <v>774</v>
      </c>
      <c r="F137" s="434"/>
      <c r="G137" s="425"/>
    </row>
    <row r="138" spans="1:7" ht="33.75">
      <c r="A138" s="425"/>
      <c r="B138" s="435" t="s">
        <v>775</v>
      </c>
      <c r="C138" s="434"/>
      <c r="D138" s="425"/>
      <c r="E138" s="435" t="s">
        <v>775</v>
      </c>
      <c r="F138" s="434"/>
      <c r="G138" s="425"/>
    </row>
    <row r="139" spans="1:7">
      <c r="A139" s="425"/>
      <c r="B139" s="435" t="s">
        <v>776</v>
      </c>
      <c r="C139" s="437">
        <f>SUM(C132-C133+C134+C136+C137+C135,C138)</f>
        <v>0</v>
      </c>
      <c r="D139" s="425"/>
      <c r="E139" s="435" t="s">
        <v>776</v>
      </c>
      <c r="F139" s="437">
        <f>SUM(F132-F133+F134+F136+F137+F135,F138)</f>
        <v>0</v>
      </c>
      <c r="G139" s="425"/>
    </row>
    <row r="140" spans="1:7">
      <c r="A140" s="425"/>
      <c r="B140" s="435" t="s">
        <v>777</v>
      </c>
      <c r="C140" s="437">
        <f>C139/(C131/30.4165)</f>
        <v>0</v>
      </c>
      <c r="D140" s="425"/>
      <c r="E140" s="435" t="s">
        <v>777</v>
      </c>
      <c r="F140" s="437">
        <f>F139/(F131/30.4165)</f>
        <v>0</v>
      </c>
      <c r="G140" s="425"/>
    </row>
    <row r="141" spans="1:7" ht="45">
      <c r="A141" s="425"/>
      <c r="B141" s="438" t="s">
        <v>778</v>
      </c>
      <c r="C141" s="434"/>
      <c r="D141" s="425"/>
      <c r="E141" s="438" t="s">
        <v>779</v>
      </c>
      <c r="F141" s="434"/>
      <c r="G141" s="425"/>
    </row>
    <row r="142" spans="1:7" ht="45">
      <c r="A142" s="425"/>
      <c r="B142" s="439" t="s">
        <v>780</v>
      </c>
      <c r="C142" s="440"/>
      <c r="D142" s="425"/>
      <c r="E142" s="439" t="s">
        <v>781</v>
      </c>
      <c r="F142" s="440"/>
      <c r="G142" s="425"/>
    </row>
    <row r="143" spans="1:7" ht="24" thickBot="1">
      <c r="A143" s="425"/>
      <c r="B143" s="441" t="s">
        <v>788</v>
      </c>
      <c r="C143" s="442">
        <f>C140-(C141+C142)</f>
        <v>0</v>
      </c>
      <c r="D143" s="425"/>
      <c r="E143" s="441" t="s">
        <v>789</v>
      </c>
      <c r="F143" s="442">
        <f>F140-(F141+F142)</f>
        <v>0</v>
      </c>
      <c r="G143" s="425"/>
    </row>
    <row r="144" spans="1:7" ht="19.5" thickBot="1">
      <c r="A144" s="425"/>
      <c r="B144" s="425"/>
      <c r="C144" s="1327"/>
      <c r="D144" s="1327"/>
      <c r="E144" s="1327"/>
      <c r="F144" s="426"/>
      <c r="G144" s="425"/>
    </row>
    <row r="145" spans="1:9" ht="23.25" thickBot="1">
      <c r="A145" s="425"/>
      <c r="B145" s="444" t="s">
        <v>784</v>
      </c>
      <c r="C145" s="445" t="s">
        <v>790</v>
      </c>
      <c r="D145" s="446"/>
      <c r="E145" s="447" t="s">
        <v>786</v>
      </c>
      <c r="F145" s="448" t="str">
        <f>IF(C145="Y", I145, "N/A")</f>
        <v>N/A</v>
      </c>
      <c r="G145" s="425"/>
      <c r="I145" s="449">
        <f>(SUM(C143:F143)/2)</f>
        <v>0</v>
      </c>
    </row>
    <row r="146" spans="1:9" ht="19.5" thickBot="1">
      <c r="A146" s="425"/>
      <c r="B146" s="425"/>
      <c r="C146" s="443"/>
      <c r="D146" s="443"/>
      <c r="E146" s="443"/>
      <c r="F146" s="426"/>
      <c r="G146" s="425"/>
    </row>
    <row r="147" spans="1:9">
      <c r="A147" s="425"/>
      <c r="B147" s="1328" t="s">
        <v>787</v>
      </c>
      <c r="C147" s="1329"/>
      <c r="D147" s="1329"/>
      <c r="E147" s="1329"/>
      <c r="F147" s="1330"/>
      <c r="G147" s="425"/>
    </row>
    <row r="148" spans="1:9">
      <c r="A148" s="425"/>
      <c r="B148" s="1331"/>
      <c r="C148" s="1332"/>
      <c r="D148" s="1332"/>
      <c r="E148" s="1332"/>
      <c r="F148" s="1333"/>
      <c r="G148" s="425"/>
    </row>
    <row r="149" spans="1:9" ht="15.75" thickBot="1">
      <c r="A149" s="425"/>
      <c r="B149" s="1334"/>
      <c r="C149" s="1335"/>
      <c r="D149" s="1335"/>
      <c r="E149" s="1335"/>
      <c r="F149" s="1336"/>
      <c r="G149" s="425"/>
    </row>
    <row r="150" spans="1:9">
      <c r="A150" s="425"/>
      <c r="B150" s="425"/>
      <c r="C150" s="426"/>
      <c r="D150" s="425"/>
      <c r="E150" s="425"/>
      <c r="F150" s="426"/>
      <c r="G150" s="425"/>
    </row>
    <row r="151" spans="1:9" ht="15.75" thickBot="1">
      <c r="A151" s="425"/>
      <c r="B151" s="425"/>
      <c r="C151" s="426"/>
      <c r="D151" s="425"/>
      <c r="E151" s="425"/>
      <c r="F151" s="426"/>
      <c r="G151" s="425"/>
    </row>
    <row r="152" spans="1:9">
      <c r="A152" s="425"/>
      <c r="B152" s="1337" t="s">
        <v>762</v>
      </c>
      <c r="C152" s="1338"/>
      <c r="D152" s="1338"/>
      <c r="E152" s="1338"/>
      <c r="F152" s="1339"/>
      <c r="G152" s="425"/>
    </row>
    <row r="153" spans="1:9">
      <c r="A153" s="425"/>
      <c r="B153" s="1340"/>
      <c r="C153" s="1341"/>
      <c r="D153" s="1341"/>
      <c r="E153" s="1341"/>
      <c r="F153" s="1342"/>
      <c r="G153" s="425"/>
    </row>
    <row r="154" spans="1:9">
      <c r="A154" s="425"/>
      <c r="B154" s="1340"/>
      <c r="C154" s="1341"/>
      <c r="D154" s="1341"/>
      <c r="E154" s="1341"/>
      <c r="F154" s="1342"/>
      <c r="G154" s="425"/>
    </row>
    <row r="155" spans="1:9" ht="15.75" thickBot="1">
      <c r="A155" s="425"/>
      <c r="B155" s="427"/>
      <c r="C155" s="428"/>
      <c r="D155" s="428"/>
      <c r="E155" s="428"/>
      <c r="F155" s="429" t="str">
        <f>'[3]Reference Sheet'!$B$2</f>
        <v>Rev. 4.12.2016</v>
      </c>
      <c r="G155" s="425"/>
    </row>
    <row r="156" spans="1:9" ht="15.75" thickBot="1">
      <c r="A156" s="425"/>
      <c r="B156" s="425"/>
      <c r="C156" s="426"/>
      <c r="D156" s="425"/>
      <c r="E156" s="425"/>
      <c r="F156" s="426"/>
      <c r="G156" s="425"/>
    </row>
    <row r="157" spans="1:9">
      <c r="A157" s="430"/>
      <c r="B157" s="1343" t="s">
        <v>764</v>
      </c>
      <c r="C157" s="1344"/>
      <c r="D157" s="425"/>
      <c r="E157" s="1347" t="s">
        <v>765</v>
      </c>
      <c r="F157" s="1344"/>
      <c r="G157" s="425"/>
    </row>
    <row r="158" spans="1:9" ht="15.75" thickBot="1">
      <c r="A158" s="430"/>
      <c r="B158" s="1345"/>
      <c r="C158" s="1346"/>
      <c r="D158" s="425"/>
      <c r="E158" s="1345"/>
      <c r="F158" s="1346"/>
      <c r="G158" s="425"/>
    </row>
    <row r="159" spans="1:9" ht="15.75" thickBot="1">
      <c r="A159" s="425"/>
      <c r="B159" s="425"/>
      <c r="C159" s="426"/>
      <c r="D159" s="425"/>
      <c r="E159" s="425"/>
      <c r="F159" s="426"/>
      <c r="G159" s="425"/>
    </row>
    <row r="160" spans="1:9">
      <c r="A160" s="425"/>
      <c r="B160" s="1348" t="s">
        <v>767</v>
      </c>
      <c r="C160" s="1349"/>
      <c r="D160" s="425"/>
      <c r="E160" s="1348" t="s">
        <v>767</v>
      </c>
      <c r="F160" s="1349"/>
      <c r="G160" s="425"/>
    </row>
    <row r="161" spans="1:9">
      <c r="A161" s="425"/>
      <c r="B161" s="431" t="s">
        <v>768</v>
      </c>
      <c r="C161" s="432">
        <v>365</v>
      </c>
      <c r="D161" s="425"/>
      <c r="E161" s="431" t="s">
        <v>768</v>
      </c>
      <c r="F161" s="432">
        <v>365</v>
      </c>
      <c r="G161" s="425"/>
    </row>
    <row r="162" spans="1:9">
      <c r="A162" s="425"/>
      <c r="B162" s="433" t="s">
        <v>769</v>
      </c>
      <c r="C162" s="434"/>
      <c r="D162" s="425"/>
      <c r="E162" s="433" t="s">
        <v>769</v>
      </c>
      <c r="F162" s="434"/>
      <c r="G162" s="425"/>
    </row>
    <row r="163" spans="1:9">
      <c r="A163" s="425"/>
      <c r="B163" s="435" t="s">
        <v>770</v>
      </c>
      <c r="C163" s="434"/>
      <c r="D163" s="425"/>
      <c r="E163" s="435" t="s">
        <v>770</v>
      </c>
      <c r="F163" s="434"/>
      <c r="G163" s="425"/>
    </row>
    <row r="164" spans="1:9">
      <c r="A164" s="425"/>
      <c r="B164" s="435" t="s">
        <v>771</v>
      </c>
      <c r="C164" s="434"/>
      <c r="D164" s="425"/>
      <c r="E164" s="435" t="s">
        <v>771</v>
      </c>
      <c r="F164" s="434"/>
      <c r="G164" s="425"/>
    </row>
    <row r="165" spans="1:9">
      <c r="A165" s="425"/>
      <c r="B165" s="435" t="s">
        <v>772</v>
      </c>
      <c r="C165" s="434"/>
      <c r="D165" s="425"/>
      <c r="E165" s="435" t="s">
        <v>772</v>
      </c>
      <c r="F165" s="434"/>
      <c r="G165" s="425"/>
    </row>
    <row r="166" spans="1:9">
      <c r="A166" s="425"/>
      <c r="B166" s="436" t="s">
        <v>773</v>
      </c>
      <c r="C166" s="434"/>
      <c r="D166" s="425"/>
      <c r="E166" s="436" t="s">
        <v>773</v>
      </c>
      <c r="F166" s="434"/>
      <c r="G166" s="425"/>
    </row>
    <row r="167" spans="1:9">
      <c r="A167" s="425"/>
      <c r="B167" s="436" t="s">
        <v>774</v>
      </c>
      <c r="C167" s="434"/>
      <c r="D167" s="425"/>
      <c r="E167" s="436" t="s">
        <v>774</v>
      </c>
      <c r="F167" s="434"/>
      <c r="G167" s="425"/>
    </row>
    <row r="168" spans="1:9" ht="33.75">
      <c r="A168" s="425"/>
      <c r="B168" s="435" t="s">
        <v>775</v>
      </c>
      <c r="C168" s="434"/>
      <c r="D168" s="425"/>
      <c r="E168" s="435" t="s">
        <v>775</v>
      </c>
      <c r="F168" s="434"/>
      <c r="G168" s="425"/>
    </row>
    <row r="169" spans="1:9">
      <c r="A169" s="425"/>
      <c r="B169" s="435" t="s">
        <v>776</v>
      </c>
      <c r="C169" s="437">
        <f>SUM(C162-C163+C164+C166+C167+C165,C168)</f>
        <v>0</v>
      </c>
      <c r="D169" s="425"/>
      <c r="E169" s="435" t="s">
        <v>776</v>
      </c>
      <c r="F169" s="437">
        <f>SUM(F162-F163+F164+F166+F167+F165,F168)</f>
        <v>0</v>
      </c>
      <c r="G169" s="425"/>
    </row>
    <row r="170" spans="1:9">
      <c r="A170" s="425"/>
      <c r="B170" s="435" t="s">
        <v>777</v>
      </c>
      <c r="C170" s="437">
        <f>C169/(C161/30.4165)</f>
        <v>0</v>
      </c>
      <c r="D170" s="425"/>
      <c r="E170" s="435" t="s">
        <v>777</v>
      </c>
      <c r="F170" s="437">
        <f>F169/(F161/30.4165)</f>
        <v>0</v>
      </c>
      <c r="G170" s="425"/>
    </row>
    <row r="171" spans="1:9" ht="45">
      <c r="A171" s="425"/>
      <c r="B171" s="438" t="s">
        <v>778</v>
      </c>
      <c r="C171" s="434"/>
      <c r="D171" s="425"/>
      <c r="E171" s="438" t="s">
        <v>779</v>
      </c>
      <c r="F171" s="434"/>
      <c r="G171" s="425"/>
    </row>
    <row r="172" spans="1:9" ht="45">
      <c r="A172" s="425"/>
      <c r="B172" s="439" t="s">
        <v>780</v>
      </c>
      <c r="C172" s="440"/>
      <c r="D172" s="425"/>
      <c r="E172" s="439" t="s">
        <v>781</v>
      </c>
      <c r="F172" s="440"/>
      <c r="G172" s="425"/>
    </row>
    <row r="173" spans="1:9" ht="24" thickBot="1">
      <c r="A173" s="425"/>
      <c r="B173" s="441" t="s">
        <v>788</v>
      </c>
      <c r="C173" s="442">
        <f>C170-(C171+C172)</f>
        <v>0</v>
      </c>
      <c r="D173" s="425"/>
      <c r="E173" s="441" t="s">
        <v>789</v>
      </c>
      <c r="F173" s="442">
        <f>F170-(F171+F172)</f>
        <v>0</v>
      </c>
      <c r="G173" s="425"/>
    </row>
    <row r="174" spans="1:9" ht="19.5" thickBot="1">
      <c r="A174" s="425"/>
      <c r="B174" s="425"/>
      <c r="C174" s="1327"/>
      <c r="D174" s="1327"/>
      <c r="E174" s="1327"/>
      <c r="F174" s="426"/>
      <c r="G174" s="425"/>
    </row>
    <row r="175" spans="1:9" ht="23.25" thickBot="1">
      <c r="A175" s="425"/>
      <c r="B175" s="444" t="s">
        <v>784</v>
      </c>
      <c r="C175" s="445" t="s">
        <v>790</v>
      </c>
      <c r="D175" s="446"/>
      <c r="E175" s="447" t="s">
        <v>786</v>
      </c>
      <c r="F175" s="448" t="str">
        <f>IF(C175="Y", I175, "N/A")</f>
        <v>N/A</v>
      </c>
      <c r="G175" s="425"/>
      <c r="I175" s="449">
        <f>(SUM(C173:F173)/2)</f>
        <v>0</v>
      </c>
    </row>
    <row r="176" spans="1:9" ht="19.5" thickBot="1">
      <c r="A176" s="425"/>
      <c r="B176" s="425"/>
      <c r="C176" s="443"/>
      <c r="D176" s="443"/>
      <c r="E176" s="443"/>
      <c r="F176" s="426"/>
      <c r="G176" s="425"/>
    </row>
    <row r="177" spans="1:7">
      <c r="A177" s="425"/>
      <c r="B177" s="1328" t="s">
        <v>787</v>
      </c>
      <c r="C177" s="1329"/>
      <c r="D177" s="1329"/>
      <c r="E177" s="1329"/>
      <c r="F177" s="1330"/>
      <c r="G177" s="425"/>
    </row>
    <row r="178" spans="1:7">
      <c r="A178" s="425"/>
      <c r="B178" s="1331"/>
      <c r="C178" s="1332"/>
      <c r="D178" s="1332"/>
      <c r="E178" s="1332"/>
      <c r="F178" s="1333"/>
      <c r="G178" s="425"/>
    </row>
    <row r="179" spans="1:7" ht="15.75" thickBot="1">
      <c r="A179" s="425"/>
      <c r="B179" s="1334"/>
      <c r="C179" s="1335"/>
      <c r="D179" s="1335"/>
      <c r="E179" s="1335"/>
      <c r="F179" s="1336"/>
      <c r="G179" s="425"/>
    </row>
    <row r="180" spans="1:7">
      <c r="A180" s="425"/>
      <c r="B180" s="425"/>
      <c r="C180" s="426"/>
      <c r="D180" s="425"/>
      <c r="E180" s="425"/>
      <c r="F180" s="426"/>
      <c r="G180" s="425"/>
    </row>
    <row r="181" spans="1:7" ht="15.75" thickBot="1">
      <c r="A181" s="425"/>
      <c r="B181" s="425"/>
      <c r="C181" s="426"/>
      <c r="D181" s="425"/>
      <c r="E181" s="425"/>
      <c r="F181" s="426"/>
      <c r="G181" s="425"/>
    </row>
    <row r="182" spans="1:7">
      <c r="A182" s="425"/>
      <c r="B182" s="1337" t="s">
        <v>762</v>
      </c>
      <c r="C182" s="1338"/>
      <c r="D182" s="1338"/>
      <c r="E182" s="1338"/>
      <c r="F182" s="1339"/>
      <c r="G182" s="425"/>
    </row>
    <row r="183" spans="1:7">
      <c r="A183" s="425"/>
      <c r="B183" s="1340"/>
      <c r="C183" s="1341"/>
      <c r="D183" s="1341"/>
      <c r="E183" s="1341"/>
      <c r="F183" s="1342"/>
      <c r="G183" s="425"/>
    </row>
    <row r="184" spans="1:7">
      <c r="A184" s="425"/>
      <c r="B184" s="1340"/>
      <c r="C184" s="1341"/>
      <c r="D184" s="1341"/>
      <c r="E184" s="1341"/>
      <c r="F184" s="1342"/>
      <c r="G184" s="425"/>
    </row>
    <row r="185" spans="1:7" ht="15.75" thickBot="1">
      <c r="A185" s="425"/>
      <c r="B185" s="427"/>
      <c r="C185" s="428"/>
      <c r="D185" s="428"/>
      <c r="E185" s="428"/>
      <c r="F185" s="429" t="str">
        <f>'[3]Reference Sheet'!$B$2</f>
        <v>Rev. 4.12.2016</v>
      </c>
      <c r="G185" s="425"/>
    </row>
    <row r="186" spans="1:7" ht="15.75" thickBot="1">
      <c r="A186" s="425"/>
      <c r="B186" s="425"/>
      <c r="C186" s="426"/>
      <c r="D186" s="425"/>
      <c r="E186" s="425"/>
      <c r="F186" s="426"/>
      <c r="G186" s="425"/>
    </row>
    <row r="187" spans="1:7">
      <c r="A187" s="430"/>
      <c r="B187" s="1343" t="s">
        <v>764</v>
      </c>
      <c r="C187" s="1344"/>
      <c r="D187" s="425"/>
      <c r="E187" s="1347" t="s">
        <v>765</v>
      </c>
      <c r="F187" s="1344"/>
      <c r="G187" s="425"/>
    </row>
    <row r="188" spans="1:7" ht="15.75" thickBot="1">
      <c r="A188" s="430"/>
      <c r="B188" s="1345"/>
      <c r="C188" s="1346"/>
      <c r="D188" s="425"/>
      <c r="E188" s="1345"/>
      <c r="F188" s="1346"/>
      <c r="G188" s="425"/>
    </row>
    <row r="189" spans="1:7" ht="15.75" thickBot="1">
      <c r="A189" s="425"/>
      <c r="B189" s="425"/>
      <c r="C189" s="426"/>
      <c r="D189" s="425"/>
      <c r="E189" s="425"/>
      <c r="F189" s="426"/>
      <c r="G189" s="425"/>
    </row>
    <row r="190" spans="1:7">
      <c r="A190" s="425"/>
      <c r="B190" s="1348" t="s">
        <v>767</v>
      </c>
      <c r="C190" s="1349"/>
      <c r="D190" s="425"/>
      <c r="E190" s="1348" t="s">
        <v>767</v>
      </c>
      <c r="F190" s="1349"/>
      <c r="G190" s="425"/>
    </row>
    <row r="191" spans="1:7">
      <c r="A191" s="425"/>
      <c r="B191" s="431" t="s">
        <v>768</v>
      </c>
      <c r="C191" s="432">
        <v>365</v>
      </c>
      <c r="D191" s="425"/>
      <c r="E191" s="431" t="s">
        <v>768</v>
      </c>
      <c r="F191" s="432">
        <v>365</v>
      </c>
      <c r="G191" s="425"/>
    </row>
    <row r="192" spans="1:7">
      <c r="A192" s="425"/>
      <c r="B192" s="433" t="s">
        <v>769</v>
      </c>
      <c r="C192" s="434"/>
      <c r="D192" s="425"/>
      <c r="E192" s="433" t="s">
        <v>769</v>
      </c>
      <c r="F192" s="434"/>
      <c r="G192" s="425"/>
    </row>
    <row r="193" spans="1:9">
      <c r="A193" s="425"/>
      <c r="B193" s="435" t="s">
        <v>770</v>
      </c>
      <c r="C193" s="434"/>
      <c r="D193" s="425"/>
      <c r="E193" s="435" t="s">
        <v>770</v>
      </c>
      <c r="F193" s="434"/>
      <c r="G193" s="425"/>
    </row>
    <row r="194" spans="1:9">
      <c r="A194" s="425"/>
      <c r="B194" s="435" t="s">
        <v>771</v>
      </c>
      <c r="C194" s="434"/>
      <c r="D194" s="425"/>
      <c r="E194" s="435" t="s">
        <v>771</v>
      </c>
      <c r="F194" s="434"/>
      <c r="G194" s="425"/>
    </row>
    <row r="195" spans="1:9">
      <c r="A195" s="425"/>
      <c r="B195" s="435" t="s">
        <v>772</v>
      </c>
      <c r="C195" s="434"/>
      <c r="D195" s="425"/>
      <c r="E195" s="435" t="s">
        <v>772</v>
      </c>
      <c r="F195" s="434"/>
      <c r="G195" s="425"/>
    </row>
    <row r="196" spans="1:9">
      <c r="A196" s="425"/>
      <c r="B196" s="436" t="s">
        <v>773</v>
      </c>
      <c r="C196" s="434"/>
      <c r="D196" s="425"/>
      <c r="E196" s="436" t="s">
        <v>773</v>
      </c>
      <c r="F196" s="434"/>
      <c r="G196" s="425"/>
    </row>
    <row r="197" spans="1:9">
      <c r="A197" s="425"/>
      <c r="B197" s="436" t="s">
        <v>774</v>
      </c>
      <c r="C197" s="434"/>
      <c r="D197" s="425"/>
      <c r="E197" s="436" t="s">
        <v>774</v>
      </c>
      <c r="F197" s="434"/>
      <c r="G197" s="425"/>
    </row>
    <row r="198" spans="1:9" ht="33.75">
      <c r="A198" s="425"/>
      <c r="B198" s="435" t="s">
        <v>775</v>
      </c>
      <c r="C198" s="434"/>
      <c r="D198" s="425"/>
      <c r="E198" s="435" t="s">
        <v>775</v>
      </c>
      <c r="F198" s="434"/>
      <c r="G198" s="425"/>
    </row>
    <row r="199" spans="1:9">
      <c r="A199" s="425"/>
      <c r="B199" s="435" t="s">
        <v>776</v>
      </c>
      <c r="C199" s="437">
        <f>SUM(C192-C193+C194+C196+C197+C195,C198)</f>
        <v>0</v>
      </c>
      <c r="D199" s="425"/>
      <c r="E199" s="435" t="s">
        <v>776</v>
      </c>
      <c r="F199" s="437">
        <f>SUM(F192-F193+F194+F196+F197+F195,F198)</f>
        <v>0</v>
      </c>
      <c r="G199" s="425"/>
    </row>
    <row r="200" spans="1:9">
      <c r="A200" s="425"/>
      <c r="B200" s="435" t="s">
        <v>777</v>
      </c>
      <c r="C200" s="437">
        <f>C199/(C191/30.4165)</f>
        <v>0</v>
      </c>
      <c r="D200" s="425"/>
      <c r="E200" s="435" t="s">
        <v>777</v>
      </c>
      <c r="F200" s="437">
        <f>F199/(F191/30.4165)</f>
        <v>0</v>
      </c>
      <c r="G200" s="425"/>
    </row>
    <row r="201" spans="1:9" ht="45">
      <c r="A201" s="425"/>
      <c r="B201" s="438" t="s">
        <v>778</v>
      </c>
      <c r="C201" s="434"/>
      <c r="D201" s="425"/>
      <c r="E201" s="438" t="s">
        <v>779</v>
      </c>
      <c r="F201" s="434"/>
      <c r="G201" s="425"/>
    </row>
    <row r="202" spans="1:9" ht="45">
      <c r="A202" s="425"/>
      <c r="B202" s="439" t="s">
        <v>780</v>
      </c>
      <c r="C202" s="440"/>
      <c r="D202" s="425"/>
      <c r="E202" s="439" t="s">
        <v>781</v>
      </c>
      <c r="F202" s="440"/>
      <c r="G202" s="425"/>
    </row>
    <row r="203" spans="1:9" ht="24" thickBot="1">
      <c r="A203" s="425"/>
      <c r="B203" s="441" t="s">
        <v>788</v>
      </c>
      <c r="C203" s="442">
        <f>C200-(C201+C202)</f>
        <v>0</v>
      </c>
      <c r="D203" s="425"/>
      <c r="E203" s="441" t="s">
        <v>789</v>
      </c>
      <c r="F203" s="442">
        <f>F200-(F201+F202)</f>
        <v>0</v>
      </c>
      <c r="G203" s="425"/>
    </row>
    <row r="204" spans="1:9" ht="19.5" thickBot="1">
      <c r="A204" s="425"/>
      <c r="B204" s="425"/>
      <c r="C204" s="1327"/>
      <c r="D204" s="1327"/>
      <c r="E204" s="1327"/>
      <c r="F204" s="426"/>
      <c r="G204" s="425"/>
    </row>
    <row r="205" spans="1:9" ht="23.25" thickBot="1">
      <c r="A205" s="425"/>
      <c r="B205" s="444" t="s">
        <v>784</v>
      </c>
      <c r="C205" s="445" t="s">
        <v>790</v>
      </c>
      <c r="D205" s="446"/>
      <c r="E205" s="447" t="s">
        <v>786</v>
      </c>
      <c r="F205" s="448" t="str">
        <f>IF(C205="Y", I205, "N/A")</f>
        <v>N/A</v>
      </c>
      <c r="G205" s="425"/>
      <c r="I205" s="449">
        <f>(SUM(C203:F203)/2)</f>
        <v>0</v>
      </c>
    </row>
    <row r="206" spans="1:9" ht="19.5" thickBot="1">
      <c r="A206" s="425"/>
      <c r="B206" s="425"/>
      <c r="C206" s="443"/>
      <c r="D206" s="443"/>
      <c r="E206" s="443"/>
      <c r="F206" s="426"/>
      <c r="G206" s="425"/>
    </row>
    <row r="207" spans="1:9">
      <c r="A207" s="425"/>
      <c r="B207" s="1328" t="s">
        <v>787</v>
      </c>
      <c r="C207" s="1329"/>
      <c r="D207" s="1329"/>
      <c r="E207" s="1329"/>
      <c r="F207" s="1330"/>
      <c r="G207" s="425"/>
    </row>
    <row r="208" spans="1:9">
      <c r="A208" s="425"/>
      <c r="B208" s="1331"/>
      <c r="C208" s="1332"/>
      <c r="D208" s="1332"/>
      <c r="E208" s="1332"/>
      <c r="F208" s="1333"/>
      <c r="G208" s="425"/>
    </row>
    <row r="209" spans="1:7" ht="15.75" thickBot="1">
      <c r="A209" s="425"/>
      <c r="B209" s="1334"/>
      <c r="C209" s="1335"/>
      <c r="D209" s="1335"/>
      <c r="E209" s="1335"/>
      <c r="F209" s="1336"/>
      <c r="G209" s="425"/>
    </row>
    <row r="210" spans="1:7">
      <c r="A210" s="425"/>
      <c r="B210" s="425"/>
      <c r="C210" s="426"/>
      <c r="D210" s="425"/>
      <c r="E210" s="425"/>
      <c r="F210" s="426"/>
      <c r="G210" s="425"/>
    </row>
    <row r="211" spans="1:7" ht="15.75" thickBot="1">
      <c r="A211" s="425"/>
      <c r="B211" s="425"/>
      <c r="C211" s="426"/>
      <c r="D211" s="425"/>
      <c r="E211" s="425"/>
      <c r="F211" s="426"/>
      <c r="G211" s="425"/>
    </row>
    <row r="212" spans="1:7">
      <c r="A212" s="425"/>
      <c r="B212" s="1337" t="s">
        <v>762</v>
      </c>
      <c r="C212" s="1338"/>
      <c r="D212" s="1338"/>
      <c r="E212" s="1338"/>
      <c r="F212" s="1339"/>
      <c r="G212" s="425"/>
    </row>
    <row r="213" spans="1:7">
      <c r="A213" s="425"/>
      <c r="B213" s="1340"/>
      <c r="C213" s="1341"/>
      <c r="D213" s="1341"/>
      <c r="E213" s="1341"/>
      <c r="F213" s="1342"/>
      <c r="G213" s="425"/>
    </row>
    <row r="214" spans="1:7">
      <c r="A214" s="425"/>
      <c r="B214" s="1340"/>
      <c r="C214" s="1341"/>
      <c r="D214" s="1341"/>
      <c r="E214" s="1341"/>
      <c r="F214" s="1342"/>
      <c r="G214" s="425"/>
    </row>
    <row r="215" spans="1:7" ht="15.75" thickBot="1">
      <c r="A215" s="425"/>
      <c r="B215" s="427"/>
      <c r="C215" s="428"/>
      <c r="D215" s="428"/>
      <c r="E215" s="428"/>
      <c r="F215" s="429" t="str">
        <f>'[3]Reference Sheet'!$B$2</f>
        <v>Rev. 4.12.2016</v>
      </c>
      <c r="G215" s="425"/>
    </row>
    <row r="216" spans="1:7" ht="15.75" thickBot="1">
      <c r="A216" s="425"/>
      <c r="B216" s="425"/>
      <c r="C216" s="426"/>
      <c r="D216" s="425"/>
      <c r="E216" s="425"/>
      <c r="F216" s="426"/>
      <c r="G216" s="425"/>
    </row>
    <row r="217" spans="1:7">
      <c r="A217" s="430"/>
      <c r="B217" s="1343" t="s">
        <v>764</v>
      </c>
      <c r="C217" s="1344"/>
      <c r="D217" s="425"/>
      <c r="E217" s="1347" t="s">
        <v>765</v>
      </c>
      <c r="F217" s="1344"/>
      <c r="G217" s="425"/>
    </row>
    <row r="218" spans="1:7" ht="15.75" thickBot="1">
      <c r="A218" s="430"/>
      <c r="B218" s="1345"/>
      <c r="C218" s="1346"/>
      <c r="D218" s="425"/>
      <c r="E218" s="1345"/>
      <c r="F218" s="1346"/>
      <c r="G218" s="425"/>
    </row>
    <row r="219" spans="1:7" ht="15.75" thickBot="1">
      <c r="A219" s="425"/>
      <c r="B219" s="425"/>
      <c r="C219" s="426"/>
      <c r="D219" s="425"/>
      <c r="E219" s="425"/>
      <c r="F219" s="426"/>
      <c r="G219" s="425"/>
    </row>
    <row r="220" spans="1:7">
      <c r="A220" s="425"/>
      <c r="B220" s="1348" t="s">
        <v>767</v>
      </c>
      <c r="C220" s="1349"/>
      <c r="D220" s="425"/>
      <c r="E220" s="1348" t="s">
        <v>767</v>
      </c>
      <c r="F220" s="1349"/>
      <c r="G220" s="425"/>
    </row>
    <row r="221" spans="1:7">
      <c r="A221" s="425"/>
      <c r="B221" s="431" t="s">
        <v>768</v>
      </c>
      <c r="C221" s="432">
        <v>365</v>
      </c>
      <c r="D221" s="425"/>
      <c r="E221" s="431" t="s">
        <v>768</v>
      </c>
      <c r="F221" s="432">
        <v>365</v>
      </c>
      <c r="G221" s="425"/>
    </row>
    <row r="222" spans="1:7">
      <c r="A222" s="425"/>
      <c r="B222" s="433" t="s">
        <v>769</v>
      </c>
      <c r="C222" s="434"/>
      <c r="D222" s="425"/>
      <c r="E222" s="433" t="s">
        <v>769</v>
      </c>
      <c r="F222" s="434"/>
      <c r="G222" s="425"/>
    </row>
    <row r="223" spans="1:7">
      <c r="A223" s="425"/>
      <c r="B223" s="435" t="s">
        <v>770</v>
      </c>
      <c r="C223" s="434"/>
      <c r="D223" s="425"/>
      <c r="E223" s="435" t="s">
        <v>770</v>
      </c>
      <c r="F223" s="434"/>
      <c r="G223" s="425"/>
    </row>
    <row r="224" spans="1:7">
      <c r="A224" s="425"/>
      <c r="B224" s="435" t="s">
        <v>771</v>
      </c>
      <c r="C224" s="434"/>
      <c r="D224" s="425"/>
      <c r="E224" s="435" t="s">
        <v>771</v>
      </c>
      <c r="F224" s="434"/>
      <c r="G224" s="425"/>
    </row>
    <row r="225" spans="1:9">
      <c r="A225" s="425"/>
      <c r="B225" s="435" t="s">
        <v>772</v>
      </c>
      <c r="C225" s="434"/>
      <c r="D225" s="425"/>
      <c r="E225" s="435" t="s">
        <v>772</v>
      </c>
      <c r="F225" s="434"/>
      <c r="G225" s="425"/>
    </row>
    <row r="226" spans="1:9">
      <c r="A226" s="425"/>
      <c r="B226" s="436" t="s">
        <v>773</v>
      </c>
      <c r="C226" s="434"/>
      <c r="D226" s="425"/>
      <c r="E226" s="436" t="s">
        <v>773</v>
      </c>
      <c r="F226" s="434"/>
      <c r="G226" s="425"/>
    </row>
    <row r="227" spans="1:9">
      <c r="A227" s="425"/>
      <c r="B227" s="436" t="s">
        <v>774</v>
      </c>
      <c r="C227" s="434"/>
      <c r="D227" s="425"/>
      <c r="E227" s="436" t="s">
        <v>774</v>
      </c>
      <c r="F227" s="434"/>
      <c r="G227" s="425"/>
    </row>
    <row r="228" spans="1:9" ht="33.75">
      <c r="A228" s="425"/>
      <c r="B228" s="435" t="s">
        <v>775</v>
      </c>
      <c r="C228" s="434"/>
      <c r="D228" s="425"/>
      <c r="E228" s="435" t="s">
        <v>775</v>
      </c>
      <c r="F228" s="434"/>
      <c r="G228" s="425"/>
    </row>
    <row r="229" spans="1:9">
      <c r="A229" s="425"/>
      <c r="B229" s="435" t="s">
        <v>776</v>
      </c>
      <c r="C229" s="437">
        <f>SUM(C222-C223+C224+C226+C227+C225,C228)</f>
        <v>0</v>
      </c>
      <c r="D229" s="425"/>
      <c r="E229" s="435" t="s">
        <v>776</v>
      </c>
      <c r="F229" s="437">
        <f>SUM(F222-F223+F224+F226+F227+F225,F228)</f>
        <v>0</v>
      </c>
      <c r="G229" s="425"/>
    </row>
    <row r="230" spans="1:9">
      <c r="A230" s="425"/>
      <c r="B230" s="435" t="s">
        <v>777</v>
      </c>
      <c r="C230" s="437">
        <f>C229/(C221/30.4165)</f>
        <v>0</v>
      </c>
      <c r="D230" s="425"/>
      <c r="E230" s="435" t="s">
        <v>777</v>
      </c>
      <c r="F230" s="437">
        <f>F229/(F221/30.4165)</f>
        <v>0</v>
      </c>
      <c r="G230" s="425"/>
    </row>
    <row r="231" spans="1:9" ht="45">
      <c r="A231" s="425"/>
      <c r="B231" s="438" t="s">
        <v>778</v>
      </c>
      <c r="C231" s="434"/>
      <c r="D231" s="425"/>
      <c r="E231" s="438" t="s">
        <v>779</v>
      </c>
      <c r="F231" s="434"/>
      <c r="G231" s="425"/>
    </row>
    <row r="232" spans="1:9" ht="45">
      <c r="A232" s="425"/>
      <c r="B232" s="439" t="s">
        <v>780</v>
      </c>
      <c r="C232" s="440"/>
      <c r="D232" s="425"/>
      <c r="E232" s="439" t="s">
        <v>781</v>
      </c>
      <c r="F232" s="440"/>
      <c r="G232" s="425"/>
    </row>
    <row r="233" spans="1:9" ht="24" thickBot="1">
      <c r="A233" s="425"/>
      <c r="B233" s="441" t="s">
        <v>788</v>
      </c>
      <c r="C233" s="442">
        <f>C230-(C231+C232)</f>
        <v>0</v>
      </c>
      <c r="D233" s="425"/>
      <c r="E233" s="441" t="s">
        <v>789</v>
      </c>
      <c r="F233" s="442">
        <f>F230-(F231+F232)</f>
        <v>0</v>
      </c>
      <c r="G233" s="425"/>
    </row>
    <row r="234" spans="1:9" ht="19.5" thickBot="1">
      <c r="A234" s="425"/>
      <c r="B234" s="425"/>
      <c r="C234" s="1327"/>
      <c r="D234" s="1327"/>
      <c r="E234" s="1327"/>
      <c r="F234" s="426"/>
      <c r="G234" s="425"/>
    </row>
    <row r="235" spans="1:9" ht="23.25" thickBot="1">
      <c r="A235" s="425"/>
      <c r="B235" s="444" t="s">
        <v>784</v>
      </c>
      <c r="C235" s="445" t="s">
        <v>790</v>
      </c>
      <c r="D235" s="446"/>
      <c r="E235" s="447" t="s">
        <v>786</v>
      </c>
      <c r="F235" s="448" t="str">
        <f>IF(C235="Y", I235, "N/A")</f>
        <v>N/A</v>
      </c>
      <c r="G235" s="425"/>
      <c r="I235" s="449">
        <f>(SUM(C233:F233)/2)</f>
        <v>0</v>
      </c>
    </row>
    <row r="236" spans="1:9" ht="19.5" thickBot="1">
      <c r="A236" s="425"/>
      <c r="B236" s="425"/>
      <c r="C236" s="443"/>
      <c r="D236" s="443"/>
      <c r="E236" s="443"/>
      <c r="F236" s="426"/>
      <c r="G236" s="425"/>
    </row>
    <row r="237" spans="1:9">
      <c r="A237" s="425"/>
      <c r="B237" s="1328" t="s">
        <v>787</v>
      </c>
      <c r="C237" s="1329"/>
      <c r="D237" s="1329"/>
      <c r="E237" s="1329"/>
      <c r="F237" s="1330"/>
      <c r="G237" s="425"/>
    </row>
    <row r="238" spans="1:9">
      <c r="A238" s="425"/>
      <c r="B238" s="1331"/>
      <c r="C238" s="1332"/>
      <c r="D238" s="1332"/>
      <c r="E238" s="1332"/>
      <c r="F238" s="1333"/>
      <c r="G238" s="425"/>
    </row>
    <row r="239" spans="1:9" ht="15.75" thickBot="1">
      <c r="A239" s="425"/>
      <c r="B239" s="1334"/>
      <c r="C239" s="1335"/>
      <c r="D239" s="1335"/>
      <c r="E239" s="1335"/>
      <c r="F239" s="1336"/>
      <c r="G239" s="425"/>
    </row>
    <row r="240" spans="1:9">
      <c r="A240" s="425"/>
      <c r="B240" s="425"/>
      <c r="C240" s="426"/>
      <c r="D240" s="425"/>
      <c r="E240" s="425"/>
      <c r="F240" s="426"/>
      <c r="G240" s="425"/>
    </row>
    <row r="241" spans="1:7" ht="15.75" thickBot="1">
      <c r="A241" s="425"/>
      <c r="B241" s="425"/>
      <c r="C241" s="426"/>
      <c r="D241" s="425"/>
      <c r="E241" s="425"/>
      <c r="F241" s="426"/>
      <c r="G241" s="425"/>
    </row>
    <row r="242" spans="1:7">
      <c r="A242" s="425"/>
      <c r="B242" s="1337" t="s">
        <v>762</v>
      </c>
      <c r="C242" s="1338"/>
      <c r="D242" s="1338"/>
      <c r="E242" s="1338"/>
      <c r="F242" s="1339"/>
      <c r="G242" s="425"/>
    </row>
    <row r="243" spans="1:7">
      <c r="A243" s="425"/>
      <c r="B243" s="1340"/>
      <c r="C243" s="1341"/>
      <c r="D243" s="1341"/>
      <c r="E243" s="1341"/>
      <c r="F243" s="1342"/>
      <c r="G243" s="425"/>
    </row>
    <row r="244" spans="1:7">
      <c r="A244" s="425"/>
      <c r="B244" s="1340"/>
      <c r="C244" s="1341"/>
      <c r="D244" s="1341"/>
      <c r="E244" s="1341"/>
      <c r="F244" s="1342"/>
      <c r="G244" s="425"/>
    </row>
    <row r="245" spans="1:7" ht="15.75" thickBot="1">
      <c r="A245" s="425"/>
      <c r="B245" s="427"/>
      <c r="C245" s="428"/>
      <c r="D245" s="428"/>
      <c r="E245" s="428"/>
      <c r="F245" s="429" t="str">
        <f>'[3]Reference Sheet'!$B$2</f>
        <v>Rev. 4.12.2016</v>
      </c>
      <c r="G245" s="425"/>
    </row>
    <row r="246" spans="1:7" ht="15.75" thickBot="1">
      <c r="A246" s="425"/>
      <c r="B246" s="425"/>
      <c r="C246" s="426"/>
      <c r="D246" s="425"/>
      <c r="E246" s="425"/>
      <c r="F246" s="426"/>
      <c r="G246" s="425"/>
    </row>
    <row r="247" spans="1:7">
      <c r="A247" s="430"/>
      <c r="B247" s="1343" t="s">
        <v>764</v>
      </c>
      <c r="C247" s="1344"/>
      <c r="D247" s="425"/>
      <c r="E247" s="1347" t="s">
        <v>765</v>
      </c>
      <c r="F247" s="1344"/>
      <c r="G247" s="425"/>
    </row>
    <row r="248" spans="1:7" ht="15.75" thickBot="1">
      <c r="A248" s="430"/>
      <c r="B248" s="1345"/>
      <c r="C248" s="1346"/>
      <c r="D248" s="425"/>
      <c r="E248" s="1345"/>
      <c r="F248" s="1346"/>
      <c r="G248" s="425"/>
    </row>
    <row r="249" spans="1:7" ht="15.75" thickBot="1">
      <c r="A249" s="425"/>
      <c r="B249" s="425"/>
      <c r="C249" s="426"/>
      <c r="D249" s="425"/>
      <c r="E249" s="425"/>
      <c r="F249" s="426"/>
      <c r="G249" s="425"/>
    </row>
    <row r="250" spans="1:7">
      <c r="A250" s="425"/>
      <c r="B250" s="1348" t="s">
        <v>767</v>
      </c>
      <c r="C250" s="1349"/>
      <c r="D250" s="425"/>
      <c r="E250" s="1348" t="s">
        <v>767</v>
      </c>
      <c r="F250" s="1349"/>
      <c r="G250" s="425"/>
    </row>
    <row r="251" spans="1:7">
      <c r="A251" s="425"/>
      <c r="B251" s="431" t="s">
        <v>768</v>
      </c>
      <c r="C251" s="432">
        <v>365</v>
      </c>
      <c r="D251" s="425"/>
      <c r="E251" s="431" t="s">
        <v>768</v>
      </c>
      <c r="F251" s="432">
        <v>365</v>
      </c>
      <c r="G251" s="425"/>
    </row>
    <row r="252" spans="1:7">
      <c r="A252" s="425"/>
      <c r="B252" s="433" t="s">
        <v>769</v>
      </c>
      <c r="C252" s="434"/>
      <c r="D252" s="425"/>
      <c r="E252" s="433" t="s">
        <v>769</v>
      </c>
      <c r="F252" s="434"/>
      <c r="G252" s="425"/>
    </row>
    <row r="253" spans="1:7">
      <c r="A253" s="425"/>
      <c r="B253" s="435" t="s">
        <v>770</v>
      </c>
      <c r="C253" s="434"/>
      <c r="D253" s="425"/>
      <c r="E253" s="435" t="s">
        <v>770</v>
      </c>
      <c r="F253" s="434"/>
      <c r="G253" s="425"/>
    </row>
    <row r="254" spans="1:7">
      <c r="A254" s="425"/>
      <c r="B254" s="435" t="s">
        <v>771</v>
      </c>
      <c r="C254" s="434"/>
      <c r="D254" s="425"/>
      <c r="E254" s="435" t="s">
        <v>771</v>
      </c>
      <c r="F254" s="434"/>
      <c r="G254" s="425"/>
    </row>
    <row r="255" spans="1:7">
      <c r="A255" s="425"/>
      <c r="B255" s="435" t="s">
        <v>772</v>
      </c>
      <c r="C255" s="434"/>
      <c r="D255" s="425"/>
      <c r="E255" s="435" t="s">
        <v>772</v>
      </c>
      <c r="F255" s="434"/>
      <c r="G255" s="425"/>
    </row>
    <row r="256" spans="1:7">
      <c r="A256" s="425"/>
      <c r="B256" s="436" t="s">
        <v>773</v>
      </c>
      <c r="C256" s="434"/>
      <c r="D256" s="425"/>
      <c r="E256" s="436" t="s">
        <v>773</v>
      </c>
      <c r="F256" s="434"/>
      <c r="G256" s="425"/>
    </row>
    <row r="257" spans="1:9">
      <c r="A257" s="425"/>
      <c r="B257" s="436" t="s">
        <v>774</v>
      </c>
      <c r="C257" s="434"/>
      <c r="D257" s="425"/>
      <c r="E257" s="436" t="s">
        <v>774</v>
      </c>
      <c r="F257" s="434"/>
      <c r="G257" s="425"/>
    </row>
    <row r="258" spans="1:9" ht="33.75">
      <c r="A258" s="425"/>
      <c r="B258" s="435" t="s">
        <v>775</v>
      </c>
      <c r="C258" s="434"/>
      <c r="D258" s="425"/>
      <c r="E258" s="435" t="s">
        <v>775</v>
      </c>
      <c r="F258" s="434"/>
      <c r="G258" s="425"/>
    </row>
    <row r="259" spans="1:9">
      <c r="A259" s="425"/>
      <c r="B259" s="435" t="s">
        <v>776</v>
      </c>
      <c r="C259" s="437">
        <f>SUM(C252-C253+C254+C256+C257+C255,C258)</f>
        <v>0</v>
      </c>
      <c r="D259" s="425"/>
      <c r="E259" s="435" t="s">
        <v>776</v>
      </c>
      <c r="F259" s="437">
        <f>SUM(F252-F253+F254+F256+F257+F255,F258)</f>
        <v>0</v>
      </c>
      <c r="G259" s="425"/>
    </row>
    <row r="260" spans="1:9">
      <c r="A260" s="425"/>
      <c r="B260" s="435" t="s">
        <v>777</v>
      </c>
      <c r="C260" s="437">
        <f>C259/(C251/30.4165)</f>
        <v>0</v>
      </c>
      <c r="D260" s="425"/>
      <c r="E260" s="435" t="s">
        <v>777</v>
      </c>
      <c r="F260" s="437">
        <f>F259/(F251/30.4165)</f>
        <v>0</v>
      </c>
      <c r="G260" s="425"/>
    </row>
    <row r="261" spans="1:9" ht="45">
      <c r="A261" s="425"/>
      <c r="B261" s="438" t="s">
        <v>778</v>
      </c>
      <c r="C261" s="434"/>
      <c r="D261" s="425"/>
      <c r="E261" s="438" t="s">
        <v>779</v>
      </c>
      <c r="F261" s="434"/>
      <c r="G261" s="425"/>
    </row>
    <row r="262" spans="1:9" ht="45">
      <c r="A262" s="425"/>
      <c r="B262" s="439" t="s">
        <v>780</v>
      </c>
      <c r="C262" s="440"/>
      <c r="D262" s="425"/>
      <c r="E262" s="439" t="s">
        <v>781</v>
      </c>
      <c r="F262" s="440"/>
      <c r="G262" s="425"/>
    </row>
    <row r="263" spans="1:9" ht="24" thickBot="1">
      <c r="A263" s="425"/>
      <c r="B263" s="441" t="s">
        <v>788</v>
      </c>
      <c r="C263" s="442">
        <f>C260-(C261+C262)</f>
        <v>0</v>
      </c>
      <c r="D263" s="425"/>
      <c r="E263" s="441" t="s">
        <v>789</v>
      </c>
      <c r="F263" s="442">
        <f>F260-(F261+F262)</f>
        <v>0</v>
      </c>
      <c r="G263" s="425"/>
    </row>
    <row r="264" spans="1:9" ht="19.5" thickBot="1">
      <c r="A264" s="425"/>
      <c r="B264" s="425"/>
      <c r="C264" s="1327"/>
      <c r="D264" s="1327"/>
      <c r="E264" s="1327"/>
      <c r="F264" s="426"/>
      <c r="G264" s="425"/>
    </row>
    <row r="265" spans="1:9" ht="23.25" thickBot="1">
      <c r="A265" s="425"/>
      <c r="B265" s="444" t="s">
        <v>784</v>
      </c>
      <c r="C265" s="445" t="s">
        <v>790</v>
      </c>
      <c r="D265" s="446"/>
      <c r="E265" s="447" t="s">
        <v>786</v>
      </c>
      <c r="F265" s="448" t="str">
        <f>IF(C265="Y", I265, "N/A")</f>
        <v>N/A</v>
      </c>
      <c r="G265" s="425"/>
      <c r="I265" s="449">
        <f>(SUM(C263:F263)/2)</f>
        <v>0</v>
      </c>
    </row>
    <row r="266" spans="1:9" ht="19.5" thickBot="1">
      <c r="A266" s="425"/>
      <c r="B266" s="425"/>
      <c r="C266" s="443"/>
      <c r="D266" s="443"/>
      <c r="E266" s="443"/>
      <c r="F266" s="426"/>
      <c r="G266" s="425"/>
    </row>
    <row r="267" spans="1:9">
      <c r="A267" s="425"/>
      <c r="B267" s="1328" t="s">
        <v>787</v>
      </c>
      <c r="C267" s="1329"/>
      <c r="D267" s="1329"/>
      <c r="E267" s="1329"/>
      <c r="F267" s="1330"/>
      <c r="G267" s="425"/>
    </row>
    <row r="268" spans="1:9">
      <c r="A268" s="425"/>
      <c r="B268" s="1331"/>
      <c r="C268" s="1332"/>
      <c r="D268" s="1332"/>
      <c r="E268" s="1332"/>
      <c r="F268" s="1333"/>
      <c r="G268" s="425"/>
    </row>
    <row r="269" spans="1:9" ht="15.75" thickBot="1">
      <c r="A269" s="425"/>
      <c r="B269" s="1334"/>
      <c r="C269" s="1335"/>
      <c r="D269" s="1335"/>
      <c r="E269" s="1335"/>
      <c r="F269" s="1336"/>
      <c r="G269" s="425"/>
    </row>
    <row r="270" spans="1:9">
      <c r="A270" s="425"/>
      <c r="B270" s="425"/>
      <c r="C270" s="426"/>
      <c r="D270" s="425"/>
      <c r="E270" s="425"/>
      <c r="F270" s="426"/>
      <c r="G270" s="425"/>
    </row>
    <row r="271" spans="1:9" ht="15.75" thickBot="1">
      <c r="A271" s="425"/>
      <c r="B271" s="425"/>
      <c r="C271" s="426"/>
      <c r="D271" s="425"/>
      <c r="E271" s="425"/>
      <c r="F271" s="426"/>
      <c r="G271" s="425"/>
    </row>
    <row r="272" spans="1:9">
      <c r="A272" s="425"/>
      <c r="B272" s="1337" t="s">
        <v>762</v>
      </c>
      <c r="C272" s="1338"/>
      <c r="D272" s="1338"/>
      <c r="E272" s="1338"/>
      <c r="F272" s="1339"/>
      <c r="G272" s="425"/>
    </row>
    <row r="273" spans="1:7">
      <c r="A273" s="425"/>
      <c r="B273" s="1340"/>
      <c r="C273" s="1341"/>
      <c r="D273" s="1341"/>
      <c r="E273" s="1341"/>
      <c r="F273" s="1342"/>
      <c r="G273" s="425"/>
    </row>
    <row r="274" spans="1:7">
      <c r="A274" s="425"/>
      <c r="B274" s="1340"/>
      <c r="C274" s="1341"/>
      <c r="D274" s="1341"/>
      <c r="E274" s="1341"/>
      <c r="F274" s="1342"/>
      <c r="G274" s="425"/>
    </row>
    <row r="275" spans="1:7" ht="15.75" thickBot="1">
      <c r="A275" s="425"/>
      <c r="B275" s="427"/>
      <c r="C275" s="428"/>
      <c r="D275" s="428"/>
      <c r="E275" s="428"/>
      <c r="F275" s="429" t="str">
        <f>'[3]Reference Sheet'!$B$2</f>
        <v>Rev. 4.12.2016</v>
      </c>
      <c r="G275" s="425"/>
    </row>
    <row r="276" spans="1:7" ht="15.75" thickBot="1">
      <c r="A276" s="425"/>
      <c r="B276" s="425"/>
      <c r="C276" s="426"/>
      <c r="D276" s="425"/>
      <c r="E276" s="425"/>
      <c r="F276" s="426"/>
      <c r="G276" s="425"/>
    </row>
    <row r="277" spans="1:7">
      <c r="A277" s="430"/>
      <c r="B277" s="1343" t="s">
        <v>764</v>
      </c>
      <c r="C277" s="1344"/>
      <c r="D277" s="425"/>
      <c r="E277" s="1347" t="s">
        <v>765</v>
      </c>
      <c r="F277" s="1344"/>
      <c r="G277" s="425"/>
    </row>
    <row r="278" spans="1:7" ht="15.75" thickBot="1">
      <c r="A278" s="430"/>
      <c r="B278" s="1345"/>
      <c r="C278" s="1346"/>
      <c r="D278" s="425"/>
      <c r="E278" s="1345"/>
      <c r="F278" s="1346"/>
      <c r="G278" s="425"/>
    </row>
    <row r="279" spans="1:7" ht="15.75" thickBot="1">
      <c r="A279" s="425"/>
      <c r="B279" s="425"/>
      <c r="C279" s="426"/>
      <c r="D279" s="425"/>
      <c r="E279" s="425"/>
      <c r="F279" s="426"/>
      <c r="G279" s="425"/>
    </row>
    <row r="280" spans="1:7">
      <c r="A280" s="425"/>
      <c r="B280" s="1348" t="s">
        <v>767</v>
      </c>
      <c r="C280" s="1349"/>
      <c r="D280" s="425"/>
      <c r="E280" s="1348" t="s">
        <v>767</v>
      </c>
      <c r="F280" s="1349"/>
      <c r="G280" s="425"/>
    </row>
    <row r="281" spans="1:7">
      <c r="A281" s="425"/>
      <c r="B281" s="431" t="s">
        <v>768</v>
      </c>
      <c r="C281" s="432">
        <v>365</v>
      </c>
      <c r="D281" s="425"/>
      <c r="E281" s="431" t="s">
        <v>768</v>
      </c>
      <c r="F281" s="432">
        <v>365</v>
      </c>
      <c r="G281" s="425"/>
    </row>
    <row r="282" spans="1:7">
      <c r="A282" s="425"/>
      <c r="B282" s="433" t="s">
        <v>769</v>
      </c>
      <c r="C282" s="434"/>
      <c r="D282" s="425"/>
      <c r="E282" s="433" t="s">
        <v>769</v>
      </c>
      <c r="F282" s="434"/>
      <c r="G282" s="425"/>
    </row>
    <row r="283" spans="1:7">
      <c r="A283" s="425"/>
      <c r="B283" s="435" t="s">
        <v>770</v>
      </c>
      <c r="C283" s="434"/>
      <c r="D283" s="425"/>
      <c r="E283" s="435" t="s">
        <v>770</v>
      </c>
      <c r="F283" s="434"/>
      <c r="G283" s="425"/>
    </row>
    <row r="284" spans="1:7">
      <c r="A284" s="425"/>
      <c r="B284" s="435" t="s">
        <v>771</v>
      </c>
      <c r="C284" s="434"/>
      <c r="D284" s="425"/>
      <c r="E284" s="435" t="s">
        <v>771</v>
      </c>
      <c r="F284" s="434"/>
      <c r="G284" s="425"/>
    </row>
    <row r="285" spans="1:7">
      <c r="A285" s="425"/>
      <c r="B285" s="435" t="s">
        <v>772</v>
      </c>
      <c r="C285" s="434"/>
      <c r="D285" s="425"/>
      <c r="E285" s="435" t="s">
        <v>772</v>
      </c>
      <c r="F285" s="434"/>
      <c r="G285" s="425"/>
    </row>
    <row r="286" spans="1:7">
      <c r="A286" s="425"/>
      <c r="B286" s="436" t="s">
        <v>773</v>
      </c>
      <c r="C286" s="434"/>
      <c r="D286" s="425"/>
      <c r="E286" s="436" t="s">
        <v>773</v>
      </c>
      <c r="F286" s="434"/>
      <c r="G286" s="425"/>
    </row>
    <row r="287" spans="1:7">
      <c r="A287" s="425"/>
      <c r="B287" s="436" t="s">
        <v>774</v>
      </c>
      <c r="C287" s="434"/>
      <c r="D287" s="425"/>
      <c r="E287" s="436" t="s">
        <v>774</v>
      </c>
      <c r="F287" s="434"/>
      <c r="G287" s="425"/>
    </row>
    <row r="288" spans="1:7" ht="33.75">
      <c r="A288" s="425"/>
      <c r="B288" s="435" t="s">
        <v>775</v>
      </c>
      <c r="C288" s="434"/>
      <c r="D288" s="425"/>
      <c r="E288" s="435" t="s">
        <v>775</v>
      </c>
      <c r="F288" s="434"/>
      <c r="G288" s="425"/>
    </row>
    <row r="289" spans="1:9">
      <c r="A289" s="425"/>
      <c r="B289" s="435" t="s">
        <v>776</v>
      </c>
      <c r="C289" s="437">
        <f>SUM(C282-C283+C284+C286+C287+C285,C288)</f>
        <v>0</v>
      </c>
      <c r="D289" s="425"/>
      <c r="E289" s="435" t="s">
        <v>776</v>
      </c>
      <c r="F289" s="437">
        <f>SUM(F282-F283+F284+F286+F287+F285,F288)</f>
        <v>0</v>
      </c>
      <c r="G289" s="425"/>
    </row>
    <row r="290" spans="1:9">
      <c r="A290" s="425"/>
      <c r="B290" s="435" t="s">
        <v>777</v>
      </c>
      <c r="C290" s="437">
        <f>C289/(C281/30.4165)</f>
        <v>0</v>
      </c>
      <c r="D290" s="425"/>
      <c r="E290" s="435" t="s">
        <v>777</v>
      </c>
      <c r="F290" s="437">
        <f>F289/(F281/30.4165)</f>
        <v>0</v>
      </c>
      <c r="G290" s="425"/>
    </row>
    <row r="291" spans="1:9" ht="45">
      <c r="A291" s="425"/>
      <c r="B291" s="438" t="s">
        <v>778</v>
      </c>
      <c r="C291" s="434"/>
      <c r="D291" s="425"/>
      <c r="E291" s="438" t="s">
        <v>779</v>
      </c>
      <c r="F291" s="434"/>
      <c r="G291" s="425"/>
    </row>
    <row r="292" spans="1:9" ht="45">
      <c r="A292" s="425"/>
      <c r="B292" s="439" t="s">
        <v>780</v>
      </c>
      <c r="C292" s="440"/>
      <c r="D292" s="425"/>
      <c r="E292" s="439" t="s">
        <v>781</v>
      </c>
      <c r="F292" s="440"/>
      <c r="G292" s="425"/>
    </row>
    <row r="293" spans="1:9" ht="24" thickBot="1">
      <c r="A293" s="425"/>
      <c r="B293" s="441" t="s">
        <v>788</v>
      </c>
      <c r="C293" s="442">
        <f>C290-(C291+C292)</f>
        <v>0</v>
      </c>
      <c r="D293" s="425"/>
      <c r="E293" s="441" t="s">
        <v>789</v>
      </c>
      <c r="F293" s="442">
        <f>F290-(F291+F292)</f>
        <v>0</v>
      </c>
      <c r="G293" s="425"/>
    </row>
    <row r="294" spans="1:9" ht="19.5" thickBot="1">
      <c r="A294" s="425"/>
      <c r="B294" s="425"/>
      <c r="C294" s="1327"/>
      <c r="D294" s="1327"/>
      <c r="E294" s="1327"/>
      <c r="F294" s="426"/>
      <c r="G294" s="425"/>
    </row>
    <row r="295" spans="1:9" ht="23.25" thickBot="1">
      <c r="A295" s="425"/>
      <c r="B295" s="444" t="s">
        <v>784</v>
      </c>
      <c r="C295" s="445" t="s">
        <v>790</v>
      </c>
      <c r="D295" s="446"/>
      <c r="E295" s="447" t="s">
        <v>786</v>
      </c>
      <c r="F295" s="448" t="str">
        <f>IF(C295="Y", I295, "N/A")</f>
        <v>N/A</v>
      </c>
      <c r="G295" s="425"/>
      <c r="I295" s="449">
        <f>(SUM(C293:F293)/2)</f>
        <v>0</v>
      </c>
    </row>
    <row r="296" spans="1:9" ht="19.5" thickBot="1">
      <c r="A296" s="425"/>
      <c r="B296" s="425"/>
      <c r="C296" s="443"/>
      <c r="D296" s="443"/>
      <c r="E296" s="443"/>
      <c r="F296" s="426"/>
      <c r="G296" s="425"/>
    </row>
    <row r="297" spans="1:9">
      <c r="A297" s="425"/>
      <c r="B297" s="1328" t="s">
        <v>787</v>
      </c>
      <c r="C297" s="1329"/>
      <c r="D297" s="1329"/>
      <c r="E297" s="1329"/>
      <c r="F297" s="1330"/>
      <c r="G297" s="425"/>
    </row>
    <row r="298" spans="1:9">
      <c r="A298" s="425"/>
      <c r="B298" s="1331"/>
      <c r="C298" s="1332"/>
      <c r="D298" s="1332"/>
      <c r="E298" s="1332"/>
      <c r="F298" s="1333"/>
      <c r="G298" s="425"/>
    </row>
    <row r="299" spans="1:9" ht="15.75" thickBot="1">
      <c r="A299" s="425"/>
      <c r="B299" s="1334"/>
      <c r="C299" s="1335"/>
      <c r="D299" s="1335"/>
      <c r="E299" s="1335"/>
      <c r="F299" s="1336"/>
      <c r="G299" s="425"/>
    </row>
    <row r="300" spans="1:9">
      <c r="A300" s="425"/>
      <c r="B300" s="425"/>
      <c r="C300" s="426"/>
      <c r="D300" s="425"/>
      <c r="E300" s="425"/>
      <c r="F300" s="426"/>
      <c r="G300" s="425"/>
    </row>
    <row r="301" spans="1:9" ht="15.75" thickBot="1">
      <c r="A301" s="425"/>
      <c r="B301" s="425"/>
      <c r="C301" s="426"/>
      <c r="D301" s="425"/>
      <c r="E301" s="425"/>
      <c r="F301" s="426"/>
      <c r="G301" s="425"/>
    </row>
    <row r="302" spans="1:9">
      <c r="A302" s="425"/>
      <c r="B302" s="1337" t="s">
        <v>762</v>
      </c>
      <c r="C302" s="1338"/>
      <c r="D302" s="1338"/>
      <c r="E302" s="1338"/>
      <c r="F302" s="1339"/>
      <c r="G302" s="425"/>
    </row>
    <row r="303" spans="1:9">
      <c r="A303" s="425"/>
      <c r="B303" s="1340"/>
      <c r="C303" s="1341"/>
      <c r="D303" s="1341"/>
      <c r="E303" s="1341"/>
      <c r="F303" s="1342"/>
      <c r="G303" s="425"/>
    </row>
    <row r="304" spans="1:9">
      <c r="A304" s="425"/>
      <c r="B304" s="1340"/>
      <c r="C304" s="1341"/>
      <c r="D304" s="1341"/>
      <c r="E304" s="1341"/>
      <c r="F304" s="1342"/>
      <c r="G304" s="425"/>
    </row>
    <row r="305" spans="1:7" ht="15.75" thickBot="1">
      <c r="A305" s="425"/>
      <c r="B305" s="427"/>
      <c r="C305" s="428"/>
      <c r="D305" s="428"/>
      <c r="E305" s="428"/>
      <c r="F305" s="429" t="str">
        <f>'[3]Reference Sheet'!$B$2</f>
        <v>Rev. 4.12.2016</v>
      </c>
      <c r="G305" s="425"/>
    </row>
    <row r="306" spans="1:7" ht="15.75" thickBot="1">
      <c r="A306" s="425"/>
      <c r="B306" s="425"/>
      <c r="C306" s="426"/>
      <c r="D306" s="425"/>
      <c r="E306" s="425"/>
      <c r="F306" s="426"/>
      <c r="G306" s="425"/>
    </row>
    <row r="307" spans="1:7">
      <c r="A307" s="430"/>
      <c r="B307" s="1343" t="s">
        <v>764</v>
      </c>
      <c r="C307" s="1344"/>
      <c r="D307" s="425"/>
      <c r="E307" s="1347" t="s">
        <v>765</v>
      </c>
      <c r="F307" s="1344"/>
      <c r="G307" s="425"/>
    </row>
    <row r="308" spans="1:7" ht="15.75" thickBot="1">
      <c r="A308" s="430"/>
      <c r="B308" s="1345"/>
      <c r="C308" s="1346"/>
      <c r="D308" s="425"/>
      <c r="E308" s="1345"/>
      <c r="F308" s="1346"/>
      <c r="G308" s="425"/>
    </row>
    <row r="309" spans="1:7" ht="15.75" thickBot="1">
      <c r="A309" s="425"/>
      <c r="B309" s="425"/>
      <c r="C309" s="426"/>
      <c r="D309" s="425"/>
      <c r="E309" s="425"/>
      <c r="F309" s="426"/>
      <c r="G309" s="425"/>
    </row>
    <row r="310" spans="1:7">
      <c r="A310" s="425"/>
      <c r="B310" s="1348" t="s">
        <v>767</v>
      </c>
      <c r="C310" s="1349"/>
      <c r="D310" s="425"/>
      <c r="E310" s="1348" t="s">
        <v>767</v>
      </c>
      <c r="F310" s="1349"/>
      <c r="G310" s="425"/>
    </row>
    <row r="311" spans="1:7">
      <c r="A311" s="425"/>
      <c r="B311" s="431" t="s">
        <v>768</v>
      </c>
      <c r="C311" s="432">
        <v>365</v>
      </c>
      <c r="D311" s="425"/>
      <c r="E311" s="431" t="s">
        <v>768</v>
      </c>
      <c r="F311" s="432">
        <v>365</v>
      </c>
      <c r="G311" s="425"/>
    </row>
    <row r="312" spans="1:7">
      <c r="A312" s="425"/>
      <c r="B312" s="433" t="s">
        <v>769</v>
      </c>
      <c r="C312" s="434"/>
      <c r="D312" s="425"/>
      <c r="E312" s="433" t="s">
        <v>769</v>
      </c>
      <c r="F312" s="434"/>
      <c r="G312" s="425"/>
    </row>
    <row r="313" spans="1:7">
      <c r="A313" s="425"/>
      <c r="B313" s="435" t="s">
        <v>770</v>
      </c>
      <c r="C313" s="434"/>
      <c r="D313" s="425"/>
      <c r="E313" s="435" t="s">
        <v>770</v>
      </c>
      <c r="F313" s="434"/>
      <c r="G313" s="425"/>
    </row>
    <row r="314" spans="1:7">
      <c r="A314" s="425"/>
      <c r="B314" s="435" t="s">
        <v>771</v>
      </c>
      <c r="C314" s="434"/>
      <c r="D314" s="425"/>
      <c r="E314" s="435" t="s">
        <v>771</v>
      </c>
      <c r="F314" s="434"/>
      <c r="G314" s="425"/>
    </row>
    <row r="315" spans="1:7">
      <c r="A315" s="425"/>
      <c r="B315" s="435" t="s">
        <v>772</v>
      </c>
      <c r="C315" s="434"/>
      <c r="D315" s="425"/>
      <c r="E315" s="435" t="s">
        <v>772</v>
      </c>
      <c r="F315" s="434"/>
      <c r="G315" s="425"/>
    </row>
    <row r="316" spans="1:7">
      <c r="A316" s="425"/>
      <c r="B316" s="436" t="s">
        <v>773</v>
      </c>
      <c r="C316" s="434"/>
      <c r="D316" s="425"/>
      <c r="E316" s="436" t="s">
        <v>773</v>
      </c>
      <c r="F316" s="434"/>
      <c r="G316" s="425"/>
    </row>
    <row r="317" spans="1:7">
      <c r="A317" s="425"/>
      <c r="B317" s="436" t="s">
        <v>774</v>
      </c>
      <c r="C317" s="434"/>
      <c r="D317" s="425"/>
      <c r="E317" s="436" t="s">
        <v>774</v>
      </c>
      <c r="F317" s="434"/>
      <c r="G317" s="425"/>
    </row>
    <row r="318" spans="1:7" ht="33.75">
      <c r="A318" s="425"/>
      <c r="B318" s="435" t="s">
        <v>775</v>
      </c>
      <c r="C318" s="434"/>
      <c r="D318" s="425"/>
      <c r="E318" s="435" t="s">
        <v>775</v>
      </c>
      <c r="F318" s="434"/>
      <c r="G318" s="425"/>
    </row>
    <row r="319" spans="1:7">
      <c r="A319" s="425"/>
      <c r="B319" s="435" t="s">
        <v>776</v>
      </c>
      <c r="C319" s="437">
        <f>SUM(C312-C313+C314+C316+C317+C315,C318)</f>
        <v>0</v>
      </c>
      <c r="D319" s="425"/>
      <c r="E319" s="435" t="s">
        <v>776</v>
      </c>
      <c r="F319" s="437">
        <f>SUM(F312-F313+F314+F316+F317+F315,F318)</f>
        <v>0</v>
      </c>
      <c r="G319" s="425"/>
    </row>
    <row r="320" spans="1:7">
      <c r="A320" s="425"/>
      <c r="B320" s="435" t="s">
        <v>777</v>
      </c>
      <c r="C320" s="437">
        <f>C319/(C311/30.4165)</f>
        <v>0</v>
      </c>
      <c r="D320" s="425"/>
      <c r="E320" s="435" t="s">
        <v>777</v>
      </c>
      <c r="F320" s="437">
        <f>F319/(F311/30.4165)</f>
        <v>0</v>
      </c>
      <c r="G320" s="425"/>
    </row>
    <row r="321" spans="1:9" ht="45">
      <c r="A321" s="425"/>
      <c r="B321" s="438" t="s">
        <v>778</v>
      </c>
      <c r="C321" s="434"/>
      <c r="D321" s="425"/>
      <c r="E321" s="438" t="s">
        <v>779</v>
      </c>
      <c r="F321" s="434"/>
      <c r="G321" s="425"/>
    </row>
    <row r="322" spans="1:9" ht="45">
      <c r="A322" s="425"/>
      <c r="B322" s="439" t="s">
        <v>780</v>
      </c>
      <c r="C322" s="440"/>
      <c r="D322" s="425"/>
      <c r="E322" s="439" t="s">
        <v>781</v>
      </c>
      <c r="F322" s="440"/>
      <c r="G322" s="425"/>
    </row>
    <row r="323" spans="1:9" ht="24" thickBot="1">
      <c r="A323" s="425"/>
      <c r="B323" s="441" t="s">
        <v>788</v>
      </c>
      <c r="C323" s="442">
        <f>C320-(C321+C322)</f>
        <v>0</v>
      </c>
      <c r="D323" s="425"/>
      <c r="E323" s="441" t="s">
        <v>789</v>
      </c>
      <c r="F323" s="442">
        <f>F320-(F321+F322)</f>
        <v>0</v>
      </c>
      <c r="G323" s="425"/>
    </row>
    <row r="324" spans="1:9" ht="19.5" thickBot="1">
      <c r="A324" s="425"/>
      <c r="B324" s="425"/>
      <c r="C324" s="1327"/>
      <c r="D324" s="1327"/>
      <c r="E324" s="1327"/>
      <c r="F324" s="426"/>
      <c r="G324" s="425"/>
    </row>
    <row r="325" spans="1:9" ht="23.25" thickBot="1">
      <c r="A325" s="425"/>
      <c r="B325" s="444" t="s">
        <v>784</v>
      </c>
      <c r="C325" s="445" t="s">
        <v>790</v>
      </c>
      <c r="D325" s="446"/>
      <c r="E325" s="447" t="s">
        <v>786</v>
      </c>
      <c r="F325" s="448" t="str">
        <f>IF(C325="Y", I325, "N/A")</f>
        <v>N/A</v>
      </c>
      <c r="G325" s="425"/>
      <c r="I325" s="449">
        <f>(SUM(C323:F323)/2)</f>
        <v>0</v>
      </c>
    </row>
    <row r="326" spans="1:9" ht="19.5" thickBot="1">
      <c r="A326" s="425"/>
      <c r="B326" s="425"/>
      <c r="C326" s="443"/>
      <c r="D326" s="443"/>
      <c r="E326" s="443"/>
      <c r="F326" s="426"/>
      <c r="G326" s="425"/>
    </row>
    <row r="327" spans="1:9">
      <c r="A327" s="425"/>
      <c r="B327" s="1328" t="s">
        <v>787</v>
      </c>
      <c r="C327" s="1329"/>
      <c r="D327" s="1329"/>
      <c r="E327" s="1329"/>
      <c r="F327" s="1330"/>
      <c r="G327" s="425"/>
    </row>
    <row r="328" spans="1:9">
      <c r="A328" s="425"/>
      <c r="B328" s="1331"/>
      <c r="C328" s="1332"/>
      <c r="D328" s="1332"/>
      <c r="E328" s="1332"/>
      <c r="F328" s="1333"/>
      <c r="G328" s="425"/>
    </row>
    <row r="329" spans="1:9" ht="15.75" thickBot="1">
      <c r="A329" s="425"/>
      <c r="B329" s="1334"/>
      <c r="C329" s="1335"/>
      <c r="D329" s="1335"/>
      <c r="E329" s="1335"/>
      <c r="F329" s="1336"/>
      <c r="G329" s="425"/>
    </row>
    <row r="330" spans="1:9">
      <c r="A330" s="425"/>
      <c r="B330" s="425"/>
      <c r="C330" s="426"/>
      <c r="D330" s="425"/>
      <c r="E330" s="425"/>
      <c r="F330" s="426"/>
      <c r="G330" s="425"/>
    </row>
    <row r="331" spans="1:9" ht="15.75" thickBot="1">
      <c r="A331" s="425"/>
      <c r="B331" s="425"/>
      <c r="C331" s="426"/>
      <c r="D331" s="425"/>
      <c r="E331" s="425"/>
      <c r="F331" s="426"/>
      <c r="G331" s="425"/>
    </row>
    <row r="332" spans="1:9">
      <c r="A332" s="425"/>
      <c r="B332" s="1337" t="s">
        <v>762</v>
      </c>
      <c r="C332" s="1338"/>
      <c r="D332" s="1338"/>
      <c r="E332" s="1338"/>
      <c r="F332" s="1339"/>
      <c r="G332" s="425"/>
    </row>
    <row r="333" spans="1:9">
      <c r="A333" s="425"/>
      <c r="B333" s="1340"/>
      <c r="C333" s="1341"/>
      <c r="D333" s="1341"/>
      <c r="E333" s="1341"/>
      <c r="F333" s="1342"/>
      <c r="G333" s="425"/>
    </row>
    <row r="334" spans="1:9">
      <c r="A334" s="425"/>
      <c r="B334" s="1340"/>
      <c r="C334" s="1341"/>
      <c r="D334" s="1341"/>
      <c r="E334" s="1341"/>
      <c r="F334" s="1342"/>
      <c r="G334" s="425"/>
    </row>
    <row r="335" spans="1:9" ht="15.75" thickBot="1">
      <c r="A335" s="425"/>
      <c r="B335" s="427"/>
      <c r="C335" s="428"/>
      <c r="D335" s="428"/>
      <c r="E335" s="428"/>
      <c r="F335" s="429" t="str">
        <f>'[3]Reference Sheet'!$B$2</f>
        <v>Rev. 4.12.2016</v>
      </c>
      <c r="G335" s="425"/>
    </row>
    <row r="336" spans="1:9" ht="15.75" thickBot="1">
      <c r="A336" s="425"/>
      <c r="B336" s="425"/>
      <c r="C336" s="426"/>
      <c r="D336" s="425"/>
      <c r="E336" s="425"/>
      <c r="F336" s="426"/>
      <c r="G336" s="425"/>
    </row>
    <row r="337" spans="1:7">
      <c r="A337" s="430"/>
      <c r="B337" s="1343" t="s">
        <v>764</v>
      </c>
      <c r="C337" s="1344"/>
      <c r="D337" s="425"/>
      <c r="E337" s="1347" t="s">
        <v>765</v>
      </c>
      <c r="F337" s="1344"/>
      <c r="G337" s="425"/>
    </row>
    <row r="338" spans="1:7" ht="15.75" thickBot="1">
      <c r="A338" s="430"/>
      <c r="B338" s="1345"/>
      <c r="C338" s="1346"/>
      <c r="D338" s="425"/>
      <c r="E338" s="1345"/>
      <c r="F338" s="1346"/>
      <c r="G338" s="425"/>
    </row>
    <row r="339" spans="1:7" ht="15.75" thickBot="1">
      <c r="A339" s="425"/>
      <c r="B339" s="425"/>
      <c r="C339" s="426"/>
      <c r="D339" s="425"/>
      <c r="E339" s="425"/>
      <c r="F339" s="426"/>
      <c r="G339" s="425"/>
    </row>
    <row r="340" spans="1:7">
      <c r="A340" s="425"/>
      <c r="B340" s="1348" t="s">
        <v>767</v>
      </c>
      <c r="C340" s="1349"/>
      <c r="D340" s="425"/>
      <c r="E340" s="1348" t="s">
        <v>767</v>
      </c>
      <c r="F340" s="1349"/>
      <c r="G340" s="425"/>
    </row>
    <row r="341" spans="1:7">
      <c r="A341" s="425"/>
      <c r="B341" s="431" t="s">
        <v>768</v>
      </c>
      <c r="C341" s="432">
        <v>365</v>
      </c>
      <c r="D341" s="425"/>
      <c r="E341" s="431" t="s">
        <v>768</v>
      </c>
      <c r="F341" s="432">
        <v>365</v>
      </c>
      <c r="G341" s="425"/>
    </row>
    <row r="342" spans="1:7">
      <c r="A342" s="425"/>
      <c r="B342" s="433" t="s">
        <v>769</v>
      </c>
      <c r="C342" s="434"/>
      <c r="D342" s="425"/>
      <c r="E342" s="433" t="s">
        <v>769</v>
      </c>
      <c r="F342" s="434"/>
      <c r="G342" s="425"/>
    </row>
    <row r="343" spans="1:7">
      <c r="A343" s="425"/>
      <c r="B343" s="435" t="s">
        <v>770</v>
      </c>
      <c r="C343" s="434"/>
      <c r="D343" s="425"/>
      <c r="E343" s="435" t="s">
        <v>770</v>
      </c>
      <c r="F343" s="434"/>
      <c r="G343" s="425"/>
    </row>
    <row r="344" spans="1:7">
      <c r="A344" s="425"/>
      <c r="B344" s="435" t="s">
        <v>771</v>
      </c>
      <c r="C344" s="434"/>
      <c r="D344" s="425"/>
      <c r="E344" s="435" t="s">
        <v>771</v>
      </c>
      <c r="F344" s="434"/>
      <c r="G344" s="425"/>
    </row>
    <row r="345" spans="1:7">
      <c r="A345" s="425"/>
      <c r="B345" s="435" t="s">
        <v>772</v>
      </c>
      <c r="C345" s="434"/>
      <c r="D345" s="425"/>
      <c r="E345" s="435" t="s">
        <v>772</v>
      </c>
      <c r="F345" s="434"/>
      <c r="G345" s="425"/>
    </row>
    <row r="346" spans="1:7">
      <c r="A346" s="425"/>
      <c r="B346" s="436" t="s">
        <v>773</v>
      </c>
      <c r="C346" s="434"/>
      <c r="D346" s="425"/>
      <c r="E346" s="436" t="s">
        <v>773</v>
      </c>
      <c r="F346" s="434"/>
      <c r="G346" s="425"/>
    </row>
    <row r="347" spans="1:7">
      <c r="A347" s="425"/>
      <c r="B347" s="436" t="s">
        <v>774</v>
      </c>
      <c r="C347" s="434"/>
      <c r="D347" s="425"/>
      <c r="E347" s="436" t="s">
        <v>774</v>
      </c>
      <c r="F347" s="434"/>
      <c r="G347" s="425"/>
    </row>
    <row r="348" spans="1:7" ht="33.75">
      <c r="A348" s="425"/>
      <c r="B348" s="435" t="s">
        <v>775</v>
      </c>
      <c r="C348" s="434"/>
      <c r="D348" s="425"/>
      <c r="E348" s="435" t="s">
        <v>775</v>
      </c>
      <c r="F348" s="434"/>
      <c r="G348" s="425"/>
    </row>
    <row r="349" spans="1:7">
      <c r="A349" s="425"/>
      <c r="B349" s="435" t="s">
        <v>776</v>
      </c>
      <c r="C349" s="437">
        <f>SUM(C342-C343+C344+C346+C347+C345,C348)</f>
        <v>0</v>
      </c>
      <c r="D349" s="425"/>
      <c r="E349" s="435" t="s">
        <v>776</v>
      </c>
      <c r="F349" s="437">
        <f>SUM(F342-F343+F344+F346+F347+F345,F348)</f>
        <v>0</v>
      </c>
      <c r="G349" s="425"/>
    </row>
    <row r="350" spans="1:7">
      <c r="A350" s="425"/>
      <c r="B350" s="435" t="s">
        <v>777</v>
      </c>
      <c r="C350" s="437">
        <f>C349/(C341/30.4165)</f>
        <v>0</v>
      </c>
      <c r="D350" s="425"/>
      <c r="E350" s="435" t="s">
        <v>777</v>
      </c>
      <c r="F350" s="437">
        <f>F349/(F341/30.4165)</f>
        <v>0</v>
      </c>
      <c r="G350" s="425"/>
    </row>
    <row r="351" spans="1:7" ht="45">
      <c r="A351" s="425"/>
      <c r="B351" s="438" t="s">
        <v>778</v>
      </c>
      <c r="C351" s="434"/>
      <c r="D351" s="425"/>
      <c r="E351" s="438" t="s">
        <v>779</v>
      </c>
      <c r="F351" s="434"/>
      <c r="G351" s="425"/>
    </row>
    <row r="352" spans="1:7" ht="45">
      <c r="A352" s="425"/>
      <c r="B352" s="439" t="s">
        <v>780</v>
      </c>
      <c r="C352" s="440"/>
      <c r="D352" s="425"/>
      <c r="E352" s="439" t="s">
        <v>781</v>
      </c>
      <c r="F352" s="440"/>
      <c r="G352" s="425"/>
    </row>
    <row r="353" spans="1:9" ht="24" thickBot="1">
      <c r="A353" s="425"/>
      <c r="B353" s="441" t="s">
        <v>788</v>
      </c>
      <c r="C353" s="442">
        <f>C350-(C351+C352)</f>
        <v>0</v>
      </c>
      <c r="D353" s="425"/>
      <c r="E353" s="441" t="s">
        <v>789</v>
      </c>
      <c r="F353" s="442">
        <f>F350-(F351+F352)</f>
        <v>0</v>
      </c>
      <c r="G353" s="425"/>
    </row>
    <row r="354" spans="1:9" ht="19.5" thickBot="1">
      <c r="A354" s="425"/>
      <c r="B354" s="425"/>
      <c r="C354" s="1327"/>
      <c r="D354" s="1327"/>
      <c r="E354" s="1327"/>
      <c r="F354" s="426"/>
      <c r="G354" s="425"/>
    </row>
    <row r="355" spans="1:9" ht="23.25" thickBot="1">
      <c r="A355" s="425"/>
      <c r="B355" s="444" t="s">
        <v>784</v>
      </c>
      <c r="C355" s="445" t="s">
        <v>790</v>
      </c>
      <c r="D355" s="446"/>
      <c r="E355" s="447" t="s">
        <v>786</v>
      </c>
      <c r="F355" s="448" t="str">
        <f>IF(C355="Y", I355, "N/A")</f>
        <v>N/A</v>
      </c>
      <c r="G355" s="425"/>
      <c r="I355" s="449">
        <f>(SUM(C353:F353)/2)</f>
        <v>0</v>
      </c>
    </row>
    <row r="356" spans="1:9" ht="19.5" thickBot="1">
      <c r="A356" s="425"/>
      <c r="B356" s="425"/>
      <c r="C356" s="443"/>
      <c r="D356" s="443"/>
      <c r="E356" s="443"/>
      <c r="F356" s="426"/>
      <c r="G356" s="425"/>
    </row>
    <row r="357" spans="1:9">
      <c r="A357" s="425"/>
      <c r="B357" s="1328" t="s">
        <v>787</v>
      </c>
      <c r="C357" s="1329"/>
      <c r="D357" s="1329"/>
      <c r="E357" s="1329"/>
      <c r="F357" s="1330"/>
      <c r="G357" s="425"/>
    </row>
    <row r="358" spans="1:9">
      <c r="A358" s="425"/>
      <c r="B358" s="1331"/>
      <c r="C358" s="1332"/>
      <c r="D358" s="1332"/>
      <c r="E358" s="1332"/>
      <c r="F358" s="1333"/>
      <c r="G358" s="425"/>
    </row>
    <row r="359" spans="1:9" ht="15.75" thickBot="1">
      <c r="A359" s="425"/>
      <c r="B359" s="1334"/>
      <c r="C359" s="1335"/>
      <c r="D359" s="1335"/>
      <c r="E359" s="1335"/>
      <c r="F359" s="1336"/>
      <c r="G359" s="425"/>
    </row>
    <row r="360" spans="1:9">
      <c r="A360" s="425"/>
      <c r="B360" s="425"/>
      <c r="C360" s="426"/>
      <c r="D360" s="425"/>
      <c r="E360" s="425"/>
      <c r="F360" s="426"/>
      <c r="G360" s="425"/>
    </row>
    <row r="361" spans="1:9" ht="15.75" thickBot="1">
      <c r="A361" s="425"/>
      <c r="B361" s="425"/>
      <c r="C361" s="426"/>
      <c r="D361" s="425"/>
      <c r="E361" s="425"/>
      <c r="F361" s="426"/>
      <c r="G361" s="425"/>
    </row>
    <row r="362" spans="1:9">
      <c r="A362" s="425"/>
      <c r="B362" s="1337" t="s">
        <v>762</v>
      </c>
      <c r="C362" s="1338"/>
      <c r="D362" s="1338"/>
      <c r="E362" s="1338"/>
      <c r="F362" s="1339"/>
      <c r="G362" s="425"/>
    </row>
    <row r="363" spans="1:9">
      <c r="A363" s="425"/>
      <c r="B363" s="1340"/>
      <c r="C363" s="1341"/>
      <c r="D363" s="1341"/>
      <c r="E363" s="1341"/>
      <c r="F363" s="1342"/>
      <c r="G363" s="425"/>
    </row>
    <row r="364" spans="1:9">
      <c r="A364" s="425"/>
      <c r="B364" s="1340"/>
      <c r="C364" s="1341"/>
      <c r="D364" s="1341"/>
      <c r="E364" s="1341"/>
      <c r="F364" s="1342"/>
      <c r="G364" s="425"/>
    </row>
    <row r="365" spans="1:9" ht="15.75" thickBot="1">
      <c r="A365" s="425"/>
      <c r="B365" s="427"/>
      <c r="C365" s="428"/>
      <c r="D365" s="428"/>
      <c r="E365" s="428"/>
      <c r="F365" s="429" t="str">
        <f>'[3]Reference Sheet'!$B$2</f>
        <v>Rev. 4.12.2016</v>
      </c>
      <c r="G365" s="425"/>
    </row>
    <row r="366" spans="1:9" ht="15.75" thickBot="1">
      <c r="A366" s="425"/>
      <c r="B366" s="425"/>
      <c r="C366" s="426"/>
      <c r="D366" s="425"/>
      <c r="E366" s="425"/>
      <c r="F366" s="426"/>
      <c r="G366" s="425"/>
    </row>
    <row r="367" spans="1:9">
      <c r="A367" s="430"/>
      <c r="B367" s="1343" t="s">
        <v>764</v>
      </c>
      <c r="C367" s="1344"/>
      <c r="D367" s="425"/>
      <c r="E367" s="1347" t="s">
        <v>765</v>
      </c>
      <c r="F367" s="1344"/>
      <c r="G367" s="425"/>
    </row>
    <row r="368" spans="1:9" ht="15.75" thickBot="1">
      <c r="A368" s="430"/>
      <c r="B368" s="1345"/>
      <c r="C368" s="1346"/>
      <c r="D368" s="425"/>
      <c r="E368" s="1345"/>
      <c r="F368" s="1346"/>
      <c r="G368" s="425"/>
    </row>
    <row r="369" spans="1:7" ht="15.75" thickBot="1">
      <c r="A369" s="425"/>
      <c r="B369" s="425"/>
      <c r="C369" s="426"/>
      <c r="D369" s="425"/>
      <c r="E369" s="425"/>
      <c r="F369" s="426"/>
      <c r="G369" s="425"/>
    </row>
    <row r="370" spans="1:7">
      <c r="A370" s="425"/>
      <c r="B370" s="1348" t="s">
        <v>767</v>
      </c>
      <c r="C370" s="1349"/>
      <c r="D370" s="425"/>
      <c r="E370" s="1348" t="s">
        <v>767</v>
      </c>
      <c r="F370" s="1349"/>
      <c r="G370" s="425"/>
    </row>
    <row r="371" spans="1:7">
      <c r="A371" s="425"/>
      <c r="B371" s="431" t="s">
        <v>768</v>
      </c>
      <c r="C371" s="432">
        <v>365</v>
      </c>
      <c r="D371" s="425"/>
      <c r="E371" s="431" t="s">
        <v>768</v>
      </c>
      <c r="F371" s="432">
        <v>365</v>
      </c>
      <c r="G371" s="425"/>
    </row>
    <row r="372" spans="1:7">
      <c r="A372" s="425"/>
      <c r="B372" s="433" t="s">
        <v>769</v>
      </c>
      <c r="C372" s="434"/>
      <c r="D372" s="425"/>
      <c r="E372" s="433" t="s">
        <v>769</v>
      </c>
      <c r="F372" s="434"/>
      <c r="G372" s="425"/>
    </row>
    <row r="373" spans="1:7">
      <c r="A373" s="425"/>
      <c r="B373" s="435" t="s">
        <v>770</v>
      </c>
      <c r="C373" s="434"/>
      <c r="D373" s="425"/>
      <c r="E373" s="435" t="s">
        <v>770</v>
      </c>
      <c r="F373" s="434"/>
      <c r="G373" s="425"/>
    </row>
    <row r="374" spans="1:7">
      <c r="A374" s="425"/>
      <c r="B374" s="435" t="s">
        <v>771</v>
      </c>
      <c r="C374" s="434"/>
      <c r="D374" s="425"/>
      <c r="E374" s="435" t="s">
        <v>771</v>
      </c>
      <c r="F374" s="434"/>
      <c r="G374" s="425"/>
    </row>
    <row r="375" spans="1:7">
      <c r="A375" s="425"/>
      <c r="B375" s="435" t="s">
        <v>772</v>
      </c>
      <c r="C375" s="434"/>
      <c r="D375" s="425"/>
      <c r="E375" s="435" t="s">
        <v>772</v>
      </c>
      <c r="F375" s="434"/>
      <c r="G375" s="425"/>
    </row>
    <row r="376" spans="1:7">
      <c r="A376" s="425"/>
      <c r="B376" s="436" t="s">
        <v>773</v>
      </c>
      <c r="C376" s="434"/>
      <c r="D376" s="425"/>
      <c r="E376" s="436" t="s">
        <v>773</v>
      </c>
      <c r="F376" s="434"/>
      <c r="G376" s="425"/>
    </row>
    <row r="377" spans="1:7">
      <c r="A377" s="425"/>
      <c r="B377" s="436" t="s">
        <v>774</v>
      </c>
      <c r="C377" s="434"/>
      <c r="D377" s="425"/>
      <c r="E377" s="436" t="s">
        <v>774</v>
      </c>
      <c r="F377" s="434"/>
      <c r="G377" s="425"/>
    </row>
    <row r="378" spans="1:7" ht="33.75">
      <c r="A378" s="425"/>
      <c r="B378" s="435" t="s">
        <v>775</v>
      </c>
      <c r="C378" s="434"/>
      <c r="D378" s="425"/>
      <c r="E378" s="435" t="s">
        <v>775</v>
      </c>
      <c r="F378" s="434"/>
      <c r="G378" s="425"/>
    </row>
    <row r="379" spans="1:7">
      <c r="A379" s="425"/>
      <c r="B379" s="435" t="s">
        <v>776</v>
      </c>
      <c r="C379" s="437">
        <f>SUM(C372-C373+C374+C376+C377+C375,C378)</f>
        <v>0</v>
      </c>
      <c r="D379" s="425"/>
      <c r="E379" s="435" t="s">
        <v>776</v>
      </c>
      <c r="F379" s="437">
        <f>SUM(F372-F373+F374+F376+F377+F375,F378)</f>
        <v>0</v>
      </c>
      <c r="G379" s="425"/>
    </row>
    <row r="380" spans="1:7">
      <c r="A380" s="425"/>
      <c r="B380" s="435" t="s">
        <v>777</v>
      </c>
      <c r="C380" s="437">
        <f>C379/(C371/30.4165)</f>
        <v>0</v>
      </c>
      <c r="D380" s="425"/>
      <c r="E380" s="435" t="s">
        <v>777</v>
      </c>
      <c r="F380" s="437">
        <f>F379/(F371/30.4165)</f>
        <v>0</v>
      </c>
      <c r="G380" s="425"/>
    </row>
    <row r="381" spans="1:7" ht="45">
      <c r="A381" s="425"/>
      <c r="B381" s="438" t="s">
        <v>778</v>
      </c>
      <c r="C381" s="434"/>
      <c r="D381" s="425"/>
      <c r="E381" s="438" t="s">
        <v>779</v>
      </c>
      <c r="F381" s="434"/>
      <c r="G381" s="425"/>
    </row>
    <row r="382" spans="1:7" ht="45">
      <c r="A382" s="425"/>
      <c r="B382" s="439" t="s">
        <v>780</v>
      </c>
      <c r="C382" s="440"/>
      <c r="D382" s="425"/>
      <c r="E382" s="439" t="s">
        <v>781</v>
      </c>
      <c r="F382" s="440"/>
      <c r="G382" s="425"/>
    </row>
    <row r="383" spans="1:7" ht="24" thickBot="1">
      <c r="A383" s="425"/>
      <c r="B383" s="441" t="s">
        <v>788</v>
      </c>
      <c r="C383" s="442">
        <f>C380-(C381+C382)</f>
        <v>0</v>
      </c>
      <c r="D383" s="425"/>
      <c r="E383" s="441" t="s">
        <v>789</v>
      </c>
      <c r="F383" s="442">
        <f>F380-(F381+F382)</f>
        <v>0</v>
      </c>
      <c r="G383" s="425"/>
    </row>
    <row r="384" spans="1:7" ht="19.5" thickBot="1">
      <c r="A384" s="425"/>
      <c r="B384" s="425"/>
      <c r="C384" s="1327"/>
      <c r="D384" s="1327"/>
      <c r="E384" s="1327"/>
      <c r="F384" s="426"/>
      <c r="G384" s="425"/>
    </row>
    <row r="385" spans="1:9" ht="23.25" thickBot="1">
      <c r="A385" s="425"/>
      <c r="B385" s="444" t="s">
        <v>784</v>
      </c>
      <c r="C385" s="445" t="s">
        <v>790</v>
      </c>
      <c r="D385" s="446"/>
      <c r="E385" s="447" t="s">
        <v>786</v>
      </c>
      <c r="F385" s="448" t="str">
        <f>IF(C385="Y", I385, "N/A")</f>
        <v>N/A</v>
      </c>
      <c r="G385" s="425"/>
      <c r="I385" s="449">
        <f>(SUM(C383:F383)/2)</f>
        <v>0</v>
      </c>
    </row>
    <row r="386" spans="1:9" ht="19.5" thickBot="1">
      <c r="A386" s="425"/>
      <c r="B386" s="425"/>
      <c r="C386" s="443"/>
      <c r="D386" s="443"/>
      <c r="E386" s="443"/>
      <c r="F386" s="426"/>
      <c r="G386" s="425"/>
    </row>
    <row r="387" spans="1:9">
      <c r="A387" s="425"/>
      <c r="B387" s="1328" t="s">
        <v>787</v>
      </c>
      <c r="C387" s="1329"/>
      <c r="D387" s="1329"/>
      <c r="E387" s="1329"/>
      <c r="F387" s="1330"/>
      <c r="G387" s="425"/>
    </row>
    <row r="388" spans="1:9">
      <c r="A388" s="425"/>
      <c r="B388" s="1331"/>
      <c r="C388" s="1332"/>
      <c r="D388" s="1332"/>
      <c r="E388" s="1332"/>
      <c r="F388" s="1333"/>
      <c r="G388" s="425"/>
    </row>
    <row r="389" spans="1:9" ht="15.75" thickBot="1">
      <c r="A389" s="425"/>
      <c r="B389" s="1334"/>
      <c r="C389" s="1335"/>
      <c r="D389" s="1335"/>
      <c r="E389" s="1335"/>
      <c r="F389" s="1336"/>
      <c r="G389" s="425"/>
    </row>
    <row r="390" spans="1:9">
      <c r="A390" s="425"/>
      <c r="B390" s="425"/>
      <c r="C390" s="426"/>
      <c r="D390" s="425"/>
      <c r="E390" s="425"/>
      <c r="F390" s="426"/>
      <c r="G390" s="425"/>
    </row>
    <row r="391" spans="1:9" ht="15.75" thickBot="1">
      <c r="A391" s="425"/>
      <c r="B391" s="425"/>
      <c r="C391" s="426"/>
      <c r="D391" s="425"/>
      <c r="E391" s="425"/>
      <c r="F391" s="426"/>
      <c r="G391" s="425"/>
    </row>
    <row r="392" spans="1:9">
      <c r="A392" s="425"/>
      <c r="B392" s="1337" t="s">
        <v>762</v>
      </c>
      <c r="C392" s="1338"/>
      <c r="D392" s="1338"/>
      <c r="E392" s="1338"/>
      <c r="F392" s="1339"/>
      <c r="G392" s="425"/>
    </row>
    <row r="393" spans="1:9">
      <c r="A393" s="425"/>
      <c r="B393" s="1340"/>
      <c r="C393" s="1341"/>
      <c r="D393" s="1341"/>
      <c r="E393" s="1341"/>
      <c r="F393" s="1342"/>
      <c r="G393" s="425"/>
    </row>
    <row r="394" spans="1:9">
      <c r="A394" s="425"/>
      <c r="B394" s="1340"/>
      <c r="C394" s="1341"/>
      <c r="D394" s="1341"/>
      <c r="E394" s="1341"/>
      <c r="F394" s="1342"/>
      <c r="G394" s="425"/>
    </row>
    <row r="395" spans="1:9" ht="15.75" thickBot="1">
      <c r="A395" s="425"/>
      <c r="B395" s="427"/>
      <c r="C395" s="428"/>
      <c r="D395" s="428"/>
      <c r="E395" s="428"/>
      <c r="F395" s="429" t="str">
        <f>'[3]Reference Sheet'!$B$2</f>
        <v>Rev. 4.12.2016</v>
      </c>
      <c r="G395" s="425"/>
    </row>
    <row r="396" spans="1:9" ht="15.75" thickBot="1">
      <c r="A396" s="425"/>
      <c r="B396" s="425"/>
      <c r="C396" s="426"/>
      <c r="D396" s="425"/>
      <c r="E396" s="425"/>
      <c r="F396" s="426"/>
      <c r="G396" s="425"/>
    </row>
    <row r="397" spans="1:9">
      <c r="A397" s="430"/>
      <c r="B397" s="1343" t="s">
        <v>764</v>
      </c>
      <c r="C397" s="1344"/>
      <c r="D397" s="425"/>
      <c r="E397" s="1347" t="s">
        <v>765</v>
      </c>
      <c r="F397" s="1344"/>
      <c r="G397" s="425"/>
    </row>
    <row r="398" spans="1:9" ht="15.75" thickBot="1">
      <c r="A398" s="430"/>
      <c r="B398" s="1345"/>
      <c r="C398" s="1346"/>
      <c r="D398" s="425"/>
      <c r="E398" s="1345"/>
      <c r="F398" s="1346"/>
      <c r="G398" s="425"/>
    </row>
    <row r="399" spans="1:9" ht="15.75" thickBot="1">
      <c r="A399" s="425"/>
      <c r="B399" s="425"/>
      <c r="C399" s="426"/>
      <c r="D399" s="425"/>
      <c r="E399" s="425"/>
      <c r="F399" s="426"/>
      <c r="G399" s="425"/>
    </row>
    <row r="400" spans="1:9">
      <c r="A400" s="425"/>
      <c r="B400" s="1348" t="s">
        <v>767</v>
      </c>
      <c r="C400" s="1349"/>
      <c r="D400" s="425"/>
      <c r="E400" s="1348" t="s">
        <v>767</v>
      </c>
      <c r="F400" s="1349"/>
      <c r="G400" s="425"/>
    </row>
    <row r="401" spans="1:9">
      <c r="A401" s="425"/>
      <c r="B401" s="431" t="s">
        <v>768</v>
      </c>
      <c r="C401" s="432">
        <v>365</v>
      </c>
      <c r="D401" s="425"/>
      <c r="E401" s="431" t="s">
        <v>768</v>
      </c>
      <c r="F401" s="432">
        <v>365</v>
      </c>
      <c r="G401" s="425"/>
    </row>
    <row r="402" spans="1:9">
      <c r="A402" s="425"/>
      <c r="B402" s="433" t="s">
        <v>769</v>
      </c>
      <c r="C402" s="434"/>
      <c r="D402" s="425"/>
      <c r="E402" s="433" t="s">
        <v>769</v>
      </c>
      <c r="F402" s="434"/>
      <c r="G402" s="425"/>
    </row>
    <row r="403" spans="1:9">
      <c r="A403" s="425"/>
      <c r="B403" s="435" t="s">
        <v>770</v>
      </c>
      <c r="C403" s="434"/>
      <c r="D403" s="425"/>
      <c r="E403" s="435" t="s">
        <v>770</v>
      </c>
      <c r="F403" s="434"/>
      <c r="G403" s="425"/>
    </row>
    <row r="404" spans="1:9">
      <c r="A404" s="425"/>
      <c r="B404" s="435" t="s">
        <v>771</v>
      </c>
      <c r="C404" s="434"/>
      <c r="D404" s="425"/>
      <c r="E404" s="435" t="s">
        <v>771</v>
      </c>
      <c r="F404" s="434"/>
      <c r="G404" s="425"/>
    </row>
    <row r="405" spans="1:9">
      <c r="A405" s="425"/>
      <c r="B405" s="435" t="s">
        <v>772</v>
      </c>
      <c r="C405" s="434"/>
      <c r="D405" s="425"/>
      <c r="E405" s="435" t="s">
        <v>772</v>
      </c>
      <c r="F405" s="434"/>
      <c r="G405" s="425"/>
    </row>
    <row r="406" spans="1:9">
      <c r="A406" s="425"/>
      <c r="B406" s="436" t="s">
        <v>773</v>
      </c>
      <c r="C406" s="434"/>
      <c r="D406" s="425"/>
      <c r="E406" s="436" t="s">
        <v>773</v>
      </c>
      <c r="F406" s="434"/>
      <c r="G406" s="425"/>
    </row>
    <row r="407" spans="1:9">
      <c r="A407" s="425"/>
      <c r="B407" s="436" t="s">
        <v>774</v>
      </c>
      <c r="C407" s="434"/>
      <c r="D407" s="425"/>
      <c r="E407" s="436" t="s">
        <v>774</v>
      </c>
      <c r="F407" s="434"/>
      <c r="G407" s="425"/>
    </row>
    <row r="408" spans="1:9" ht="33.75">
      <c r="A408" s="425"/>
      <c r="B408" s="435" t="s">
        <v>775</v>
      </c>
      <c r="C408" s="434"/>
      <c r="D408" s="425"/>
      <c r="E408" s="435" t="s">
        <v>775</v>
      </c>
      <c r="F408" s="434"/>
      <c r="G408" s="425"/>
    </row>
    <row r="409" spans="1:9">
      <c r="A409" s="425"/>
      <c r="B409" s="435" t="s">
        <v>776</v>
      </c>
      <c r="C409" s="437">
        <f>SUM(C402-C403+C404+C406+C407+C405,C408)</f>
        <v>0</v>
      </c>
      <c r="D409" s="425"/>
      <c r="E409" s="435" t="s">
        <v>776</v>
      </c>
      <c r="F409" s="437">
        <f>SUM(F402-F403+F404+F406+F407+F405,F408)</f>
        <v>0</v>
      </c>
      <c r="G409" s="425"/>
    </row>
    <row r="410" spans="1:9">
      <c r="A410" s="425"/>
      <c r="B410" s="435" t="s">
        <v>777</v>
      </c>
      <c r="C410" s="437">
        <f>C409/(C401/30.4165)</f>
        <v>0</v>
      </c>
      <c r="D410" s="425"/>
      <c r="E410" s="435" t="s">
        <v>777</v>
      </c>
      <c r="F410" s="437">
        <f>F409/(F401/30.4165)</f>
        <v>0</v>
      </c>
      <c r="G410" s="425"/>
    </row>
    <row r="411" spans="1:9" ht="45">
      <c r="A411" s="425"/>
      <c r="B411" s="438" t="s">
        <v>778</v>
      </c>
      <c r="C411" s="434"/>
      <c r="D411" s="425"/>
      <c r="E411" s="438" t="s">
        <v>779</v>
      </c>
      <c r="F411" s="434"/>
      <c r="G411" s="425"/>
    </row>
    <row r="412" spans="1:9" ht="45">
      <c r="A412" s="425"/>
      <c r="B412" s="439" t="s">
        <v>780</v>
      </c>
      <c r="C412" s="440"/>
      <c r="D412" s="425"/>
      <c r="E412" s="439" t="s">
        <v>781</v>
      </c>
      <c r="F412" s="440"/>
      <c r="G412" s="425"/>
    </row>
    <row r="413" spans="1:9" ht="24" thickBot="1">
      <c r="A413" s="425"/>
      <c r="B413" s="441" t="s">
        <v>788</v>
      </c>
      <c r="C413" s="442">
        <f>C410-(C411+C412)</f>
        <v>0</v>
      </c>
      <c r="D413" s="425"/>
      <c r="E413" s="441" t="s">
        <v>789</v>
      </c>
      <c r="F413" s="442">
        <f>F410-(F411+F412)</f>
        <v>0</v>
      </c>
      <c r="G413" s="425"/>
    </row>
    <row r="414" spans="1:9" ht="19.5" thickBot="1">
      <c r="A414" s="425"/>
      <c r="B414" s="425"/>
      <c r="C414" s="1327"/>
      <c r="D414" s="1327"/>
      <c r="E414" s="1327"/>
      <c r="F414" s="426"/>
      <c r="G414" s="425"/>
    </row>
    <row r="415" spans="1:9" ht="23.25" thickBot="1">
      <c r="A415" s="425"/>
      <c r="B415" s="444" t="s">
        <v>784</v>
      </c>
      <c r="C415" s="445" t="s">
        <v>790</v>
      </c>
      <c r="D415" s="446"/>
      <c r="E415" s="447" t="s">
        <v>786</v>
      </c>
      <c r="F415" s="448" t="str">
        <f>IF(C415="Y", I415, "N/A")</f>
        <v>N/A</v>
      </c>
      <c r="G415" s="425"/>
      <c r="I415" s="449">
        <f>(SUM(C413:F413)/2)</f>
        <v>0</v>
      </c>
    </row>
    <row r="416" spans="1:9" ht="19.5" thickBot="1">
      <c r="A416" s="425"/>
      <c r="B416" s="425"/>
      <c r="C416" s="443"/>
      <c r="D416" s="443"/>
      <c r="E416" s="443"/>
      <c r="F416" s="426"/>
      <c r="G416" s="425"/>
    </row>
    <row r="417" spans="1:7">
      <c r="A417" s="425"/>
      <c r="B417" s="1328" t="s">
        <v>787</v>
      </c>
      <c r="C417" s="1329"/>
      <c r="D417" s="1329"/>
      <c r="E417" s="1329"/>
      <c r="F417" s="1330"/>
      <c r="G417" s="425"/>
    </row>
    <row r="418" spans="1:7">
      <c r="A418" s="425"/>
      <c r="B418" s="1331"/>
      <c r="C418" s="1332"/>
      <c r="D418" s="1332"/>
      <c r="E418" s="1332"/>
      <c r="F418" s="1333"/>
      <c r="G418" s="425"/>
    </row>
    <row r="419" spans="1:7" ht="15.75" thickBot="1">
      <c r="A419" s="425"/>
      <c r="B419" s="1334"/>
      <c r="C419" s="1335"/>
      <c r="D419" s="1335"/>
      <c r="E419" s="1335"/>
      <c r="F419" s="1336"/>
      <c r="G419" s="425"/>
    </row>
    <row r="420" spans="1:7">
      <c r="A420" s="425"/>
      <c r="B420" s="425"/>
      <c r="C420" s="426"/>
      <c r="D420" s="425"/>
      <c r="E420" s="425"/>
      <c r="F420" s="426"/>
      <c r="G420" s="425"/>
    </row>
    <row r="421" spans="1:7" ht="15.75" thickBot="1">
      <c r="A421" s="425"/>
      <c r="B421" s="425"/>
      <c r="C421" s="426"/>
      <c r="D421" s="425"/>
      <c r="E421" s="425"/>
      <c r="F421" s="426"/>
      <c r="G421" s="425"/>
    </row>
    <row r="422" spans="1:7">
      <c r="A422" s="425"/>
      <c r="B422" s="1337" t="s">
        <v>762</v>
      </c>
      <c r="C422" s="1338"/>
      <c r="D422" s="1338"/>
      <c r="E422" s="1338"/>
      <c r="F422" s="1339"/>
      <c r="G422" s="425"/>
    </row>
    <row r="423" spans="1:7">
      <c r="A423" s="425"/>
      <c r="B423" s="1340"/>
      <c r="C423" s="1341"/>
      <c r="D423" s="1341"/>
      <c r="E423" s="1341"/>
      <c r="F423" s="1342"/>
      <c r="G423" s="425"/>
    </row>
    <row r="424" spans="1:7">
      <c r="A424" s="425"/>
      <c r="B424" s="1340"/>
      <c r="C424" s="1341"/>
      <c r="D424" s="1341"/>
      <c r="E424" s="1341"/>
      <c r="F424" s="1342"/>
      <c r="G424" s="425"/>
    </row>
    <row r="425" spans="1:7" ht="15.75" thickBot="1">
      <c r="A425" s="425"/>
      <c r="B425" s="427"/>
      <c r="C425" s="428"/>
      <c r="D425" s="428"/>
      <c r="E425" s="428"/>
      <c r="F425" s="429" t="str">
        <f>'[3]Reference Sheet'!$B$2</f>
        <v>Rev. 4.12.2016</v>
      </c>
      <c r="G425" s="425"/>
    </row>
    <row r="426" spans="1:7" ht="15.75" thickBot="1">
      <c r="A426" s="425"/>
      <c r="B426" s="425"/>
      <c r="C426" s="426"/>
      <c r="D426" s="425"/>
      <c r="E426" s="425"/>
      <c r="F426" s="426"/>
      <c r="G426" s="425"/>
    </row>
    <row r="427" spans="1:7">
      <c r="A427" s="430"/>
      <c r="B427" s="1343" t="s">
        <v>764</v>
      </c>
      <c r="C427" s="1344"/>
      <c r="D427" s="425"/>
      <c r="E427" s="1347" t="s">
        <v>765</v>
      </c>
      <c r="F427" s="1344"/>
      <c r="G427" s="425"/>
    </row>
    <row r="428" spans="1:7" ht="15.75" thickBot="1">
      <c r="A428" s="430"/>
      <c r="B428" s="1345"/>
      <c r="C428" s="1346"/>
      <c r="D428" s="425"/>
      <c r="E428" s="1345"/>
      <c r="F428" s="1346"/>
      <c r="G428" s="425"/>
    </row>
    <row r="429" spans="1:7" ht="15.75" thickBot="1">
      <c r="A429" s="425"/>
      <c r="B429" s="425"/>
      <c r="C429" s="426"/>
      <c r="D429" s="425"/>
      <c r="E429" s="425"/>
      <c r="F429" s="426"/>
      <c r="G429" s="425"/>
    </row>
    <row r="430" spans="1:7">
      <c r="A430" s="425"/>
      <c r="B430" s="1348" t="s">
        <v>767</v>
      </c>
      <c r="C430" s="1349"/>
      <c r="D430" s="425"/>
      <c r="E430" s="1348" t="s">
        <v>767</v>
      </c>
      <c r="F430" s="1349"/>
      <c r="G430" s="425"/>
    </row>
    <row r="431" spans="1:7">
      <c r="A431" s="425"/>
      <c r="B431" s="431" t="s">
        <v>768</v>
      </c>
      <c r="C431" s="432">
        <v>365</v>
      </c>
      <c r="D431" s="425"/>
      <c r="E431" s="431" t="s">
        <v>768</v>
      </c>
      <c r="F431" s="432">
        <v>365</v>
      </c>
      <c r="G431" s="425"/>
    </row>
    <row r="432" spans="1:7">
      <c r="A432" s="425"/>
      <c r="B432" s="433" t="s">
        <v>769</v>
      </c>
      <c r="C432" s="434"/>
      <c r="D432" s="425"/>
      <c r="E432" s="433" t="s">
        <v>769</v>
      </c>
      <c r="F432" s="434"/>
      <c r="G432" s="425"/>
    </row>
    <row r="433" spans="1:9">
      <c r="A433" s="425"/>
      <c r="B433" s="435" t="s">
        <v>770</v>
      </c>
      <c r="C433" s="434"/>
      <c r="D433" s="425"/>
      <c r="E433" s="435" t="s">
        <v>770</v>
      </c>
      <c r="F433" s="434"/>
      <c r="G433" s="425"/>
    </row>
    <row r="434" spans="1:9">
      <c r="A434" s="425"/>
      <c r="B434" s="435" t="s">
        <v>771</v>
      </c>
      <c r="C434" s="434"/>
      <c r="D434" s="425"/>
      <c r="E434" s="435" t="s">
        <v>771</v>
      </c>
      <c r="F434" s="434"/>
      <c r="G434" s="425"/>
    </row>
    <row r="435" spans="1:9">
      <c r="A435" s="425"/>
      <c r="B435" s="435" t="s">
        <v>772</v>
      </c>
      <c r="C435" s="434"/>
      <c r="D435" s="425"/>
      <c r="E435" s="435" t="s">
        <v>772</v>
      </c>
      <c r="F435" s="434"/>
      <c r="G435" s="425"/>
    </row>
    <row r="436" spans="1:9">
      <c r="A436" s="425"/>
      <c r="B436" s="436" t="s">
        <v>773</v>
      </c>
      <c r="C436" s="434"/>
      <c r="D436" s="425"/>
      <c r="E436" s="436" t="s">
        <v>773</v>
      </c>
      <c r="F436" s="434"/>
      <c r="G436" s="425"/>
    </row>
    <row r="437" spans="1:9">
      <c r="A437" s="425"/>
      <c r="B437" s="436" t="s">
        <v>774</v>
      </c>
      <c r="C437" s="434"/>
      <c r="D437" s="425"/>
      <c r="E437" s="436" t="s">
        <v>774</v>
      </c>
      <c r="F437" s="434"/>
      <c r="G437" s="425"/>
    </row>
    <row r="438" spans="1:9" ht="33.75">
      <c r="A438" s="425"/>
      <c r="B438" s="435" t="s">
        <v>775</v>
      </c>
      <c r="C438" s="434"/>
      <c r="D438" s="425"/>
      <c r="E438" s="435" t="s">
        <v>775</v>
      </c>
      <c r="F438" s="434"/>
      <c r="G438" s="425"/>
    </row>
    <row r="439" spans="1:9">
      <c r="A439" s="425"/>
      <c r="B439" s="435" t="s">
        <v>776</v>
      </c>
      <c r="C439" s="437">
        <f>SUM(C432-C433+C434+C436+C437+C435,C438)</f>
        <v>0</v>
      </c>
      <c r="D439" s="425"/>
      <c r="E439" s="435" t="s">
        <v>776</v>
      </c>
      <c r="F439" s="437">
        <f>SUM(F432-F433+F434+F436+F437+F435,F438)</f>
        <v>0</v>
      </c>
      <c r="G439" s="425"/>
    </row>
    <row r="440" spans="1:9">
      <c r="A440" s="425"/>
      <c r="B440" s="435" t="s">
        <v>777</v>
      </c>
      <c r="C440" s="437">
        <f>C439/(C431/30.4165)</f>
        <v>0</v>
      </c>
      <c r="D440" s="425"/>
      <c r="E440" s="435" t="s">
        <v>777</v>
      </c>
      <c r="F440" s="437">
        <f>F439/(F431/30.4165)</f>
        <v>0</v>
      </c>
      <c r="G440" s="425"/>
    </row>
    <row r="441" spans="1:9" ht="45">
      <c r="A441" s="425"/>
      <c r="B441" s="438" t="s">
        <v>778</v>
      </c>
      <c r="C441" s="434"/>
      <c r="D441" s="425"/>
      <c r="E441" s="438" t="s">
        <v>779</v>
      </c>
      <c r="F441" s="434"/>
      <c r="G441" s="425"/>
    </row>
    <row r="442" spans="1:9" ht="45">
      <c r="A442" s="425"/>
      <c r="B442" s="439" t="s">
        <v>780</v>
      </c>
      <c r="C442" s="440"/>
      <c r="D442" s="425"/>
      <c r="E442" s="439" t="s">
        <v>781</v>
      </c>
      <c r="F442" s="440"/>
      <c r="G442" s="425"/>
    </row>
    <row r="443" spans="1:9" ht="24" thickBot="1">
      <c r="A443" s="425"/>
      <c r="B443" s="441" t="s">
        <v>788</v>
      </c>
      <c r="C443" s="442">
        <f>C440-(C441+C442)</f>
        <v>0</v>
      </c>
      <c r="D443" s="425"/>
      <c r="E443" s="441" t="s">
        <v>789</v>
      </c>
      <c r="F443" s="442">
        <f>F440-(F441+F442)</f>
        <v>0</v>
      </c>
      <c r="G443" s="425"/>
    </row>
    <row r="444" spans="1:9" ht="19.5" thickBot="1">
      <c r="A444" s="425"/>
      <c r="B444" s="425"/>
      <c r="C444" s="1327"/>
      <c r="D444" s="1327"/>
      <c r="E444" s="1327"/>
      <c r="F444" s="426"/>
      <c r="G444" s="425"/>
    </row>
    <row r="445" spans="1:9" ht="23.25" thickBot="1">
      <c r="A445" s="425"/>
      <c r="B445" s="444" t="s">
        <v>784</v>
      </c>
      <c r="C445" s="445" t="s">
        <v>790</v>
      </c>
      <c r="D445" s="446"/>
      <c r="E445" s="447" t="s">
        <v>786</v>
      </c>
      <c r="F445" s="448" t="str">
        <f>IF(C445="Y", I445, "N/A")</f>
        <v>N/A</v>
      </c>
      <c r="G445" s="425"/>
      <c r="I445" s="449">
        <f>(SUM(C443:F443)/2)</f>
        <v>0</v>
      </c>
    </row>
    <row r="446" spans="1:9" ht="19.5" thickBot="1">
      <c r="A446" s="425"/>
      <c r="B446" s="425"/>
      <c r="C446" s="443"/>
      <c r="D446" s="443"/>
      <c r="E446" s="443"/>
      <c r="F446" s="426"/>
      <c r="G446" s="425"/>
    </row>
    <row r="447" spans="1:9">
      <c r="A447" s="425"/>
      <c r="B447" s="1328" t="s">
        <v>787</v>
      </c>
      <c r="C447" s="1329"/>
      <c r="D447" s="1329"/>
      <c r="E447" s="1329"/>
      <c r="F447" s="1330"/>
      <c r="G447" s="425"/>
    </row>
    <row r="448" spans="1:9">
      <c r="A448" s="425"/>
      <c r="B448" s="1331"/>
      <c r="C448" s="1332"/>
      <c r="D448" s="1332"/>
      <c r="E448" s="1332"/>
      <c r="F448" s="1333"/>
      <c r="G448" s="425"/>
    </row>
    <row r="449" spans="1:7" ht="15.75" thickBot="1">
      <c r="A449" s="425"/>
      <c r="B449" s="1334"/>
      <c r="C449" s="1335"/>
      <c r="D449" s="1335"/>
      <c r="E449" s="1335"/>
      <c r="F449" s="1336"/>
      <c r="G449" s="425"/>
    </row>
    <row r="450" spans="1:7">
      <c r="A450" s="425"/>
      <c r="B450" s="425"/>
      <c r="C450" s="426"/>
      <c r="D450" s="425"/>
      <c r="E450" s="425"/>
      <c r="F450" s="426"/>
      <c r="G450" s="425"/>
    </row>
    <row r="451" spans="1:7" ht="15.75" thickBot="1">
      <c r="A451" s="425"/>
      <c r="B451" s="425"/>
      <c r="C451" s="426"/>
      <c r="D451" s="425"/>
      <c r="E451" s="425"/>
      <c r="F451" s="426"/>
      <c r="G451" s="425"/>
    </row>
    <row r="452" spans="1:7">
      <c r="A452" s="425"/>
      <c r="B452" s="1337" t="s">
        <v>762</v>
      </c>
      <c r="C452" s="1338"/>
      <c r="D452" s="1338"/>
      <c r="E452" s="1338"/>
      <c r="F452" s="1339"/>
      <c r="G452" s="425"/>
    </row>
    <row r="453" spans="1:7">
      <c r="A453" s="425"/>
      <c r="B453" s="1340"/>
      <c r="C453" s="1341"/>
      <c r="D453" s="1341"/>
      <c r="E453" s="1341"/>
      <c r="F453" s="1342"/>
      <c r="G453" s="425"/>
    </row>
    <row r="454" spans="1:7">
      <c r="A454" s="425"/>
      <c r="B454" s="1340"/>
      <c r="C454" s="1341"/>
      <c r="D454" s="1341"/>
      <c r="E454" s="1341"/>
      <c r="F454" s="1342"/>
      <c r="G454" s="425"/>
    </row>
    <row r="455" spans="1:7" ht="15.75" thickBot="1">
      <c r="A455" s="425"/>
      <c r="B455" s="427"/>
      <c r="C455" s="428"/>
      <c r="D455" s="428"/>
      <c r="E455" s="428"/>
      <c r="F455" s="429" t="str">
        <f>'[3]Reference Sheet'!$B$2</f>
        <v>Rev. 4.12.2016</v>
      </c>
      <c r="G455" s="425"/>
    </row>
    <row r="456" spans="1:7" ht="15.75" thickBot="1">
      <c r="A456" s="425"/>
      <c r="B456" s="425"/>
      <c r="C456" s="426"/>
      <c r="D456" s="425"/>
      <c r="E456" s="425"/>
      <c r="F456" s="426"/>
      <c r="G456" s="425"/>
    </row>
    <row r="457" spans="1:7">
      <c r="A457" s="430"/>
      <c r="B457" s="1343" t="s">
        <v>764</v>
      </c>
      <c r="C457" s="1344"/>
      <c r="D457" s="425"/>
      <c r="E457" s="1347" t="s">
        <v>765</v>
      </c>
      <c r="F457" s="1344"/>
      <c r="G457" s="425"/>
    </row>
    <row r="458" spans="1:7" ht="15.75" thickBot="1">
      <c r="A458" s="430"/>
      <c r="B458" s="1345"/>
      <c r="C458" s="1346"/>
      <c r="D458" s="425"/>
      <c r="E458" s="1345"/>
      <c r="F458" s="1346"/>
      <c r="G458" s="425"/>
    </row>
    <row r="459" spans="1:7" ht="15.75" thickBot="1">
      <c r="A459" s="425"/>
      <c r="B459" s="425"/>
      <c r="C459" s="426"/>
      <c r="D459" s="425"/>
      <c r="E459" s="425"/>
      <c r="F459" s="426"/>
      <c r="G459" s="425"/>
    </row>
    <row r="460" spans="1:7">
      <c r="A460" s="425"/>
      <c r="B460" s="1348" t="s">
        <v>767</v>
      </c>
      <c r="C460" s="1349"/>
      <c r="D460" s="425"/>
      <c r="E460" s="1348" t="s">
        <v>767</v>
      </c>
      <c r="F460" s="1349"/>
      <c r="G460" s="425"/>
    </row>
    <row r="461" spans="1:7">
      <c r="A461" s="425"/>
      <c r="B461" s="431" t="s">
        <v>768</v>
      </c>
      <c r="C461" s="432">
        <v>365</v>
      </c>
      <c r="D461" s="425"/>
      <c r="E461" s="431" t="s">
        <v>768</v>
      </c>
      <c r="F461" s="432">
        <v>365</v>
      </c>
      <c r="G461" s="425"/>
    </row>
    <row r="462" spans="1:7">
      <c r="A462" s="425"/>
      <c r="B462" s="433" t="s">
        <v>769</v>
      </c>
      <c r="C462" s="434"/>
      <c r="D462" s="425"/>
      <c r="E462" s="433" t="s">
        <v>769</v>
      </c>
      <c r="F462" s="434"/>
      <c r="G462" s="425"/>
    </row>
    <row r="463" spans="1:7">
      <c r="A463" s="425"/>
      <c r="B463" s="435" t="s">
        <v>770</v>
      </c>
      <c r="C463" s="434"/>
      <c r="D463" s="425"/>
      <c r="E463" s="435" t="s">
        <v>770</v>
      </c>
      <c r="F463" s="434"/>
      <c r="G463" s="425"/>
    </row>
    <row r="464" spans="1:7">
      <c r="A464" s="425"/>
      <c r="B464" s="435" t="s">
        <v>771</v>
      </c>
      <c r="C464" s="434"/>
      <c r="D464" s="425"/>
      <c r="E464" s="435" t="s">
        <v>771</v>
      </c>
      <c r="F464" s="434"/>
      <c r="G464" s="425"/>
    </row>
    <row r="465" spans="1:9">
      <c r="A465" s="425"/>
      <c r="B465" s="435" t="s">
        <v>772</v>
      </c>
      <c r="C465" s="434"/>
      <c r="D465" s="425"/>
      <c r="E465" s="435" t="s">
        <v>772</v>
      </c>
      <c r="F465" s="434"/>
      <c r="G465" s="425"/>
    </row>
    <row r="466" spans="1:9">
      <c r="A466" s="425"/>
      <c r="B466" s="436" t="s">
        <v>773</v>
      </c>
      <c r="C466" s="434"/>
      <c r="D466" s="425"/>
      <c r="E466" s="436" t="s">
        <v>773</v>
      </c>
      <c r="F466" s="434"/>
      <c r="G466" s="425"/>
    </row>
    <row r="467" spans="1:9">
      <c r="A467" s="425"/>
      <c r="B467" s="436" t="s">
        <v>774</v>
      </c>
      <c r="C467" s="434"/>
      <c r="D467" s="425"/>
      <c r="E467" s="436" t="s">
        <v>774</v>
      </c>
      <c r="F467" s="434"/>
      <c r="G467" s="425"/>
    </row>
    <row r="468" spans="1:9" ht="33.75">
      <c r="A468" s="425"/>
      <c r="B468" s="435" t="s">
        <v>775</v>
      </c>
      <c r="C468" s="434"/>
      <c r="D468" s="425"/>
      <c r="E468" s="435" t="s">
        <v>775</v>
      </c>
      <c r="F468" s="434"/>
      <c r="G468" s="425"/>
    </row>
    <row r="469" spans="1:9">
      <c r="A469" s="425"/>
      <c r="B469" s="435" t="s">
        <v>776</v>
      </c>
      <c r="C469" s="437">
        <f>SUM(C462-C463+C464+C466+C467+C465,C468)</f>
        <v>0</v>
      </c>
      <c r="D469" s="425"/>
      <c r="E469" s="435" t="s">
        <v>776</v>
      </c>
      <c r="F469" s="437">
        <f>SUM(F462-F463+F464+F466+F467+F465,F468)</f>
        <v>0</v>
      </c>
      <c r="G469" s="425"/>
    </row>
    <row r="470" spans="1:9">
      <c r="A470" s="425"/>
      <c r="B470" s="435" t="s">
        <v>777</v>
      </c>
      <c r="C470" s="437">
        <f>C469/(C461/30.4165)</f>
        <v>0</v>
      </c>
      <c r="D470" s="425"/>
      <c r="E470" s="435" t="s">
        <v>777</v>
      </c>
      <c r="F470" s="437">
        <f>F469/(F461/30.4165)</f>
        <v>0</v>
      </c>
      <c r="G470" s="425"/>
    </row>
    <row r="471" spans="1:9" ht="45">
      <c r="A471" s="425"/>
      <c r="B471" s="438" t="s">
        <v>778</v>
      </c>
      <c r="C471" s="434"/>
      <c r="D471" s="425"/>
      <c r="E471" s="438" t="s">
        <v>779</v>
      </c>
      <c r="F471" s="434"/>
      <c r="G471" s="425"/>
    </row>
    <row r="472" spans="1:9" ht="45">
      <c r="A472" s="425"/>
      <c r="B472" s="439" t="s">
        <v>780</v>
      </c>
      <c r="C472" s="440"/>
      <c r="D472" s="425"/>
      <c r="E472" s="439" t="s">
        <v>781</v>
      </c>
      <c r="F472" s="440"/>
      <c r="G472" s="425"/>
    </row>
    <row r="473" spans="1:9" ht="24" thickBot="1">
      <c r="A473" s="425"/>
      <c r="B473" s="441" t="s">
        <v>788</v>
      </c>
      <c r="C473" s="442">
        <f>C470-(C471+C472)</f>
        <v>0</v>
      </c>
      <c r="D473" s="425"/>
      <c r="E473" s="441" t="s">
        <v>789</v>
      </c>
      <c r="F473" s="442">
        <f>F470-(F471+F472)</f>
        <v>0</v>
      </c>
      <c r="G473" s="425"/>
    </row>
    <row r="474" spans="1:9" ht="19.5" thickBot="1">
      <c r="A474" s="425"/>
      <c r="B474" s="425"/>
      <c r="C474" s="1327"/>
      <c r="D474" s="1327"/>
      <c r="E474" s="1327"/>
      <c r="F474" s="426"/>
      <c r="G474" s="425"/>
    </row>
    <row r="475" spans="1:9" ht="23.25" thickBot="1">
      <c r="A475" s="425"/>
      <c r="B475" s="444" t="s">
        <v>784</v>
      </c>
      <c r="C475" s="445" t="s">
        <v>790</v>
      </c>
      <c r="D475" s="446"/>
      <c r="E475" s="447" t="s">
        <v>786</v>
      </c>
      <c r="F475" s="448" t="str">
        <f>IF(C475="Y", I475, "N/A")</f>
        <v>N/A</v>
      </c>
      <c r="G475" s="425"/>
      <c r="I475" s="449">
        <f>(SUM(C473:F473)/2)</f>
        <v>0</v>
      </c>
    </row>
    <row r="476" spans="1:9" ht="19.5" thickBot="1">
      <c r="A476" s="425"/>
      <c r="B476" s="425"/>
      <c r="C476" s="443"/>
      <c r="D476" s="443"/>
      <c r="E476" s="443"/>
      <c r="F476" s="426"/>
      <c r="G476" s="425"/>
    </row>
    <row r="477" spans="1:9">
      <c r="A477" s="425"/>
      <c r="B477" s="1328" t="s">
        <v>787</v>
      </c>
      <c r="C477" s="1329"/>
      <c r="D477" s="1329"/>
      <c r="E477" s="1329"/>
      <c r="F477" s="1330"/>
      <c r="G477" s="425"/>
    </row>
    <row r="478" spans="1:9">
      <c r="A478" s="425"/>
      <c r="B478" s="1331"/>
      <c r="C478" s="1332"/>
      <c r="D478" s="1332"/>
      <c r="E478" s="1332"/>
      <c r="F478" s="1333"/>
      <c r="G478" s="425"/>
    </row>
    <row r="479" spans="1:9" ht="15.75" thickBot="1">
      <c r="A479" s="425"/>
      <c r="B479" s="1334"/>
      <c r="C479" s="1335"/>
      <c r="D479" s="1335"/>
      <c r="E479" s="1335"/>
      <c r="F479" s="1336"/>
      <c r="G479" s="425"/>
    </row>
    <row r="480" spans="1:9">
      <c r="A480" s="425"/>
      <c r="B480" s="425"/>
      <c r="C480" s="426"/>
      <c r="D480" s="425"/>
      <c r="E480" s="425"/>
      <c r="F480" s="426"/>
      <c r="G480" s="425"/>
    </row>
    <row r="481" spans="1:7" ht="15.75" thickBot="1">
      <c r="A481" s="425"/>
      <c r="B481" s="425"/>
      <c r="C481" s="426"/>
      <c r="D481" s="425"/>
      <c r="E481" s="425"/>
      <c r="F481" s="426"/>
      <c r="G481" s="425"/>
    </row>
    <row r="482" spans="1:7">
      <c r="A482" s="425"/>
      <c r="B482" s="1337" t="s">
        <v>762</v>
      </c>
      <c r="C482" s="1338"/>
      <c r="D482" s="1338"/>
      <c r="E482" s="1338"/>
      <c r="F482" s="1339"/>
      <c r="G482" s="425"/>
    </row>
    <row r="483" spans="1:7">
      <c r="A483" s="425"/>
      <c r="B483" s="1340"/>
      <c r="C483" s="1341"/>
      <c r="D483" s="1341"/>
      <c r="E483" s="1341"/>
      <c r="F483" s="1342"/>
      <c r="G483" s="425"/>
    </row>
    <row r="484" spans="1:7">
      <c r="A484" s="425"/>
      <c r="B484" s="1340"/>
      <c r="C484" s="1341"/>
      <c r="D484" s="1341"/>
      <c r="E484" s="1341"/>
      <c r="F484" s="1342"/>
      <c r="G484" s="425"/>
    </row>
    <row r="485" spans="1:7" ht="15.75" thickBot="1">
      <c r="A485" s="425"/>
      <c r="B485" s="427"/>
      <c r="C485" s="428"/>
      <c r="D485" s="428"/>
      <c r="E485" s="428"/>
      <c r="F485" s="429" t="str">
        <f>'[3]Reference Sheet'!$B$2</f>
        <v>Rev. 4.12.2016</v>
      </c>
      <c r="G485" s="425"/>
    </row>
    <row r="486" spans="1:7" ht="15.75" thickBot="1">
      <c r="A486" s="425"/>
      <c r="B486" s="425"/>
      <c r="C486" s="426"/>
      <c r="D486" s="425"/>
      <c r="E486" s="425"/>
      <c r="F486" s="426"/>
      <c r="G486" s="425"/>
    </row>
    <row r="487" spans="1:7">
      <c r="A487" s="430"/>
      <c r="B487" s="1343" t="s">
        <v>764</v>
      </c>
      <c r="C487" s="1344"/>
      <c r="D487" s="425"/>
      <c r="E487" s="1347" t="s">
        <v>765</v>
      </c>
      <c r="F487" s="1344"/>
      <c r="G487" s="425"/>
    </row>
    <row r="488" spans="1:7" ht="15.75" thickBot="1">
      <c r="A488" s="430"/>
      <c r="B488" s="1345"/>
      <c r="C488" s="1346"/>
      <c r="D488" s="425"/>
      <c r="E488" s="1345"/>
      <c r="F488" s="1346"/>
      <c r="G488" s="425"/>
    </row>
    <row r="489" spans="1:7" ht="15.75" thickBot="1">
      <c r="A489" s="425"/>
      <c r="B489" s="425"/>
      <c r="C489" s="426"/>
      <c r="D489" s="425"/>
      <c r="E489" s="425"/>
      <c r="F489" s="426"/>
      <c r="G489" s="425"/>
    </row>
    <row r="490" spans="1:7">
      <c r="A490" s="425"/>
      <c r="B490" s="1348" t="s">
        <v>767</v>
      </c>
      <c r="C490" s="1349"/>
      <c r="D490" s="425"/>
      <c r="E490" s="1348" t="s">
        <v>767</v>
      </c>
      <c r="F490" s="1349"/>
      <c r="G490" s="425"/>
    </row>
    <row r="491" spans="1:7">
      <c r="A491" s="425"/>
      <c r="B491" s="431" t="s">
        <v>768</v>
      </c>
      <c r="C491" s="432">
        <v>365</v>
      </c>
      <c r="D491" s="425"/>
      <c r="E491" s="431" t="s">
        <v>768</v>
      </c>
      <c r="F491" s="432">
        <v>365</v>
      </c>
      <c r="G491" s="425"/>
    </row>
    <row r="492" spans="1:7">
      <c r="A492" s="425"/>
      <c r="B492" s="433" t="s">
        <v>769</v>
      </c>
      <c r="C492" s="434"/>
      <c r="D492" s="425"/>
      <c r="E492" s="433" t="s">
        <v>769</v>
      </c>
      <c r="F492" s="434"/>
      <c r="G492" s="425"/>
    </row>
    <row r="493" spans="1:7">
      <c r="A493" s="425"/>
      <c r="B493" s="435" t="s">
        <v>770</v>
      </c>
      <c r="C493" s="434"/>
      <c r="D493" s="425"/>
      <c r="E493" s="435" t="s">
        <v>770</v>
      </c>
      <c r="F493" s="434"/>
      <c r="G493" s="425"/>
    </row>
    <row r="494" spans="1:7">
      <c r="A494" s="425"/>
      <c r="B494" s="435" t="s">
        <v>771</v>
      </c>
      <c r="C494" s="434"/>
      <c r="D494" s="425"/>
      <c r="E494" s="435" t="s">
        <v>771</v>
      </c>
      <c r="F494" s="434"/>
      <c r="G494" s="425"/>
    </row>
    <row r="495" spans="1:7">
      <c r="A495" s="425"/>
      <c r="B495" s="435" t="s">
        <v>772</v>
      </c>
      <c r="C495" s="434"/>
      <c r="D495" s="425"/>
      <c r="E495" s="435" t="s">
        <v>772</v>
      </c>
      <c r="F495" s="434"/>
      <c r="G495" s="425"/>
    </row>
    <row r="496" spans="1:7">
      <c r="A496" s="425"/>
      <c r="B496" s="436" t="s">
        <v>773</v>
      </c>
      <c r="C496" s="434"/>
      <c r="D496" s="425"/>
      <c r="E496" s="436" t="s">
        <v>773</v>
      </c>
      <c r="F496" s="434"/>
      <c r="G496" s="425"/>
    </row>
    <row r="497" spans="1:9">
      <c r="A497" s="425"/>
      <c r="B497" s="436" t="s">
        <v>774</v>
      </c>
      <c r="C497" s="434"/>
      <c r="D497" s="425"/>
      <c r="E497" s="436" t="s">
        <v>774</v>
      </c>
      <c r="F497" s="434"/>
      <c r="G497" s="425"/>
    </row>
    <row r="498" spans="1:9" ht="33.75">
      <c r="A498" s="425"/>
      <c r="B498" s="435" t="s">
        <v>775</v>
      </c>
      <c r="C498" s="434"/>
      <c r="D498" s="425"/>
      <c r="E498" s="435" t="s">
        <v>775</v>
      </c>
      <c r="F498" s="434"/>
      <c r="G498" s="425"/>
    </row>
    <row r="499" spans="1:9">
      <c r="A499" s="425"/>
      <c r="B499" s="435" t="s">
        <v>776</v>
      </c>
      <c r="C499" s="437">
        <f>SUM(C492-C493+C494+C496+C497+C495,C498)</f>
        <v>0</v>
      </c>
      <c r="D499" s="425"/>
      <c r="E499" s="435" t="s">
        <v>776</v>
      </c>
      <c r="F499" s="437">
        <f>SUM(F492-F493+F494+F496+F497+F495,F498)</f>
        <v>0</v>
      </c>
      <c r="G499" s="425"/>
    </row>
    <row r="500" spans="1:9">
      <c r="A500" s="425"/>
      <c r="B500" s="435" t="s">
        <v>777</v>
      </c>
      <c r="C500" s="437">
        <f>C499/(C491/30.4165)</f>
        <v>0</v>
      </c>
      <c r="D500" s="425"/>
      <c r="E500" s="435" t="s">
        <v>777</v>
      </c>
      <c r="F500" s="437">
        <f>F499/(F491/30.4165)</f>
        <v>0</v>
      </c>
      <c r="G500" s="425"/>
    </row>
    <row r="501" spans="1:9" ht="45">
      <c r="A501" s="425"/>
      <c r="B501" s="438" t="s">
        <v>778</v>
      </c>
      <c r="C501" s="434"/>
      <c r="D501" s="425"/>
      <c r="E501" s="438" t="s">
        <v>779</v>
      </c>
      <c r="F501" s="434"/>
      <c r="G501" s="425"/>
    </row>
    <row r="502" spans="1:9" ht="45">
      <c r="A502" s="425"/>
      <c r="B502" s="439" t="s">
        <v>780</v>
      </c>
      <c r="C502" s="440"/>
      <c r="D502" s="425"/>
      <c r="E502" s="439" t="s">
        <v>781</v>
      </c>
      <c r="F502" s="440"/>
      <c r="G502" s="425"/>
    </row>
    <row r="503" spans="1:9" ht="24" thickBot="1">
      <c r="A503" s="425"/>
      <c r="B503" s="441" t="s">
        <v>788</v>
      </c>
      <c r="C503" s="442">
        <f>C500-(C501+C502)</f>
        <v>0</v>
      </c>
      <c r="D503" s="425"/>
      <c r="E503" s="441" t="s">
        <v>789</v>
      </c>
      <c r="F503" s="442">
        <f>F500-(F501+F502)</f>
        <v>0</v>
      </c>
      <c r="G503" s="425"/>
    </row>
    <row r="504" spans="1:9" ht="19.5" thickBot="1">
      <c r="A504" s="425"/>
      <c r="B504" s="425"/>
      <c r="C504" s="1327"/>
      <c r="D504" s="1327"/>
      <c r="E504" s="1327"/>
      <c r="F504" s="426"/>
      <c r="G504" s="425"/>
    </row>
    <row r="505" spans="1:9" ht="23.25" thickBot="1">
      <c r="A505" s="425"/>
      <c r="B505" s="444" t="s">
        <v>784</v>
      </c>
      <c r="C505" s="445" t="s">
        <v>790</v>
      </c>
      <c r="D505" s="446"/>
      <c r="E505" s="447" t="s">
        <v>786</v>
      </c>
      <c r="F505" s="448" t="str">
        <f>IF(C505="Y", I505, "N/A")</f>
        <v>N/A</v>
      </c>
      <c r="G505" s="425"/>
      <c r="I505" s="449">
        <f>(SUM(C503:F503)/2)</f>
        <v>0</v>
      </c>
    </row>
    <row r="506" spans="1:9" ht="19.5" thickBot="1">
      <c r="A506" s="425"/>
      <c r="B506" s="425"/>
      <c r="C506" s="443"/>
      <c r="D506" s="443"/>
      <c r="E506" s="443"/>
      <c r="F506" s="426"/>
      <c r="G506" s="425"/>
    </row>
    <row r="507" spans="1:9">
      <c r="A507" s="425"/>
      <c r="B507" s="1328" t="s">
        <v>787</v>
      </c>
      <c r="C507" s="1329"/>
      <c r="D507" s="1329"/>
      <c r="E507" s="1329"/>
      <c r="F507" s="1330"/>
      <c r="G507" s="425"/>
    </row>
    <row r="508" spans="1:9">
      <c r="A508" s="425"/>
      <c r="B508" s="1331"/>
      <c r="C508" s="1332"/>
      <c r="D508" s="1332"/>
      <c r="E508" s="1332"/>
      <c r="F508" s="1333"/>
      <c r="G508" s="425"/>
    </row>
    <row r="509" spans="1:9" ht="15.75" thickBot="1">
      <c r="A509" s="425"/>
      <c r="B509" s="1334"/>
      <c r="C509" s="1335"/>
      <c r="D509" s="1335"/>
      <c r="E509" s="1335"/>
      <c r="F509" s="1336"/>
      <c r="G509" s="425"/>
    </row>
    <row r="510" spans="1:9">
      <c r="A510" s="425"/>
      <c r="B510" s="425"/>
      <c r="C510" s="426"/>
      <c r="D510" s="425"/>
      <c r="E510" s="425"/>
      <c r="F510" s="426"/>
      <c r="G510" s="425"/>
    </row>
    <row r="511" spans="1:9" ht="15.75" thickBot="1">
      <c r="A511" s="425"/>
      <c r="B511" s="425"/>
      <c r="C511" s="426"/>
      <c r="D511" s="425"/>
      <c r="E511" s="425"/>
      <c r="F511" s="426"/>
      <c r="G511" s="425"/>
    </row>
    <row r="512" spans="1:9">
      <c r="A512" s="425"/>
      <c r="B512" s="1337" t="s">
        <v>762</v>
      </c>
      <c r="C512" s="1338"/>
      <c r="D512" s="1338"/>
      <c r="E512" s="1338"/>
      <c r="F512" s="1339"/>
      <c r="G512" s="425"/>
    </row>
    <row r="513" spans="1:7">
      <c r="A513" s="425"/>
      <c r="B513" s="1340"/>
      <c r="C513" s="1341"/>
      <c r="D513" s="1341"/>
      <c r="E513" s="1341"/>
      <c r="F513" s="1342"/>
      <c r="G513" s="425"/>
    </row>
    <row r="514" spans="1:7">
      <c r="A514" s="425"/>
      <c r="B514" s="1340"/>
      <c r="C514" s="1341"/>
      <c r="D514" s="1341"/>
      <c r="E514" s="1341"/>
      <c r="F514" s="1342"/>
      <c r="G514" s="425"/>
    </row>
    <row r="515" spans="1:7" ht="15.75" thickBot="1">
      <c r="A515" s="425"/>
      <c r="B515" s="427"/>
      <c r="C515" s="428"/>
      <c r="D515" s="428"/>
      <c r="E515" s="428"/>
      <c r="F515" s="429" t="str">
        <f>'[3]Reference Sheet'!$B$2</f>
        <v>Rev. 4.12.2016</v>
      </c>
      <c r="G515" s="425"/>
    </row>
    <row r="516" spans="1:7" ht="15.75" thickBot="1">
      <c r="A516" s="425"/>
      <c r="B516" s="425"/>
      <c r="C516" s="426"/>
      <c r="D516" s="425"/>
      <c r="E516" s="425"/>
      <c r="F516" s="426"/>
      <c r="G516" s="425"/>
    </row>
    <row r="517" spans="1:7">
      <c r="A517" s="430"/>
      <c r="B517" s="1343" t="s">
        <v>764</v>
      </c>
      <c r="C517" s="1344"/>
      <c r="D517" s="425"/>
      <c r="E517" s="1347" t="s">
        <v>765</v>
      </c>
      <c r="F517" s="1344"/>
      <c r="G517" s="425"/>
    </row>
    <row r="518" spans="1:7" ht="15.75" thickBot="1">
      <c r="A518" s="430"/>
      <c r="B518" s="1345"/>
      <c r="C518" s="1346"/>
      <c r="D518" s="425"/>
      <c r="E518" s="1345"/>
      <c r="F518" s="1346"/>
      <c r="G518" s="425"/>
    </row>
    <row r="519" spans="1:7" ht="15.75" thickBot="1">
      <c r="A519" s="425"/>
      <c r="B519" s="425"/>
      <c r="C519" s="426"/>
      <c r="D519" s="425"/>
      <c r="E519" s="425"/>
      <c r="F519" s="426"/>
      <c r="G519" s="425"/>
    </row>
    <row r="520" spans="1:7">
      <c r="A520" s="425"/>
      <c r="B520" s="1348" t="s">
        <v>767</v>
      </c>
      <c r="C520" s="1349"/>
      <c r="D520" s="425"/>
      <c r="E520" s="1348" t="s">
        <v>767</v>
      </c>
      <c r="F520" s="1349"/>
      <c r="G520" s="425"/>
    </row>
    <row r="521" spans="1:7">
      <c r="A521" s="425"/>
      <c r="B521" s="431" t="s">
        <v>768</v>
      </c>
      <c r="C521" s="432">
        <v>365</v>
      </c>
      <c r="D521" s="425"/>
      <c r="E521" s="431" t="s">
        <v>768</v>
      </c>
      <c r="F521" s="432">
        <v>365</v>
      </c>
      <c r="G521" s="425"/>
    </row>
    <row r="522" spans="1:7">
      <c r="A522" s="425"/>
      <c r="B522" s="433" t="s">
        <v>769</v>
      </c>
      <c r="C522" s="434"/>
      <c r="D522" s="425"/>
      <c r="E522" s="433" t="s">
        <v>769</v>
      </c>
      <c r="F522" s="434"/>
      <c r="G522" s="425"/>
    </row>
    <row r="523" spans="1:7">
      <c r="A523" s="425"/>
      <c r="B523" s="435" t="s">
        <v>770</v>
      </c>
      <c r="C523" s="434"/>
      <c r="D523" s="425"/>
      <c r="E523" s="435" t="s">
        <v>770</v>
      </c>
      <c r="F523" s="434"/>
      <c r="G523" s="425"/>
    </row>
    <row r="524" spans="1:7">
      <c r="A524" s="425"/>
      <c r="B524" s="435" t="s">
        <v>771</v>
      </c>
      <c r="C524" s="434"/>
      <c r="D524" s="425"/>
      <c r="E524" s="435" t="s">
        <v>771</v>
      </c>
      <c r="F524" s="434"/>
      <c r="G524" s="425"/>
    </row>
    <row r="525" spans="1:7">
      <c r="A525" s="425"/>
      <c r="B525" s="435" t="s">
        <v>772</v>
      </c>
      <c r="C525" s="434"/>
      <c r="D525" s="425"/>
      <c r="E525" s="435" t="s">
        <v>772</v>
      </c>
      <c r="F525" s="434"/>
      <c r="G525" s="425"/>
    </row>
    <row r="526" spans="1:7">
      <c r="A526" s="425"/>
      <c r="B526" s="436" t="s">
        <v>773</v>
      </c>
      <c r="C526" s="434"/>
      <c r="D526" s="425"/>
      <c r="E526" s="436" t="s">
        <v>773</v>
      </c>
      <c r="F526" s="434"/>
      <c r="G526" s="425"/>
    </row>
    <row r="527" spans="1:7">
      <c r="A527" s="425"/>
      <c r="B527" s="436" t="s">
        <v>774</v>
      </c>
      <c r="C527" s="434"/>
      <c r="D527" s="425"/>
      <c r="E527" s="436" t="s">
        <v>774</v>
      </c>
      <c r="F527" s="434"/>
      <c r="G527" s="425"/>
    </row>
    <row r="528" spans="1:7" ht="33.75">
      <c r="A528" s="425"/>
      <c r="B528" s="435" t="s">
        <v>775</v>
      </c>
      <c r="C528" s="434"/>
      <c r="D528" s="425"/>
      <c r="E528" s="435" t="s">
        <v>775</v>
      </c>
      <c r="F528" s="434"/>
      <c r="G528" s="425"/>
    </row>
    <row r="529" spans="1:9">
      <c r="A529" s="425"/>
      <c r="B529" s="435" t="s">
        <v>776</v>
      </c>
      <c r="C529" s="437">
        <f>SUM(C522-C523+C524+C526+C527+C525,C528)</f>
        <v>0</v>
      </c>
      <c r="D529" s="425"/>
      <c r="E529" s="435" t="s">
        <v>776</v>
      </c>
      <c r="F529" s="437">
        <f>SUM(F522-F523+F524+F526+F527+F525,F528)</f>
        <v>0</v>
      </c>
      <c r="G529" s="425"/>
    </row>
    <row r="530" spans="1:9">
      <c r="A530" s="425"/>
      <c r="B530" s="435" t="s">
        <v>777</v>
      </c>
      <c r="C530" s="437">
        <f>C529/(C521/30.4165)</f>
        <v>0</v>
      </c>
      <c r="D530" s="425"/>
      <c r="E530" s="435" t="s">
        <v>777</v>
      </c>
      <c r="F530" s="437">
        <f>F529/(F521/30.4165)</f>
        <v>0</v>
      </c>
      <c r="G530" s="425"/>
    </row>
    <row r="531" spans="1:9" ht="45">
      <c r="A531" s="425"/>
      <c r="B531" s="438" t="s">
        <v>778</v>
      </c>
      <c r="C531" s="434"/>
      <c r="D531" s="425"/>
      <c r="E531" s="438" t="s">
        <v>779</v>
      </c>
      <c r="F531" s="434"/>
      <c r="G531" s="425"/>
    </row>
    <row r="532" spans="1:9" ht="45">
      <c r="A532" s="425"/>
      <c r="B532" s="439" t="s">
        <v>780</v>
      </c>
      <c r="C532" s="440"/>
      <c r="D532" s="425"/>
      <c r="E532" s="439" t="s">
        <v>781</v>
      </c>
      <c r="F532" s="440"/>
      <c r="G532" s="425"/>
    </row>
    <row r="533" spans="1:9" ht="24" thickBot="1">
      <c r="A533" s="425"/>
      <c r="B533" s="441" t="s">
        <v>788</v>
      </c>
      <c r="C533" s="442">
        <f>C530-(C531+C532)</f>
        <v>0</v>
      </c>
      <c r="D533" s="425"/>
      <c r="E533" s="441" t="s">
        <v>789</v>
      </c>
      <c r="F533" s="442">
        <f>F530-(F531+F532)</f>
        <v>0</v>
      </c>
      <c r="G533" s="425"/>
    </row>
    <row r="534" spans="1:9" ht="19.5" thickBot="1">
      <c r="A534" s="425"/>
      <c r="B534" s="425"/>
      <c r="C534" s="1327"/>
      <c r="D534" s="1327"/>
      <c r="E534" s="1327"/>
      <c r="F534" s="426"/>
      <c r="G534" s="425"/>
    </row>
    <row r="535" spans="1:9" ht="23.25" thickBot="1">
      <c r="A535" s="425"/>
      <c r="B535" s="444" t="s">
        <v>784</v>
      </c>
      <c r="C535" s="445" t="s">
        <v>790</v>
      </c>
      <c r="D535" s="446"/>
      <c r="E535" s="447" t="s">
        <v>786</v>
      </c>
      <c r="F535" s="448" t="str">
        <f>IF(C535="Y", I535, "N/A")</f>
        <v>N/A</v>
      </c>
      <c r="G535" s="425"/>
      <c r="I535" s="449">
        <f>(SUM(C533:F533)/2)</f>
        <v>0</v>
      </c>
    </row>
    <row r="536" spans="1:9" ht="19.5" thickBot="1">
      <c r="A536" s="425"/>
      <c r="B536" s="425"/>
      <c r="C536" s="443"/>
      <c r="D536" s="443"/>
      <c r="E536" s="443"/>
      <c r="F536" s="426"/>
      <c r="G536" s="425"/>
    </row>
    <row r="537" spans="1:9">
      <c r="A537" s="425"/>
      <c r="B537" s="1328" t="s">
        <v>787</v>
      </c>
      <c r="C537" s="1329"/>
      <c r="D537" s="1329"/>
      <c r="E537" s="1329"/>
      <c r="F537" s="1330"/>
      <c r="G537" s="425"/>
    </row>
    <row r="538" spans="1:9">
      <c r="A538" s="425"/>
      <c r="B538" s="1331"/>
      <c r="C538" s="1332"/>
      <c r="D538" s="1332"/>
      <c r="E538" s="1332"/>
      <c r="F538" s="1333"/>
      <c r="G538" s="425"/>
    </row>
    <row r="539" spans="1:9" ht="15.75" thickBot="1">
      <c r="A539" s="425"/>
      <c r="B539" s="1334"/>
      <c r="C539" s="1335"/>
      <c r="D539" s="1335"/>
      <c r="E539" s="1335"/>
      <c r="F539" s="1336"/>
      <c r="G539" s="425"/>
    </row>
    <row r="540" spans="1:9">
      <c r="A540" s="425"/>
      <c r="B540" s="425"/>
      <c r="C540" s="426"/>
      <c r="D540" s="425"/>
      <c r="E540" s="425"/>
      <c r="F540" s="426"/>
      <c r="G540" s="425"/>
    </row>
    <row r="541" spans="1:9" ht="15.75" thickBot="1">
      <c r="A541" s="425"/>
      <c r="B541" s="425"/>
      <c r="C541" s="426"/>
      <c r="D541" s="425"/>
      <c r="E541" s="425"/>
      <c r="F541" s="426"/>
      <c r="G541" s="425"/>
    </row>
    <row r="542" spans="1:9">
      <c r="A542" s="425"/>
      <c r="B542" s="1337" t="s">
        <v>762</v>
      </c>
      <c r="C542" s="1338"/>
      <c r="D542" s="1338"/>
      <c r="E542" s="1338"/>
      <c r="F542" s="1339"/>
      <c r="G542" s="425"/>
    </row>
    <row r="543" spans="1:9">
      <c r="A543" s="425"/>
      <c r="B543" s="1340"/>
      <c r="C543" s="1341"/>
      <c r="D543" s="1341"/>
      <c r="E543" s="1341"/>
      <c r="F543" s="1342"/>
      <c r="G543" s="425"/>
    </row>
    <row r="544" spans="1:9">
      <c r="A544" s="425"/>
      <c r="B544" s="1340"/>
      <c r="C544" s="1341"/>
      <c r="D544" s="1341"/>
      <c r="E544" s="1341"/>
      <c r="F544" s="1342"/>
      <c r="G544" s="425"/>
    </row>
    <row r="545" spans="1:7" ht="15.75" thickBot="1">
      <c r="A545" s="425"/>
      <c r="B545" s="427"/>
      <c r="C545" s="428"/>
      <c r="D545" s="428"/>
      <c r="E545" s="428"/>
      <c r="F545" s="429" t="str">
        <f>'[3]Reference Sheet'!$B$2</f>
        <v>Rev. 4.12.2016</v>
      </c>
      <c r="G545" s="425"/>
    </row>
    <row r="546" spans="1:7" ht="15.75" thickBot="1">
      <c r="A546" s="425"/>
      <c r="B546" s="425"/>
      <c r="C546" s="426"/>
      <c r="D546" s="425"/>
      <c r="E546" s="425"/>
      <c r="F546" s="426"/>
      <c r="G546" s="425"/>
    </row>
    <row r="547" spans="1:7">
      <c r="A547" s="430"/>
      <c r="B547" s="1343" t="s">
        <v>764</v>
      </c>
      <c r="C547" s="1344"/>
      <c r="D547" s="425"/>
      <c r="E547" s="1347" t="s">
        <v>765</v>
      </c>
      <c r="F547" s="1344"/>
      <c r="G547" s="425"/>
    </row>
    <row r="548" spans="1:7" ht="15.75" thickBot="1">
      <c r="A548" s="430"/>
      <c r="B548" s="1345"/>
      <c r="C548" s="1346"/>
      <c r="D548" s="425"/>
      <c r="E548" s="1345"/>
      <c r="F548" s="1346"/>
      <c r="G548" s="425"/>
    </row>
    <row r="549" spans="1:7" ht="15.75" thickBot="1">
      <c r="A549" s="425"/>
      <c r="B549" s="425"/>
      <c r="C549" s="426"/>
      <c r="D549" s="425"/>
      <c r="E549" s="425"/>
      <c r="F549" s="426"/>
      <c r="G549" s="425"/>
    </row>
    <row r="550" spans="1:7">
      <c r="A550" s="425"/>
      <c r="B550" s="1348" t="s">
        <v>767</v>
      </c>
      <c r="C550" s="1349"/>
      <c r="D550" s="425"/>
      <c r="E550" s="1348" t="s">
        <v>767</v>
      </c>
      <c r="F550" s="1349"/>
      <c r="G550" s="425"/>
    </row>
    <row r="551" spans="1:7">
      <c r="A551" s="425"/>
      <c r="B551" s="431" t="s">
        <v>768</v>
      </c>
      <c r="C551" s="432">
        <v>365</v>
      </c>
      <c r="D551" s="425"/>
      <c r="E551" s="431" t="s">
        <v>768</v>
      </c>
      <c r="F551" s="432">
        <v>365</v>
      </c>
      <c r="G551" s="425"/>
    </row>
    <row r="552" spans="1:7">
      <c r="A552" s="425"/>
      <c r="B552" s="433" t="s">
        <v>769</v>
      </c>
      <c r="C552" s="434"/>
      <c r="D552" s="425"/>
      <c r="E552" s="433" t="s">
        <v>769</v>
      </c>
      <c r="F552" s="434"/>
      <c r="G552" s="425"/>
    </row>
    <row r="553" spans="1:7">
      <c r="A553" s="425"/>
      <c r="B553" s="435" t="s">
        <v>770</v>
      </c>
      <c r="C553" s="434"/>
      <c r="D553" s="425"/>
      <c r="E553" s="435" t="s">
        <v>770</v>
      </c>
      <c r="F553" s="434"/>
      <c r="G553" s="425"/>
    </row>
    <row r="554" spans="1:7">
      <c r="A554" s="425"/>
      <c r="B554" s="435" t="s">
        <v>771</v>
      </c>
      <c r="C554" s="434"/>
      <c r="D554" s="425"/>
      <c r="E554" s="435" t="s">
        <v>771</v>
      </c>
      <c r="F554" s="434"/>
      <c r="G554" s="425"/>
    </row>
    <row r="555" spans="1:7">
      <c r="A555" s="425"/>
      <c r="B555" s="435" t="s">
        <v>772</v>
      </c>
      <c r="C555" s="434"/>
      <c r="D555" s="425"/>
      <c r="E555" s="435" t="s">
        <v>772</v>
      </c>
      <c r="F555" s="434"/>
      <c r="G555" s="425"/>
    </row>
    <row r="556" spans="1:7">
      <c r="A556" s="425"/>
      <c r="B556" s="436" t="s">
        <v>773</v>
      </c>
      <c r="C556" s="434"/>
      <c r="D556" s="425"/>
      <c r="E556" s="436" t="s">
        <v>773</v>
      </c>
      <c r="F556" s="434"/>
      <c r="G556" s="425"/>
    </row>
    <row r="557" spans="1:7">
      <c r="A557" s="425"/>
      <c r="B557" s="436" t="s">
        <v>774</v>
      </c>
      <c r="C557" s="434"/>
      <c r="D557" s="425"/>
      <c r="E557" s="436" t="s">
        <v>774</v>
      </c>
      <c r="F557" s="434"/>
      <c r="G557" s="425"/>
    </row>
    <row r="558" spans="1:7" ht="33.75">
      <c r="A558" s="425"/>
      <c r="B558" s="435" t="s">
        <v>775</v>
      </c>
      <c r="C558" s="434"/>
      <c r="D558" s="425"/>
      <c r="E558" s="435" t="s">
        <v>775</v>
      </c>
      <c r="F558" s="434"/>
      <c r="G558" s="425"/>
    </row>
    <row r="559" spans="1:7">
      <c r="A559" s="425"/>
      <c r="B559" s="435" t="s">
        <v>776</v>
      </c>
      <c r="C559" s="437">
        <f>SUM(C552-C553+C554+C556+C557+C555,C558)</f>
        <v>0</v>
      </c>
      <c r="D559" s="425"/>
      <c r="E559" s="435" t="s">
        <v>776</v>
      </c>
      <c r="F559" s="437">
        <f>SUM(F552-F553+F554+F556+F557+F555,F558)</f>
        <v>0</v>
      </c>
      <c r="G559" s="425"/>
    </row>
    <row r="560" spans="1:7">
      <c r="A560" s="425"/>
      <c r="B560" s="435" t="s">
        <v>777</v>
      </c>
      <c r="C560" s="437">
        <f>C559/(C551/30.4165)</f>
        <v>0</v>
      </c>
      <c r="D560" s="425"/>
      <c r="E560" s="435" t="s">
        <v>777</v>
      </c>
      <c r="F560" s="437">
        <f>F559/(F551/30.4165)</f>
        <v>0</v>
      </c>
      <c r="G560" s="425"/>
    </row>
    <row r="561" spans="1:9" ht="45">
      <c r="A561" s="425"/>
      <c r="B561" s="438" t="s">
        <v>778</v>
      </c>
      <c r="C561" s="434"/>
      <c r="D561" s="425"/>
      <c r="E561" s="438" t="s">
        <v>779</v>
      </c>
      <c r="F561" s="434"/>
      <c r="G561" s="425"/>
    </row>
    <row r="562" spans="1:9" ht="45">
      <c r="A562" s="425"/>
      <c r="B562" s="439" t="s">
        <v>780</v>
      </c>
      <c r="C562" s="440"/>
      <c r="D562" s="425"/>
      <c r="E562" s="439" t="s">
        <v>781</v>
      </c>
      <c r="F562" s="440"/>
      <c r="G562" s="425"/>
    </row>
    <row r="563" spans="1:9" ht="24" thickBot="1">
      <c r="A563" s="425"/>
      <c r="B563" s="441" t="s">
        <v>788</v>
      </c>
      <c r="C563" s="442">
        <f>C560-(C561+C562)</f>
        <v>0</v>
      </c>
      <c r="D563" s="425"/>
      <c r="E563" s="441" t="s">
        <v>789</v>
      </c>
      <c r="F563" s="442">
        <f>F560-(F561+F562)</f>
        <v>0</v>
      </c>
      <c r="G563" s="425"/>
    </row>
    <row r="564" spans="1:9" ht="19.5" thickBot="1">
      <c r="A564" s="425"/>
      <c r="B564" s="425"/>
      <c r="C564" s="1327"/>
      <c r="D564" s="1327"/>
      <c r="E564" s="1327"/>
      <c r="F564" s="426"/>
      <c r="G564" s="425"/>
    </row>
    <row r="565" spans="1:9" ht="23.25" thickBot="1">
      <c r="A565" s="425"/>
      <c r="B565" s="444" t="s">
        <v>784</v>
      </c>
      <c r="C565" s="445" t="s">
        <v>790</v>
      </c>
      <c r="D565" s="446"/>
      <c r="E565" s="447" t="s">
        <v>786</v>
      </c>
      <c r="F565" s="448" t="str">
        <f>IF(C565="Y", I565, "N/A")</f>
        <v>N/A</v>
      </c>
      <c r="G565" s="425"/>
      <c r="I565" s="449">
        <f>(SUM(C563:F563)/2)</f>
        <v>0</v>
      </c>
    </row>
    <row r="566" spans="1:9" ht="19.5" thickBot="1">
      <c r="A566" s="425"/>
      <c r="B566" s="425"/>
      <c r="C566" s="443"/>
      <c r="D566" s="443"/>
      <c r="E566" s="443"/>
      <c r="F566" s="426"/>
      <c r="G566" s="425"/>
    </row>
    <row r="567" spans="1:9">
      <c r="A567" s="425"/>
      <c r="B567" s="1328" t="s">
        <v>787</v>
      </c>
      <c r="C567" s="1329"/>
      <c r="D567" s="1329"/>
      <c r="E567" s="1329"/>
      <c r="F567" s="1330"/>
      <c r="G567" s="425"/>
    </row>
    <row r="568" spans="1:9">
      <c r="A568" s="425"/>
      <c r="B568" s="1331"/>
      <c r="C568" s="1332"/>
      <c r="D568" s="1332"/>
      <c r="E568" s="1332"/>
      <c r="F568" s="1333"/>
      <c r="G568" s="425"/>
    </row>
    <row r="569" spans="1:9" ht="15.75" thickBot="1">
      <c r="A569" s="425"/>
      <c r="B569" s="1334"/>
      <c r="C569" s="1335"/>
      <c r="D569" s="1335"/>
      <c r="E569" s="1335"/>
      <c r="F569" s="1336"/>
      <c r="G569" s="425"/>
    </row>
    <row r="570" spans="1:9">
      <c r="A570" s="425"/>
      <c r="B570" s="425"/>
      <c r="C570" s="426"/>
      <c r="D570" s="425"/>
      <c r="E570" s="425"/>
      <c r="F570" s="426"/>
      <c r="G570" s="425"/>
    </row>
    <row r="571" spans="1:9" ht="15.75" thickBot="1">
      <c r="A571" s="425"/>
      <c r="B571" s="425"/>
      <c r="C571" s="426"/>
      <c r="D571" s="425"/>
      <c r="E571" s="425"/>
      <c r="F571" s="426"/>
      <c r="G571" s="425"/>
    </row>
    <row r="572" spans="1:9">
      <c r="A572" s="425"/>
      <c r="B572" s="1337" t="s">
        <v>762</v>
      </c>
      <c r="C572" s="1338"/>
      <c r="D572" s="1338"/>
      <c r="E572" s="1338"/>
      <c r="F572" s="1339"/>
      <c r="G572" s="425"/>
    </row>
    <row r="573" spans="1:9">
      <c r="A573" s="425"/>
      <c r="B573" s="1340"/>
      <c r="C573" s="1341"/>
      <c r="D573" s="1341"/>
      <c r="E573" s="1341"/>
      <c r="F573" s="1342"/>
      <c r="G573" s="425"/>
    </row>
    <row r="574" spans="1:9">
      <c r="A574" s="425"/>
      <c r="B574" s="1340"/>
      <c r="C574" s="1341"/>
      <c r="D574" s="1341"/>
      <c r="E574" s="1341"/>
      <c r="F574" s="1342"/>
      <c r="G574" s="425"/>
    </row>
    <row r="575" spans="1:9" ht="15.75" thickBot="1">
      <c r="A575" s="425"/>
      <c r="B575" s="427"/>
      <c r="C575" s="428"/>
      <c r="D575" s="428"/>
      <c r="E575" s="428"/>
      <c r="F575" s="429" t="str">
        <f>'[3]Reference Sheet'!$B$2</f>
        <v>Rev. 4.12.2016</v>
      </c>
      <c r="G575" s="425"/>
    </row>
    <row r="576" spans="1:9" ht="15.75" thickBot="1">
      <c r="A576" s="425"/>
      <c r="B576" s="425"/>
      <c r="C576" s="426"/>
      <c r="D576" s="425"/>
      <c r="E576" s="425"/>
      <c r="F576" s="426"/>
      <c r="G576" s="425"/>
    </row>
    <row r="577" spans="1:7">
      <c r="A577" s="430"/>
      <c r="B577" s="1343" t="s">
        <v>764</v>
      </c>
      <c r="C577" s="1344"/>
      <c r="D577" s="425"/>
      <c r="E577" s="1347" t="s">
        <v>765</v>
      </c>
      <c r="F577" s="1344"/>
      <c r="G577" s="425"/>
    </row>
    <row r="578" spans="1:7" ht="15.75" thickBot="1">
      <c r="A578" s="430"/>
      <c r="B578" s="1345"/>
      <c r="C578" s="1346"/>
      <c r="D578" s="425"/>
      <c r="E578" s="1345"/>
      <c r="F578" s="1346"/>
      <c r="G578" s="425"/>
    </row>
    <row r="579" spans="1:7" ht="15.75" thickBot="1">
      <c r="A579" s="425"/>
      <c r="B579" s="425"/>
      <c r="C579" s="426"/>
      <c r="D579" s="425"/>
      <c r="E579" s="425"/>
      <c r="F579" s="426"/>
      <c r="G579" s="425"/>
    </row>
    <row r="580" spans="1:7">
      <c r="A580" s="425"/>
      <c r="B580" s="1348" t="s">
        <v>767</v>
      </c>
      <c r="C580" s="1349"/>
      <c r="D580" s="425"/>
      <c r="E580" s="1348" t="s">
        <v>767</v>
      </c>
      <c r="F580" s="1349"/>
      <c r="G580" s="425"/>
    </row>
    <row r="581" spans="1:7">
      <c r="A581" s="425"/>
      <c r="B581" s="431" t="s">
        <v>768</v>
      </c>
      <c r="C581" s="432">
        <v>365</v>
      </c>
      <c r="D581" s="425"/>
      <c r="E581" s="431" t="s">
        <v>768</v>
      </c>
      <c r="F581" s="432">
        <v>365</v>
      </c>
      <c r="G581" s="425"/>
    </row>
    <row r="582" spans="1:7">
      <c r="A582" s="425"/>
      <c r="B582" s="433" t="s">
        <v>769</v>
      </c>
      <c r="C582" s="434"/>
      <c r="D582" s="425"/>
      <c r="E582" s="433" t="s">
        <v>769</v>
      </c>
      <c r="F582" s="434"/>
      <c r="G582" s="425"/>
    </row>
    <row r="583" spans="1:7">
      <c r="A583" s="425"/>
      <c r="B583" s="435" t="s">
        <v>770</v>
      </c>
      <c r="C583" s="434"/>
      <c r="D583" s="425"/>
      <c r="E583" s="435" t="s">
        <v>770</v>
      </c>
      <c r="F583" s="434"/>
      <c r="G583" s="425"/>
    </row>
    <row r="584" spans="1:7">
      <c r="A584" s="425"/>
      <c r="B584" s="435" t="s">
        <v>771</v>
      </c>
      <c r="C584" s="434"/>
      <c r="D584" s="425"/>
      <c r="E584" s="435" t="s">
        <v>771</v>
      </c>
      <c r="F584" s="434"/>
      <c r="G584" s="425"/>
    </row>
    <row r="585" spans="1:7">
      <c r="A585" s="425"/>
      <c r="B585" s="435" t="s">
        <v>772</v>
      </c>
      <c r="C585" s="434"/>
      <c r="D585" s="425"/>
      <c r="E585" s="435" t="s">
        <v>772</v>
      </c>
      <c r="F585" s="434"/>
      <c r="G585" s="425"/>
    </row>
    <row r="586" spans="1:7">
      <c r="A586" s="425"/>
      <c r="B586" s="436" t="s">
        <v>773</v>
      </c>
      <c r="C586" s="434"/>
      <c r="D586" s="425"/>
      <c r="E586" s="436" t="s">
        <v>773</v>
      </c>
      <c r="F586" s="434"/>
      <c r="G586" s="425"/>
    </row>
    <row r="587" spans="1:7">
      <c r="A587" s="425"/>
      <c r="B587" s="436" t="s">
        <v>774</v>
      </c>
      <c r="C587" s="434"/>
      <c r="D587" s="425"/>
      <c r="E587" s="436" t="s">
        <v>774</v>
      </c>
      <c r="F587" s="434"/>
      <c r="G587" s="425"/>
    </row>
    <row r="588" spans="1:7" ht="33.75">
      <c r="A588" s="425"/>
      <c r="B588" s="435" t="s">
        <v>775</v>
      </c>
      <c r="C588" s="434"/>
      <c r="D588" s="425"/>
      <c r="E588" s="435" t="s">
        <v>775</v>
      </c>
      <c r="F588" s="434"/>
      <c r="G588" s="425"/>
    </row>
    <row r="589" spans="1:7">
      <c r="A589" s="425"/>
      <c r="B589" s="435" t="s">
        <v>776</v>
      </c>
      <c r="C589" s="437">
        <f>SUM(C582-C583+C584+C586+C587+C585,C588)</f>
        <v>0</v>
      </c>
      <c r="D589" s="425"/>
      <c r="E589" s="435" t="s">
        <v>776</v>
      </c>
      <c r="F589" s="437">
        <f>SUM(F582-F583+F584+F586+F587+F585,F588)</f>
        <v>0</v>
      </c>
      <c r="G589" s="425"/>
    </row>
    <row r="590" spans="1:7">
      <c r="A590" s="425"/>
      <c r="B590" s="435" t="s">
        <v>777</v>
      </c>
      <c r="C590" s="437">
        <f>C589/(C581/30.4165)</f>
        <v>0</v>
      </c>
      <c r="D590" s="425"/>
      <c r="E590" s="435" t="s">
        <v>777</v>
      </c>
      <c r="F590" s="437">
        <f>F589/(F581/30.4165)</f>
        <v>0</v>
      </c>
      <c r="G590" s="425"/>
    </row>
    <row r="591" spans="1:7" ht="45">
      <c r="A591" s="425"/>
      <c r="B591" s="438" t="s">
        <v>778</v>
      </c>
      <c r="C591" s="434"/>
      <c r="D591" s="425"/>
      <c r="E591" s="438" t="s">
        <v>779</v>
      </c>
      <c r="F591" s="434"/>
      <c r="G591" s="425"/>
    </row>
    <row r="592" spans="1:7" ht="45">
      <c r="A592" s="425"/>
      <c r="B592" s="439" t="s">
        <v>780</v>
      </c>
      <c r="C592" s="440"/>
      <c r="D592" s="425"/>
      <c r="E592" s="439" t="s">
        <v>781</v>
      </c>
      <c r="F592" s="440"/>
      <c r="G592" s="425"/>
    </row>
    <row r="593" spans="1:9" ht="24" thickBot="1">
      <c r="A593" s="425"/>
      <c r="B593" s="441" t="s">
        <v>788</v>
      </c>
      <c r="C593" s="442">
        <f>C590-(C591+C592)</f>
        <v>0</v>
      </c>
      <c r="D593" s="425"/>
      <c r="E593" s="441" t="s">
        <v>789</v>
      </c>
      <c r="F593" s="442">
        <f>F590-(F591+F592)</f>
        <v>0</v>
      </c>
      <c r="G593" s="425"/>
    </row>
    <row r="594" spans="1:9" ht="19.5" thickBot="1">
      <c r="A594" s="425"/>
      <c r="B594" s="425"/>
      <c r="C594" s="1327"/>
      <c r="D594" s="1327"/>
      <c r="E594" s="1327"/>
      <c r="F594" s="426"/>
      <c r="G594" s="425"/>
    </row>
    <row r="595" spans="1:9" ht="23.25" thickBot="1">
      <c r="A595" s="425"/>
      <c r="B595" s="444" t="s">
        <v>784</v>
      </c>
      <c r="C595" s="445" t="s">
        <v>790</v>
      </c>
      <c r="D595" s="446"/>
      <c r="E595" s="447" t="s">
        <v>786</v>
      </c>
      <c r="F595" s="448" t="str">
        <f>IF(C595="Y", I595, "N/A")</f>
        <v>N/A</v>
      </c>
      <c r="G595" s="425"/>
      <c r="I595" s="449">
        <f>(SUM(C593:F593)/2)</f>
        <v>0</v>
      </c>
    </row>
    <row r="596" spans="1:9" ht="19.5" thickBot="1">
      <c r="A596" s="425"/>
      <c r="B596" s="425"/>
      <c r="C596" s="443"/>
      <c r="D596" s="443"/>
      <c r="E596" s="443"/>
      <c r="F596" s="426"/>
      <c r="G596" s="425"/>
    </row>
    <row r="597" spans="1:9">
      <c r="A597" s="425"/>
      <c r="B597" s="1328" t="s">
        <v>787</v>
      </c>
      <c r="C597" s="1329"/>
      <c r="D597" s="1329"/>
      <c r="E597" s="1329"/>
      <c r="F597" s="1330"/>
      <c r="G597" s="425"/>
    </row>
    <row r="598" spans="1:9">
      <c r="A598" s="425"/>
      <c r="B598" s="1331"/>
      <c r="C598" s="1332"/>
      <c r="D598" s="1332"/>
      <c r="E598" s="1332"/>
      <c r="F598" s="1333"/>
      <c r="G598" s="425"/>
    </row>
    <row r="599" spans="1:9" ht="15.75" thickBot="1">
      <c r="A599" s="425"/>
      <c r="B599" s="1334"/>
      <c r="C599" s="1335"/>
      <c r="D599" s="1335"/>
      <c r="E599" s="1335"/>
      <c r="F599" s="1336"/>
      <c r="G599" s="425"/>
    </row>
    <row r="600" spans="1:9">
      <c r="A600" s="425"/>
      <c r="B600" s="425"/>
      <c r="C600" s="426"/>
      <c r="D600" s="425"/>
      <c r="E600" s="425"/>
      <c r="F600" s="426"/>
      <c r="G600" s="425"/>
    </row>
    <row r="601" spans="1:9" ht="15.75" thickBot="1">
      <c r="A601" s="425"/>
      <c r="B601" s="425"/>
      <c r="C601" s="426"/>
      <c r="D601" s="425"/>
      <c r="E601" s="425"/>
      <c r="F601" s="426"/>
      <c r="G601" s="425"/>
    </row>
    <row r="602" spans="1:9">
      <c r="A602" s="425"/>
      <c r="B602" s="1337" t="s">
        <v>762</v>
      </c>
      <c r="C602" s="1338"/>
      <c r="D602" s="1338"/>
      <c r="E602" s="1338"/>
      <c r="F602" s="1339"/>
      <c r="G602" s="425"/>
    </row>
    <row r="603" spans="1:9">
      <c r="A603" s="425"/>
      <c r="B603" s="1340"/>
      <c r="C603" s="1341"/>
      <c r="D603" s="1341"/>
      <c r="E603" s="1341"/>
      <c r="F603" s="1342"/>
      <c r="G603" s="425"/>
    </row>
    <row r="604" spans="1:9">
      <c r="A604" s="425"/>
      <c r="B604" s="1340"/>
      <c r="C604" s="1341"/>
      <c r="D604" s="1341"/>
      <c r="E604" s="1341"/>
      <c r="F604" s="1342"/>
      <c r="G604" s="425"/>
    </row>
    <row r="605" spans="1:9" ht="15.75" thickBot="1">
      <c r="A605" s="425"/>
      <c r="B605" s="427"/>
      <c r="C605" s="428"/>
      <c r="D605" s="428"/>
      <c r="E605" s="428"/>
      <c r="F605" s="429" t="str">
        <f>'[3]Reference Sheet'!$B$2</f>
        <v>Rev. 4.12.2016</v>
      </c>
      <c r="G605" s="425"/>
    </row>
    <row r="606" spans="1:9" ht="15.75" thickBot="1">
      <c r="A606" s="425"/>
      <c r="B606" s="425"/>
      <c r="C606" s="426"/>
      <c r="D606" s="425"/>
      <c r="E606" s="425"/>
      <c r="F606" s="426"/>
      <c r="G606" s="425"/>
    </row>
    <row r="607" spans="1:9">
      <c r="A607" s="430"/>
      <c r="B607" s="1343" t="s">
        <v>764</v>
      </c>
      <c r="C607" s="1344"/>
      <c r="D607" s="425"/>
      <c r="E607" s="1347" t="s">
        <v>765</v>
      </c>
      <c r="F607" s="1344"/>
      <c r="G607" s="425"/>
    </row>
    <row r="608" spans="1:9" ht="15.75" thickBot="1">
      <c r="A608" s="430"/>
      <c r="B608" s="1345"/>
      <c r="C608" s="1346"/>
      <c r="D608" s="425"/>
      <c r="E608" s="1345"/>
      <c r="F608" s="1346"/>
      <c r="G608" s="425"/>
    </row>
    <row r="609" spans="1:7" ht="15.75" thickBot="1">
      <c r="A609" s="425"/>
      <c r="B609" s="425"/>
      <c r="C609" s="426"/>
      <c r="D609" s="425"/>
      <c r="E609" s="425"/>
      <c r="F609" s="426"/>
      <c r="G609" s="425"/>
    </row>
    <row r="610" spans="1:7">
      <c r="A610" s="425"/>
      <c r="B610" s="1348" t="s">
        <v>767</v>
      </c>
      <c r="C610" s="1349"/>
      <c r="D610" s="425"/>
      <c r="E610" s="1348" t="s">
        <v>767</v>
      </c>
      <c r="F610" s="1349"/>
      <c r="G610" s="425"/>
    </row>
    <row r="611" spans="1:7">
      <c r="A611" s="425"/>
      <c r="B611" s="431" t="s">
        <v>768</v>
      </c>
      <c r="C611" s="432">
        <v>365</v>
      </c>
      <c r="D611" s="425"/>
      <c r="E611" s="431" t="s">
        <v>768</v>
      </c>
      <c r="F611" s="432">
        <v>365</v>
      </c>
      <c r="G611" s="425"/>
    </row>
    <row r="612" spans="1:7">
      <c r="A612" s="425"/>
      <c r="B612" s="433" t="s">
        <v>769</v>
      </c>
      <c r="C612" s="434"/>
      <c r="D612" s="425"/>
      <c r="E612" s="433" t="s">
        <v>769</v>
      </c>
      <c r="F612" s="434"/>
      <c r="G612" s="425"/>
    </row>
    <row r="613" spans="1:7">
      <c r="A613" s="425"/>
      <c r="B613" s="435" t="s">
        <v>770</v>
      </c>
      <c r="C613" s="434"/>
      <c r="D613" s="425"/>
      <c r="E613" s="435" t="s">
        <v>770</v>
      </c>
      <c r="F613" s="434"/>
      <c r="G613" s="425"/>
    </row>
    <row r="614" spans="1:7">
      <c r="A614" s="425"/>
      <c r="B614" s="435" t="s">
        <v>771</v>
      </c>
      <c r="C614" s="434"/>
      <c r="D614" s="425"/>
      <c r="E614" s="435" t="s">
        <v>771</v>
      </c>
      <c r="F614" s="434"/>
      <c r="G614" s="425"/>
    </row>
    <row r="615" spans="1:7">
      <c r="A615" s="425"/>
      <c r="B615" s="435" t="s">
        <v>772</v>
      </c>
      <c r="C615" s="434"/>
      <c r="D615" s="425"/>
      <c r="E615" s="435" t="s">
        <v>772</v>
      </c>
      <c r="F615" s="434"/>
      <c r="G615" s="425"/>
    </row>
    <row r="616" spans="1:7">
      <c r="A616" s="425"/>
      <c r="B616" s="436" t="s">
        <v>773</v>
      </c>
      <c r="C616" s="434"/>
      <c r="D616" s="425"/>
      <c r="E616" s="436" t="s">
        <v>773</v>
      </c>
      <c r="F616" s="434"/>
      <c r="G616" s="425"/>
    </row>
    <row r="617" spans="1:7">
      <c r="A617" s="425"/>
      <c r="B617" s="436" t="s">
        <v>774</v>
      </c>
      <c r="C617" s="434"/>
      <c r="D617" s="425"/>
      <c r="E617" s="436" t="s">
        <v>774</v>
      </c>
      <c r="F617" s="434"/>
      <c r="G617" s="425"/>
    </row>
    <row r="618" spans="1:7" ht="33.75">
      <c r="A618" s="425"/>
      <c r="B618" s="435" t="s">
        <v>775</v>
      </c>
      <c r="C618" s="434"/>
      <c r="D618" s="425"/>
      <c r="E618" s="435" t="s">
        <v>775</v>
      </c>
      <c r="F618" s="434"/>
      <c r="G618" s="425"/>
    </row>
    <row r="619" spans="1:7">
      <c r="A619" s="425"/>
      <c r="B619" s="435" t="s">
        <v>776</v>
      </c>
      <c r="C619" s="437">
        <f>SUM(C612-C613+C614+C616+C617+C615,C618)</f>
        <v>0</v>
      </c>
      <c r="D619" s="425"/>
      <c r="E619" s="435" t="s">
        <v>776</v>
      </c>
      <c r="F619" s="437">
        <f>SUM(F612-F613+F614+F616+F617+F615,F618)</f>
        <v>0</v>
      </c>
      <c r="G619" s="425"/>
    </row>
    <row r="620" spans="1:7">
      <c r="A620" s="425"/>
      <c r="B620" s="435" t="s">
        <v>777</v>
      </c>
      <c r="C620" s="437">
        <f>C619/(C611/30.4165)</f>
        <v>0</v>
      </c>
      <c r="D620" s="425"/>
      <c r="E620" s="435" t="s">
        <v>777</v>
      </c>
      <c r="F620" s="437">
        <f>F619/(F611/30.4165)</f>
        <v>0</v>
      </c>
      <c r="G620" s="425"/>
    </row>
    <row r="621" spans="1:7" ht="45">
      <c r="A621" s="425"/>
      <c r="B621" s="438" t="s">
        <v>778</v>
      </c>
      <c r="C621" s="434"/>
      <c r="D621" s="425"/>
      <c r="E621" s="438" t="s">
        <v>779</v>
      </c>
      <c r="F621" s="434"/>
      <c r="G621" s="425"/>
    </row>
    <row r="622" spans="1:7" ht="45">
      <c r="A622" s="425"/>
      <c r="B622" s="439" t="s">
        <v>780</v>
      </c>
      <c r="C622" s="440"/>
      <c r="D622" s="425"/>
      <c r="E622" s="439" t="s">
        <v>781</v>
      </c>
      <c r="F622" s="440"/>
      <c r="G622" s="425"/>
    </row>
    <row r="623" spans="1:7" ht="24" thickBot="1">
      <c r="A623" s="425"/>
      <c r="B623" s="441" t="s">
        <v>788</v>
      </c>
      <c r="C623" s="442">
        <f>C620-(C621+C622)</f>
        <v>0</v>
      </c>
      <c r="D623" s="425"/>
      <c r="E623" s="441" t="s">
        <v>789</v>
      </c>
      <c r="F623" s="442">
        <f>F620-(F621+F622)</f>
        <v>0</v>
      </c>
      <c r="G623" s="425"/>
    </row>
    <row r="624" spans="1:7" ht="19.5" thickBot="1">
      <c r="A624" s="425"/>
      <c r="B624" s="425"/>
      <c r="C624" s="1327"/>
      <c r="D624" s="1327"/>
      <c r="E624" s="1327"/>
      <c r="F624" s="426"/>
      <c r="G624" s="425"/>
    </row>
    <row r="625" spans="1:9" ht="23.25" thickBot="1">
      <c r="A625" s="425"/>
      <c r="B625" s="444" t="s">
        <v>784</v>
      </c>
      <c r="C625" s="445" t="s">
        <v>790</v>
      </c>
      <c r="D625" s="446"/>
      <c r="E625" s="447" t="s">
        <v>786</v>
      </c>
      <c r="F625" s="448" t="str">
        <f>IF(C625="Y", I625, "N/A")</f>
        <v>N/A</v>
      </c>
      <c r="G625" s="425"/>
      <c r="I625" s="449">
        <f>(SUM(C623:F623)/2)</f>
        <v>0</v>
      </c>
    </row>
    <row r="626" spans="1:9" ht="19.5" thickBot="1">
      <c r="A626" s="425"/>
      <c r="B626" s="425"/>
      <c r="C626" s="443"/>
      <c r="D626" s="443"/>
      <c r="E626" s="443"/>
      <c r="F626" s="426"/>
      <c r="G626" s="425"/>
    </row>
    <row r="627" spans="1:9">
      <c r="A627" s="425"/>
      <c r="B627" s="1328" t="s">
        <v>787</v>
      </c>
      <c r="C627" s="1329"/>
      <c r="D627" s="1329"/>
      <c r="E627" s="1329"/>
      <c r="F627" s="1330"/>
      <c r="G627" s="425"/>
    </row>
    <row r="628" spans="1:9">
      <c r="A628" s="425"/>
      <c r="B628" s="1331"/>
      <c r="C628" s="1332"/>
      <c r="D628" s="1332"/>
      <c r="E628" s="1332"/>
      <c r="F628" s="1333"/>
      <c r="G628" s="425"/>
    </row>
    <row r="629" spans="1:9" ht="15.75" thickBot="1">
      <c r="A629" s="425"/>
      <c r="B629" s="1334"/>
      <c r="C629" s="1335"/>
      <c r="D629" s="1335"/>
      <c r="E629" s="1335"/>
      <c r="F629" s="1336"/>
      <c r="G629" s="425"/>
    </row>
    <row r="630" spans="1:9">
      <c r="A630" s="425"/>
      <c r="B630" s="425"/>
      <c r="C630" s="426"/>
      <c r="D630" s="425"/>
      <c r="E630" s="425"/>
      <c r="F630" s="426"/>
      <c r="G630" s="425"/>
    </row>
  </sheetData>
  <sheetProtection algorithmName="SHA-512" hashValue="Q8R+Tn5zrFG/dADvmNlRgL0ff6a5V7gDO7HDQjY2arKizfmYrCetn1pWc5IECI8ioCkjDBiGu/NyUqLKA9Hmjw==" saltValue="C68faVChXD8HzQfq5dnvZw==" spinCount="100000" sheet="1" objects="1" scenarios="1" selectLockedCells="1"/>
  <mergeCells count="148">
    <mergeCell ref="C24:E24"/>
    <mergeCell ref="B27:F29"/>
    <mergeCell ref="B32:F34"/>
    <mergeCell ref="B37:C38"/>
    <mergeCell ref="E37:F38"/>
    <mergeCell ref="B40:C40"/>
    <mergeCell ref="E40:F40"/>
    <mergeCell ref="B2:F4"/>
    <mergeCell ref="I3:P23"/>
    <mergeCell ref="B7:C8"/>
    <mergeCell ref="E7:F8"/>
    <mergeCell ref="B10:C10"/>
    <mergeCell ref="E10:F10"/>
    <mergeCell ref="C84:E84"/>
    <mergeCell ref="B87:F89"/>
    <mergeCell ref="B92:F94"/>
    <mergeCell ref="B97:C98"/>
    <mergeCell ref="E97:F98"/>
    <mergeCell ref="B100:C100"/>
    <mergeCell ref="E100:F100"/>
    <mergeCell ref="C54:E54"/>
    <mergeCell ref="B57:F59"/>
    <mergeCell ref="B62:F64"/>
    <mergeCell ref="B67:C68"/>
    <mergeCell ref="E67:F68"/>
    <mergeCell ref="B70:C70"/>
    <mergeCell ref="E70:F70"/>
    <mergeCell ref="C144:E144"/>
    <mergeCell ref="B147:F149"/>
    <mergeCell ref="B152:F154"/>
    <mergeCell ref="B157:C158"/>
    <mergeCell ref="E157:F158"/>
    <mergeCell ref="B160:C160"/>
    <mergeCell ref="E160:F160"/>
    <mergeCell ref="C114:E114"/>
    <mergeCell ref="B117:F119"/>
    <mergeCell ref="B122:F124"/>
    <mergeCell ref="B127:C128"/>
    <mergeCell ref="E127:F128"/>
    <mergeCell ref="B130:C130"/>
    <mergeCell ref="E130:F130"/>
    <mergeCell ref="C204:E204"/>
    <mergeCell ref="B207:F209"/>
    <mergeCell ref="B212:F214"/>
    <mergeCell ref="B217:C218"/>
    <mergeCell ref="E217:F218"/>
    <mergeCell ref="B220:C220"/>
    <mergeCell ref="E220:F220"/>
    <mergeCell ref="C174:E174"/>
    <mergeCell ref="B177:F179"/>
    <mergeCell ref="B182:F184"/>
    <mergeCell ref="B187:C188"/>
    <mergeCell ref="E187:F188"/>
    <mergeCell ref="B190:C190"/>
    <mergeCell ref="E190:F190"/>
    <mergeCell ref="C264:E264"/>
    <mergeCell ref="B267:F269"/>
    <mergeCell ref="B272:F274"/>
    <mergeCell ref="B277:C278"/>
    <mergeCell ref="E277:F278"/>
    <mergeCell ref="B280:C280"/>
    <mergeCell ref="E280:F280"/>
    <mergeCell ref="C234:E234"/>
    <mergeCell ref="B237:F239"/>
    <mergeCell ref="B242:F244"/>
    <mergeCell ref="B247:C248"/>
    <mergeCell ref="E247:F248"/>
    <mergeCell ref="B250:C250"/>
    <mergeCell ref="E250:F250"/>
    <mergeCell ref="C324:E324"/>
    <mergeCell ref="B327:F329"/>
    <mergeCell ref="B332:F334"/>
    <mergeCell ref="B337:C338"/>
    <mergeCell ref="E337:F338"/>
    <mergeCell ref="B340:C340"/>
    <mergeCell ref="E340:F340"/>
    <mergeCell ref="C294:E294"/>
    <mergeCell ref="B297:F299"/>
    <mergeCell ref="B302:F304"/>
    <mergeCell ref="B307:C308"/>
    <mergeCell ref="E307:F308"/>
    <mergeCell ref="B310:C310"/>
    <mergeCell ref="E310:F310"/>
    <mergeCell ref="C384:E384"/>
    <mergeCell ref="B387:F389"/>
    <mergeCell ref="B392:F394"/>
    <mergeCell ref="B397:C398"/>
    <mergeCell ref="E397:F398"/>
    <mergeCell ref="B400:C400"/>
    <mergeCell ref="E400:F400"/>
    <mergeCell ref="C354:E354"/>
    <mergeCell ref="B357:F359"/>
    <mergeCell ref="B362:F364"/>
    <mergeCell ref="B367:C368"/>
    <mergeCell ref="E367:F368"/>
    <mergeCell ref="B370:C370"/>
    <mergeCell ref="E370:F370"/>
    <mergeCell ref="C444:E444"/>
    <mergeCell ref="B447:F449"/>
    <mergeCell ref="B452:F454"/>
    <mergeCell ref="B457:C458"/>
    <mergeCell ref="E457:F458"/>
    <mergeCell ref="B460:C460"/>
    <mergeCell ref="E460:F460"/>
    <mergeCell ref="C414:E414"/>
    <mergeCell ref="B417:F419"/>
    <mergeCell ref="B422:F424"/>
    <mergeCell ref="B427:C428"/>
    <mergeCell ref="E427:F428"/>
    <mergeCell ref="B430:C430"/>
    <mergeCell ref="E430:F430"/>
    <mergeCell ref="C504:E504"/>
    <mergeCell ref="B507:F509"/>
    <mergeCell ref="B512:F514"/>
    <mergeCell ref="B517:C518"/>
    <mergeCell ref="E517:F518"/>
    <mergeCell ref="B520:C520"/>
    <mergeCell ref="E520:F520"/>
    <mergeCell ref="C474:E474"/>
    <mergeCell ref="B477:F479"/>
    <mergeCell ref="B482:F484"/>
    <mergeCell ref="B487:C488"/>
    <mergeCell ref="E487:F488"/>
    <mergeCell ref="B490:C490"/>
    <mergeCell ref="E490:F490"/>
    <mergeCell ref="C564:E564"/>
    <mergeCell ref="B567:F569"/>
    <mergeCell ref="B572:F574"/>
    <mergeCell ref="B577:C578"/>
    <mergeCell ref="E577:F578"/>
    <mergeCell ref="B580:C580"/>
    <mergeCell ref="E580:F580"/>
    <mergeCell ref="C534:E534"/>
    <mergeCell ref="B537:F539"/>
    <mergeCell ref="B542:F544"/>
    <mergeCell ref="B547:C548"/>
    <mergeCell ref="E547:F548"/>
    <mergeCell ref="B550:C550"/>
    <mergeCell ref="E550:F550"/>
    <mergeCell ref="C624:E624"/>
    <mergeCell ref="B627:F629"/>
    <mergeCell ref="C594:E594"/>
    <mergeCell ref="B597:F599"/>
    <mergeCell ref="B602:F604"/>
    <mergeCell ref="B607:C608"/>
    <mergeCell ref="E607:F608"/>
    <mergeCell ref="B610:C610"/>
    <mergeCell ref="E610:F610"/>
  </mergeCells>
  <conditionalFormatting sqref="F25">
    <cfRule type="containsText" dxfId="180" priority="21" operator="containsText" text="N/A">
      <formula>NOT(ISERROR(SEARCH("N/A",F25)))</formula>
    </cfRule>
  </conditionalFormatting>
  <conditionalFormatting sqref="F625">
    <cfRule type="containsText" dxfId="179" priority="1" operator="containsText" text="N/A">
      <formula>NOT(ISERROR(SEARCH("N/A",F625)))</formula>
    </cfRule>
  </conditionalFormatting>
  <conditionalFormatting sqref="F55">
    <cfRule type="containsText" dxfId="178" priority="20" operator="containsText" text="N/A">
      <formula>NOT(ISERROR(SEARCH("N/A",F55)))</formula>
    </cfRule>
  </conditionalFormatting>
  <conditionalFormatting sqref="F85">
    <cfRule type="containsText" dxfId="177" priority="19" operator="containsText" text="N/A">
      <formula>NOT(ISERROR(SEARCH("N/A",F85)))</formula>
    </cfRule>
  </conditionalFormatting>
  <conditionalFormatting sqref="F115">
    <cfRule type="containsText" dxfId="176" priority="18" operator="containsText" text="N/A">
      <formula>NOT(ISERROR(SEARCH("N/A",F115)))</formula>
    </cfRule>
  </conditionalFormatting>
  <conditionalFormatting sqref="F145">
    <cfRule type="containsText" dxfId="175" priority="17" operator="containsText" text="N/A">
      <formula>NOT(ISERROR(SEARCH("N/A",F145)))</formula>
    </cfRule>
  </conditionalFormatting>
  <conditionalFormatting sqref="F175">
    <cfRule type="containsText" dxfId="174" priority="16" operator="containsText" text="N/A">
      <formula>NOT(ISERROR(SEARCH("N/A",F175)))</formula>
    </cfRule>
  </conditionalFormatting>
  <conditionalFormatting sqref="F205">
    <cfRule type="containsText" dxfId="173" priority="15" operator="containsText" text="N/A">
      <formula>NOT(ISERROR(SEARCH("N/A",F205)))</formula>
    </cfRule>
  </conditionalFormatting>
  <conditionalFormatting sqref="F235">
    <cfRule type="containsText" dxfId="172" priority="14" operator="containsText" text="N/A">
      <formula>NOT(ISERROR(SEARCH("N/A",F235)))</formula>
    </cfRule>
  </conditionalFormatting>
  <conditionalFormatting sqref="F265">
    <cfRule type="containsText" dxfId="171" priority="13" operator="containsText" text="N/A">
      <formula>NOT(ISERROR(SEARCH("N/A",F265)))</formula>
    </cfRule>
  </conditionalFormatting>
  <conditionalFormatting sqref="F295">
    <cfRule type="containsText" dxfId="170" priority="12" operator="containsText" text="N/A">
      <formula>NOT(ISERROR(SEARCH("N/A",F295)))</formula>
    </cfRule>
  </conditionalFormatting>
  <conditionalFormatting sqref="F325">
    <cfRule type="containsText" dxfId="169" priority="11" operator="containsText" text="N/A">
      <formula>NOT(ISERROR(SEARCH("N/A",F325)))</formula>
    </cfRule>
  </conditionalFormatting>
  <conditionalFormatting sqref="F355">
    <cfRule type="containsText" dxfId="168" priority="10" operator="containsText" text="N/A">
      <formula>NOT(ISERROR(SEARCH("N/A",F355)))</formula>
    </cfRule>
  </conditionalFormatting>
  <conditionalFormatting sqref="F385">
    <cfRule type="containsText" dxfId="167" priority="9" operator="containsText" text="N/A">
      <formula>NOT(ISERROR(SEARCH("N/A",F385)))</formula>
    </cfRule>
  </conditionalFormatting>
  <conditionalFormatting sqref="F415">
    <cfRule type="containsText" dxfId="166" priority="8" operator="containsText" text="N/A">
      <formula>NOT(ISERROR(SEARCH("N/A",F415)))</formula>
    </cfRule>
  </conditionalFormatting>
  <conditionalFormatting sqref="F445">
    <cfRule type="containsText" dxfId="165" priority="7" operator="containsText" text="N/A">
      <formula>NOT(ISERROR(SEARCH("N/A",F445)))</formula>
    </cfRule>
  </conditionalFormatting>
  <conditionalFormatting sqref="F475">
    <cfRule type="containsText" dxfId="164" priority="6" operator="containsText" text="N/A">
      <formula>NOT(ISERROR(SEARCH("N/A",F475)))</formula>
    </cfRule>
  </conditionalFormatting>
  <conditionalFormatting sqref="F505">
    <cfRule type="containsText" dxfId="163" priority="5" operator="containsText" text="N/A">
      <formula>NOT(ISERROR(SEARCH("N/A",F505)))</formula>
    </cfRule>
  </conditionalFormatting>
  <conditionalFormatting sqref="F535">
    <cfRule type="containsText" dxfId="162" priority="4" operator="containsText" text="N/A">
      <formula>NOT(ISERROR(SEARCH("N/A",F535)))</formula>
    </cfRule>
  </conditionalFormatting>
  <conditionalFormatting sqref="F565">
    <cfRule type="containsText" dxfId="161" priority="3" operator="containsText" text="N/A">
      <formula>NOT(ISERROR(SEARCH("N/A",F565)))</formula>
    </cfRule>
  </conditionalFormatting>
  <conditionalFormatting sqref="F595">
    <cfRule type="containsText" dxfId="160" priority="2" operator="containsText" text="N/A">
      <formula>NOT(ISERROR(SEARCH("N/A",F595)))</formula>
    </cfRule>
  </conditionalFormatting>
  <pageMargins left="0.25" right="0.25" top="0.75" bottom="0.75" header="0.3" footer="0.3"/>
  <pageSetup scale="84" fitToHeight="0" orientation="portrait" r:id="rId1"/>
  <rowBreaks count="20" manualBreakCount="20">
    <brk id="30" max="16383" man="1"/>
    <brk id="60" max="16383" man="1"/>
    <brk id="90" max="16383" man="1"/>
    <brk id="120" max="16383" man="1"/>
    <brk id="150" max="16383" man="1"/>
    <brk id="180" max="16383" man="1"/>
    <brk id="210" max="16383" man="1"/>
    <brk id="240" max="16383" man="1"/>
    <brk id="270" max="16383" man="1"/>
    <brk id="300" max="16383" man="1"/>
    <brk id="330" max="16383" man="1"/>
    <brk id="360" max="16383" man="1"/>
    <brk id="390" max="16383" man="1"/>
    <brk id="420" max="16383" man="1"/>
    <brk id="450" max="16383" man="1"/>
    <brk id="480" max="16383" man="1"/>
    <brk id="510" max="16383" man="1"/>
    <brk id="540" max="16383" man="1"/>
    <brk id="570" max="16383" man="1"/>
    <brk id="600" max="16383" man="1"/>
  </rowBreak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6FAF0-8309-4CF4-9230-D905B5F6A0B6}">
  <sheetPr codeName="Sheet12">
    <tabColor rgb="FF7030A0"/>
    <pageSetUpPr fitToPage="1"/>
  </sheetPr>
  <dimension ref="B1:AB680"/>
  <sheetViews>
    <sheetView zoomScale="85" zoomScaleNormal="85" workbookViewId="0">
      <selection activeCell="B7" sqref="B7:F8"/>
    </sheetView>
  </sheetViews>
  <sheetFormatPr defaultColWidth="9.140625" defaultRowHeight="15"/>
  <cols>
    <col min="1" max="1" width="3.7109375" style="78" customWidth="1"/>
    <col min="2" max="5" width="9.140625" style="78"/>
    <col min="6" max="6" width="14.42578125" style="78" customWidth="1"/>
    <col min="7" max="10" width="16.7109375" style="78" customWidth="1"/>
    <col min="11" max="11" width="3.7109375" style="78" customWidth="1"/>
    <col min="12" max="12" width="7" style="78" customWidth="1"/>
    <col min="13" max="13" width="6.5703125" style="78" customWidth="1"/>
    <col min="14" max="14" width="9.7109375" style="78" customWidth="1"/>
    <col min="15" max="15" width="7.85546875" style="78" customWidth="1"/>
    <col min="16" max="24" width="9.140625" style="78"/>
    <col min="25" max="25" width="9.140625" style="280"/>
    <col min="26" max="26" width="42" style="280" bestFit="1" customWidth="1"/>
    <col min="27" max="27" width="34.42578125" style="280" bestFit="1" customWidth="1"/>
    <col min="28" max="28" width="9.140625" style="280"/>
    <col min="29" max="16384" width="9.140625" style="78"/>
  </cols>
  <sheetData>
    <row r="1" spans="2:28" ht="13.5" customHeight="1" thickBot="1"/>
    <row r="2" spans="2:28" ht="82.5" customHeight="1">
      <c r="B2" s="1187" t="s">
        <v>791</v>
      </c>
      <c r="C2" s="1188"/>
      <c r="D2" s="1188"/>
      <c r="E2" s="1188"/>
      <c r="F2" s="1188"/>
      <c r="G2" s="1188"/>
      <c r="H2" s="1188"/>
      <c r="I2" s="1188"/>
      <c r="J2" s="331" t="str">
        <f>'[3]Reference Sheet'!$B$2</f>
        <v>Rev. 4.12.2016</v>
      </c>
      <c r="L2" s="1318" t="s">
        <v>792</v>
      </c>
      <c r="M2" s="1319"/>
      <c r="N2" s="1319"/>
      <c r="O2" s="1319"/>
      <c r="P2" s="1319"/>
      <c r="Q2" s="1319"/>
      <c r="R2" s="1319"/>
      <c r="S2" s="1319"/>
      <c r="T2" s="1320"/>
      <c r="U2" s="304"/>
    </row>
    <row r="3" spans="2:28" ht="17.25" customHeight="1" thickBot="1">
      <c r="B3" s="332"/>
      <c r="C3" s="368" t="s">
        <v>710</v>
      </c>
      <c r="D3" s="1400"/>
      <c r="E3" s="1401"/>
      <c r="F3" s="1401"/>
      <c r="G3" s="1401"/>
      <c r="H3" s="333"/>
      <c r="I3" s="333"/>
      <c r="J3" s="334"/>
      <c r="L3" s="1321"/>
      <c r="M3" s="1322"/>
      <c r="N3" s="1322"/>
      <c r="O3" s="1322"/>
      <c r="P3" s="1322"/>
      <c r="Q3" s="1322"/>
      <c r="R3" s="1322"/>
      <c r="S3" s="1322"/>
      <c r="T3" s="1323"/>
      <c r="U3" s="304"/>
      <c r="X3" s="304"/>
      <c r="Z3" s="451" t="s">
        <v>717</v>
      </c>
      <c r="AA3" s="451" t="str">
        <f>IF(OR(H8=0, H8&gt;100%), "Shareholder %", G12*H8)</f>
        <v>Shareholder %</v>
      </c>
    </row>
    <row r="4" spans="2:28" ht="17.25" customHeight="1" thickBot="1">
      <c r="B4" s="332"/>
      <c r="C4" s="368" t="s">
        <v>711</v>
      </c>
      <c r="D4" s="1402"/>
      <c r="E4" s="1403"/>
      <c r="F4" s="1403"/>
      <c r="G4" s="1403"/>
      <c r="H4" s="368" t="s">
        <v>712</v>
      </c>
      <c r="I4" s="1400"/>
      <c r="J4" s="1404"/>
      <c r="L4" s="1321"/>
      <c r="M4" s="1322"/>
      <c r="N4" s="1322"/>
      <c r="O4" s="1322"/>
      <c r="P4" s="1322"/>
      <c r="Q4" s="1322"/>
      <c r="R4" s="1322"/>
      <c r="S4" s="1322"/>
      <c r="T4" s="1323"/>
      <c r="U4" s="304"/>
      <c r="X4" s="304"/>
      <c r="Z4" s="451" t="s">
        <v>720</v>
      </c>
      <c r="AA4" s="451" t="str">
        <f>IF(OR(J8&gt;100%, J8=0), "Shareholder %", I12*J8)</f>
        <v>Shareholder %</v>
      </c>
    </row>
    <row r="5" spans="2:28" s="404" customFormat="1" ht="16.5" thickBot="1">
      <c r="B5" s="1393" t="s">
        <v>671</v>
      </c>
      <c r="C5" s="1394"/>
      <c r="D5" s="1405"/>
      <c r="E5" s="1406"/>
      <c r="F5" s="1406"/>
      <c r="G5" s="1406"/>
      <c r="H5" s="452" t="s">
        <v>673</v>
      </c>
      <c r="I5" s="1407"/>
      <c r="J5" s="1408"/>
      <c r="L5" s="1321"/>
      <c r="M5" s="1322"/>
      <c r="N5" s="1322"/>
      <c r="O5" s="1322"/>
      <c r="P5" s="1322"/>
      <c r="Q5" s="1322"/>
      <c r="R5" s="1322"/>
      <c r="S5" s="1322"/>
      <c r="T5" s="1323"/>
      <c r="U5" s="367"/>
      <c r="X5" s="304"/>
      <c r="Y5" s="280"/>
      <c r="Z5" s="451"/>
      <c r="AA5" s="451"/>
      <c r="AB5" s="405"/>
    </row>
    <row r="6" spans="2:28" s="404" customFormat="1" ht="16.5" thickBot="1">
      <c r="B6" s="1393" t="s">
        <v>674</v>
      </c>
      <c r="C6" s="1394"/>
      <c r="D6" s="1395"/>
      <c r="E6" s="1396"/>
      <c r="F6" s="1396"/>
      <c r="G6" s="1396"/>
      <c r="H6" s="1396"/>
      <c r="I6" s="1396"/>
      <c r="J6" s="1397"/>
      <c r="K6" s="405"/>
      <c r="L6" s="1321"/>
      <c r="M6" s="1322"/>
      <c r="N6" s="1322"/>
      <c r="O6" s="1322"/>
      <c r="P6" s="1322"/>
      <c r="Q6" s="1322"/>
      <c r="R6" s="1322"/>
      <c r="S6" s="1322"/>
      <c r="T6" s="1323"/>
      <c r="U6" s="367"/>
      <c r="X6" s="304"/>
      <c r="Y6" s="280"/>
      <c r="Z6" s="451" t="s">
        <v>793</v>
      </c>
      <c r="AA6" s="349" t="str">
        <f>IF(OR(H8=0, H8&gt;100%),"Enter Shareholder %",$J$40)</f>
        <v>Enter Shareholder %</v>
      </c>
      <c r="AB6" s="405"/>
    </row>
    <row r="7" spans="2:28">
      <c r="B7" s="1265"/>
      <c r="C7" s="1266"/>
      <c r="D7" s="1266"/>
      <c r="E7" s="1266"/>
      <c r="F7" s="1267"/>
      <c r="G7" s="453" t="s">
        <v>713</v>
      </c>
      <c r="H7" s="454" t="s">
        <v>676</v>
      </c>
      <c r="I7" s="342"/>
      <c r="J7" s="373" t="s">
        <v>677</v>
      </c>
      <c r="K7" s="280"/>
      <c r="L7" s="1321"/>
      <c r="M7" s="1322"/>
      <c r="N7" s="1322"/>
      <c r="O7" s="1322"/>
      <c r="P7" s="1322"/>
      <c r="Q7" s="1322"/>
      <c r="R7" s="1322"/>
      <c r="S7" s="1322"/>
      <c r="T7" s="1323"/>
      <c r="U7" s="304"/>
      <c r="V7" s="304"/>
      <c r="X7" s="304"/>
      <c r="Z7" s="451" t="s">
        <v>794</v>
      </c>
      <c r="AA7" s="349" t="str">
        <f>IF(OR(J8=0, J8&gt;100%),"Enter Shareholder %",$J$41)</f>
        <v>Enter Shareholder %</v>
      </c>
    </row>
    <row r="8" spans="2:28" ht="15.75" thickBot="1">
      <c r="B8" s="1269"/>
      <c r="C8" s="1270"/>
      <c r="D8" s="1270"/>
      <c r="E8" s="1270"/>
      <c r="F8" s="1271"/>
      <c r="G8" s="408" t="s">
        <v>795</v>
      </c>
      <c r="H8" s="376"/>
      <c r="I8" s="377"/>
      <c r="J8" s="378"/>
      <c r="K8" s="280"/>
      <c r="L8" s="1321"/>
      <c r="M8" s="1322"/>
      <c r="N8" s="1322"/>
      <c r="O8" s="1322"/>
      <c r="P8" s="1322"/>
      <c r="Q8" s="1322"/>
      <c r="R8" s="1322"/>
      <c r="S8" s="1322"/>
      <c r="T8" s="1323"/>
      <c r="U8" s="304"/>
      <c r="V8" s="304"/>
      <c r="X8" s="304"/>
      <c r="Z8" s="451" t="s">
        <v>796</v>
      </c>
      <c r="AA8" s="349">
        <f>SUM(H12:H28)</f>
        <v>0</v>
      </c>
    </row>
    <row r="9" spans="2:28">
      <c r="B9" s="1229" t="s">
        <v>744</v>
      </c>
      <c r="C9" s="1273"/>
      <c r="D9" s="1273"/>
      <c r="E9" s="1273"/>
      <c r="F9" s="1273"/>
      <c r="G9" s="455" t="s">
        <v>719</v>
      </c>
      <c r="H9" s="413"/>
      <c r="I9" s="456" t="s">
        <v>719</v>
      </c>
      <c r="J9" s="415"/>
      <c r="K9" s="280"/>
      <c r="L9" s="1321"/>
      <c r="M9" s="1322"/>
      <c r="N9" s="1322"/>
      <c r="O9" s="1322"/>
      <c r="P9" s="1322"/>
      <c r="Q9" s="1322"/>
      <c r="R9" s="1322"/>
      <c r="S9" s="1322"/>
      <c r="T9" s="1323"/>
      <c r="U9" s="304"/>
      <c r="V9" s="304"/>
      <c r="X9" s="304"/>
      <c r="Z9" s="451" t="s">
        <v>797</v>
      </c>
      <c r="AA9" s="362">
        <f>SUM(J12:J28)</f>
        <v>0</v>
      </c>
    </row>
    <row r="10" spans="2:28">
      <c r="B10" s="1384" t="s">
        <v>798</v>
      </c>
      <c r="C10" s="1385"/>
      <c r="D10" s="1385"/>
      <c r="E10" s="1385"/>
      <c r="F10" s="1386"/>
      <c r="G10" s="457"/>
      <c r="H10" s="458">
        <f>G10</f>
        <v>0</v>
      </c>
      <c r="I10" s="457"/>
      <c r="J10" s="400">
        <f>I10</f>
        <v>0</v>
      </c>
      <c r="K10" s="280"/>
      <c r="L10" s="1321"/>
      <c r="M10" s="1322"/>
      <c r="N10" s="1322"/>
      <c r="O10" s="1322"/>
      <c r="P10" s="1322"/>
      <c r="Q10" s="1322"/>
      <c r="R10" s="1322"/>
      <c r="S10" s="1322"/>
      <c r="T10" s="1323"/>
      <c r="U10" s="304"/>
      <c r="V10" s="304"/>
      <c r="X10" s="304"/>
    </row>
    <row r="11" spans="2:28">
      <c r="B11" s="1398">
        <v>1120</v>
      </c>
      <c r="C11" s="1399"/>
      <c r="D11" s="1399"/>
      <c r="E11" s="1399"/>
      <c r="F11" s="1399"/>
      <c r="G11" s="350"/>
      <c r="H11" s="389"/>
      <c r="I11" s="350"/>
      <c r="J11" s="390"/>
      <c r="K11" s="280"/>
      <c r="L11" s="1321"/>
      <c r="M11" s="1322"/>
      <c r="N11" s="1322"/>
      <c r="O11" s="1322"/>
      <c r="P11" s="1322"/>
      <c r="Q11" s="1322"/>
      <c r="R11" s="1322"/>
      <c r="S11" s="1322"/>
      <c r="T11" s="1323"/>
      <c r="U11" s="304"/>
      <c r="V11" s="304"/>
      <c r="X11" s="304"/>
      <c r="Z11" s="451" t="s">
        <v>799</v>
      </c>
      <c r="AA11" s="280">
        <f>IF(OR(H8=0, H8=10%), 0, 1)</f>
        <v>0</v>
      </c>
    </row>
    <row r="12" spans="2:28">
      <c r="B12" s="1384" t="s">
        <v>800</v>
      </c>
      <c r="C12" s="1385"/>
      <c r="D12" s="1385"/>
      <c r="E12" s="1385"/>
      <c r="F12" s="1386"/>
      <c r="G12" s="459"/>
      <c r="H12" s="387" t="str">
        <f>AA3</f>
        <v>Shareholder %</v>
      </c>
      <c r="I12" s="346"/>
      <c r="J12" s="388" t="str">
        <f>AA4</f>
        <v>Shareholder %</v>
      </c>
      <c r="K12" s="280"/>
      <c r="L12" s="1321"/>
      <c r="M12" s="1322"/>
      <c r="N12" s="1322"/>
      <c r="O12" s="1322"/>
      <c r="P12" s="1322"/>
      <c r="Q12" s="1322"/>
      <c r="R12" s="1322"/>
      <c r="S12" s="1322"/>
      <c r="T12" s="1323"/>
      <c r="U12" s="304"/>
      <c r="V12" s="304"/>
      <c r="X12" s="304"/>
      <c r="Z12" s="451" t="s">
        <v>801</v>
      </c>
      <c r="AA12" s="280">
        <f>IF(OR(J8=0, J8+100%), 0, 1)</f>
        <v>0</v>
      </c>
    </row>
    <row r="13" spans="2:28">
      <c r="B13" s="1297" t="s">
        <v>802</v>
      </c>
      <c r="C13" s="1298"/>
      <c r="D13" s="1298"/>
      <c r="E13" s="1298"/>
      <c r="F13" s="1298"/>
      <c r="G13" s="460"/>
      <c r="H13" s="416"/>
      <c r="I13" s="460"/>
      <c r="J13" s="417"/>
      <c r="K13" s="280"/>
      <c r="L13" s="1321"/>
      <c r="M13" s="1322"/>
      <c r="N13" s="1322"/>
      <c r="O13" s="1322"/>
      <c r="P13" s="1322"/>
      <c r="Q13" s="1322"/>
      <c r="R13" s="1322"/>
      <c r="S13" s="1322"/>
      <c r="T13" s="1323"/>
      <c r="U13" s="304"/>
      <c r="V13" s="304"/>
      <c r="X13" s="304"/>
      <c r="Z13" s="451" t="s">
        <v>803</v>
      </c>
      <c r="AA13" s="362">
        <f>G29/12</f>
        <v>0</v>
      </c>
    </row>
    <row r="14" spans="2:28">
      <c r="B14" s="1387" t="s">
        <v>804</v>
      </c>
      <c r="C14" s="1388"/>
      <c r="D14" s="1388"/>
      <c r="E14" s="1388"/>
      <c r="F14" s="1389"/>
      <c r="G14" s="461"/>
      <c r="H14" s="419">
        <f>(G14*H8)*-1</f>
        <v>0</v>
      </c>
      <c r="I14" s="461"/>
      <c r="J14" s="420">
        <f>(I14*J8)*-1</f>
        <v>0</v>
      </c>
      <c r="K14" s="280"/>
      <c r="L14" s="1321"/>
      <c r="M14" s="1322"/>
      <c r="N14" s="1322"/>
      <c r="O14" s="1322"/>
      <c r="P14" s="1322"/>
      <c r="Q14" s="1322"/>
      <c r="R14" s="1322"/>
      <c r="S14" s="1322"/>
      <c r="T14" s="1323"/>
      <c r="U14" s="304"/>
      <c r="V14" s="304"/>
      <c r="X14" s="304"/>
      <c r="Z14" s="451" t="s">
        <v>805</v>
      </c>
      <c r="AA14" s="362">
        <f>(G29+I29)/24</f>
        <v>0</v>
      </c>
    </row>
    <row r="15" spans="2:28">
      <c r="B15" s="1390" t="s">
        <v>806</v>
      </c>
      <c r="C15" s="1391"/>
      <c r="D15" s="1391"/>
      <c r="E15" s="1391"/>
      <c r="F15" s="1392"/>
      <c r="G15" s="461"/>
      <c r="H15" s="419">
        <f>(G15*H8)*-1</f>
        <v>0</v>
      </c>
      <c r="I15" s="461"/>
      <c r="J15" s="420">
        <f>(I15*J8)*-1</f>
        <v>0</v>
      </c>
      <c r="K15" s="280"/>
      <c r="L15" s="1321"/>
      <c r="M15" s="1322"/>
      <c r="N15" s="1322"/>
      <c r="O15" s="1322"/>
      <c r="P15" s="1322"/>
      <c r="Q15" s="1322"/>
      <c r="R15" s="1322"/>
      <c r="S15" s="1322"/>
      <c r="T15" s="1323"/>
      <c r="U15" s="304"/>
      <c r="V15" s="304"/>
      <c r="X15" s="304"/>
      <c r="Z15" s="451"/>
    </row>
    <row r="16" spans="2:28">
      <c r="B16" s="1302" t="s">
        <v>807</v>
      </c>
      <c r="C16" s="1303"/>
      <c r="D16" s="1303"/>
      <c r="E16" s="1303"/>
      <c r="F16" s="1304"/>
      <c r="G16" s="461"/>
      <c r="H16" s="419">
        <f>(G16*H8)*-1</f>
        <v>0</v>
      </c>
      <c r="I16" s="461"/>
      <c r="J16" s="420">
        <f>(I16*J8)*-1</f>
        <v>0</v>
      </c>
      <c r="K16" s="280"/>
      <c r="L16" s="1321"/>
      <c r="M16" s="1322"/>
      <c r="N16" s="1322"/>
      <c r="O16" s="1322"/>
      <c r="P16" s="1322"/>
      <c r="Q16" s="1322"/>
      <c r="R16" s="1322"/>
      <c r="S16" s="1322"/>
      <c r="T16" s="1323"/>
      <c r="U16" s="304"/>
      <c r="V16" s="304"/>
      <c r="X16" s="304"/>
      <c r="Z16" s="451" t="s">
        <v>808</v>
      </c>
      <c r="AA16" s="280">
        <f>IF(AND(J10=0, J12=0, J14=0, J15=0, J16=0, J18=0, J19=0, J20=0, J21=0, J23=0, J24=0, J25=0, J26=0, J28=0, I29=0), 0, 1)</f>
        <v>1</v>
      </c>
    </row>
    <row r="17" spans="2:27">
      <c r="B17" s="1229" t="s">
        <v>809</v>
      </c>
      <c r="C17" s="1230"/>
      <c r="D17" s="1230"/>
      <c r="E17" s="1230"/>
      <c r="F17" s="1230"/>
      <c r="G17" s="350"/>
      <c r="H17" s="351"/>
      <c r="I17" s="350"/>
      <c r="J17" s="352"/>
      <c r="K17" s="280"/>
      <c r="L17" s="1321"/>
      <c r="M17" s="1322"/>
      <c r="N17" s="1322"/>
      <c r="O17" s="1322"/>
      <c r="P17" s="1322"/>
      <c r="Q17" s="1322"/>
      <c r="R17" s="1322"/>
      <c r="S17" s="1322"/>
      <c r="T17" s="1323"/>
      <c r="U17" s="304"/>
      <c r="V17" s="304"/>
      <c r="X17" s="304"/>
      <c r="Z17" s="451" t="s">
        <v>810</v>
      </c>
      <c r="AA17" s="280">
        <f>IF(AND(G29&lt;=I29, I29&lt;&gt;0), 0, 1)</f>
        <v>1</v>
      </c>
    </row>
    <row r="18" spans="2:27">
      <c r="B18" s="1243" t="s">
        <v>811</v>
      </c>
      <c r="C18" s="1244"/>
      <c r="D18" s="1244"/>
      <c r="E18" s="1244"/>
      <c r="F18" s="1245"/>
      <c r="G18" s="346"/>
      <c r="H18" s="384">
        <f>G18*H8</f>
        <v>0</v>
      </c>
      <c r="I18" s="346"/>
      <c r="J18" s="385">
        <f>I18*J8</f>
        <v>0</v>
      </c>
      <c r="K18" s="280"/>
      <c r="L18" s="1321"/>
      <c r="M18" s="1322"/>
      <c r="N18" s="1322"/>
      <c r="O18" s="1322"/>
      <c r="P18" s="1322"/>
      <c r="Q18" s="1322"/>
      <c r="R18" s="1322"/>
      <c r="S18" s="1322"/>
      <c r="T18" s="1323"/>
      <c r="U18" s="304"/>
      <c r="V18" s="304"/>
      <c r="X18" s="304"/>
      <c r="Z18" s="451" t="s">
        <v>812</v>
      </c>
      <c r="AA18" s="280">
        <f>IF(AND(AA17=0, AA16=1), 0, 1)</f>
        <v>1</v>
      </c>
    </row>
    <row r="19" spans="2:27">
      <c r="B19" s="1381" t="s">
        <v>813</v>
      </c>
      <c r="C19" s="1224"/>
      <c r="D19" s="1224"/>
      <c r="E19" s="1224"/>
      <c r="F19" s="1225"/>
      <c r="G19" s="346"/>
      <c r="H19" s="384">
        <f>G19*H8</f>
        <v>0</v>
      </c>
      <c r="I19" s="346"/>
      <c r="J19" s="385">
        <f>I19*J8</f>
        <v>0</v>
      </c>
      <c r="K19" s="280"/>
      <c r="L19" s="1321"/>
      <c r="M19" s="1322"/>
      <c r="N19" s="1322"/>
      <c r="O19" s="1322"/>
      <c r="P19" s="1322"/>
      <c r="Q19" s="1322"/>
      <c r="R19" s="1322"/>
      <c r="S19" s="1322"/>
      <c r="T19" s="1323"/>
      <c r="U19" s="304"/>
      <c r="X19" s="304"/>
    </row>
    <row r="20" spans="2:27">
      <c r="B20" s="1223" t="s">
        <v>814</v>
      </c>
      <c r="C20" s="1224"/>
      <c r="D20" s="1224"/>
      <c r="E20" s="1224"/>
      <c r="F20" s="1225"/>
      <c r="G20" s="346"/>
      <c r="H20" s="384">
        <f>G20*H8</f>
        <v>0</v>
      </c>
      <c r="I20" s="346"/>
      <c r="J20" s="385">
        <f>I20*J8</f>
        <v>0</v>
      </c>
      <c r="K20" s="280"/>
      <c r="L20" s="1321"/>
      <c r="M20" s="1322"/>
      <c r="N20" s="1322"/>
      <c r="O20" s="1322"/>
      <c r="P20" s="1322"/>
      <c r="Q20" s="1322"/>
      <c r="R20" s="1322"/>
      <c r="S20" s="1322"/>
      <c r="T20" s="1323"/>
      <c r="U20" s="304"/>
      <c r="X20" s="304"/>
      <c r="AA20" s="349" t="s">
        <v>596</v>
      </c>
    </row>
    <row r="21" spans="2:27">
      <c r="B21" s="1226" t="s">
        <v>815</v>
      </c>
      <c r="C21" s="1227"/>
      <c r="D21" s="1227"/>
      <c r="E21" s="1227"/>
      <c r="F21" s="1228"/>
      <c r="G21" s="346"/>
      <c r="H21" s="384">
        <f>G21*H8</f>
        <v>0</v>
      </c>
      <c r="I21" s="346"/>
      <c r="J21" s="385">
        <f>I21*J8</f>
        <v>0</v>
      </c>
      <c r="K21" s="280"/>
      <c r="L21" s="1321"/>
      <c r="M21" s="1322"/>
      <c r="N21" s="1322"/>
      <c r="O21" s="1322"/>
      <c r="P21" s="1322"/>
      <c r="Q21" s="1322"/>
      <c r="R21" s="1322"/>
      <c r="S21" s="1322"/>
      <c r="T21" s="1323"/>
      <c r="U21" s="304"/>
      <c r="X21" s="304"/>
      <c r="Z21" s="462"/>
      <c r="AA21" s="349" t="s">
        <v>683</v>
      </c>
    </row>
    <row r="22" spans="2:27">
      <c r="B22" s="1229" t="s">
        <v>816</v>
      </c>
      <c r="C22" s="1230"/>
      <c r="D22" s="1230"/>
      <c r="E22" s="1230"/>
      <c r="F22" s="1230"/>
      <c r="G22" s="351"/>
      <c r="H22" s="351"/>
      <c r="I22" s="351"/>
      <c r="J22" s="352"/>
      <c r="K22" s="280"/>
      <c r="L22" s="1321"/>
      <c r="M22" s="1322"/>
      <c r="N22" s="1322"/>
      <c r="O22" s="1322"/>
      <c r="P22" s="1322"/>
      <c r="Q22" s="1322"/>
      <c r="R22" s="1322"/>
      <c r="S22" s="1322"/>
      <c r="T22" s="1323"/>
      <c r="U22" s="304"/>
      <c r="X22" s="304"/>
      <c r="AA22" s="349" t="s">
        <v>599</v>
      </c>
    </row>
    <row r="23" spans="2:27">
      <c r="B23" s="1231" t="s">
        <v>817</v>
      </c>
      <c r="C23" s="1382"/>
      <c r="D23" s="1382"/>
      <c r="E23" s="1382"/>
      <c r="F23" s="1383"/>
      <c r="G23" s="346"/>
      <c r="H23" s="359">
        <f>(G23*H8)*-1</f>
        <v>0</v>
      </c>
      <c r="I23" s="346"/>
      <c r="J23" s="400">
        <f>(I23*J8)*-1</f>
        <v>0</v>
      </c>
      <c r="K23" s="280"/>
      <c r="L23" s="1321"/>
      <c r="M23" s="1322"/>
      <c r="N23" s="1322"/>
      <c r="O23" s="1322"/>
      <c r="P23" s="1322"/>
      <c r="Q23" s="1322"/>
      <c r="R23" s="1322"/>
      <c r="S23" s="1322"/>
      <c r="T23" s="1323"/>
      <c r="U23" s="304"/>
      <c r="X23" s="304"/>
      <c r="AA23" s="349" t="s">
        <v>603</v>
      </c>
    </row>
    <row r="24" spans="2:27" ht="28.5" customHeight="1">
      <c r="B24" s="1369" t="s">
        <v>818</v>
      </c>
      <c r="C24" s="1370"/>
      <c r="D24" s="1370"/>
      <c r="E24" s="1370"/>
      <c r="F24" s="1371"/>
      <c r="G24" s="346"/>
      <c r="H24" s="359">
        <f>G24*H8*-1</f>
        <v>0</v>
      </c>
      <c r="I24" s="346"/>
      <c r="J24" s="400">
        <f>(I24*J8)*-1</f>
        <v>0</v>
      </c>
      <c r="K24" s="280"/>
      <c r="L24" s="1321"/>
      <c r="M24" s="1322"/>
      <c r="N24" s="1322"/>
      <c r="O24" s="1322"/>
      <c r="P24" s="1322"/>
      <c r="Q24" s="1322"/>
      <c r="R24" s="1322"/>
      <c r="S24" s="1322"/>
      <c r="T24" s="1323"/>
      <c r="U24" s="304"/>
      <c r="X24" s="304"/>
      <c r="AA24" s="349" t="s">
        <v>605</v>
      </c>
    </row>
    <row r="25" spans="2:27">
      <c r="B25" s="1372" t="s">
        <v>819</v>
      </c>
      <c r="C25" s="1373"/>
      <c r="D25" s="1373"/>
      <c r="E25" s="1373"/>
      <c r="F25" s="1374"/>
      <c r="G25" s="346"/>
      <c r="H25" s="359">
        <f>G25*H8*-1</f>
        <v>0</v>
      </c>
      <c r="I25" s="346"/>
      <c r="J25" s="400">
        <f>I25*J8*-1</f>
        <v>0</v>
      </c>
      <c r="K25" s="280"/>
      <c r="L25" s="1321"/>
      <c r="M25" s="1322"/>
      <c r="N25" s="1322"/>
      <c r="O25" s="1322"/>
      <c r="P25" s="1322"/>
      <c r="Q25" s="1322"/>
      <c r="R25" s="1322"/>
      <c r="S25" s="1322"/>
      <c r="T25" s="1323"/>
      <c r="U25" s="304"/>
    </row>
    <row r="26" spans="2:27">
      <c r="B26" s="1375" t="s">
        <v>820</v>
      </c>
      <c r="C26" s="1376"/>
      <c r="D26" s="1376"/>
      <c r="E26" s="1376"/>
      <c r="F26" s="1377"/>
      <c r="G26" s="346"/>
      <c r="H26" s="359">
        <f>G26*H8*-1</f>
        <v>0</v>
      </c>
      <c r="I26" s="346"/>
      <c r="J26" s="359">
        <f>I26*J8*-1</f>
        <v>0</v>
      </c>
      <c r="K26" s="280"/>
      <c r="L26" s="1321"/>
      <c r="M26" s="1322"/>
      <c r="N26" s="1322"/>
      <c r="O26" s="1322"/>
      <c r="P26" s="1322"/>
      <c r="Q26" s="1322"/>
      <c r="R26" s="1322"/>
      <c r="S26" s="1322"/>
      <c r="T26" s="1323"/>
      <c r="U26" s="304"/>
    </row>
    <row r="27" spans="2:27" ht="15" customHeight="1">
      <c r="B27" s="1378" t="s">
        <v>735</v>
      </c>
      <c r="C27" s="1379"/>
      <c r="D27" s="1379"/>
      <c r="E27" s="1379"/>
      <c r="F27" s="1379"/>
      <c r="G27" s="350"/>
      <c r="H27" s="389"/>
      <c r="I27" s="350"/>
      <c r="J27" s="390"/>
      <c r="K27" s="280"/>
      <c r="L27" s="1321"/>
      <c r="M27" s="1322"/>
      <c r="N27" s="1322"/>
      <c r="O27" s="1322"/>
      <c r="P27" s="1322"/>
      <c r="Q27" s="1322"/>
      <c r="R27" s="1322"/>
      <c r="S27" s="1322"/>
      <c r="T27" s="1323"/>
      <c r="U27" s="304"/>
    </row>
    <row r="28" spans="2:27">
      <c r="B28" s="1380" t="s">
        <v>821</v>
      </c>
      <c r="C28" s="1370"/>
      <c r="D28" s="1370"/>
      <c r="E28" s="1370"/>
      <c r="F28" s="1371"/>
      <c r="G28" s="346"/>
      <c r="H28" s="359">
        <f>(G28*H8)</f>
        <v>0</v>
      </c>
      <c r="I28" s="346"/>
      <c r="J28" s="400">
        <f>(I28*J8)</f>
        <v>0</v>
      </c>
      <c r="K28" s="280"/>
      <c r="L28" s="1321"/>
      <c r="M28" s="1322"/>
      <c r="N28" s="1322"/>
      <c r="O28" s="1322"/>
      <c r="P28" s="1322"/>
      <c r="Q28" s="1322"/>
      <c r="R28" s="1322"/>
      <c r="S28" s="1322"/>
      <c r="T28" s="1323"/>
      <c r="U28" s="304"/>
    </row>
    <row r="29" spans="2:27">
      <c r="B29" s="1158" t="s">
        <v>822</v>
      </c>
      <c r="C29" s="1159"/>
      <c r="D29" s="1159"/>
      <c r="E29" s="1159"/>
      <c r="F29" s="1160"/>
      <c r="G29" s="1359">
        <f>SUM(H10:H28)</f>
        <v>0</v>
      </c>
      <c r="H29" s="1360"/>
      <c r="I29" s="1361">
        <f>SUM(J10:J28)</f>
        <v>0</v>
      </c>
      <c r="J29" s="1362"/>
      <c r="K29" s="280"/>
      <c r="L29" s="1321"/>
      <c r="M29" s="1322"/>
      <c r="N29" s="1322"/>
      <c r="O29" s="1322"/>
      <c r="P29" s="1322"/>
      <c r="Q29" s="1322"/>
      <c r="R29" s="1322"/>
      <c r="S29" s="1322"/>
      <c r="T29" s="1323"/>
      <c r="U29" s="304"/>
    </row>
    <row r="30" spans="2:27" ht="18.75">
      <c r="B30" s="1363" t="s">
        <v>823</v>
      </c>
      <c r="C30" s="1364"/>
      <c r="D30" s="1364"/>
      <c r="E30" s="1364"/>
      <c r="F30" s="1365"/>
      <c r="G30" s="1161" t="str">
        <f>IF(OR(AA18=0, I29=0), "12 Month Average", "24 Month Average")</f>
        <v>12 Month Average</v>
      </c>
      <c r="H30" s="1162"/>
      <c r="I30" s="1162"/>
      <c r="J30" s="1163"/>
      <c r="K30" s="280"/>
      <c r="L30" s="1321"/>
      <c r="M30" s="1322"/>
      <c r="N30" s="1322"/>
      <c r="O30" s="1322"/>
      <c r="P30" s="1322"/>
      <c r="Q30" s="1322"/>
      <c r="R30" s="1322"/>
      <c r="S30" s="1322"/>
      <c r="T30" s="1323"/>
      <c r="U30" s="304"/>
    </row>
    <row r="31" spans="2:27" ht="34.5" thickBot="1">
      <c r="B31" s="1366" t="s">
        <v>824</v>
      </c>
      <c r="C31" s="1367"/>
      <c r="D31" s="1367"/>
      <c r="E31" s="1367"/>
      <c r="F31" s="1368"/>
      <c r="G31" s="1167">
        <f>IF(OR(AA18=0, I29=0), AA13, AA14)</f>
        <v>0</v>
      </c>
      <c r="H31" s="1168"/>
      <c r="I31" s="1168"/>
      <c r="J31" s="1169"/>
      <c r="L31" s="1324"/>
      <c r="M31" s="1325"/>
      <c r="N31" s="1325"/>
      <c r="O31" s="1325"/>
      <c r="P31" s="1325"/>
      <c r="Q31" s="1325"/>
      <c r="R31" s="1325"/>
      <c r="S31" s="1325"/>
      <c r="T31" s="1326"/>
      <c r="U31" s="304"/>
    </row>
    <row r="32" spans="2:27" ht="9" customHeight="1" thickBot="1">
      <c r="H32" s="330"/>
      <c r="I32" s="330"/>
      <c r="L32" s="424"/>
      <c r="M32" s="424"/>
      <c r="N32" s="424"/>
      <c r="O32" s="424"/>
      <c r="P32" s="424"/>
      <c r="Q32" s="424"/>
      <c r="R32" s="424"/>
      <c r="S32" s="424"/>
      <c r="T32" s="424"/>
      <c r="U32" s="304"/>
    </row>
    <row r="33" spans="2:28" ht="135" customHeight="1" thickBot="1">
      <c r="B33" s="1148" t="s">
        <v>761</v>
      </c>
      <c r="C33" s="1285"/>
      <c r="D33" s="1285"/>
      <c r="E33" s="1285"/>
      <c r="F33" s="1285"/>
      <c r="G33" s="1285"/>
      <c r="H33" s="1285"/>
      <c r="I33" s="1285"/>
      <c r="J33" s="1286"/>
      <c r="L33" s="424"/>
      <c r="M33" s="424"/>
      <c r="N33" s="424"/>
      <c r="O33" s="424"/>
      <c r="P33" s="424"/>
      <c r="Q33" s="424"/>
      <c r="R33" s="424"/>
      <c r="S33" s="424"/>
      <c r="T33" s="424"/>
      <c r="U33" s="304"/>
    </row>
    <row r="34" spans="2:28" ht="9" customHeight="1">
      <c r="B34" s="304"/>
      <c r="C34" s="304"/>
      <c r="D34" s="304"/>
      <c r="E34" s="304"/>
      <c r="F34" s="304"/>
      <c r="G34" s="304"/>
      <c r="H34" s="304"/>
      <c r="I34" s="304"/>
      <c r="L34" s="304"/>
      <c r="M34" s="304"/>
      <c r="N34" s="304"/>
      <c r="O34" s="304"/>
      <c r="P34" s="304"/>
      <c r="Q34" s="304"/>
      <c r="R34" s="304"/>
      <c r="S34" s="304"/>
      <c r="T34" s="304"/>
      <c r="U34" s="304"/>
    </row>
    <row r="35" spans="2:28" ht="13.5" customHeight="1" thickBot="1"/>
    <row r="36" spans="2:28" ht="82.5" customHeight="1">
      <c r="B36" s="1187" t="s">
        <v>791</v>
      </c>
      <c r="C36" s="1188"/>
      <c r="D36" s="1188"/>
      <c r="E36" s="1188"/>
      <c r="F36" s="1188"/>
      <c r="G36" s="1188"/>
      <c r="H36" s="1188"/>
      <c r="I36" s="1188"/>
      <c r="J36" s="331" t="str">
        <f>'[3]Reference Sheet'!$B$2</f>
        <v>Rev. 4.12.2016</v>
      </c>
      <c r="L36" s="424"/>
      <c r="M36" s="424"/>
      <c r="N36" s="424"/>
      <c r="O36" s="424"/>
      <c r="P36" s="424"/>
      <c r="Q36" s="424"/>
      <c r="R36" s="424"/>
      <c r="S36" s="424"/>
      <c r="T36" s="424"/>
      <c r="U36" s="304"/>
    </row>
    <row r="37" spans="2:28" ht="17.25" customHeight="1" thickBot="1">
      <c r="B37" s="332"/>
      <c r="C37" s="368" t="s">
        <v>710</v>
      </c>
      <c r="D37" s="1400"/>
      <c r="E37" s="1401"/>
      <c r="F37" s="1401"/>
      <c r="G37" s="1401"/>
      <c r="H37" s="333"/>
      <c r="I37" s="333"/>
      <c r="J37" s="334"/>
      <c r="L37" s="424"/>
      <c r="M37" s="424"/>
      <c r="N37" s="424"/>
      <c r="O37" s="424"/>
      <c r="P37" s="424"/>
      <c r="Q37" s="424"/>
      <c r="R37" s="424"/>
      <c r="S37" s="424"/>
      <c r="T37" s="424"/>
      <c r="U37" s="304"/>
      <c r="X37" s="304"/>
      <c r="Z37" s="451" t="s">
        <v>717</v>
      </c>
      <c r="AA37" s="451" t="str">
        <f>IF(OR(H42=0, H42&gt;100%), "Shareholder %", G46*H42)</f>
        <v>Shareholder %</v>
      </c>
    </row>
    <row r="38" spans="2:28" ht="17.25" customHeight="1" thickBot="1">
      <c r="B38" s="332"/>
      <c r="C38" s="368" t="s">
        <v>711</v>
      </c>
      <c r="D38" s="1402"/>
      <c r="E38" s="1403"/>
      <c r="F38" s="1403"/>
      <c r="G38" s="1403"/>
      <c r="H38" s="368" t="s">
        <v>712</v>
      </c>
      <c r="I38" s="1400"/>
      <c r="J38" s="1404"/>
      <c r="L38" s="424"/>
      <c r="M38" s="424"/>
      <c r="N38" s="424"/>
      <c r="O38" s="424"/>
      <c r="P38" s="424"/>
      <c r="Q38" s="424"/>
      <c r="R38" s="424"/>
      <c r="S38" s="424"/>
      <c r="T38" s="424"/>
      <c r="U38" s="304"/>
      <c r="X38" s="304"/>
      <c r="Z38" s="451" t="s">
        <v>720</v>
      </c>
      <c r="AA38" s="451" t="str">
        <f>IF(OR(J42&gt;100%, J42=0), "Shareholder %", I46*J42)</f>
        <v>Shareholder %</v>
      </c>
    </row>
    <row r="39" spans="2:28" s="404" customFormat="1" ht="16.5" thickBot="1">
      <c r="B39" s="1393" t="s">
        <v>671</v>
      </c>
      <c r="C39" s="1394"/>
      <c r="D39" s="1405"/>
      <c r="E39" s="1406"/>
      <c r="F39" s="1406"/>
      <c r="G39" s="1406"/>
      <c r="H39" s="452" t="s">
        <v>673</v>
      </c>
      <c r="I39" s="1407"/>
      <c r="J39" s="1408"/>
      <c r="L39" s="424"/>
      <c r="M39" s="424"/>
      <c r="N39" s="424"/>
      <c r="O39" s="424"/>
      <c r="P39" s="424"/>
      <c r="Q39" s="424"/>
      <c r="R39" s="424"/>
      <c r="S39" s="424"/>
      <c r="T39" s="424"/>
      <c r="U39" s="367"/>
      <c r="X39" s="304"/>
      <c r="Y39" s="280"/>
      <c r="Z39" s="451"/>
      <c r="AA39" s="451"/>
      <c r="AB39" s="405"/>
    </row>
    <row r="40" spans="2:28" s="404" customFormat="1" ht="16.5" thickBot="1">
      <c r="B40" s="1393" t="s">
        <v>674</v>
      </c>
      <c r="C40" s="1394"/>
      <c r="D40" s="1395"/>
      <c r="E40" s="1396"/>
      <c r="F40" s="1396"/>
      <c r="G40" s="1396"/>
      <c r="H40" s="1396"/>
      <c r="I40" s="1396"/>
      <c r="J40" s="1397"/>
      <c r="K40" s="405"/>
      <c r="L40" s="424"/>
      <c r="M40" s="424"/>
      <c r="N40" s="424"/>
      <c r="O40" s="424"/>
      <c r="P40" s="424"/>
      <c r="Q40" s="424"/>
      <c r="R40" s="424"/>
      <c r="S40" s="424"/>
      <c r="T40" s="424"/>
      <c r="U40" s="367"/>
      <c r="X40" s="304"/>
      <c r="Y40" s="280"/>
      <c r="Z40" s="451" t="s">
        <v>793</v>
      </c>
      <c r="AA40" s="349" t="str">
        <f>IF(OR(H42=0, H42&gt;100%),"Enter Shareholder %",$J$40)</f>
        <v>Enter Shareholder %</v>
      </c>
      <c r="AB40" s="405"/>
    </row>
    <row r="41" spans="2:28">
      <c r="B41" s="1265"/>
      <c r="C41" s="1266"/>
      <c r="D41" s="1266"/>
      <c r="E41" s="1266"/>
      <c r="F41" s="1267"/>
      <c r="G41" s="453" t="s">
        <v>713</v>
      </c>
      <c r="H41" s="454" t="s">
        <v>676</v>
      </c>
      <c r="I41" s="342"/>
      <c r="J41" s="373" t="s">
        <v>677</v>
      </c>
      <c r="K41" s="280"/>
      <c r="L41" s="424"/>
      <c r="M41" s="424"/>
      <c r="N41" s="424"/>
      <c r="O41" s="424"/>
      <c r="P41" s="424"/>
      <c r="Q41" s="424"/>
      <c r="R41" s="424"/>
      <c r="S41" s="424"/>
      <c r="T41" s="424"/>
      <c r="U41" s="304"/>
      <c r="V41" s="304"/>
      <c r="X41" s="304"/>
      <c r="Z41" s="451" t="s">
        <v>794</v>
      </c>
      <c r="AA41" s="349" t="str">
        <f>IF(OR(J42=0, J42&gt;100%),"Enter Shareholder %",$J$41)</f>
        <v>Enter Shareholder %</v>
      </c>
    </row>
    <row r="42" spans="2:28" ht="15.75" thickBot="1">
      <c r="B42" s="1269"/>
      <c r="C42" s="1270"/>
      <c r="D42" s="1270"/>
      <c r="E42" s="1270"/>
      <c r="F42" s="1271"/>
      <c r="G42" s="408" t="s">
        <v>795</v>
      </c>
      <c r="H42" s="376"/>
      <c r="I42" s="377"/>
      <c r="J42" s="378"/>
      <c r="K42" s="280"/>
      <c r="L42" s="424"/>
      <c r="M42" s="424"/>
      <c r="N42" s="424"/>
      <c r="O42" s="424"/>
      <c r="P42" s="424"/>
      <c r="Q42" s="424"/>
      <c r="R42" s="424"/>
      <c r="S42" s="424"/>
      <c r="T42" s="424"/>
      <c r="U42" s="304"/>
      <c r="V42" s="304"/>
      <c r="X42" s="304"/>
      <c r="Z42" s="451" t="s">
        <v>796</v>
      </c>
      <c r="AA42" s="349">
        <f>SUM(H46:H62)</f>
        <v>0</v>
      </c>
    </row>
    <row r="43" spans="2:28">
      <c r="B43" s="1229" t="s">
        <v>744</v>
      </c>
      <c r="C43" s="1273"/>
      <c r="D43" s="1273"/>
      <c r="E43" s="1273"/>
      <c r="F43" s="1273"/>
      <c r="G43" s="455" t="s">
        <v>719</v>
      </c>
      <c r="H43" s="413"/>
      <c r="I43" s="456" t="s">
        <v>719</v>
      </c>
      <c r="J43" s="415"/>
      <c r="K43" s="280"/>
      <c r="L43" s="424"/>
      <c r="M43" s="424"/>
      <c r="N43" s="424"/>
      <c r="O43" s="424"/>
      <c r="P43" s="424"/>
      <c r="Q43" s="424"/>
      <c r="R43" s="424"/>
      <c r="S43" s="424"/>
      <c r="T43" s="424"/>
      <c r="U43" s="304"/>
      <c r="V43" s="304"/>
      <c r="X43" s="304"/>
      <c r="Z43" s="451" t="s">
        <v>797</v>
      </c>
      <c r="AA43" s="362">
        <f>SUM(J46:J62)</f>
        <v>0</v>
      </c>
    </row>
    <row r="44" spans="2:28">
      <c r="B44" s="1384" t="s">
        <v>798</v>
      </c>
      <c r="C44" s="1385"/>
      <c r="D44" s="1385"/>
      <c r="E44" s="1385"/>
      <c r="F44" s="1386"/>
      <c r="G44" s="457"/>
      <c r="H44" s="458">
        <f>G44</f>
        <v>0</v>
      </c>
      <c r="I44" s="457"/>
      <c r="J44" s="400">
        <f>I44</f>
        <v>0</v>
      </c>
      <c r="K44" s="280"/>
      <c r="L44" s="424"/>
      <c r="M44" s="424"/>
      <c r="N44" s="424"/>
      <c r="O44" s="424"/>
      <c r="P44" s="424"/>
      <c r="Q44" s="424"/>
      <c r="R44" s="424"/>
      <c r="S44" s="424"/>
      <c r="T44" s="424"/>
      <c r="U44" s="304"/>
      <c r="V44" s="304"/>
      <c r="X44" s="304"/>
    </row>
    <row r="45" spans="2:28">
      <c r="B45" s="1398">
        <v>1120</v>
      </c>
      <c r="C45" s="1399"/>
      <c r="D45" s="1399"/>
      <c r="E45" s="1399"/>
      <c r="F45" s="1399"/>
      <c r="G45" s="350"/>
      <c r="H45" s="389"/>
      <c r="I45" s="350"/>
      <c r="J45" s="390"/>
      <c r="K45" s="280"/>
      <c r="L45" s="424"/>
      <c r="M45" s="424"/>
      <c r="N45" s="424"/>
      <c r="O45" s="424"/>
      <c r="P45" s="424"/>
      <c r="Q45" s="424"/>
      <c r="R45" s="424"/>
      <c r="S45" s="424"/>
      <c r="T45" s="424"/>
      <c r="U45" s="304"/>
      <c r="V45" s="304"/>
      <c r="X45" s="304"/>
      <c r="Z45" s="451" t="s">
        <v>799</v>
      </c>
      <c r="AA45" s="280">
        <f>IF(OR(H42=0, H42=10%), 0, 1)</f>
        <v>0</v>
      </c>
    </row>
    <row r="46" spans="2:28">
      <c r="B46" s="1384" t="s">
        <v>800</v>
      </c>
      <c r="C46" s="1385"/>
      <c r="D46" s="1385"/>
      <c r="E46" s="1385"/>
      <c r="F46" s="1386"/>
      <c r="G46" s="459"/>
      <c r="H46" s="387" t="str">
        <f>AA37</f>
        <v>Shareholder %</v>
      </c>
      <c r="I46" s="346"/>
      <c r="J46" s="388" t="str">
        <f>AA38</f>
        <v>Shareholder %</v>
      </c>
      <c r="K46" s="280"/>
      <c r="L46" s="424"/>
      <c r="M46" s="424"/>
      <c r="N46" s="424"/>
      <c r="O46" s="424"/>
      <c r="P46" s="424"/>
      <c r="Q46" s="424"/>
      <c r="R46" s="424"/>
      <c r="S46" s="424"/>
      <c r="T46" s="424"/>
      <c r="U46" s="304"/>
      <c r="V46" s="304"/>
      <c r="X46" s="304"/>
      <c r="Z46" s="451" t="s">
        <v>801</v>
      </c>
      <c r="AA46" s="280">
        <f>IF(OR(J42=0, J42+100%), 0, 1)</f>
        <v>0</v>
      </c>
    </row>
    <row r="47" spans="2:28">
      <c r="B47" s="1297" t="s">
        <v>802</v>
      </c>
      <c r="C47" s="1298"/>
      <c r="D47" s="1298"/>
      <c r="E47" s="1298"/>
      <c r="F47" s="1298"/>
      <c r="G47" s="460"/>
      <c r="H47" s="416"/>
      <c r="I47" s="460"/>
      <c r="J47" s="417"/>
      <c r="K47" s="280"/>
      <c r="L47" s="424"/>
      <c r="M47" s="424"/>
      <c r="N47" s="424"/>
      <c r="O47" s="424"/>
      <c r="P47" s="424"/>
      <c r="Q47" s="424"/>
      <c r="R47" s="424"/>
      <c r="S47" s="424"/>
      <c r="T47" s="424"/>
      <c r="U47" s="304"/>
      <c r="V47" s="304"/>
      <c r="X47" s="304"/>
      <c r="Z47" s="451" t="s">
        <v>803</v>
      </c>
      <c r="AA47" s="362">
        <f>G63/12</f>
        <v>0</v>
      </c>
    </row>
    <row r="48" spans="2:28">
      <c r="B48" s="1387" t="s">
        <v>804</v>
      </c>
      <c r="C48" s="1388"/>
      <c r="D48" s="1388"/>
      <c r="E48" s="1388"/>
      <c r="F48" s="1389"/>
      <c r="G48" s="461"/>
      <c r="H48" s="419">
        <f>(G48*H42)*-1</f>
        <v>0</v>
      </c>
      <c r="I48" s="461"/>
      <c r="J48" s="420">
        <f>(I48*J42)*-1</f>
        <v>0</v>
      </c>
      <c r="K48" s="280"/>
      <c r="L48" s="424"/>
      <c r="M48" s="424"/>
      <c r="N48" s="424"/>
      <c r="O48" s="424"/>
      <c r="P48" s="424"/>
      <c r="Q48" s="424"/>
      <c r="R48" s="424"/>
      <c r="S48" s="424"/>
      <c r="T48" s="424"/>
      <c r="U48" s="304"/>
      <c r="V48" s="304"/>
      <c r="X48" s="304"/>
      <c r="Z48" s="451" t="s">
        <v>805</v>
      </c>
      <c r="AA48" s="362">
        <f>(G63+I63)/24</f>
        <v>0</v>
      </c>
    </row>
    <row r="49" spans="2:27">
      <c r="B49" s="1390" t="s">
        <v>806</v>
      </c>
      <c r="C49" s="1391"/>
      <c r="D49" s="1391"/>
      <c r="E49" s="1391"/>
      <c r="F49" s="1392"/>
      <c r="G49" s="461"/>
      <c r="H49" s="419">
        <f>(G49*H42)*-1</f>
        <v>0</v>
      </c>
      <c r="I49" s="461"/>
      <c r="J49" s="420">
        <f>(I49*J42)*-1</f>
        <v>0</v>
      </c>
      <c r="K49" s="280"/>
      <c r="L49" s="424"/>
      <c r="M49" s="424"/>
      <c r="N49" s="424"/>
      <c r="O49" s="424"/>
      <c r="P49" s="424"/>
      <c r="Q49" s="424"/>
      <c r="R49" s="424"/>
      <c r="S49" s="424"/>
      <c r="T49" s="424"/>
      <c r="U49" s="304"/>
      <c r="V49" s="304"/>
      <c r="X49" s="304"/>
      <c r="Z49" s="451"/>
    </row>
    <row r="50" spans="2:27">
      <c r="B50" s="1302" t="s">
        <v>807</v>
      </c>
      <c r="C50" s="1303"/>
      <c r="D50" s="1303"/>
      <c r="E50" s="1303"/>
      <c r="F50" s="1304"/>
      <c r="G50" s="461"/>
      <c r="H50" s="419">
        <f>(G50*H42)*-1</f>
        <v>0</v>
      </c>
      <c r="I50" s="461"/>
      <c r="J50" s="420">
        <f>(I50*J42)*-1</f>
        <v>0</v>
      </c>
      <c r="K50" s="280"/>
      <c r="L50" s="424"/>
      <c r="M50" s="424"/>
      <c r="N50" s="424"/>
      <c r="O50" s="424"/>
      <c r="P50" s="424"/>
      <c r="Q50" s="424"/>
      <c r="R50" s="424"/>
      <c r="S50" s="424"/>
      <c r="T50" s="424"/>
      <c r="U50" s="304"/>
      <c r="V50" s="304"/>
      <c r="X50" s="304"/>
      <c r="Z50" s="451" t="s">
        <v>808</v>
      </c>
      <c r="AA50" s="280">
        <f>IF(AND(J44=0, J46=0, J48=0, J49=0, J50=0, J52=0, J53=0, J54=0, J55=0, J57=0, J58=0, J59=0, J60=0, J62=0, I63=0), 0, 1)</f>
        <v>1</v>
      </c>
    </row>
    <row r="51" spans="2:27">
      <c r="B51" s="1229" t="s">
        <v>809</v>
      </c>
      <c r="C51" s="1230"/>
      <c r="D51" s="1230"/>
      <c r="E51" s="1230"/>
      <c r="F51" s="1230"/>
      <c r="G51" s="350"/>
      <c r="H51" s="351"/>
      <c r="I51" s="350"/>
      <c r="J51" s="352"/>
      <c r="K51" s="280"/>
      <c r="L51" s="424"/>
      <c r="M51" s="424"/>
      <c r="N51" s="424"/>
      <c r="O51" s="424"/>
      <c r="P51" s="424"/>
      <c r="Q51" s="424"/>
      <c r="R51" s="424"/>
      <c r="S51" s="424"/>
      <c r="T51" s="424"/>
      <c r="U51" s="304"/>
      <c r="V51" s="304"/>
      <c r="X51" s="304"/>
      <c r="Z51" s="451" t="s">
        <v>810</v>
      </c>
      <c r="AA51" s="280">
        <f>IF(AND(G63&lt;=I63, I63&lt;&gt;0), 0, 1)</f>
        <v>1</v>
      </c>
    </row>
    <row r="52" spans="2:27">
      <c r="B52" s="1243" t="s">
        <v>811</v>
      </c>
      <c r="C52" s="1244"/>
      <c r="D52" s="1244"/>
      <c r="E52" s="1244"/>
      <c r="F52" s="1245"/>
      <c r="G52" s="346"/>
      <c r="H52" s="384">
        <f>G52*H42</f>
        <v>0</v>
      </c>
      <c r="I52" s="346"/>
      <c r="J52" s="385">
        <f>I52*J42</f>
        <v>0</v>
      </c>
      <c r="K52" s="280"/>
      <c r="L52" s="424"/>
      <c r="M52" s="424"/>
      <c r="N52" s="424"/>
      <c r="O52" s="424"/>
      <c r="P52" s="424"/>
      <c r="Q52" s="424"/>
      <c r="R52" s="424"/>
      <c r="S52" s="424"/>
      <c r="T52" s="424"/>
      <c r="U52" s="304"/>
      <c r="V52" s="304"/>
      <c r="X52" s="304"/>
      <c r="Z52" s="451" t="s">
        <v>812</v>
      </c>
      <c r="AA52" s="280">
        <f>IF(AND(AA51=0, AA50=1), 0, 1)</f>
        <v>1</v>
      </c>
    </row>
    <row r="53" spans="2:27">
      <c r="B53" s="1381" t="s">
        <v>813</v>
      </c>
      <c r="C53" s="1224"/>
      <c r="D53" s="1224"/>
      <c r="E53" s="1224"/>
      <c r="F53" s="1225"/>
      <c r="G53" s="346"/>
      <c r="H53" s="384">
        <f>G53*H42</f>
        <v>0</v>
      </c>
      <c r="I53" s="346"/>
      <c r="J53" s="385">
        <f>I53*J42</f>
        <v>0</v>
      </c>
      <c r="K53" s="280"/>
      <c r="L53" s="424"/>
      <c r="M53" s="424"/>
      <c r="N53" s="424"/>
      <c r="O53" s="424"/>
      <c r="P53" s="424"/>
      <c r="Q53" s="424"/>
      <c r="R53" s="424"/>
      <c r="S53" s="424"/>
      <c r="T53" s="424"/>
      <c r="U53" s="304"/>
      <c r="X53" s="304"/>
    </row>
    <row r="54" spans="2:27">
      <c r="B54" s="1223" t="s">
        <v>814</v>
      </c>
      <c r="C54" s="1224"/>
      <c r="D54" s="1224"/>
      <c r="E54" s="1224"/>
      <c r="F54" s="1225"/>
      <c r="G54" s="346"/>
      <c r="H54" s="384">
        <f>G54*H42</f>
        <v>0</v>
      </c>
      <c r="I54" s="346"/>
      <c r="J54" s="385">
        <f>I54*J42</f>
        <v>0</v>
      </c>
      <c r="K54" s="280"/>
      <c r="L54" s="424"/>
      <c r="M54" s="424"/>
      <c r="N54" s="424"/>
      <c r="O54" s="424"/>
      <c r="P54" s="424"/>
      <c r="Q54" s="424"/>
      <c r="R54" s="424"/>
      <c r="S54" s="424"/>
      <c r="T54" s="424"/>
      <c r="U54" s="304"/>
      <c r="X54" s="304"/>
      <c r="AA54" s="349" t="s">
        <v>596</v>
      </c>
    </row>
    <row r="55" spans="2:27">
      <c r="B55" s="1226" t="s">
        <v>825</v>
      </c>
      <c r="C55" s="1227"/>
      <c r="D55" s="1227"/>
      <c r="E55" s="1227"/>
      <c r="F55" s="1228"/>
      <c r="G55" s="346"/>
      <c r="H55" s="384">
        <f>G55*H42</f>
        <v>0</v>
      </c>
      <c r="I55" s="346"/>
      <c r="J55" s="385">
        <f>I55*J42</f>
        <v>0</v>
      </c>
      <c r="K55" s="280"/>
      <c r="L55" s="424"/>
      <c r="M55" s="424"/>
      <c r="N55" s="424"/>
      <c r="O55" s="424"/>
      <c r="P55" s="424"/>
      <c r="Q55" s="424"/>
      <c r="R55" s="424"/>
      <c r="S55" s="424"/>
      <c r="T55" s="424"/>
      <c r="U55" s="304"/>
      <c r="X55" s="304"/>
      <c r="Z55" s="462"/>
      <c r="AA55" s="349" t="s">
        <v>683</v>
      </c>
    </row>
    <row r="56" spans="2:27">
      <c r="B56" s="1229" t="s">
        <v>816</v>
      </c>
      <c r="C56" s="1230"/>
      <c r="D56" s="1230"/>
      <c r="E56" s="1230"/>
      <c r="F56" s="1230"/>
      <c r="G56" s="351"/>
      <c r="H56" s="351"/>
      <c r="I56" s="351"/>
      <c r="J56" s="352"/>
      <c r="K56" s="280"/>
      <c r="L56" s="424"/>
      <c r="M56" s="424"/>
      <c r="N56" s="424"/>
      <c r="O56" s="424"/>
      <c r="P56" s="424"/>
      <c r="Q56" s="424"/>
      <c r="R56" s="424"/>
      <c r="S56" s="424"/>
      <c r="T56" s="424"/>
      <c r="U56" s="304"/>
      <c r="X56" s="304"/>
      <c r="AA56" s="349" t="s">
        <v>599</v>
      </c>
    </row>
    <row r="57" spans="2:27">
      <c r="B57" s="1231" t="s">
        <v>817</v>
      </c>
      <c r="C57" s="1382"/>
      <c r="D57" s="1382"/>
      <c r="E57" s="1382"/>
      <c r="F57" s="1383"/>
      <c r="G57" s="346"/>
      <c r="H57" s="359">
        <f>(G57*H42)*-1</f>
        <v>0</v>
      </c>
      <c r="I57" s="346"/>
      <c r="J57" s="400">
        <f>(I57*J42)*-1</f>
        <v>0</v>
      </c>
      <c r="K57" s="280"/>
      <c r="L57" s="424"/>
      <c r="M57" s="424"/>
      <c r="N57" s="424"/>
      <c r="O57" s="424"/>
      <c r="P57" s="424"/>
      <c r="Q57" s="424"/>
      <c r="R57" s="424"/>
      <c r="S57" s="424"/>
      <c r="T57" s="424"/>
      <c r="U57" s="304"/>
      <c r="X57" s="304"/>
      <c r="AA57" s="349" t="s">
        <v>603</v>
      </c>
    </row>
    <row r="58" spans="2:27" ht="28.5" customHeight="1">
      <c r="B58" s="1369" t="s">
        <v>818</v>
      </c>
      <c r="C58" s="1370"/>
      <c r="D58" s="1370"/>
      <c r="E58" s="1370"/>
      <c r="F58" s="1371"/>
      <c r="G58" s="346"/>
      <c r="H58" s="359">
        <f>G58*H42*-1</f>
        <v>0</v>
      </c>
      <c r="I58" s="346"/>
      <c r="J58" s="400">
        <f>(I58*J42)*-1</f>
        <v>0</v>
      </c>
      <c r="K58" s="280"/>
      <c r="L58" s="424"/>
      <c r="M58" s="424"/>
      <c r="N58" s="424"/>
      <c r="O58" s="424"/>
      <c r="P58" s="424"/>
      <c r="Q58" s="424"/>
      <c r="R58" s="424"/>
      <c r="S58" s="424"/>
      <c r="T58" s="424"/>
      <c r="U58" s="304"/>
      <c r="X58" s="304"/>
      <c r="AA58" s="349" t="s">
        <v>605</v>
      </c>
    </row>
    <row r="59" spans="2:27">
      <c r="B59" s="1372" t="s">
        <v>819</v>
      </c>
      <c r="C59" s="1373"/>
      <c r="D59" s="1373"/>
      <c r="E59" s="1373"/>
      <c r="F59" s="1374"/>
      <c r="G59" s="346"/>
      <c r="H59" s="359">
        <f>G59*H42*-1</f>
        <v>0</v>
      </c>
      <c r="I59" s="346"/>
      <c r="J59" s="400">
        <f>I59*J42*-1</f>
        <v>0</v>
      </c>
      <c r="K59" s="280"/>
      <c r="L59" s="424"/>
      <c r="M59" s="424"/>
      <c r="N59" s="424"/>
      <c r="O59" s="424"/>
      <c r="P59" s="424"/>
      <c r="Q59" s="424"/>
      <c r="R59" s="424"/>
      <c r="S59" s="424"/>
      <c r="T59" s="424"/>
      <c r="U59" s="304"/>
    </row>
    <row r="60" spans="2:27">
      <c r="B60" s="1375" t="s">
        <v>820</v>
      </c>
      <c r="C60" s="1376"/>
      <c r="D60" s="1376"/>
      <c r="E60" s="1376"/>
      <c r="F60" s="1377"/>
      <c r="G60" s="346"/>
      <c r="H60" s="359">
        <f>G60*H42*-1</f>
        <v>0</v>
      </c>
      <c r="I60" s="346"/>
      <c r="J60" s="359">
        <f>I60*J42*-1</f>
        <v>0</v>
      </c>
      <c r="K60" s="280"/>
      <c r="L60" s="424"/>
      <c r="M60" s="424"/>
      <c r="N60" s="424"/>
      <c r="O60" s="424"/>
      <c r="P60" s="424"/>
      <c r="Q60" s="424"/>
      <c r="R60" s="424"/>
      <c r="S60" s="424"/>
      <c r="T60" s="424"/>
      <c r="U60" s="304"/>
    </row>
    <row r="61" spans="2:27" ht="15" customHeight="1">
      <c r="B61" s="1378" t="s">
        <v>735</v>
      </c>
      <c r="C61" s="1379"/>
      <c r="D61" s="1379"/>
      <c r="E61" s="1379"/>
      <c r="F61" s="1379"/>
      <c r="G61" s="350"/>
      <c r="H61" s="389"/>
      <c r="I61" s="350"/>
      <c r="J61" s="390"/>
      <c r="K61" s="280"/>
      <c r="L61" s="424"/>
      <c r="M61" s="424"/>
      <c r="N61" s="424"/>
      <c r="O61" s="424"/>
      <c r="P61" s="424"/>
      <c r="Q61" s="424"/>
      <c r="R61" s="424"/>
      <c r="S61" s="424"/>
      <c r="T61" s="424"/>
      <c r="U61" s="304"/>
    </row>
    <row r="62" spans="2:27">
      <c r="B62" s="1380" t="s">
        <v>821</v>
      </c>
      <c r="C62" s="1370"/>
      <c r="D62" s="1370"/>
      <c r="E62" s="1370"/>
      <c r="F62" s="1371"/>
      <c r="G62" s="346"/>
      <c r="H62" s="359">
        <f>(G62*H42)</f>
        <v>0</v>
      </c>
      <c r="I62" s="346"/>
      <c r="J62" s="400">
        <f>(I62*J42)</f>
        <v>0</v>
      </c>
      <c r="K62" s="280"/>
      <c r="L62" s="424"/>
      <c r="M62" s="424"/>
      <c r="N62" s="424"/>
      <c r="O62" s="424"/>
      <c r="P62" s="424"/>
      <c r="Q62" s="424"/>
      <c r="R62" s="424"/>
      <c r="S62" s="424"/>
      <c r="T62" s="424"/>
      <c r="U62" s="304"/>
    </row>
    <row r="63" spans="2:27">
      <c r="B63" s="1158" t="s">
        <v>822</v>
      </c>
      <c r="C63" s="1159"/>
      <c r="D63" s="1159"/>
      <c r="E63" s="1159"/>
      <c r="F63" s="1160"/>
      <c r="G63" s="1359">
        <f>SUM(H44:H62)</f>
        <v>0</v>
      </c>
      <c r="H63" s="1360"/>
      <c r="I63" s="1361">
        <f>SUM(J44:J62)</f>
        <v>0</v>
      </c>
      <c r="J63" s="1362"/>
      <c r="K63" s="280"/>
      <c r="L63" s="424"/>
      <c r="M63" s="424"/>
      <c r="N63" s="424"/>
      <c r="O63" s="424"/>
      <c r="P63" s="424"/>
      <c r="Q63" s="424"/>
      <c r="R63" s="424"/>
      <c r="S63" s="424"/>
      <c r="T63" s="424"/>
      <c r="U63" s="304"/>
    </row>
    <row r="64" spans="2:27" ht="18.75">
      <c r="B64" s="1363" t="s">
        <v>823</v>
      </c>
      <c r="C64" s="1364"/>
      <c r="D64" s="1364"/>
      <c r="E64" s="1364"/>
      <c r="F64" s="1365"/>
      <c r="G64" s="1161" t="str">
        <f>IF(OR(AA52=0, I63=0), "12 Month Average", "24 Month Average")</f>
        <v>12 Month Average</v>
      </c>
      <c r="H64" s="1162"/>
      <c r="I64" s="1162"/>
      <c r="J64" s="1163"/>
      <c r="K64" s="280"/>
      <c r="L64" s="424"/>
      <c r="M64" s="424"/>
      <c r="N64" s="424"/>
      <c r="O64" s="424"/>
      <c r="P64" s="424"/>
      <c r="Q64" s="424"/>
      <c r="R64" s="424"/>
      <c r="S64" s="424"/>
      <c r="T64" s="424"/>
      <c r="U64" s="304"/>
    </row>
    <row r="65" spans="2:28" ht="34.5" thickBot="1">
      <c r="B65" s="1366" t="s">
        <v>824</v>
      </c>
      <c r="C65" s="1367"/>
      <c r="D65" s="1367"/>
      <c r="E65" s="1367"/>
      <c r="F65" s="1368"/>
      <c r="G65" s="1167">
        <f>IF(OR(AA52=0, I63=0), AA47, AA48)</f>
        <v>0</v>
      </c>
      <c r="H65" s="1168"/>
      <c r="I65" s="1168"/>
      <c r="J65" s="1169"/>
      <c r="L65" s="424"/>
      <c r="M65" s="424"/>
      <c r="N65" s="424"/>
      <c r="O65" s="424"/>
      <c r="P65" s="424"/>
      <c r="Q65" s="424"/>
      <c r="R65" s="424"/>
      <c r="S65" s="424"/>
      <c r="T65" s="424"/>
      <c r="U65" s="304"/>
    </row>
    <row r="66" spans="2:28" ht="9" customHeight="1" thickBot="1">
      <c r="H66" s="330"/>
      <c r="I66" s="330"/>
      <c r="L66" s="424"/>
      <c r="M66" s="424"/>
      <c r="N66" s="424"/>
      <c r="O66" s="424"/>
      <c r="P66" s="424"/>
      <c r="Q66" s="424"/>
      <c r="R66" s="424"/>
      <c r="S66" s="424"/>
      <c r="T66" s="424"/>
      <c r="U66" s="304"/>
    </row>
    <row r="67" spans="2:28" ht="135" customHeight="1" thickBot="1">
      <c r="B67" s="1148" t="s">
        <v>761</v>
      </c>
      <c r="C67" s="1285"/>
      <c r="D67" s="1285"/>
      <c r="E67" s="1285"/>
      <c r="F67" s="1285"/>
      <c r="G67" s="1285"/>
      <c r="H67" s="1285"/>
      <c r="I67" s="1285"/>
      <c r="J67" s="1286"/>
      <c r="L67" s="424"/>
      <c r="M67" s="424"/>
      <c r="N67" s="424"/>
      <c r="O67" s="424"/>
      <c r="P67" s="424"/>
      <c r="Q67" s="424"/>
      <c r="R67" s="424"/>
      <c r="S67" s="424"/>
      <c r="T67" s="424"/>
      <c r="U67" s="304"/>
    </row>
    <row r="68" spans="2:28" ht="9" customHeight="1">
      <c r="B68" s="304"/>
      <c r="C68" s="304"/>
      <c r="D68" s="304"/>
      <c r="E68" s="304"/>
      <c r="F68" s="304"/>
      <c r="G68" s="304"/>
      <c r="H68" s="304"/>
      <c r="I68" s="304"/>
      <c r="L68" s="304"/>
      <c r="M68" s="304"/>
      <c r="N68" s="304"/>
      <c r="O68" s="304"/>
      <c r="P68" s="304"/>
      <c r="Q68" s="304"/>
      <c r="R68" s="304"/>
      <c r="S68" s="304"/>
      <c r="T68" s="304"/>
      <c r="U68" s="304"/>
    </row>
    <row r="69" spans="2:28" ht="13.5" customHeight="1" thickBot="1"/>
    <row r="70" spans="2:28" ht="82.5" customHeight="1">
      <c r="B70" s="1187" t="s">
        <v>791</v>
      </c>
      <c r="C70" s="1188"/>
      <c r="D70" s="1188"/>
      <c r="E70" s="1188"/>
      <c r="F70" s="1188"/>
      <c r="G70" s="1188"/>
      <c r="H70" s="1188"/>
      <c r="I70" s="1188"/>
      <c r="J70" s="331" t="str">
        <f>'[3]Reference Sheet'!$B$2</f>
        <v>Rev. 4.12.2016</v>
      </c>
      <c r="L70" s="424"/>
      <c r="M70" s="424"/>
      <c r="N70" s="424"/>
      <c r="O70" s="424"/>
      <c r="P70" s="424"/>
      <c r="Q70" s="424"/>
      <c r="R70" s="424"/>
      <c r="S70" s="424"/>
      <c r="T70" s="424"/>
      <c r="U70" s="304"/>
    </row>
    <row r="71" spans="2:28" ht="17.25" customHeight="1" thickBot="1">
      <c r="B71" s="332"/>
      <c r="C71" s="368" t="s">
        <v>710</v>
      </c>
      <c r="D71" s="1400"/>
      <c r="E71" s="1401"/>
      <c r="F71" s="1401"/>
      <c r="G71" s="1401"/>
      <c r="H71" s="333"/>
      <c r="I71" s="333"/>
      <c r="J71" s="334"/>
      <c r="L71" s="424"/>
      <c r="M71" s="424"/>
      <c r="N71" s="424"/>
      <c r="O71" s="424"/>
      <c r="P71" s="424"/>
      <c r="Q71" s="424"/>
      <c r="R71" s="424"/>
      <c r="S71" s="424"/>
      <c r="T71" s="424"/>
      <c r="U71" s="304"/>
      <c r="X71" s="304"/>
      <c r="Z71" s="451" t="s">
        <v>717</v>
      </c>
      <c r="AA71" s="451" t="str">
        <f>IF(OR(H76=0, H76&gt;100%), "Shareholder %", G80*H76)</f>
        <v>Shareholder %</v>
      </c>
    </row>
    <row r="72" spans="2:28" ht="17.25" customHeight="1" thickBot="1">
      <c r="B72" s="332"/>
      <c r="C72" s="368" t="s">
        <v>711</v>
      </c>
      <c r="D72" s="1402"/>
      <c r="E72" s="1403"/>
      <c r="F72" s="1403"/>
      <c r="G72" s="1403"/>
      <c r="H72" s="368" t="s">
        <v>712</v>
      </c>
      <c r="I72" s="1400"/>
      <c r="J72" s="1404"/>
      <c r="L72" s="424"/>
      <c r="M72" s="424"/>
      <c r="N72" s="424"/>
      <c r="O72" s="424"/>
      <c r="P72" s="424"/>
      <c r="Q72" s="424"/>
      <c r="R72" s="424"/>
      <c r="S72" s="424"/>
      <c r="T72" s="424"/>
      <c r="U72" s="304"/>
      <c r="X72" s="304"/>
      <c r="Z72" s="451" t="s">
        <v>720</v>
      </c>
      <c r="AA72" s="451" t="str">
        <f>IF(OR(J76&gt;100%, J76=0), "Shareholder %", I80*J76)</f>
        <v>Shareholder %</v>
      </c>
    </row>
    <row r="73" spans="2:28" s="404" customFormat="1" ht="16.5" thickBot="1">
      <c r="B73" s="1393" t="s">
        <v>671</v>
      </c>
      <c r="C73" s="1394"/>
      <c r="D73" s="1405"/>
      <c r="E73" s="1406"/>
      <c r="F73" s="1406"/>
      <c r="G73" s="1406"/>
      <c r="H73" s="452" t="s">
        <v>673</v>
      </c>
      <c r="I73" s="1407"/>
      <c r="J73" s="1408"/>
      <c r="L73" s="424"/>
      <c r="M73" s="424"/>
      <c r="N73" s="424"/>
      <c r="O73" s="424"/>
      <c r="P73" s="424"/>
      <c r="Q73" s="424"/>
      <c r="R73" s="424"/>
      <c r="S73" s="424"/>
      <c r="T73" s="424"/>
      <c r="U73" s="367"/>
      <c r="X73" s="304"/>
      <c r="Y73" s="280"/>
      <c r="Z73" s="451"/>
      <c r="AA73" s="451"/>
      <c r="AB73" s="405"/>
    </row>
    <row r="74" spans="2:28" s="404" customFormat="1" ht="16.5" thickBot="1">
      <c r="B74" s="1393" t="s">
        <v>674</v>
      </c>
      <c r="C74" s="1394"/>
      <c r="D74" s="1395"/>
      <c r="E74" s="1396"/>
      <c r="F74" s="1396"/>
      <c r="G74" s="1396"/>
      <c r="H74" s="1396"/>
      <c r="I74" s="1396"/>
      <c r="J74" s="1397"/>
      <c r="K74" s="405"/>
      <c r="L74" s="424"/>
      <c r="M74" s="424"/>
      <c r="N74" s="424"/>
      <c r="O74" s="424"/>
      <c r="P74" s="424"/>
      <c r="Q74" s="424"/>
      <c r="R74" s="424"/>
      <c r="S74" s="424"/>
      <c r="T74" s="424"/>
      <c r="U74" s="367"/>
      <c r="X74" s="304"/>
      <c r="Y74" s="280"/>
      <c r="Z74" s="451" t="s">
        <v>793</v>
      </c>
      <c r="AA74" s="349" t="str">
        <f>IF(OR(H76=0, H76&gt;100%),"Enter Shareholder %",$J$40)</f>
        <v>Enter Shareholder %</v>
      </c>
      <c r="AB74" s="405"/>
    </row>
    <row r="75" spans="2:28">
      <c r="B75" s="1265"/>
      <c r="C75" s="1266"/>
      <c r="D75" s="1266"/>
      <c r="E75" s="1266"/>
      <c r="F75" s="1267"/>
      <c r="G75" s="453" t="s">
        <v>713</v>
      </c>
      <c r="H75" s="454" t="s">
        <v>676</v>
      </c>
      <c r="I75" s="342"/>
      <c r="J75" s="373" t="s">
        <v>677</v>
      </c>
      <c r="K75" s="280"/>
      <c r="L75" s="424"/>
      <c r="M75" s="424"/>
      <c r="N75" s="424"/>
      <c r="O75" s="424"/>
      <c r="P75" s="424"/>
      <c r="Q75" s="424"/>
      <c r="R75" s="424"/>
      <c r="S75" s="424"/>
      <c r="T75" s="424"/>
      <c r="U75" s="304"/>
      <c r="V75" s="304"/>
      <c r="X75" s="304"/>
      <c r="Z75" s="451" t="s">
        <v>794</v>
      </c>
      <c r="AA75" s="349" t="str">
        <f>IF(OR(J76=0, J76&gt;100%),"Enter Shareholder %",$J$41)</f>
        <v>Enter Shareholder %</v>
      </c>
    </row>
    <row r="76" spans="2:28" ht="15.75" thickBot="1">
      <c r="B76" s="1269"/>
      <c r="C76" s="1270"/>
      <c r="D76" s="1270"/>
      <c r="E76" s="1270"/>
      <c r="F76" s="1271"/>
      <c r="G76" s="408" t="s">
        <v>795</v>
      </c>
      <c r="H76" s="376"/>
      <c r="I76" s="377"/>
      <c r="J76" s="378"/>
      <c r="K76" s="280"/>
      <c r="L76" s="424"/>
      <c r="M76" s="424"/>
      <c r="N76" s="424"/>
      <c r="O76" s="424"/>
      <c r="P76" s="424"/>
      <c r="Q76" s="424"/>
      <c r="R76" s="424"/>
      <c r="S76" s="424"/>
      <c r="T76" s="424"/>
      <c r="U76" s="304"/>
      <c r="V76" s="304"/>
      <c r="X76" s="304"/>
      <c r="Z76" s="451" t="s">
        <v>796</v>
      </c>
      <c r="AA76" s="349">
        <f>SUM(H80:H96)</f>
        <v>0</v>
      </c>
    </row>
    <row r="77" spans="2:28">
      <c r="B77" s="1229" t="s">
        <v>744</v>
      </c>
      <c r="C77" s="1273"/>
      <c r="D77" s="1273"/>
      <c r="E77" s="1273"/>
      <c r="F77" s="1273"/>
      <c r="G77" s="455" t="s">
        <v>719</v>
      </c>
      <c r="H77" s="413"/>
      <c r="I77" s="456" t="s">
        <v>719</v>
      </c>
      <c r="J77" s="415"/>
      <c r="K77" s="280"/>
      <c r="L77" s="424"/>
      <c r="M77" s="424"/>
      <c r="N77" s="424"/>
      <c r="O77" s="424"/>
      <c r="P77" s="424"/>
      <c r="Q77" s="424"/>
      <c r="R77" s="424"/>
      <c r="S77" s="424"/>
      <c r="T77" s="424"/>
      <c r="U77" s="304"/>
      <c r="V77" s="304"/>
      <c r="X77" s="304"/>
      <c r="Z77" s="451" t="s">
        <v>797</v>
      </c>
      <c r="AA77" s="362">
        <f>SUM(J80:J96)</f>
        <v>0</v>
      </c>
    </row>
    <row r="78" spans="2:28">
      <c r="B78" s="1384" t="s">
        <v>798</v>
      </c>
      <c r="C78" s="1385"/>
      <c r="D78" s="1385"/>
      <c r="E78" s="1385"/>
      <c r="F78" s="1386"/>
      <c r="G78" s="457"/>
      <c r="H78" s="458">
        <f>G78</f>
        <v>0</v>
      </c>
      <c r="I78" s="457"/>
      <c r="J78" s="400">
        <f>I78</f>
        <v>0</v>
      </c>
      <c r="K78" s="280"/>
      <c r="L78" s="424"/>
      <c r="M78" s="424"/>
      <c r="N78" s="424"/>
      <c r="O78" s="424"/>
      <c r="P78" s="424"/>
      <c r="Q78" s="424"/>
      <c r="R78" s="424"/>
      <c r="S78" s="424"/>
      <c r="T78" s="424"/>
      <c r="U78" s="304"/>
      <c r="V78" s="304"/>
      <c r="X78" s="304"/>
    </row>
    <row r="79" spans="2:28">
      <c r="B79" s="1398">
        <v>1120</v>
      </c>
      <c r="C79" s="1399"/>
      <c r="D79" s="1399"/>
      <c r="E79" s="1399"/>
      <c r="F79" s="1399"/>
      <c r="G79" s="350"/>
      <c r="H79" s="389"/>
      <c r="I79" s="350"/>
      <c r="J79" s="390"/>
      <c r="K79" s="280"/>
      <c r="L79" s="424"/>
      <c r="M79" s="424"/>
      <c r="N79" s="424"/>
      <c r="O79" s="424"/>
      <c r="P79" s="424"/>
      <c r="Q79" s="424"/>
      <c r="R79" s="424"/>
      <c r="S79" s="424"/>
      <c r="T79" s="424"/>
      <c r="U79" s="304"/>
      <c r="V79" s="304"/>
      <c r="X79" s="304"/>
      <c r="Z79" s="451" t="s">
        <v>799</v>
      </c>
      <c r="AA79" s="280">
        <f>IF(OR(H76=0, H76=10%), 0, 1)</f>
        <v>0</v>
      </c>
    </row>
    <row r="80" spans="2:28">
      <c r="B80" s="1384" t="s">
        <v>800</v>
      </c>
      <c r="C80" s="1385"/>
      <c r="D80" s="1385"/>
      <c r="E80" s="1385"/>
      <c r="F80" s="1386"/>
      <c r="G80" s="459"/>
      <c r="H80" s="387" t="str">
        <f>AA71</f>
        <v>Shareholder %</v>
      </c>
      <c r="I80" s="346"/>
      <c r="J80" s="388" t="str">
        <f>AA72</f>
        <v>Shareholder %</v>
      </c>
      <c r="K80" s="280"/>
      <c r="L80" s="424"/>
      <c r="M80" s="424"/>
      <c r="N80" s="424"/>
      <c r="O80" s="424"/>
      <c r="P80" s="424"/>
      <c r="Q80" s="424"/>
      <c r="R80" s="424"/>
      <c r="S80" s="424"/>
      <c r="T80" s="424"/>
      <c r="U80" s="304"/>
      <c r="V80" s="304"/>
      <c r="X80" s="304"/>
      <c r="Z80" s="451" t="s">
        <v>801</v>
      </c>
      <c r="AA80" s="280">
        <f>IF(OR(J76=0, J76+100%), 0, 1)</f>
        <v>0</v>
      </c>
    </row>
    <row r="81" spans="2:27">
      <c r="B81" s="1297" t="s">
        <v>802</v>
      </c>
      <c r="C81" s="1298"/>
      <c r="D81" s="1298"/>
      <c r="E81" s="1298"/>
      <c r="F81" s="1298"/>
      <c r="G81" s="460"/>
      <c r="H81" s="416"/>
      <c r="I81" s="460"/>
      <c r="J81" s="417"/>
      <c r="K81" s="280"/>
      <c r="L81" s="424"/>
      <c r="M81" s="424"/>
      <c r="N81" s="424"/>
      <c r="O81" s="424"/>
      <c r="P81" s="424"/>
      <c r="Q81" s="424"/>
      <c r="R81" s="424"/>
      <c r="S81" s="424"/>
      <c r="T81" s="424"/>
      <c r="U81" s="304"/>
      <c r="V81" s="304"/>
      <c r="X81" s="304"/>
      <c r="Z81" s="451" t="s">
        <v>803</v>
      </c>
      <c r="AA81" s="362">
        <f>G97/12</f>
        <v>0</v>
      </c>
    </row>
    <row r="82" spans="2:27">
      <c r="B82" s="1387" t="s">
        <v>804</v>
      </c>
      <c r="C82" s="1388"/>
      <c r="D82" s="1388"/>
      <c r="E82" s="1388"/>
      <c r="F82" s="1389"/>
      <c r="G82" s="461"/>
      <c r="H82" s="419">
        <f>(G82*H76)*-1</f>
        <v>0</v>
      </c>
      <c r="I82" s="461"/>
      <c r="J82" s="420">
        <f>(I82*J76)*-1</f>
        <v>0</v>
      </c>
      <c r="K82" s="280"/>
      <c r="L82" s="424"/>
      <c r="M82" s="424"/>
      <c r="N82" s="424"/>
      <c r="O82" s="424"/>
      <c r="P82" s="424"/>
      <c r="Q82" s="424"/>
      <c r="R82" s="424"/>
      <c r="S82" s="424"/>
      <c r="T82" s="424"/>
      <c r="U82" s="304"/>
      <c r="V82" s="304"/>
      <c r="X82" s="304"/>
      <c r="Z82" s="451" t="s">
        <v>805</v>
      </c>
      <c r="AA82" s="362">
        <f>(G97+I97)/24</f>
        <v>0</v>
      </c>
    </row>
    <row r="83" spans="2:27">
      <c r="B83" s="1390" t="s">
        <v>806</v>
      </c>
      <c r="C83" s="1391"/>
      <c r="D83" s="1391"/>
      <c r="E83" s="1391"/>
      <c r="F83" s="1392"/>
      <c r="G83" s="461"/>
      <c r="H83" s="419">
        <f>(G83*H76)*-1</f>
        <v>0</v>
      </c>
      <c r="I83" s="461"/>
      <c r="J83" s="420">
        <f>(I83*J76)*-1</f>
        <v>0</v>
      </c>
      <c r="K83" s="280"/>
      <c r="L83" s="424"/>
      <c r="M83" s="424"/>
      <c r="N83" s="424"/>
      <c r="O83" s="424"/>
      <c r="P83" s="424"/>
      <c r="Q83" s="424"/>
      <c r="R83" s="424"/>
      <c r="S83" s="424"/>
      <c r="T83" s="424"/>
      <c r="U83" s="304"/>
      <c r="V83" s="304"/>
      <c r="X83" s="304"/>
      <c r="Z83" s="451"/>
    </row>
    <row r="84" spans="2:27">
      <c r="B84" s="1302" t="s">
        <v>807</v>
      </c>
      <c r="C84" s="1303"/>
      <c r="D84" s="1303"/>
      <c r="E84" s="1303"/>
      <c r="F84" s="1304"/>
      <c r="G84" s="461"/>
      <c r="H84" s="419">
        <f>(G84*H76)*-1</f>
        <v>0</v>
      </c>
      <c r="I84" s="461"/>
      <c r="J84" s="420">
        <f>(I84*J76)*-1</f>
        <v>0</v>
      </c>
      <c r="K84" s="280"/>
      <c r="L84" s="424"/>
      <c r="M84" s="424"/>
      <c r="N84" s="424"/>
      <c r="O84" s="424"/>
      <c r="P84" s="424"/>
      <c r="Q84" s="424"/>
      <c r="R84" s="424"/>
      <c r="S84" s="424"/>
      <c r="T84" s="424"/>
      <c r="U84" s="304"/>
      <c r="V84" s="304"/>
      <c r="X84" s="304"/>
      <c r="Z84" s="451" t="s">
        <v>808</v>
      </c>
      <c r="AA84" s="280">
        <f>IF(AND(J78=0, J80=0, J82=0, J83=0, J84=0, J86=0, J87=0, J88=0, J89=0, J91=0, J92=0, J93=0, J94=0, J96=0, I97=0), 0, 1)</f>
        <v>1</v>
      </c>
    </row>
    <row r="85" spans="2:27">
      <c r="B85" s="1229" t="s">
        <v>809</v>
      </c>
      <c r="C85" s="1230"/>
      <c r="D85" s="1230"/>
      <c r="E85" s="1230"/>
      <c r="F85" s="1230"/>
      <c r="G85" s="350"/>
      <c r="H85" s="351"/>
      <c r="I85" s="350"/>
      <c r="J85" s="352"/>
      <c r="K85" s="280"/>
      <c r="L85" s="424"/>
      <c r="M85" s="424"/>
      <c r="N85" s="424"/>
      <c r="O85" s="424"/>
      <c r="P85" s="424"/>
      <c r="Q85" s="424"/>
      <c r="R85" s="424"/>
      <c r="S85" s="424"/>
      <c r="T85" s="424"/>
      <c r="U85" s="304"/>
      <c r="V85" s="304"/>
      <c r="X85" s="304"/>
      <c r="Z85" s="451" t="s">
        <v>810</v>
      </c>
      <c r="AA85" s="280">
        <f>IF(AND(G97&lt;=I97, I97&lt;&gt;0), 0, 1)</f>
        <v>1</v>
      </c>
    </row>
    <row r="86" spans="2:27">
      <c r="B86" s="1243" t="s">
        <v>811</v>
      </c>
      <c r="C86" s="1244"/>
      <c r="D86" s="1244"/>
      <c r="E86" s="1244"/>
      <c r="F86" s="1245"/>
      <c r="G86" s="346"/>
      <c r="H86" s="384">
        <f>G86*H76</f>
        <v>0</v>
      </c>
      <c r="I86" s="346"/>
      <c r="J86" s="385">
        <f>I86*J76</f>
        <v>0</v>
      </c>
      <c r="K86" s="280"/>
      <c r="L86" s="424"/>
      <c r="M86" s="424"/>
      <c r="N86" s="424"/>
      <c r="O86" s="424"/>
      <c r="P86" s="424"/>
      <c r="Q86" s="424"/>
      <c r="R86" s="424"/>
      <c r="S86" s="424"/>
      <c r="T86" s="424"/>
      <c r="U86" s="304"/>
      <c r="V86" s="304"/>
      <c r="X86" s="304"/>
      <c r="Z86" s="451" t="s">
        <v>812</v>
      </c>
      <c r="AA86" s="280">
        <f>IF(AND(AA85=0, AA84=1), 0, 1)</f>
        <v>1</v>
      </c>
    </row>
    <row r="87" spans="2:27">
      <c r="B87" s="1381" t="s">
        <v>813</v>
      </c>
      <c r="C87" s="1224"/>
      <c r="D87" s="1224"/>
      <c r="E87" s="1224"/>
      <c r="F87" s="1225"/>
      <c r="G87" s="346"/>
      <c r="H87" s="384">
        <f>G87*H76</f>
        <v>0</v>
      </c>
      <c r="I87" s="346"/>
      <c r="J87" s="385">
        <f>I87*J76</f>
        <v>0</v>
      </c>
      <c r="K87" s="280"/>
      <c r="L87" s="424"/>
      <c r="M87" s="424"/>
      <c r="N87" s="424"/>
      <c r="O87" s="424"/>
      <c r="P87" s="424"/>
      <c r="Q87" s="424"/>
      <c r="R87" s="424"/>
      <c r="S87" s="424"/>
      <c r="T87" s="424"/>
      <c r="U87" s="304"/>
      <c r="X87" s="304"/>
    </row>
    <row r="88" spans="2:27">
      <c r="B88" s="1223" t="s">
        <v>814</v>
      </c>
      <c r="C88" s="1224"/>
      <c r="D88" s="1224"/>
      <c r="E88" s="1224"/>
      <c r="F88" s="1225"/>
      <c r="G88" s="346"/>
      <c r="H88" s="384">
        <f>G88*H76</f>
        <v>0</v>
      </c>
      <c r="I88" s="346"/>
      <c r="J88" s="385">
        <f>I88*J76</f>
        <v>0</v>
      </c>
      <c r="K88" s="280"/>
      <c r="L88" s="424"/>
      <c r="M88" s="424"/>
      <c r="N88" s="424"/>
      <c r="O88" s="424"/>
      <c r="P88" s="424"/>
      <c r="Q88" s="424"/>
      <c r="R88" s="424"/>
      <c r="S88" s="424"/>
      <c r="T88" s="424"/>
      <c r="U88" s="304"/>
      <c r="X88" s="304"/>
      <c r="AA88" s="349" t="s">
        <v>596</v>
      </c>
    </row>
    <row r="89" spans="2:27">
      <c r="B89" s="1226" t="s">
        <v>825</v>
      </c>
      <c r="C89" s="1227"/>
      <c r="D89" s="1227"/>
      <c r="E89" s="1227"/>
      <c r="F89" s="1228"/>
      <c r="G89" s="346"/>
      <c r="H89" s="384">
        <f>G89*H76</f>
        <v>0</v>
      </c>
      <c r="I89" s="346"/>
      <c r="J89" s="385">
        <f>I89*J76</f>
        <v>0</v>
      </c>
      <c r="K89" s="280"/>
      <c r="L89" s="424"/>
      <c r="M89" s="424"/>
      <c r="N89" s="424"/>
      <c r="O89" s="424"/>
      <c r="P89" s="424"/>
      <c r="Q89" s="424"/>
      <c r="R89" s="424"/>
      <c r="S89" s="424"/>
      <c r="T89" s="424"/>
      <c r="U89" s="304"/>
      <c r="X89" s="304"/>
      <c r="Z89" s="462"/>
      <c r="AA89" s="349" t="s">
        <v>683</v>
      </c>
    </row>
    <row r="90" spans="2:27">
      <c r="B90" s="1229" t="s">
        <v>816</v>
      </c>
      <c r="C90" s="1230"/>
      <c r="D90" s="1230"/>
      <c r="E90" s="1230"/>
      <c r="F90" s="1230"/>
      <c r="G90" s="351"/>
      <c r="H90" s="351"/>
      <c r="I90" s="351"/>
      <c r="J90" s="352"/>
      <c r="K90" s="280"/>
      <c r="L90" s="424"/>
      <c r="M90" s="424"/>
      <c r="N90" s="424"/>
      <c r="O90" s="424"/>
      <c r="P90" s="424"/>
      <c r="Q90" s="424"/>
      <c r="R90" s="424"/>
      <c r="S90" s="424"/>
      <c r="T90" s="424"/>
      <c r="U90" s="304"/>
      <c r="X90" s="304"/>
      <c r="AA90" s="349" t="s">
        <v>599</v>
      </c>
    </row>
    <row r="91" spans="2:27">
      <c r="B91" s="1231" t="s">
        <v>817</v>
      </c>
      <c r="C91" s="1382"/>
      <c r="D91" s="1382"/>
      <c r="E91" s="1382"/>
      <c r="F91" s="1383"/>
      <c r="G91" s="346"/>
      <c r="H91" s="359">
        <f>(G91*H76)*-1</f>
        <v>0</v>
      </c>
      <c r="I91" s="346"/>
      <c r="J91" s="400">
        <f>(I91*J76)*-1</f>
        <v>0</v>
      </c>
      <c r="K91" s="280"/>
      <c r="L91" s="424"/>
      <c r="M91" s="424"/>
      <c r="N91" s="424"/>
      <c r="O91" s="424"/>
      <c r="P91" s="424"/>
      <c r="Q91" s="424"/>
      <c r="R91" s="424"/>
      <c r="S91" s="424"/>
      <c r="T91" s="424"/>
      <c r="U91" s="304"/>
      <c r="X91" s="304"/>
      <c r="AA91" s="349" t="s">
        <v>603</v>
      </c>
    </row>
    <row r="92" spans="2:27" ht="28.5" customHeight="1">
      <c r="B92" s="1369" t="s">
        <v>818</v>
      </c>
      <c r="C92" s="1370"/>
      <c r="D92" s="1370"/>
      <c r="E92" s="1370"/>
      <c r="F92" s="1371"/>
      <c r="G92" s="346"/>
      <c r="H92" s="359">
        <f>G92*H76*-1</f>
        <v>0</v>
      </c>
      <c r="I92" s="346"/>
      <c r="J92" s="400">
        <f>(I92*J76)*-1</f>
        <v>0</v>
      </c>
      <c r="K92" s="280"/>
      <c r="L92" s="424"/>
      <c r="M92" s="424"/>
      <c r="N92" s="424"/>
      <c r="O92" s="424"/>
      <c r="P92" s="424"/>
      <c r="Q92" s="424"/>
      <c r="R92" s="424"/>
      <c r="S92" s="424"/>
      <c r="T92" s="424"/>
      <c r="U92" s="304"/>
      <c r="X92" s="304"/>
      <c r="AA92" s="349" t="s">
        <v>605</v>
      </c>
    </row>
    <row r="93" spans="2:27">
      <c r="B93" s="1372" t="s">
        <v>819</v>
      </c>
      <c r="C93" s="1373"/>
      <c r="D93" s="1373"/>
      <c r="E93" s="1373"/>
      <c r="F93" s="1374"/>
      <c r="G93" s="346"/>
      <c r="H93" s="359">
        <f>G93*H76*-1</f>
        <v>0</v>
      </c>
      <c r="I93" s="346"/>
      <c r="J93" s="400">
        <f>I93*J76*-1</f>
        <v>0</v>
      </c>
      <c r="K93" s="280"/>
      <c r="L93" s="424"/>
      <c r="M93" s="424"/>
      <c r="N93" s="424"/>
      <c r="O93" s="424"/>
      <c r="P93" s="424"/>
      <c r="Q93" s="424"/>
      <c r="R93" s="424"/>
      <c r="S93" s="424"/>
      <c r="T93" s="424"/>
      <c r="U93" s="304"/>
    </row>
    <row r="94" spans="2:27">
      <c r="B94" s="1375" t="s">
        <v>820</v>
      </c>
      <c r="C94" s="1376"/>
      <c r="D94" s="1376"/>
      <c r="E94" s="1376"/>
      <c r="F94" s="1377"/>
      <c r="G94" s="346"/>
      <c r="H94" s="359">
        <f>G94*H76*-1</f>
        <v>0</v>
      </c>
      <c r="I94" s="346"/>
      <c r="J94" s="359">
        <f>I94*J76*-1</f>
        <v>0</v>
      </c>
      <c r="K94" s="280"/>
      <c r="L94" s="424"/>
      <c r="M94" s="424"/>
      <c r="N94" s="424"/>
      <c r="O94" s="424"/>
      <c r="P94" s="424"/>
      <c r="Q94" s="424"/>
      <c r="R94" s="424"/>
      <c r="S94" s="424"/>
      <c r="T94" s="424"/>
      <c r="U94" s="304"/>
    </row>
    <row r="95" spans="2:27" ht="15" customHeight="1">
      <c r="B95" s="1378" t="s">
        <v>735</v>
      </c>
      <c r="C95" s="1379"/>
      <c r="D95" s="1379"/>
      <c r="E95" s="1379"/>
      <c r="F95" s="1379"/>
      <c r="G95" s="350"/>
      <c r="H95" s="389"/>
      <c r="I95" s="350"/>
      <c r="J95" s="390"/>
      <c r="K95" s="280"/>
      <c r="L95" s="424"/>
      <c r="M95" s="424"/>
      <c r="N95" s="424"/>
      <c r="O95" s="424"/>
      <c r="P95" s="424"/>
      <c r="Q95" s="424"/>
      <c r="R95" s="424"/>
      <c r="S95" s="424"/>
      <c r="T95" s="424"/>
      <c r="U95" s="304"/>
    </row>
    <row r="96" spans="2:27">
      <c r="B96" s="1380" t="s">
        <v>821</v>
      </c>
      <c r="C96" s="1370"/>
      <c r="D96" s="1370"/>
      <c r="E96" s="1370"/>
      <c r="F96" s="1371"/>
      <c r="G96" s="346"/>
      <c r="H96" s="359">
        <f>(G96*H76)</f>
        <v>0</v>
      </c>
      <c r="I96" s="346"/>
      <c r="J96" s="400">
        <f>(I96*J76)</f>
        <v>0</v>
      </c>
      <c r="K96" s="280"/>
      <c r="L96" s="424"/>
      <c r="M96" s="424"/>
      <c r="N96" s="424"/>
      <c r="O96" s="424"/>
      <c r="P96" s="424"/>
      <c r="Q96" s="424"/>
      <c r="R96" s="424"/>
      <c r="S96" s="424"/>
      <c r="T96" s="424"/>
      <c r="U96" s="304"/>
    </row>
    <row r="97" spans="2:28">
      <c r="B97" s="1158" t="s">
        <v>822</v>
      </c>
      <c r="C97" s="1159"/>
      <c r="D97" s="1159"/>
      <c r="E97" s="1159"/>
      <c r="F97" s="1160"/>
      <c r="G97" s="1359">
        <f>SUM(H78:H96)</f>
        <v>0</v>
      </c>
      <c r="H97" s="1360"/>
      <c r="I97" s="1361">
        <f>SUM(J78:J96)</f>
        <v>0</v>
      </c>
      <c r="J97" s="1362"/>
      <c r="K97" s="280"/>
      <c r="L97" s="424"/>
      <c r="M97" s="424"/>
      <c r="N97" s="424"/>
      <c r="O97" s="424"/>
      <c r="P97" s="424"/>
      <c r="Q97" s="424"/>
      <c r="R97" s="424"/>
      <c r="S97" s="424"/>
      <c r="T97" s="424"/>
      <c r="U97" s="304"/>
    </row>
    <row r="98" spans="2:28" ht="18.75">
      <c r="B98" s="1363" t="s">
        <v>823</v>
      </c>
      <c r="C98" s="1364"/>
      <c r="D98" s="1364"/>
      <c r="E98" s="1364"/>
      <c r="F98" s="1365"/>
      <c r="G98" s="1161" t="str">
        <f>IF(OR(AA86=0, I97=0), "12 Month Average", "24 Month Average")</f>
        <v>12 Month Average</v>
      </c>
      <c r="H98" s="1162"/>
      <c r="I98" s="1162"/>
      <c r="J98" s="1163"/>
      <c r="K98" s="280"/>
      <c r="L98" s="424"/>
      <c r="M98" s="424"/>
      <c r="N98" s="424"/>
      <c r="O98" s="424"/>
      <c r="P98" s="424"/>
      <c r="Q98" s="424"/>
      <c r="R98" s="424"/>
      <c r="S98" s="424"/>
      <c r="T98" s="424"/>
      <c r="U98" s="304"/>
    </row>
    <row r="99" spans="2:28" ht="34.5" thickBot="1">
      <c r="B99" s="1366" t="s">
        <v>824</v>
      </c>
      <c r="C99" s="1367"/>
      <c r="D99" s="1367"/>
      <c r="E99" s="1367"/>
      <c r="F99" s="1368"/>
      <c r="G99" s="1167">
        <f>IF(OR(AA86=0, I97=0), AA81, AA82)</f>
        <v>0</v>
      </c>
      <c r="H99" s="1168"/>
      <c r="I99" s="1168"/>
      <c r="J99" s="1169"/>
      <c r="L99" s="424"/>
      <c r="M99" s="424"/>
      <c r="N99" s="424"/>
      <c r="O99" s="424"/>
      <c r="P99" s="424"/>
      <c r="Q99" s="424"/>
      <c r="R99" s="424"/>
      <c r="S99" s="424"/>
      <c r="T99" s="424"/>
      <c r="U99" s="304"/>
    </row>
    <row r="100" spans="2:28" ht="9" customHeight="1" thickBot="1">
      <c r="H100" s="330"/>
      <c r="I100" s="330"/>
      <c r="L100" s="424"/>
      <c r="M100" s="424"/>
      <c r="N100" s="424"/>
      <c r="O100" s="424"/>
      <c r="P100" s="424"/>
      <c r="Q100" s="424"/>
      <c r="R100" s="424"/>
      <c r="S100" s="424"/>
      <c r="T100" s="424"/>
      <c r="U100" s="304"/>
    </row>
    <row r="101" spans="2:28" ht="135" customHeight="1" thickBot="1">
      <c r="B101" s="1148" t="s">
        <v>761</v>
      </c>
      <c r="C101" s="1285"/>
      <c r="D101" s="1285"/>
      <c r="E101" s="1285"/>
      <c r="F101" s="1285"/>
      <c r="G101" s="1285"/>
      <c r="H101" s="1285"/>
      <c r="I101" s="1285"/>
      <c r="J101" s="1286"/>
      <c r="L101" s="424"/>
      <c r="M101" s="424"/>
      <c r="N101" s="424"/>
      <c r="O101" s="424"/>
      <c r="P101" s="424"/>
      <c r="Q101" s="424"/>
      <c r="R101" s="424"/>
      <c r="S101" s="424"/>
      <c r="T101" s="424"/>
      <c r="U101" s="304"/>
    </row>
    <row r="102" spans="2:28" ht="9" customHeight="1">
      <c r="B102" s="304"/>
      <c r="C102" s="304"/>
      <c r="D102" s="304"/>
      <c r="E102" s="304"/>
      <c r="F102" s="304"/>
      <c r="G102" s="304"/>
      <c r="H102" s="304"/>
      <c r="I102" s="304"/>
      <c r="L102" s="304"/>
      <c r="M102" s="304"/>
      <c r="N102" s="304"/>
      <c r="O102" s="304"/>
      <c r="P102" s="304"/>
      <c r="Q102" s="304"/>
      <c r="R102" s="304"/>
      <c r="S102" s="304"/>
      <c r="T102" s="304"/>
      <c r="U102" s="304"/>
    </row>
    <row r="103" spans="2:28" ht="13.5" customHeight="1" thickBot="1"/>
    <row r="104" spans="2:28" ht="82.5" customHeight="1">
      <c r="B104" s="1187" t="s">
        <v>791</v>
      </c>
      <c r="C104" s="1188"/>
      <c r="D104" s="1188"/>
      <c r="E104" s="1188"/>
      <c r="F104" s="1188"/>
      <c r="G104" s="1188"/>
      <c r="H104" s="1188"/>
      <c r="I104" s="1188"/>
      <c r="J104" s="331" t="str">
        <f>'[3]Reference Sheet'!$B$2</f>
        <v>Rev. 4.12.2016</v>
      </c>
      <c r="L104" s="424"/>
      <c r="M104" s="424"/>
      <c r="N104" s="424"/>
      <c r="O104" s="424"/>
      <c r="P104" s="424"/>
      <c r="Q104" s="424"/>
      <c r="R104" s="424"/>
      <c r="S104" s="424"/>
      <c r="T104" s="424"/>
      <c r="U104" s="304"/>
    </row>
    <row r="105" spans="2:28" ht="17.25" customHeight="1" thickBot="1">
      <c r="B105" s="332"/>
      <c r="C105" s="368" t="s">
        <v>710</v>
      </c>
      <c r="D105" s="1400"/>
      <c r="E105" s="1401"/>
      <c r="F105" s="1401"/>
      <c r="G105" s="1401"/>
      <c r="H105" s="333"/>
      <c r="I105" s="333"/>
      <c r="J105" s="334"/>
      <c r="L105" s="424"/>
      <c r="M105" s="424"/>
      <c r="N105" s="424"/>
      <c r="O105" s="424"/>
      <c r="P105" s="424"/>
      <c r="Q105" s="424"/>
      <c r="R105" s="424"/>
      <c r="S105" s="424"/>
      <c r="T105" s="424"/>
      <c r="U105" s="304"/>
      <c r="X105" s="304"/>
      <c r="Z105" s="451" t="s">
        <v>717</v>
      </c>
      <c r="AA105" s="451" t="str">
        <f>IF(OR(H110=0, H110&gt;100%), "Shareholder %", G114*H110)</f>
        <v>Shareholder %</v>
      </c>
    </row>
    <row r="106" spans="2:28" ht="17.25" customHeight="1" thickBot="1">
      <c r="B106" s="332"/>
      <c r="C106" s="368" t="s">
        <v>711</v>
      </c>
      <c r="D106" s="1402"/>
      <c r="E106" s="1403"/>
      <c r="F106" s="1403"/>
      <c r="G106" s="1403"/>
      <c r="H106" s="368" t="s">
        <v>712</v>
      </c>
      <c r="I106" s="1400"/>
      <c r="J106" s="1404"/>
      <c r="L106" s="424"/>
      <c r="M106" s="424"/>
      <c r="N106" s="424"/>
      <c r="O106" s="424"/>
      <c r="P106" s="424"/>
      <c r="Q106" s="424"/>
      <c r="R106" s="424"/>
      <c r="S106" s="424"/>
      <c r="T106" s="424"/>
      <c r="U106" s="304"/>
      <c r="X106" s="304"/>
      <c r="Z106" s="451" t="s">
        <v>720</v>
      </c>
      <c r="AA106" s="451" t="str">
        <f>IF(OR(J110&gt;100%, J110=0), "Shareholder %", I114*J110)</f>
        <v>Shareholder %</v>
      </c>
    </row>
    <row r="107" spans="2:28" s="404" customFormat="1" ht="16.5" thickBot="1">
      <c r="B107" s="1393" t="s">
        <v>671</v>
      </c>
      <c r="C107" s="1394"/>
      <c r="D107" s="1405"/>
      <c r="E107" s="1406"/>
      <c r="F107" s="1406"/>
      <c r="G107" s="1406"/>
      <c r="H107" s="452" t="s">
        <v>673</v>
      </c>
      <c r="I107" s="1407"/>
      <c r="J107" s="1408"/>
      <c r="L107" s="424"/>
      <c r="M107" s="424"/>
      <c r="N107" s="424"/>
      <c r="O107" s="424"/>
      <c r="P107" s="424"/>
      <c r="Q107" s="424"/>
      <c r="R107" s="424"/>
      <c r="S107" s="424"/>
      <c r="T107" s="424"/>
      <c r="U107" s="367"/>
      <c r="X107" s="304"/>
      <c r="Y107" s="280"/>
      <c r="Z107" s="451"/>
      <c r="AA107" s="451"/>
      <c r="AB107" s="405"/>
    </row>
    <row r="108" spans="2:28" s="404" customFormat="1" ht="16.5" thickBot="1">
      <c r="B108" s="1393" t="s">
        <v>674</v>
      </c>
      <c r="C108" s="1394"/>
      <c r="D108" s="1395"/>
      <c r="E108" s="1396"/>
      <c r="F108" s="1396"/>
      <c r="G108" s="1396"/>
      <c r="H108" s="1396"/>
      <c r="I108" s="1396"/>
      <c r="J108" s="1397"/>
      <c r="K108" s="405"/>
      <c r="L108" s="424"/>
      <c r="M108" s="424"/>
      <c r="N108" s="424"/>
      <c r="O108" s="424"/>
      <c r="P108" s="424"/>
      <c r="Q108" s="424"/>
      <c r="R108" s="424"/>
      <c r="S108" s="424"/>
      <c r="T108" s="424"/>
      <c r="U108" s="367"/>
      <c r="X108" s="304"/>
      <c r="Y108" s="280"/>
      <c r="Z108" s="451" t="s">
        <v>793</v>
      </c>
      <c r="AA108" s="349" t="str">
        <f>IF(OR(H110=0, H110&gt;100%),"Enter Shareholder %",$J$40)</f>
        <v>Enter Shareholder %</v>
      </c>
      <c r="AB108" s="405"/>
    </row>
    <row r="109" spans="2:28">
      <c r="B109" s="1265"/>
      <c r="C109" s="1266"/>
      <c r="D109" s="1266"/>
      <c r="E109" s="1266"/>
      <c r="F109" s="1267"/>
      <c r="G109" s="453" t="s">
        <v>713</v>
      </c>
      <c r="H109" s="454" t="s">
        <v>676</v>
      </c>
      <c r="I109" s="342"/>
      <c r="J109" s="373" t="s">
        <v>677</v>
      </c>
      <c r="K109" s="280"/>
      <c r="L109" s="424"/>
      <c r="M109" s="424"/>
      <c r="N109" s="424"/>
      <c r="O109" s="424"/>
      <c r="P109" s="424"/>
      <c r="Q109" s="424"/>
      <c r="R109" s="424"/>
      <c r="S109" s="424"/>
      <c r="T109" s="424"/>
      <c r="U109" s="304"/>
      <c r="V109" s="304"/>
      <c r="X109" s="304"/>
      <c r="Z109" s="451" t="s">
        <v>794</v>
      </c>
      <c r="AA109" s="349" t="str">
        <f>IF(OR(J110=0, J110&gt;100%),"Enter Shareholder %",$J$41)</f>
        <v>Enter Shareholder %</v>
      </c>
    </row>
    <row r="110" spans="2:28" ht="15.75" thickBot="1">
      <c r="B110" s="1269"/>
      <c r="C110" s="1270"/>
      <c r="D110" s="1270"/>
      <c r="E110" s="1270"/>
      <c r="F110" s="1271"/>
      <c r="G110" s="408" t="s">
        <v>795</v>
      </c>
      <c r="H110" s="376"/>
      <c r="I110" s="377"/>
      <c r="J110" s="378"/>
      <c r="K110" s="280"/>
      <c r="L110" s="424"/>
      <c r="M110" s="424"/>
      <c r="N110" s="424"/>
      <c r="O110" s="424"/>
      <c r="P110" s="424"/>
      <c r="Q110" s="424"/>
      <c r="R110" s="424"/>
      <c r="S110" s="424"/>
      <c r="T110" s="424"/>
      <c r="U110" s="304"/>
      <c r="V110" s="304"/>
      <c r="X110" s="304"/>
      <c r="Z110" s="451" t="s">
        <v>796</v>
      </c>
      <c r="AA110" s="349">
        <f>SUM(H114:H130)</f>
        <v>0</v>
      </c>
    </row>
    <row r="111" spans="2:28">
      <c r="B111" s="1229" t="s">
        <v>744</v>
      </c>
      <c r="C111" s="1273"/>
      <c r="D111" s="1273"/>
      <c r="E111" s="1273"/>
      <c r="F111" s="1273"/>
      <c r="G111" s="455" t="s">
        <v>719</v>
      </c>
      <c r="H111" s="413"/>
      <c r="I111" s="456" t="s">
        <v>719</v>
      </c>
      <c r="J111" s="415"/>
      <c r="K111" s="280"/>
      <c r="L111" s="424"/>
      <c r="M111" s="424"/>
      <c r="N111" s="424"/>
      <c r="O111" s="424"/>
      <c r="P111" s="424"/>
      <c r="Q111" s="424"/>
      <c r="R111" s="424"/>
      <c r="S111" s="424"/>
      <c r="T111" s="424"/>
      <c r="U111" s="304"/>
      <c r="V111" s="304"/>
      <c r="X111" s="304"/>
      <c r="Z111" s="451" t="s">
        <v>797</v>
      </c>
      <c r="AA111" s="362">
        <f>SUM(J114:J130)</f>
        <v>0</v>
      </c>
    </row>
    <row r="112" spans="2:28">
      <c r="B112" s="1384" t="s">
        <v>798</v>
      </c>
      <c r="C112" s="1385"/>
      <c r="D112" s="1385"/>
      <c r="E112" s="1385"/>
      <c r="F112" s="1386"/>
      <c r="G112" s="457"/>
      <c r="H112" s="458">
        <f>G112</f>
        <v>0</v>
      </c>
      <c r="I112" s="457"/>
      <c r="J112" s="400">
        <f>I112</f>
        <v>0</v>
      </c>
      <c r="K112" s="280"/>
      <c r="L112" s="424"/>
      <c r="M112" s="424"/>
      <c r="N112" s="424"/>
      <c r="O112" s="424"/>
      <c r="P112" s="424"/>
      <c r="Q112" s="424"/>
      <c r="R112" s="424"/>
      <c r="S112" s="424"/>
      <c r="T112" s="424"/>
      <c r="U112" s="304"/>
      <c r="V112" s="304"/>
      <c r="X112" s="304"/>
    </row>
    <row r="113" spans="2:27">
      <c r="B113" s="1398">
        <v>1120</v>
      </c>
      <c r="C113" s="1399"/>
      <c r="D113" s="1399"/>
      <c r="E113" s="1399"/>
      <c r="F113" s="1399"/>
      <c r="G113" s="350"/>
      <c r="H113" s="389"/>
      <c r="I113" s="350"/>
      <c r="J113" s="390"/>
      <c r="K113" s="280"/>
      <c r="L113" s="424"/>
      <c r="M113" s="424"/>
      <c r="N113" s="424"/>
      <c r="O113" s="424"/>
      <c r="P113" s="424"/>
      <c r="Q113" s="424"/>
      <c r="R113" s="424"/>
      <c r="S113" s="424"/>
      <c r="T113" s="424"/>
      <c r="U113" s="304"/>
      <c r="V113" s="304"/>
      <c r="X113" s="304"/>
      <c r="Z113" s="451" t="s">
        <v>799</v>
      </c>
      <c r="AA113" s="280">
        <f>IF(OR(H110=0, H110=10%), 0, 1)</f>
        <v>0</v>
      </c>
    </row>
    <row r="114" spans="2:27">
      <c r="B114" s="1384" t="s">
        <v>800</v>
      </c>
      <c r="C114" s="1385"/>
      <c r="D114" s="1385"/>
      <c r="E114" s="1385"/>
      <c r="F114" s="1386"/>
      <c r="G114" s="459"/>
      <c r="H114" s="387" t="str">
        <f>AA105</f>
        <v>Shareholder %</v>
      </c>
      <c r="I114" s="346"/>
      <c r="J114" s="388" t="str">
        <f>AA106</f>
        <v>Shareholder %</v>
      </c>
      <c r="K114" s="280"/>
      <c r="L114" s="424"/>
      <c r="M114" s="424"/>
      <c r="N114" s="424"/>
      <c r="O114" s="424"/>
      <c r="P114" s="424"/>
      <c r="Q114" s="424"/>
      <c r="R114" s="424"/>
      <c r="S114" s="424"/>
      <c r="T114" s="424"/>
      <c r="U114" s="304"/>
      <c r="V114" s="304"/>
      <c r="X114" s="304"/>
      <c r="Z114" s="451" t="s">
        <v>801</v>
      </c>
      <c r="AA114" s="280">
        <f>IF(OR(J110=0, J110+100%), 0, 1)</f>
        <v>0</v>
      </c>
    </row>
    <row r="115" spans="2:27">
      <c r="B115" s="1297" t="s">
        <v>802</v>
      </c>
      <c r="C115" s="1298"/>
      <c r="D115" s="1298"/>
      <c r="E115" s="1298"/>
      <c r="F115" s="1298"/>
      <c r="G115" s="460"/>
      <c r="H115" s="416"/>
      <c r="I115" s="460"/>
      <c r="J115" s="417"/>
      <c r="K115" s="280"/>
      <c r="L115" s="424"/>
      <c r="M115" s="424"/>
      <c r="N115" s="424"/>
      <c r="O115" s="424"/>
      <c r="P115" s="424"/>
      <c r="Q115" s="424"/>
      <c r="R115" s="424"/>
      <c r="S115" s="424"/>
      <c r="T115" s="424"/>
      <c r="U115" s="304"/>
      <c r="V115" s="304"/>
      <c r="X115" s="304"/>
      <c r="Z115" s="451" t="s">
        <v>803</v>
      </c>
      <c r="AA115" s="362">
        <f>G131/12</f>
        <v>0</v>
      </c>
    </row>
    <row r="116" spans="2:27">
      <c r="B116" s="1387" t="s">
        <v>804</v>
      </c>
      <c r="C116" s="1388"/>
      <c r="D116" s="1388"/>
      <c r="E116" s="1388"/>
      <c r="F116" s="1389"/>
      <c r="G116" s="461"/>
      <c r="H116" s="419">
        <f>(G116*H110)*-1</f>
        <v>0</v>
      </c>
      <c r="I116" s="461"/>
      <c r="J116" s="420">
        <f>(I116*J110)*-1</f>
        <v>0</v>
      </c>
      <c r="K116" s="280"/>
      <c r="L116" s="424"/>
      <c r="M116" s="424"/>
      <c r="N116" s="424"/>
      <c r="O116" s="424"/>
      <c r="P116" s="424"/>
      <c r="Q116" s="424"/>
      <c r="R116" s="424"/>
      <c r="S116" s="424"/>
      <c r="T116" s="424"/>
      <c r="U116" s="304"/>
      <c r="V116" s="304"/>
      <c r="X116" s="304"/>
      <c r="Z116" s="451" t="s">
        <v>805</v>
      </c>
      <c r="AA116" s="362">
        <f>(G131+I131)/24</f>
        <v>0</v>
      </c>
    </row>
    <row r="117" spans="2:27">
      <c r="B117" s="1390" t="s">
        <v>806</v>
      </c>
      <c r="C117" s="1391"/>
      <c r="D117" s="1391"/>
      <c r="E117" s="1391"/>
      <c r="F117" s="1392"/>
      <c r="G117" s="461"/>
      <c r="H117" s="419">
        <f>(G117*H110)*-1</f>
        <v>0</v>
      </c>
      <c r="I117" s="461"/>
      <c r="J117" s="420">
        <f>(I117*J110)*-1</f>
        <v>0</v>
      </c>
      <c r="K117" s="280"/>
      <c r="L117" s="424"/>
      <c r="M117" s="424"/>
      <c r="N117" s="424"/>
      <c r="O117" s="424"/>
      <c r="P117" s="424"/>
      <c r="Q117" s="424"/>
      <c r="R117" s="424"/>
      <c r="S117" s="424"/>
      <c r="T117" s="424"/>
      <c r="U117" s="304"/>
      <c r="V117" s="304"/>
      <c r="X117" s="304"/>
      <c r="Z117" s="451"/>
    </row>
    <row r="118" spans="2:27">
      <c r="B118" s="1302" t="s">
        <v>807</v>
      </c>
      <c r="C118" s="1303"/>
      <c r="D118" s="1303"/>
      <c r="E118" s="1303"/>
      <c r="F118" s="1304"/>
      <c r="G118" s="461"/>
      <c r="H118" s="419">
        <f>(G118*H110)*-1</f>
        <v>0</v>
      </c>
      <c r="I118" s="461"/>
      <c r="J118" s="420">
        <f>(I118*J110)*-1</f>
        <v>0</v>
      </c>
      <c r="K118" s="280"/>
      <c r="L118" s="424"/>
      <c r="M118" s="424"/>
      <c r="N118" s="424"/>
      <c r="O118" s="424"/>
      <c r="P118" s="424"/>
      <c r="Q118" s="424"/>
      <c r="R118" s="424"/>
      <c r="S118" s="424"/>
      <c r="T118" s="424"/>
      <c r="U118" s="304"/>
      <c r="V118" s="304"/>
      <c r="X118" s="304"/>
      <c r="Z118" s="451" t="s">
        <v>808</v>
      </c>
      <c r="AA118" s="280">
        <f>IF(AND(J112=0, J114=0, J116=0, J117=0, J118=0, J120=0, J121=0, J122=0, J123=0, J125=0, J126=0, J127=0, J128=0, J130=0, I131=0), 0, 1)</f>
        <v>1</v>
      </c>
    </row>
    <row r="119" spans="2:27">
      <c r="B119" s="1229" t="s">
        <v>809</v>
      </c>
      <c r="C119" s="1230"/>
      <c r="D119" s="1230"/>
      <c r="E119" s="1230"/>
      <c r="F119" s="1230"/>
      <c r="G119" s="350"/>
      <c r="H119" s="351"/>
      <c r="I119" s="350"/>
      <c r="J119" s="352"/>
      <c r="K119" s="280"/>
      <c r="L119" s="424"/>
      <c r="M119" s="424"/>
      <c r="N119" s="424"/>
      <c r="O119" s="424"/>
      <c r="P119" s="424"/>
      <c r="Q119" s="424"/>
      <c r="R119" s="424"/>
      <c r="S119" s="424"/>
      <c r="T119" s="424"/>
      <c r="U119" s="304"/>
      <c r="V119" s="304"/>
      <c r="X119" s="304"/>
      <c r="Z119" s="451" t="s">
        <v>810</v>
      </c>
      <c r="AA119" s="280">
        <f>IF(AND(G131&lt;=I131, I131&lt;&gt;0), 0, 1)</f>
        <v>1</v>
      </c>
    </row>
    <row r="120" spans="2:27">
      <c r="B120" s="1243" t="s">
        <v>811</v>
      </c>
      <c r="C120" s="1244"/>
      <c r="D120" s="1244"/>
      <c r="E120" s="1244"/>
      <c r="F120" s="1245"/>
      <c r="G120" s="346"/>
      <c r="H120" s="384">
        <f>G120*H110</f>
        <v>0</v>
      </c>
      <c r="I120" s="346"/>
      <c r="J120" s="385">
        <f>I120*J110</f>
        <v>0</v>
      </c>
      <c r="K120" s="280"/>
      <c r="L120" s="424"/>
      <c r="M120" s="424"/>
      <c r="N120" s="424"/>
      <c r="O120" s="424"/>
      <c r="P120" s="424"/>
      <c r="Q120" s="424"/>
      <c r="R120" s="424"/>
      <c r="S120" s="424"/>
      <c r="T120" s="424"/>
      <c r="U120" s="304"/>
      <c r="V120" s="304"/>
      <c r="X120" s="304"/>
      <c r="Z120" s="451" t="s">
        <v>812</v>
      </c>
      <c r="AA120" s="280">
        <f>IF(AND(AA119=0, AA118=1), 0, 1)</f>
        <v>1</v>
      </c>
    </row>
    <row r="121" spans="2:27">
      <c r="B121" s="1381" t="s">
        <v>813</v>
      </c>
      <c r="C121" s="1224"/>
      <c r="D121" s="1224"/>
      <c r="E121" s="1224"/>
      <c r="F121" s="1225"/>
      <c r="G121" s="346"/>
      <c r="H121" s="384">
        <f>G121*H110</f>
        <v>0</v>
      </c>
      <c r="I121" s="346"/>
      <c r="J121" s="385">
        <f>I121*J110</f>
        <v>0</v>
      </c>
      <c r="K121" s="280"/>
      <c r="L121" s="424"/>
      <c r="M121" s="424"/>
      <c r="N121" s="424"/>
      <c r="O121" s="424"/>
      <c r="P121" s="424"/>
      <c r="Q121" s="424"/>
      <c r="R121" s="424"/>
      <c r="S121" s="424"/>
      <c r="T121" s="424"/>
      <c r="U121" s="304"/>
      <c r="X121" s="304"/>
    </row>
    <row r="122" spans="2:27">
      <c r="B122" s="1223" t="s">
        <v>814</v>
      </c>
      <c r="C122" s="1224"/>
      <c r="D122" s="1224"/>
      <c r="E122" s="1224"/>
      <c r="F122" s="1225"/>
      <c r="G122" s="346"/>
      <c r="H122" s="384">
        <f>G122*H110</f>
        <v>0</v>
      </c>
      <c r="I122" s="346"/>
      <c r="J122" s="385">
        <f>I122*J110</f>
        <v>0</v>
      </c>
      <c r="K122" s="280"/>
      <c r="L122" s="424"/>
      <c r="M122" s="424"/>
      <c r="N122" s="424"/>
      <c r="O122" s="424"/>
      <c r="P122" s="424"/>
      <c r="Q122" s="424"/>
      <c r="R122" s="424"/>
      <c r="S122" s="424"/>
      <c r="T122" s="424"/>
      <c r="U122" s="304"/>
      <c r="X122" s="304"/>
      <c r="AA122" s="349" t="s">
        <v>596</v>
      </c>
    </row>
    <row r="123" spans="2:27">
      <c r="B123" s="1226" t="s">
        <v>825</v>
      </c>
      <c r="C123" s="1227"/>
      <c r="D123" s="1227"/>
      <c r="E123" s="1227"/>
      <c r="F123" s="1228"/>
      <c r="G123" s="346"/>
      <c r="H123" s="384">
        <f>G123*H110</f>
        <v>0</v>
      </c>
      <c r="I123" s="346"/>
      <c r="J123" s="385">
        <f>I123*J110</f>
        <v>0</v>
      </c>
      <c r="K123" s="280"/>
      <c r="L123" s="424"/>
      <c r="M123" s="424"/>
      <c r="N123" s="424"/>
      <c r="O123" s="424"/>
      <c r="P123" s="424"/>
      <c r="Q123" s="424"/>
      <c r="R123" s="424"/>
      <c r="S123" s="424"/>
      <c r="T123" s="424"/>
      <c r="U123" s="304"/>
      <c r="X123" s="304"/>
      <c r="Z123" s="462"/>
      <c r="AA123" s="349" t="s">
        <v>683</v>
      </c>
    </row>
    <row r="124" spans="2:27">
      <c r="B124" s="1229" t="s">
        <v>816</v>
      </c>
      <c r="C124" s="1230"/>
      <c r="D124" s="1230"/>
      <c r="E124" s="1230"/>
      <c r="F124" s="1230"/>
      <c r="G124" s="351"/>
      <c r="H124" s="351"/>
      <c r="I124" s="351"/>
      <c r="J124" s="352"/>
      <c r="K124" s="280"/>
      <c r="L124" s="424"/>
      <c r="M124" s="424"/>
      <c r="N124" s="424"/>
      <c r="O124" s="424"/>
      <c r="P124" s="424"/>
      <c r="Q124" s="424"/>
      <c r="R124" s="424"/>
      <c r="S124" s="424"/>
      <c r="T124" s="424"/>
      <c r="U124" s="304"/>
      <c r="X124" s="304"/>
      <c r="AA124" s="349" t="s">
        <v>599</v>
      </c>
    </row>
    <row r="125" spans="2:27">
      <c r="B125" s="1231" t="s">
        <v>817</v>
      </c>
      <c r="C125" s="1382"/>
      <c r="D125" s="1382"/>
      <c r="E125" s="1382"/>
      <c r="F125" s="1383"/>
      <c r="G125" s="346"/>
      <c r="H125" s="359">
        <f>(G125*H110)*-1</f>
        <v>0</v>
      </c>
      <c r="I125" s="346"/>
      <c r="J125" s="400">
        <f>(I125*J110)*-1</f>
        <v>0</v>
      </c>
      <c r="K125" s="280"/>
      <c r="L125" s="424"/>
      <c r="M125" s="424"/>
      <c r="N125" s="424"/>
      <c r="O125" s="424"/>
      <c r="P125" s="424"/>
      <c r="Q125" s="424"/>
      <c r="R125" s="424"/>
      <c r="S125" s="424"/>
      <c r="T125" s="424"/>
      <c r="U125" s="304"/>
      <c r="X125" s="304"/>
      <c r="AA125" s="349" t="s">
        <v>603</v>
      </c>
    </row>
    <row r="126" spans="2:27" ht="28.5" customHeight="1">
      <c r="B126" s="1369" t="s">
        <v>818</v>
      </c>
      <c r="C126" s="1370"/>
      <c r="D126" s="1370"/>
      <c r="E126" s="1370"/>
      <c r="F126" s="1371"/>
      <c r="G126" s="346"/>
      <c r="H126" s="359">
        <f>G126*H110*-1</f>
        <v>0</v>
      </c>
      <c r="I126" s="346"/>
      <c r="J126" s="400">
        <f>(I126*J110)*-1</f>
        <v>0</v>
      </c>
      <c r="K126" s="280"/>
      <c r="L126" s="424"/>
      <c r="M126" s="424"/>
      <c r="N126" s="424"/>
      <c r="O126" s="424"/>
      <c r="P126" s="424"/>
      <c r="Q126" s="424"/>
      <c r="R126" s="424"/>
      <c r="S126" s="424"/>
      <c r="T126" s="424"/>
      <c r="U126" s="304"/>
      <c r="X126" s="304"/>
      <c r="AA126" s="349" t="s">
        <v>605</v>
      </c>
    </row>
    <row r="127" spans="2:27">
      <c r="B127" s="1372" t="s">
        <v>819</v>
      </c>
      <c r="C127" s="1373"/>
      <c r="D127" s="1373"/>
      <c r="E127" s="1373"/>
      <c r="F127" s="1374"/>
      <c r="G127" s="346"/>
      <c r="H127" s="359">
        <f>G127*H110*-1</f>
        <v>0</v>
      </c>
      <c r="I127" s="346"/>
      <c r="J127" s="400">
        <f>I127*J110*-1</f>
        <v>0</v>
      </c>
      <c r="K127" s="280"/>
      <c r="L127" s="424"/>
      <c r="M127" s="424"/>
      <c r="N127" s="424"/>
      <c r="O127" s="424"/>
      <c r="P127" s="424"/>
      <c r="Q127" s="424"/>
      <c r="R127" s="424"/>
      <c r="S127" s="424"/>
      <c r="T127" s="424"/>
      <c r="U127" s="304"/>
    </row>
    <row r="128" spans="2:27">
      <c r="B128" s="1375" t="s">
        <v>820</v>
      </c>
      <c r="C128" s="1376"/>
      <c r="D128" s="1376"/>
      <c r="E128" s="1376"/>
      <c r="F128" s="1377"/>
      <c r="G128" s="346"/>
      <c r="H128" s="359">
        <f>G128*H110*-1</f>
        <v>0</v>
      </c>
      <c r="I128" s="346"/>
      <c r="J128" s="359">
        <f>I128*J110*-1</f>
        <v>0</v>
      </c>
      <c r="K128" s="280"/>
      <c r="L128" s="424"/>
      <c r="M128" s="424"/>
      <c r="N128" s="424"/>
      <c r="O128" s="424"/>
      <c r="P128" s="424"/>
      <c r="Q128" s="424"/>
      <c r="R128" s="424"/>
      <c r="S128" s="424"/>
      <c r="T128" s="424"/>
      <c r="U128" s="304"/>
    </row>
    <row r="129" spans="2:28" ht="15" customHeight="1">
      <c r="B129" s="1378" t="s">
        <v>735</v>
      </c>
      <c r="C129" s="1379"/>
      <c r="D129" s="1379"/>
      <c r="E129" s="1379"/>
      <c r="F129" s="1379"/>
      <c r="G129" s="350"/>
      <c r="H129" s="389"/>
      <c r="I129" s="350"/>
      <c r="J129" s="390"/>
      <c r="K129" s="280"/>
      <c r="L129" s="424"/>
      <c r="M129" s="424"/>
      <c r="N129" s="424"/>
      <c r="O129" s="424"/>
      <c r="P129" s="424"/>
      <c r="Q129" s="424"/>
      <c r="R129" s="424"/>
      <c r="S129" s="424"/>
      <c r="T129" s="424"/>
      <c r="U129" s="304"/>
    </row>
    <row r="130" spans="2:28">
      <c r="B130" s="1380" t="s">
        <v>821</v>
      </c>
      <c r="C130" s="1370"/>
      <c r="D130" s="1370"/>
      <c r="E130" s="1370"/>
      <c r="F130" s="1371"/>
      <c r="G130" s="346"/>
      <c r="H130" s="359">
        <f>(G130*H110)</f>
        <v>0</v>
      </c>
      <c r="I130" s="346"/>
      <c r="J130" s="400">
        <f>(I130*J110)</f>
        <v>0</v>
      </c>
      <c r="K130" s="280"/>
      <c r="L130" s="424"/>
      <c r="M130" s="424"/>
      <c r="N130" s="424"/>
      <c r="O130" s="424"/>
      <c r="P130" s="424"/>
      <c r="Q130" s="424"/>
      <c r="R130" s="424"/>
      <c r="S130" s="424"/>
      <c r="T130" s="424"/>
      <c r="U130" s="304"/>
    </row>
    <row r="131" spans="2:28">
      <c r="B131" s="1158" t="s">
        <v>822</v>
      </c>
      <c r="C131" s="1159"/>
      <c r="D131" s="1159"/>
      <c r="E131" s="1159"/>
      <c r="F131" s="1160"/>
      <c r="G131" s="1359">
        <f>SUM(H112:H130)</f>
        <v>0</v>
      </c>
      <c r="H131" s="1360"/>
      <c r="I131" s="1361">
        <f>SUM(J112:J130)</f>
        <v>0</v>
      </c>
      <c r="J131" s="1362"/>
      <c r="K131" s="280"/>
      <c r="L131" s="424"/>
      <c r="M131" s="424"/>
      <c r="N131" s="424"/>
      <c r="O131" s="424"/>
      <c r="P131" s="424"/>
      <c r="Q131" s="424"/>
      <c r="R131" s="424"/>
      <c r="S131" s="424"/>
      <c r="T131" s="424"/>
      <c r="U131" s="304"/>
    </row>
    <row r="132" spans="2:28" ht="18.75">
      <c r="B132" s="1363" t="s">
        <v>823</v>
      </c>
      <c r="C132" s="1364"/>
      <c r="D132" s="1364"/>
      <c r="E132" s="1364"/>
      <c r="F132" s="1365"/>
      <c r="G132" s="1161" t="str">
        <f>IF(OR(AA120=0, I131=0), "12 Month Average", "24 Month Average")</f>
        <v>12 Month Average</v>
      </c>
      <c r="H132" s="1162"/>
      <c r="I132" s="1162"/>
      <c r="J132" s="1163"/>
      <c r="K132" s="280"/>
      <c r="L132" s="424"/>
      <c r="M132" s="424"/>
      <c r="N132" s="424"/>
      <c r="O132" s="424"/>
      <c r="P132" s="424"/>
      <c r="Q132" s="424"/>
      <c r="R132" s="424"/>
      <c r="S132" s="424"/>
      <c r="T132" s="424"/>
      <c r="U132" s="304"/>
    </row>
    <row r="133" spans="2:28" ht="34.5" thickBot="1">
      <c r="B133" s="1366" t="s">
        <v>824</v>
      </c>
      <c r="C133" s="1367"/>
      <c r="D133" s="1367"/>
      <c r="E133" s="1367"/>
      <c r="F133" s="1368"/>
      <c r="G133" s="1167">
        <f>IF(OR(AA120=0, I131=0), AA115, AA116)</f>
        <v>0</v>
      </c>
      <c r="H133" s="1168"/>
      <c r="I133" s="1168"/>
      <c r="J133" s="1169"/>
      <c r="L133" s="424"/>
      <c r="M133" s="424"/>
      <c r="N133" s="424"/>
      <c r="O133" s="424"/>
      <c r="P133" s="424"/>
      <c r="Q133" s="424"/>
      <c r="R133" s="424"/>
      <c r="S133" s="424"/>
      <c r="T133" s="424"/>
      <c r="U133" s="304"/>
    </row>
    <row r="134" spans="2:28" ht="9" customHeight="1" thickBot="1">
      <c r="H134" s="330"/>
      <c r="I134" s="330"/>
      <c r="L134" s="424"/>
      <c r="M134" s="424"/>
      <c r="N134" s="424"/>
      <c r="O134" s="424"/>
      <c r="P134" s="424"/>
      <c r="Q134" s="424"/>
      <c r="R134" s="424"/>
      <c r="S134" s="424"/>
      <c r="T134" s="424"/>
      <c r="U134" s="304"/>
    </row>
    <row r="135" spans="2:28" ht="135" customHeight="1" thickBot="1">
      <c r="B135" s="1148" t="s">
        <v>761</v>
      </c>
      <c r="C135" s="1285"/>
      <c r="D135" s="1285"/>
      <c r="E135" s="1285"/>
      <c r="F135" s="1285"/>
      <c r="G135" s="1285"/>
      <c r="H135" s="1285"/>
      <c r="I135" s="1285"/>
      <c r="J135" s="1286"/>
      <c r="L135" s="424"/>
      <c r="M135" s="424"/>
      <c r="N135" s="424"/>
      <c r="O135" s="424"/>
      <c r="P135" s="424"/>
      <c r="Q135" s="424"/>
      <c r="R135" s="424"/>
      <c r="S135" s="424"/>
      <c r="T135" s="424"/>
      <c r="U135" s="304"/>
    </row>
    <row r="136" spans="2:28" ht="9" customHeight="1">
      <c r="B136" s="304"/>
      <c r="C136" s="304"/>
      <c r="D136" s="304"/>
      <c r="E136" s="304"/>
      <c r="F136" s="304"/>
      <c r="G136" s="304"/>
      <c r="H136" s="304"/>
      <c r="I136" s="304"/>
      <c r="L136" s="304"/>
      <c r="M136" s="304"/>
      <c r="N136" s="304"/>
      <c r="O136" s="304"/>
      <c r="P136" s="304"/>
      <c r="Q136" s="304"/>
      <c r="R136" s="304"/>
      <c r="S136" s="304"/>
      <c r="T136" s="304"/>
      <c r="U136" s="304"/>
    </row>
    <row r="137" spans="2:28" ht="13.5" customHeight="1" thickBot="1"/>
    <row r="138" spans="2:28" ht="82.5" customHeight="1">
      <c r="B138" s="1187" t="s">
        <v>791</v>
      </c>
      <c r="C138" s="1188"/>
      <c r="D138" s="1188"/>
      <c r="E138" s="1188"/>
      <c r="F138" s="1188"/>
      <c r="G138" s="1188"/>
      <c r="H138" s="1188"/>
      <c r="I138" s="1188"/>
      <c r="J138" s="331" t="str">
        <f>'[3]Reference Sheet'!$B$2</f>
        <v>Rev. 4.12.2016</v>
      </c>
      <c r="L138" s="424"/>
      <c r="M138" s="424"/>
      <c r="N138" s="424"/>
      <c r="O138" s="424"/>
      <c r="P138" s="424"/>
      <c r="Q138" s="424"/>
      <c r="R138" s="424"/>
      <c r="S138" s="424"/>
      <c r="T138" s="424"/>
      <c r="U138" s="304"/>
    </row>
    <row r="139" spans="2:28" ht="17.25" customHeight="1" thickBot="1">
      <c r="B139" s="332"/>
      <c r="C139" s="368" t="s">
        <v>710</v>
      </c>
      <c r="D139" s="1400"/>
      <c r="E139" s="1401"/>
      <c r="F139" s="1401"/>
      <c r="G139" s="1401"/>
      <c r="H139" s="333"/>
      <c r="I139" s="333"/>
      <c r="J139" s="334"/>
      <c r="L139" s="424"/>
      <c r="M139" s="424"/>
      <c r="N139" s="424"/>
      <c r="O139" s="424"/>
      <c r="P139" s="424"/>
      <c r="Q139" s="424"/>
      <c r="R139" s="424"/>
      <c r="S139" s="424"/>
      <c r="T139" s="424"/>
      <c r="U139" s="304"/>
      <c r="X139" s="304"/>
      <c r="Z139" s="451" t="s">
        <v>717</v>
      </c>
      <c r="AA139" s="451" t="str">
        <f>IF(OR(H144=0, H144&gt;100%), "Shareholder %", G148*H144)</f>
        <v>Shareholder %</v>
      </c>
    </row>
    <row r="140" spans="2:28" ht="17.25" customHeight="1" thickBot="1">
      <c r="B140" s="332"/>
      <c r="C140" s="368" t="s">
        <v>711</v>
      </c>
      <c r="D140" s="1402"/>
      <c r="E140" s="1403"/>
      <c r="F140" s="1403"/>
      <c r="G140" s="1403"/>
      <c r="H140" s="368" t="s">
        <v>712</v>
      </c>
      <c r="I140" s="1400"/>
      <c r="J140" s="1404"/>
      <c r="L140" s="424"/>
      <c r="M140" s="424"/>
      <c r="N140" s="424"/>
      <c r="O140" s="424"/>
      <c r="P140" s="424"/>
      <c r="Q140" s="424"/>
      <c r="R140" s="424"/>
      <c r="S140" s="424"/>
      <c r="T140" s="424"/>
      <c r="U140" s="304"/>
      <c r="X140" s="304"/>
      <c r="Z140" s="451" t="s">
        <v>720</v>
      </c>
      <c r="AA140" s="451" t="str">
        <f>IF(OR(J144&gt;100%, J144=0), "Shareholder %", I148*J144)</f>
        <v>Shareholder %</v>
      </c>
    </row>
    <row r="141" spans="2:28" s="404" customFormat="1" ht="16.5" thickBot="1">
      <c r="B141" s="1393" t="s">
        <v>671</v>
      </c>
      <c r="C141" s="1394"/>
      <c r="D141" s="1405"/>
      <c r="E141" s="1406"/>
      <c r="F141" s="1406"/>
      <c r="G141" s="1406"/>
      <c r="H141" s="452" t="s">
        <v>673</v>
      </c>
      <c r="I141" s="1407"/>
      <c r="J141" s="1408"/>
      <c r="L141" s="424"/>
      <c r="M141" s="424"/>
      <c r="N141" s="424"/>
      <c r="O141" s="424"/>
      <c r="P141" s="424"/>
      <c r="Q141" s="424"/>
      <c r="R141" s="424"/>
      <c r="S141" s="424"/>
      <c r="T141" s="424"/>
      <c r="U141" s="367"/>
      <c r="X141" s="304"/>
      <c r="Y141" s="280"/>
      <c r="Z141" s="451"/>
      <c r="AA141" s="451"/>
      <c r="AB141" s="405"/>
    </row>
    <row r="142" spans="2:28" s="404" customFormat="1" ht="16.5" thickBot="1">
      <c r="B142" s="1393" t="s">
        <v>674</v>
      </c>
      <c r="C142" s="1394"/>
      <c r="D142" s="1395"/>
      <c r="E142" s="1396"/>
      <c r="F142" s="1396"/>
      <c r="G142" s="1396"/>
      <c r="H142" s="1396"/>
      <c r="I142" s="1396"/>
      <c r="J142" s="1397"/>
      <c r="K142" s="405"/>
      <c r="L142" s="424"/>
      <c r="M142" s="424"/>
      <c r="N142" s="424"/>
      <c r="O142" s="424"/>
      <c r="P142" s="424"/>
      <c r="Q142" s="424"/>
      <c r="R142" s="424"/>
      <c r="S142" s="424"/>
      <c r="T142" s="424"/>
      <c r="U142" s="367"/>
      <c r="X142" s="304"/>
      <c r="Y142" s="280"/>
      <c r="Z142" s="451" t="s">
        <v>793</v>
      </c>
      <c r="AA142" s="349" t="str">
        <f>IF(OR(H144=0, H144&gt;100%),"Enter Shareholder %",$J$40)</f>
        <v>Enter Shareholder %</v>
      </c>
      <c r="AB142" s="405"/>
    </row>
    <row r="143" spans="2:28">
      <c r="B143" s="1265"/>
      <c r="C143" s="1266"/>
      <c r="D143" s="1266"/>
      <c r="E143" s="1266"/>
      <c r="F143" s="1267"/>
      <c r="G143" s="453" t="s">
        <v>713</v>
      </c>
      <c r="H143" s="454" t="s">
        <v>676</v>
      </c>
      <c r="I143" s="342"/>
      <c r="J143" s="373" t="s">
        <v>677</v>
      </c>
      <c r="K143" s="280"/>
      <c r="L143" s="424"/>
      <c r="M143" s="424"/>
      <c r="N143" s="424"/>
      <c r="O143" s="424"/>
      <c r="P143" s="424"/>
      <c r="Q143" s="424"/>
      <c r="R143" s="424"/>
      <c r="S143" s="424"/>
      <c r="T143" s="424"/>
      <c r="U143" s="304"/>
      <c r="V143" s="304"/>
      <c r="X143" s="304"/>
      <c r="Z143" s="451" t="s">
        <v>794</v>
      </c>
      <c r="AA143" s="349" t="str">
        <f>IF(OR(J144=0, J144&gt;100%),"Enter Shareholder %",$J$41)</f>
        <v>Enter Shareholder %</v>
      </c>
    </row>
    <row r="144" spans="2:28" ht="15.75" thickBot="1">
      <c r="B144" s="1269"/>
      <c r="C144" s="1270"/>
      <c r="D144" s="1270"/>
      <c r="E144" s="1270"/>
      <c r="F144" s="1271"/>
      <c r="G144" s="408" t="s">
        <v>795</v>
      </c>
      <c r="H144" s="376"/>
      <c r="I144" s="377"/>
      <c r="J144" s="378"/>
      <c r="K144" s="280"/>
      <c r="L144" s="424"/>
      <c r="M144" s="424"/>
      <c r="N144" s="424"/>
      <c r="O144" s="424"/>
      <c r="P144" s="424"/>
      <c r="Q144" s="424"/>
      <c r="R144" s="424"/>
      <c r="S144" s="424"/>
      <c r="T144" s="424"/>
      <c r="U144" s="304"/>
      <c r="V144" s="304"/>
      <c r="X144" s="304"/>
      <c r="Z144" s="451" t="s">
        <v>796</v>
      </c>
      <c r="AA144" s="349">
        <f>SUM(H148:H164)</f>
        <v>0</v>
      </c>
    </row>
    <row r="145" spans="2:27">
      <c r="B145" s="1229" t="s">
        <v>744</v>
      </c>
      <c r="C145" s="1273"/>
      <c r="D145" s="1273"/>
      <c r="E145" s="1273"/>
      <c r="F145" s="1273"/>
      <c r="G145" s="455" t="s">
        <v>719</v>
      </c>
      <c r="H145" s="413"/>
      <c r="I145" s="456" t="s">
        <v>719</v>
      </c>
      <c r="J145" s="415"/>
      <c r="K145" s="280"/>
      <c r="L145" s="424"/>
      <c r="M145" s="424"/>
      <c r="N145" s="424"/>
      <c r="O145" s="424"/>
      <c r="P145" s="424"/>
      <c r="Q145" s="424"/>
      <c r="R145" s="424"/>
      <c r="S145" s="424"/>
      <c r="T145" s="424"/>
      <c r="U145" s="304"/>
      <c r="V145" s="304"/>
      <c r="X145" s="304"/>
      <c r="Z145" s="451" t="s">
        <v>797</v>
      </c>
      <c r="AA145" s="362">
        <f>SUM(J148:J164)</f>
        <v>0</v>
      </c>
    </row>
    <row r="146" spans="2:27">
      <c r="B146" s="1384" t="s">
        <v>798</v>
      </c>
      <c r="C146" s="1385"/>
      <c r="D146" s="1385"/>
      <c r="E146" s="1385"/>
      <c r="F146" s="1386"/>
      <c r="G146" s="457"/>
      <c r="H146" s="458">
        <f>G146</f>
        <v>0</v>
      </c>
      <c r="I146" s="457"/>
      <c r="J146" s="400">
        <f>I146</f>
        <v>0</v>
      </c>
      <c r="K146" s="280"/>
      <c r="L146" s="424"/>
      <c r="M146" s="424"/>
      <c r="N146" s="424"/>
      <c r="O146" s="424"/>
      <c r="P146" s="424"/>
      <c r="Q146" s="424"/>
      <c r="R146" s="424"/>
      <c r="S146" s="424"/>
      <c r="T146" s="424"/>
      <c r="U146" s="304"/>
      <c r="V146" s="304"/>
      <c r="X146" s="304"/>
    </row>
    <row r="147" spans="2:27">
      <c r="B147" s="1398">
        <v>1120</v>
      </c>
      <c r="C147" s="1399"/>
      <c r="D147" s="1399"/>
      <c r="E147" s="1399"/>
      <c r="F147" s="1399"/>
      <c r="G147" s="350"/>
      <c r="H147" s="389"/>
      <c r="I147" s="350"/>
      <c r="J147" s="390"/>
      <c r="K147" s="280"/>
      <c r="L147" s="424"/>
      <c r="M147" s="424"/>
      <c r="N147" s="424"/>
      <c r="O147" s="424"/>
      <c r="P147" s="424"/>
      <c r="Q147" s="424"/>
      <c r="R147" s="424"/>
      <c r="S147" s="424"/>
      <c r="T147" s="424"/>
      <c r="U147" s="304"/>
      <c r="V147" s="304"/>
      <c r="X147" s="304"/>
      <c r="Z147" s="451" t="s">
        <v>799</v>
      </c>
      <c r="AA147" s="280">
        <f>IF(OR(H144=0, H144=10%), 0, 1)</f>
        <v>0</v>
      </c>
    </row>
    <row r="148" spans="2:27">
      <c r="B148" s="1384" t="s">
        <v>800</v>
      </c>
      <c r="C148" s="1385"/>
      <c r="D148" s="1385"/>
      <c r="E148" s="1385"/>
      <c r="F148" s="1386"/>
      <c r="G148" s="459"/>
      <c r="H148" s="387" t="str">
        <f>AA139</f>
        <v>Shareholder %</v>
      </c>
      <c r="I148" s="346"/>
      <c r="J148" s="388" t="str">
        <f>AA140</f>
        <v>Shareholder %</v>
      </c>
      <c r="K148" s="280"/>
      <c r="L148" s="424"/>
      <c r="M148" s="424"/>
      <c r="N148" s="424"/>
      <c r="O148" s="424"/>
      <c r="P148" s="424"/>
      <c r="Q148" s="424"/>
      <c r="R148" s="424"/>
      <c r="S148" s="424"/>
      <c r="T148" s="424"/>
      <c r="U148" s="304"/>
      <c r="V148" s="304"/>
      <c r="X148" s="304"/>
      <c r="Z148" s="451" t="s">
        <v>801</v>
      </c>
      <c r="AA148" s="280">
        <f>IF(OR(J144=0, J144+100%), 0, 1)</f>
        <v>0</v>
      </c>
    </row>
    <row r="149" spans="2:27">
      <c r="B149" s="1297" t="s">
        <v>802</v>
      </c>
      <c r="C149" s="1298"/>
      <c r="D149" s="1298"/>
      <c r="E149" s="1298"/>
      <c r="F149" s="1298"/>
      <c r="G149" s="460"/>
      <c r="H149" s="416"/>
      <c r="I149" s="460"/>
      <c r="J149" s="417"/>
      <c r="K149" s="280"/>
      <c r="L149" s="424"/>
      <c r="M149" s="424"/>
      <c r="N149" s="424"/>
      <c r="O149" s="424"/>
      <c r="P149" s="424"/>
      <c r="Q149" s="424"/>
      <c r="R149" s="424"/>
      <c r="S149" s="424"/>
      <c r="T149" s="424"/>
      <c r="U149" s="304"/>
      <c r="V149" s="304"/>
      <c r="X149" s="304"/>
      <c r="Z149" s="451" t="s">
        <v>803</v>
      </c>
      <c r="AA149" s="362">
        <f>G165/12</f>
        <v>0</v>
      </c>
    </row>
    <row r="150" spans="2:27">
      <c r="B150" s="1387" t="s">
        <v>804</v>
      </c>
      <c r="C150" s="1388"/>
      <c r="D150" s="1388"/>
      <c r="E150" s="1388"/>
      <c r="F150" s="1389"/>
      <c r="G150" s="461"/>
      <c r="H150" s="419">
        <f>(G150*H144)*-1</f>
        <v>0</v>
      </c>
      <c r="I150" s="461"/>
      <c r="J150" s="420">
        <f>(I150*J144)*-1</f>
        <v>0</v>
      </c>
      <c r="K150" s="280"/>
      <c r="L150" s="424"/>
      <c r="M150" s="424"/>
      <c r="N150" s="424"/>
      <c r="O150" s="424"/>
      <c r="P150" s="424"/>
      <c r="Q150" s="424"/>
      <c r="R150" s="424"/>
      <c r="S150" s="424"/>
      <c r="T150" s="424"/>
      <c r="U150" s="304"/>
      <c r="V150" s="304"/>
      <c r="X150" s="304"/>
      <c r="Z150" s="451" t="s">
        <v>805</v>
      </c>
      <c r="AA150" s="362">
        <f>(G165+I165)/24</f>
        <v>0</v>
      </c>
    </row>
    <row r="151" spans="2:27">
      <c r="B151" s="1390" t="s">
        <v>806</v>
      </c>
      <c r="C151" s="1391"/>
      <c r="D151" s="1391"/>
      <c r="E151" s="1391"/>
      <c r="F151" s="1392"/>
      <c r="G151" s="461"/>
      <c r="H151" s="419">
        <f>(G151*H144)*-1</f>
        <v>0</v>
      </c>
      <c r="I151" s="461"/>
      <c r="J151" s="420">
        <f>(I151*J144)*-1</f>
        <v>0</v>
      </c>
      <c r="K151" s="280"/>
      <c r="L151" s="424"/>
      <c r="M151" s="424"/>
      <c r="N151" s="424"/>
      <c r="O151" s="424"/>
      <c r="P151" s="424"/>
      <c r="Q151" s="424"/>
      <c r="R151" s="424"/>
      <c r="S151" s="424"/>
      <c r="T151" s="424"/>
      <c r="U151" s="304"/>
      <c r="V151" s="304"/>
      <c r="X151" s="304"/>
      <c r="Z151" s="451"/>
    </row>
    <row r="152" spans="2:27">
      <c r="B152" s="1302" t="s">
        <v>807</v>
      </c>
      <c r="C152" s="1303"/>
      <c r="D152" s="1303"/>
      <c r="E152" s="1303"/>
      <c r="F152" s="1304"/>
      <c r="G152" s="461"/>
      <c r="H152" s="419">
        <f>(G152*H144)*-1</f>
        <v>0</v>
      </c>
      <c r="I152" s="461"/>
      <c r="J152" s="420">
        <f>(I152*J144)*-1</f>
        <v>0</v>
      </c>
      <c r="K152" s="280"/>
      <c r="L152" s="424"/>
      <c r="M152" s="424"/>
      <c r="N152" s="424"/>
      <c r="O152" s="424"/>
      <c r="P152" s="424"/>
      <c r="Q152" s="424"/>
      <c r="R152" s="424"/>
      <c r="S152" s="424"/>
      <c r="T152" s="424"/>
      <c r="U152" s="304"/>
      <c r="V152" s="304"/>
      <c r="X152" s="304"/>
      <c r="Z152" s="451" t="s">
        <v>808</v>
      </c>
      <c r="AA152" s="280">
        <f>IF(AND(J146=0, J148=0, J150=0, J151=0, J152=0, J154=0, J155=0, J156=0, J157=0, J159=0, J160=0, J161=0, J162=0, J164=0, I165=0), 0, 1)</f>
        <v>1</v>
      </c>
    </row>
    <row r="153" spans="2:27">
      <c r="B153" s="1229" t="s">
        <v>809</v>
      </c>
      <c r="C153" s="1230"/>
      <c r="D153" s="1230"/>
      <c r="E153" s="1230"/>
      <c r="F153" s="1230"/>
      <c r="G153" s="350"/>
      <c r="H153" s="351"/>
      <c r="I153" s="350"/>
      <c r="J153" s="352"/>
      <c r="K153" s="280"/>
      <c r="L153" s="424"/>
      <c r="M153" s="424"/>
      <c r="N153" s="424"/>
      <c r="O153" s="424"/>
      <c r="P153" s="424"/>
      <c r="Q153" s="424"/>
      <c r="R153" s="424"/>
      <c r="S153" s="424"/>
      <c r="T153" s="424"/>
      <c r="U153" s="304"/>
      <c r="V153" s="304"/>
      <c r="X153" s="304"/>
      <c r="Z153" s="451" t="s">
        <v>810</v>
      </c>
      <c r="AA153" s="280">
        <f>IF(AND(G165&lt;=I165, I165&lt;&gt;0), 0, 1)</f>
        <v>1</v>
      </c>
    </row>
    <row r="154" spans="2:27">
      <c r="B154" s="1243" t="s">
        <v>811</v>
      </c>
      <c r="C154" s="1244"/>
      <c r="D154" s="1244"/>
      <c r="E154" s="1244"/>
      <c r="F154" s="1245"/>
      <c r="G154" s="346"/>
      <c r="H154" s="384">
        <f>G154*H144</f>
        <v>0</v>
      </c>
      <c r="I154" s="346"/>
      <c r="J154" s="385">
        <f>I154*J144</f>
        <v>0</v>
      </c>
      <c r="K154" s="280"/>
      <c r="L154" s="424"/>
      <c r="M154" s="424"/>
      <c r="N154" s="424"/>
      <c r="O154" s="424"/>
      <c r="P154" s="424"/>
      <c r="Q154" s="424"/>
      <c r="R154" s="424"/>
      <c r="S154" s="424"/>
      <c r="T154" s="424"/>
      <c r="U154" s="304"/>
      <c r="V154" s="304"/>
      <c r="X154" s="304"/>
      <c r="Z154" s="451" t="s">
        <v>812</v>
      </c>
      <c r="AA154" s="280">
        <f>IF(AND(AA153=0, AA152=1), 0, 1)</f>
        <v>1</v>
      </c>
    </row>
    <row r="155" spans="2:27">
      <c r="B155" s="1381" t="s">
        <v>813</v>
      </c>
      <c r="C155" s="1224"/>
      <c r="D155" s="1224"/>
      <c r="E155" s="1224"/>
      <c r="F155" s="1225"/>
      <c r="G155" s="346"/>
      <c r="H155" s="384">
        <f>G155*H144</f>
        <v>0</v>
      </c>
      <c r="I155" s="346"/>
      <c r="J155" s="385">
        <f>I155*J144</f>
        <v>0</v>
      </c>
      <c r="K155" s="280"/>
      <c r="L155" s="424"/>
      <c r="M155" s="424"/>
      <c r="N155" s="424"/>
      <c r="O155" s="424"/>
      <c r="P155" s="424"/>
      <c r="Q155" s="424"/>
      <c r="R155" s="424"/>
      <c r="S155" s="424"/>
      <c r="T155" s="424"/>
      <c r="U155" s="304"/>
      <c r="X155" s="304"/>
    </row>
    <row r="156" spans="2:27">
      <c r="B156" s="1223" t="s">
        <v>814</v>
      </c>
      <c r="C156" s="1224"/>
      <c r="D156" s="1224"/>
      <c r="E156" s="1224"/>
      <c r="F156" s="1225"/>
      <c r="G156" s="346"/>
      <c r="H156" s="384">
        <f>G156*H144</f>
        <v>0</v>
      </c>
      <c r="I156" s="346"/>
      <c r="J156" s="385">
        <f>I156*J144</f>
        <v>0</v>
      </c>
      <c r="K156" s="280"/>
      <c r="L156" s="424"/>
      <c r="M156" s="424"/>
      <c r="N156" s="424"/>
      <c r="O156" s="424"/>
      <c r="P156" s="424"/>
      <c r="Q156" s="424"/>
      <c r="R156" s="424"/>
      <c r="S156" s="424"/>
      <c r="T156" s="424"/>
      <c r="U156" s="304"/>
      <c r="X156" s="304"/>
      <c r="AA156" s="349" t="s">
        <v>596</v>
      </c>
    </row>
    <row r="157" spans="2:27">
      <c r="B157" s="1226" t="s">
        <v>825</v>
      </c>
      <c r="C157" s="1227"/>
      <c r="D157" s="1227"/>
      <c r="E157" s="1227"/>
      <c r="F157" s="1228"/>
      <c r="G157" s="346"/>
      <c r="H157" s="384">
        <f>G157*H144</f>
        <v>0</v>
      </c>
      <c r="I157" s="346"/>
      <c r="J157" s="385">
        <f>I157*J144</f>
        <v>0</v>
      </c>
      <c r="K157" s="280"/>
      <c r="L157" s="424"/>
      <c r="M157" s="424"/>
      <c r="N157" s="424"/>
      <c r="O157" s="424"/>
      <c r="P157" s="424"/>
      <c r="Q157" s="424"/>
      <c r="R157" s="424"/>
      <c r="S157" s="424"/>
      <c r="T157" s="424"/>
      <c r="U157" s="304"/>
      <c r="X157" s="304"/>
      <c r="Z157" s="462"/>
      <c r="AA157" s="349" t="s">
        <v>683</v>
      </c>
    </row>
    <row r="158" spans="2:27">
      <c r="B158" s="1229" t="s">
        <v>816</v>
      </c>
      <c r="C158" s="1230"/>
      <c r="D158" s="1230"/>
      <c r="E158" s="1230"/>
      <c r="F158" s="1230"/>
      <c r="G158" s="351"/>
      <c r="H158" s="351"/>
      <c r="I158" s="351"/>
      <c r="J158" s="352"/>
      <c r="K158" s="280"/>
      <c r="L158" s="424"/>
      <c r="M158" s="424"/>
      <c r="N158" s="424"/>
      <c r="O158" s="424"/>
      <c r="P158" s="424"/>
      <c r="Q158" s="424"/>
      <c r="R158" s="424"/>
      <c r="S158" s="424"/>
      <c r="T158" s="424"/>
      <c r="U158" s="304"/>
      <c r="X158" s="304"/>
      <c r="AA158" s="349" t="s">
        <v>599</v>
      </c>
    </row>
    <row r="159" spans="2:27">
      <c r="B159" s="1231" t="s">
        <v>817</v>
      </c>
      <c r="C159" s="1382"/>
      <c r="D159" s="1382"/>
      <c r="E159" s="1382"/>
      <c r="F159" s="1383"/>
      <c r="G159" s="346"/>
      <c r="H159" s="359">
        <f>(G159*H144)*-1</f>
        <v>0</v>
      </c>
      <c r="I159" s="346"/>
      <c r="J159" s="400">
        <f>(I159*J144)*-1</f>
        <v>0</v>
      </c>
      <c r="K159" s="280"/>
      <c r="L159" s="424"/>
      <c r="M159" s="424"/>
      <c r="N159" s="424"/>
      <c r="O159" s="424"/>
      <c r="P159" s="424"/>
      <c r="Q159" s="424"/>
      <c r="R159" s="424"/>
      <c r="S159" s="424"/>
      <c r="T159" s="424"/>
      <c r="U159" s="304"/>
      <c r="X159" s="304"/>
      <c r="AA159" s="349" t="s">
        <v>603</v>
      </c>
    </row>
    <row r="160" spans="2:27" ht="28.5" customHeight="1">
      <c r="B160" s="1369" t="s">
        <v>818</v>
      </c>
      <c r="C160" s="1370"/>
      <c r="D160" s="1370"/>
      <c r="E160" s="1370"/>
      <c r="F160" s="1371"/>
      <c r="G160" s="346"/>
      <c r="H160" s="359">
        <f>G160*H144*-1</f>
        <v>0</v>
      </c>
      <c r="I160" s="346"/>
      <c r="J160" s="400">
        <f>(I160*J144)*-1</f>
        <v>0</v>
      </c>
      <c r="K160" s="280"/>
      <c r="L160" s="424"/>
      <c r="M160" s="424"/>
      <c r="N160" s="424"/>
      <c r="O160" s="424"/>
      <c r="P160" s="424"/>
      <c r="Q160" s="424"/>
      <c r="R160" s="424"/>
      <c r="S160" s="424"/>
      <c r="T160" s="424"/>
      <c r="U160" s="304"/>
      <c r="X160" s="304"/>
      <c r="AA160" s="349" t="s">
        <v>605</v>
      </c>
    </row>
    <row r="161" spans="2:28">
      <c r="B161" s="1372" t="s">
        <v>819</v>
      </c>
      <c r="C161" s="1373"/>
      <c r="D161" s="1373"/>
      <c r="E161" s="1373"/>
      <c r="F161" s="1374"/>
      <c r="G161" s="346"/>
      <c r="H161" s="359">
        <f>G161*H144*-1</f>
        <v>0</v>
      </c>
      <c r="I161" s="346"/>
      <c r="J161" s="400">
        <f>I161*J144*-1</f>
        <v>0</v>
      </c>
      <c r="K161" s="280"/>
      <c r="L161" s="424"/>
      <c r="M161" s="424"/>
      <c r="N161" s="424"/>
      <c r="O161" s="424"/>
      <c r="P161" s="424"/>
      <c r="Q161" s="424"/>
      <c r="R161" s="424"/>
      <c r="S161" s="424"/>
      <c r="T161" s="424"/>
      <c r="U161" s="304"/>
    </row>
    <row r="162" spans="2:28">
      <c r="B162" s="1375" t="s">
        <v>820</v>
      </c>
      <c r="C162" s="1376"/>
      <c r="D162" s="1376"/>
      <c r="E162" s="1376"/>
      <c r="F162" s="1377"/>
      <c r="G162" s="346"/>
      <c r="H162" s="359">
        <f>G162*H144*-1</f>
        <v>0</v>
      </c>
      <c r="I162" s="346"/>
      <c r="J162" s="359">
        <f>I162*J144*-1</f>
        <v>0</v>
      </c>
      <c r="K162" s="280"/>
      <c r="L162" s="424"/>
      <c r="M162" s="424"/>
      <c r="N162" s="424"/>
      <c r="O162" s="424"/>
      <c r="P162" s="424"/>
      <c r="Q162" s="424"/>
      <c r="R162" s="424"/>
      <c r="S162" s="424"/>
      <c r="T162" s="424"/>
      <c r="U162" s="304"/>
    </row>
    <row r="163" spans="2:28" ht="15" customHeight="1">
      <c r="B163" s="1378" t="s">
        <v>735</v>
      </c>
      <c r="C163" s="1379"/>
      <c r="D163" s="1379"/>
      <c r="E163" s="1379"/>
      <c r="F163" s="1379"/>
      <c r="G163" s="350"/>
      <c r="H163" s="389"/>
      <c r="I163" s="350"/>
      <c r="J163" s="390"/>
      <c r="K163" s="280"/>
      <c r="L163" s="424"/>
      <c r="M163" s="424"/>
      <c r="N163" s="424"/>
      <c r="O163" s="424"/>
      <c r="P163" s="424"/>
      <c r="Q163" s="424"/>
      <c r="R163" s="424"/>
      <c r="S163" s="424"/>
      <c r="T163" s="424"/>
      <c r="U163" s="304"/>
    </row>
    <row r="164" spans="2:28">
      <c r="B164" s="1380" t="s">
        <v>821</v>
      </c>
      <c r="C164" s="1370"/>
      <c r="D164" s="1370"/>
      <c r="E164" s="1370"/>
      <c r="F164" s="1371"/>
      <c r="G164" s="346"/>
      <c r="H164" s="359">
        <f>(G164*H144)</f>
        <v>0</v>
      </c>
      <c r="I164" s="346"/>
      <c r="J164" s="400">
        <f>(I164*J144)</f>
        <v>0</v>
      </c>
      <c r="K164" s="280"/>
      <c r="L164" s="424"/>
      <c r="M164" s="424"/>
      <c r="N164" s="424"/>
      <c r="O164" s="424"/>
      <c r="P164" s="424"/>
      <c r="Q164" s="424"/>
      <c r="R164" s="424"/>
      <c r="S164" s="424"/>
      <c r="T164" s="424"/>
      <c r="U164" s="304"/>
    </row>
    <row r="165" spans="2:28">
      <c r="B165" s="1158" t="s">
        <v>822</v>
      </c>
      <c r="C165" s="1159"/>
      <c r="D165" s="1159"/>
      <c r="E165" s="1159"/>
      <c r="F165" s="1160"/>
      <c r="G165" s="1359">
        <f>SUM(H146:H164)</f>
        <v>0</v>
      </c>
      <c r="H165" s="1360"/>
      <c r="I165" s="1361">
        <f>SUM(J146:J164)</f>
        <v>0</v>
      </c>
      <c r="J165" s="1362"/>
      <c r="K165" s="280"/>
      <c r="L165" s="424"/>
      <c r="M165" s="424"/>
      <c r="N165" s="424"/>
      <c r="O165" s="424"/>
      <c r="P165" s="424"/>
      <c r="Q165" s="424"/>
      <c r="R165" s="424"/>
      <c r="S165" s="424"/>
      <c r="T165" s="424"/>
      <c r="U165" s="304"/>
    </row>
    <row r="166" spans="2:28" ht="18.75">
      <c r="B166" s="1363" t="s">
        <v>823</v>
      </c>
      <c r="C166" s="1364"/>
      <c r="D166" s="1364"/>
      <c r="E166" s="1364"/>
      <c r="F166" s="1365"/>
      <c r="G166" s="1161" t="str">
        <f>IF(OR(AA154=0, I165=0), "12 Month Average", "24 Month Average")</f>
        <v>12 Month Average</v>
      </c>
      <c r="H166" s="1162"/>
      <c r="I166" s="1162"/>
      <c r="J166" s="1163"/>
      <c r="K166" s="280"/>
      <c r="L166" s="424"/>
      <c r="M166" s="424"/>
      <c r="N166" s="424"/>
      <c r="O166" s="424"/>
      <c r="P166" s="424"/>
      <c r="Q166" s="424"/>
      <c r="R166" s="424"/>
      <c r="S166" s="424"/>
      <c r="T166" s="424"/>
      <c r="U166" s="304"/>
    </row>
    <row r="167" spans="2:28" ht="34.5" thickBot="1">
      <c r="B167" s="1366" t="s">
        <v>824</v>
      </c>
      <c r="C167" s="1367"/>
      <c r="D167" s="1367"/>
      <c r="E167" s="1367"/>
      <c r="F167" s="1368"/>
      <c r="G167" s="1167">
        <f>IF(OR(AA154=0, I165=0), AA149, AA150)</f>
        <v>0</v>
      </c>
      <c r="H167" s="1168"/>
      <c r="I167" s="1168"/>
      <c r="J167" s="1169"/>
      <c r="L167" s="424"/>
      <c r="M167" s="424"/>
      <c r="N167" s="424"/>
      <c r="O167" s="424"/>
      <c r="P167" s="424"/>
      <c r="Q167" s="424"/>
      <c r="R167" s="424"/>
      <c r="S167" s="424"/>
      <c r="T167" s="424"/>
      <c r="U167" s="304"/>
    </row>
    <row r="168" spans="2:28" ht="9" customHeight="1" thickBot="1">
      <c r="H168" s="330"/>
      <c r="I168" s="330"/>
      <c r="L168" s="424"/>
      <c r="M168" s="424"/>
      <c r="N168" s="424"/>
      <c r="O168" s="424"/>
      <c r="P168" s="424"/>
      <c r="Q168" s="424"/>
      <c r="R168" s="424"/>
      <c r="S168" s="424"/>
      <c r="T168" s="424"/>
      <c r="U168" s="304"/>
    </row>
    <row r="169" spans="2:28" ht="135" customHeight="1" thickBot="1">
      <c r="B169" s="1148" t="s">
        <v>761</v>
      </c>
      <c r="C169" s="1285"/>
      <c r="D169" s="1285"/>
      <c r="E169" s="1285"/>
      <c r="F169" s="1285"/>
      <c r="G169" s="1285"/>
      <c r="H169" s="1285"/>
      <c r="I169" s="1285"/>
      <c r="J169" s="1286"/>
      <c r="L169" s="424"/>
      <c r="M169" s="424"/>
      <c r="N169" s="424"/>
      <c r="O169" s="424"/>
      <c r="P169" s="424"/>
      <c r="Q169" s="424"/>
      <c r="R169" s="424"/>
      <c r="S169" s="424"/>
      <c r="T169" s="424"/>
      <c r="U169" s="304"/>
    </row>
    <row r="170" spans="2:28" ht="9" customHeight="1">
      <c r="B170" s="304"/>
      <c r="C170" s="304"/>
      <c r="D170" s="304"/>
      <c r="E170" s="304"/>
      <c r="F170" s="304"/>
      <c r="G170" s="304"/>
      <c r="H170" s="304"/>
      <c r="I170" s="304"/>
      <c r="L170" s="304"/>
      <c r="M170" s="304"/>
      <c r="N170" s="304"/>
      <c r="O170" s="304"/>
      <c r="P170" s="304"/>
      <c r="Q170" s="304"/>
      <c r="R170" s="304"/>
      <c r="S170" s="304"/>
      <c r="T170" s="304"/>
      <c r="U170" s="304"/>
    </row>
    <row r="171" spans="2:28" ht="13.5" customHeight="1" thickBot="1"/>
    <row r="172" spans="2:28" ht="82.5" customHeight="1">
      <c r="B172" s="1187" t="s">
        <v>791</v>
      </c>
      <c r="C172" s="1188"/>
      <c r="D172" s="1188"/>
      <c r="E172" s="1188"/>
      <c r="F172" s="1188"/>
      <c r="G172" s="1188"/>
      <c r="H172" s="1188"/>
      <c r="I172" s="1188"/>
      <c r="J172" s="331" t="str">
        <f>'[3]Reference Sheet'!$B$2</f>
        <v>Rev. 4.12.2016</v>
      </c>
      <c r="L172" s="424"/>
      <c r="M172" s="424"/>
      <c r="N172" s="424"/>
      <c r="O172" s="424"/>
      <c r="P172" s="424"/>
      <c r="Q172" s="424"/>
      <c r="R172" s="424"/>
      <c r="S172" s="424"/>
      <c r="T172" s="424"/>
      <c r="U172" s="304"/>
    </row>
    <row r="173" spans="2:28" ht="17.25" customHeight="1" thickBot="1">
      <c r="B173" s="332"/>
      <c r="C173" s="368" t="s">
        <v>710</v>
      </c>
      <c r="D173" s="1400"/>
      <c r="E173" s="1401"/>
      <c r="F173" s="1401"/>
      <c r="G173" s="1401"/>
      <c r="H173" s="333"/>
      <c r="I173" s="333"/>
      <c r="J173" s="334"/>
      <c r="L173" s="424"/>
      <c r="M173" s="424"/>
      <c r="N173" s="424"/>
      <c r="O173" s="424"/>
      <c r="P173" s="424"/>
      <c r="Q173" s="424"/>
      <c r="R173" s="424"/>
      <c r="S173" s="424"/>
      <c r="T173" s="424"/>
      <c r="U173" s="304"/>
      <c r="X173" s="304"/>
      <c r="Z173" s="451" t="s">
        <v>717</v>
      </c>
      <c r="AA173" s="451" t="str">
        <f>IF(OR(H178=0, H178&gt;100%), "Shareholder %", G182*H178)</f>
        <v>Shareholder %</v>
      </c>
    </row>
    <row r="174" spans="2:28" ht="17.25" customHeight="1" thickBot="1">
      <c r="B174" s="332"/>
      <c r="C174" s="368" t="s">
        <v>711</v>
      </c>
      <c r="D174" s="1402"/>
      <c r="E174" s="1403"/>
      <c r="F174" s="1403"/>
      <c r="G174" s="1403"/>
      <c r="H174" s="368" t="s">
        <v>712</v>
      </c>
      <c r="I174" s="1400"/>
      <c r="J174" s="1404"/>
      <c r="L174" s="424"/>
      <c r="M174" s="424"/>
      <c r="N174" s="424"/>
      <c r="O174" s="424"/>
      <c r="P174" s="424"/>
      <c r="Q174" s="424"/>
      <c r="R174" s="424"/>
      <c r="S174" s="424"/>
      <c r="T174" s="424"/>
      <c r="U174" s="304"/>
      <c r="X174" s="304"/>
      <c r="Z174" s="451" t="s">
        <v>720</v>
      </c>
      <c r="AA174" s="451" t="str">
        <f>IF(OR(J178&gt;100%, J178=0), "Shareholder %", I182*J178)</f>
        <v>Shareholder %</v>
      </c>
    </row>
    <row r="175" spans="2:28" s="404" customFormat="1" ht="16.5" thickBot="1">
      <c r="B175" s="1393" t="s">
        <v>671</v>
      </c>
      <c r="C175" s="1394"/>
      <c r="D175" s="1405"/>
      <c r="E175" s="1406"/>
      <c r="F175" s="1406"/>
      <c r="G175" s="1406"/>
      <c r="H175" s="452" t="s">
        <v>673</v>
      </c>
      <c r="I175" s="1407"/>
      <c r="J175" s="1408"/>
      <c r="L175" s="424"/>
      <c r="M175" s="424"/>
      <c r="N175" s="424"/>
      <c r="O175" s="424"/>
      <c r="P175" s="424"/>
      <c r="Q175" s="424"/>
      <c r="R175" s="424"/>
      <c r="S175" s="424"/>
      <c r="T175" s="424"/>
      <c r="U175" s="367"/>
      <c r="X175" s="304"/>
      <c r="Y175" s="280"/>
      <c r="Z175" s="451"/>
      <c r="AA175" s="451"/>
      <c r="AB175" s="405"/>
    </row>
    <row r="176" spans="2:28" s="404" customFormat="1" ht="16.5" thickBot="1">
      <c r="B176" s="1393" t="s">
        <v>674</v>
      </c>
      <c r="C176" s="1394"/>
      <c r="D176" s="1395"/>
      <c r="E176" s="1396"/>
      <c r="F176" s="1396"/>
      <c r="G176" s="1396"/>
      <c r="H176" s="1396"/>
      <c r="I176" s="1396"/>
      <c r="J176" s="1397"/>
      <c r="K176" s="405"/>
      <c r="L176" s="424"/>
      <c r="M176" s="424"/>
      <c r="N176" s="424"/>
      <c r="O176" s="424"/>
      <c r="P176" s="424"/>
      <c r="Q176" s="424"/>
      <c r="R176" s="424"/>
      <c r="S176" s="424"/>
      <c r="T176" s="424"/>
      <c r="U176" s="367"/>
      <c r="X176" s="304"/>
      <c r="Y176" s="280"/>
      <c r="Z176" s="451" t="s">
        <v>793</v>
      </c>
      <c r="AA176" s="349" t="str">
        <f>IF(OR(H178=0, H178&gt;100%),"Enter Shareholder %",$J$40)</f>
        <v>Enter Shareholder %</v>
      </c>
      <c r="AB176" s="405"/>
    </row>
    <row r="177" spans="2:27">
      <c r="B177" s="1265"/>
      <c r="C177" s="1266"/>
      <c r="D177" s="1266"/>
      <c r="E177" s="1266"/>
      <c r="F177" s="1267"/>
      <c r="G177" s="453" t="s">
        <v>713</v>
      </c>
      <c r="H177" s="454" t="s">
        <v>676</v>
      </c>
      <c r="I177" s="342"/>
      <c r="J177" s="373" t="s">
        <v>677</v>
      </c>
      <c r="K177" s="280"/>
      <c r="L177" s="424"/>
      <c r="M177" s="424"/>
      <c r="N177" s="424"/>
      <c r="O177" s="424"/>
      <c r="P177" s="424"/>
      <c r="Q177" s="424"/>
      <c r="R177" s="424"/>
      <c r="S177" s="424"/>
      <c r="T177" s="424"/>
      <c r="U177" s="304"/>
      <c r="V177" s="304"/>
      <c r="X177" s="304"/>
      <c r="Z177" s="451" t="s">
        <v>794</v>
      </c>
      <c r="AA177" s="349" t="str">
        <f>IF(OR(J178=0, J178&gt;100%),"Enter Shareholder %",$J$41)</f>
        <v>Enter Shareholder %</v>
      </c>
    </row>
    <row r="178" spans="2:27" ht="15.75" thickBot="1">
      <c r="B178" s="1269"/>
      <c r="C178" s="1270"/>
      <c r="D178" s="1270"/>
      <c r="E178" s="1270"/>
      <c r="F178" s="1271"/>
      <c r="G178" s="408" t="s">
        <v>795</v>
      </c>
      <c r="H178" s="376"/>
      <c r="I178" s="377"/>
      <c r="J178" s="378"/>
      <c r="K178" s="280"/>
      <c r="L178" s="424"/>
      <c r="M178" s="424"/>
      <c r="N178" s="424"/>
      <c r="O178" s="424"/>
      <c r="P178" s="424"/>
      <c r="Q178" s="424"/>
      <c r="R178" s="424"/>
      <c r="S178" s="424"/>
      <c r="T178" s="424"/>
      <c r="U178" s="304"/>
      <c r="V178" s="304"/>
      <c r="X178" s="304"/>
      <c r="Z178" s="451" t="s">
        <v>796</v>
      </c>
      <c r="AA178" s="349">
        <f>SUM(H182:H198)</f>
        <v>0</v>
      </c>
    </row>
    <row r="179" spans="2:27">
      <c r="B179" s="1229" t="s">
        <v>744</v>
      </c>
      <c r="C179" s="1273"/>
      <c r="D179" s="1273"/>
      <c r="E179" s="1273"/>
      <c r="F179" s="1273"/>
      <c r="G179" s="455" t="s">
        <v>719</v>
      </c>
      <c r="H179" s="413"/>
      <c r="I179" s="456" t="s">
        <v>719</v>
      </c>
      <c r="J179" s="415"/>
      <c r="K179" s="280"/>
      <c r="L179" s="424"/>
      <c r="M179" s="424"/>
      <c r="N179" s="424"/>
      <c r="O179" s="424"/>
      <c r="P179" s="424"/>
      <c r="Q179" s="424"/>
      <c r="R179" s="424"/>
      <c r="S179" s="424"/>
      <c r="T179" s="424"/>
      <c r="U179" s="304"/>
      <c r="V179" s="304"/>
      <c r="X179" s="304"/>
      <c r="Z179" s="451" t="s">
        <v>797</v>
      </c>
      <c r="AA179" s="362">
        <f>SUM(J182:J198)</f>
        <v>0</v>
      </c>
    </row>
    <row r="180" spans="2:27">
      <c r="B180" s="1384" t="s">
        <v>798</v>
      </c>
      <c r="C180" s="1385"/>
      <c r="D180" s="1385"/>
      <c r="E180" s="1385"/>
      <c r="F180" s="1386"/>
      <c r="G180" s="457"/>
      <c r="H180" s="458">
        <f>G180</f>
        <v>0</v>
      </c>
      <c r="I180" s="457"/>
      <c r="J180" s="400">
        <f>I180</f>
        <v>0</v>
      </c>
      <c r="K180" s="280"/>
      <c r="L180" s="424"/>
      <c r="M180" s="424"/>
      <c r="N180" s="424"/>
      <c r="O180" s="424"/>
      <c r="P180" s="424"/>
      <c r="Q180" s="424"/>
      <c r="R180" s="424"/>
      <c r="S180" s="424"/>
      <c r="T180" s="424"/>
      <c r="U180" s="304"/>
      <c r="V180" s="304"/>
      <c r="X180" s="304"/>
    </row>
    <row r="181" spans="2:27">
      <c r="B181" s="1398">
        <v>1120</v>
      </c>
      <c r="C181" s="1399"/>
      <c r="D181" s="1399"/>
      <c r="E181" s="1399"/>
      <c r="F181" s="1399"/>
      <c r="G181" s="350"/>
      <c r="H181" s="389"/>
      <c r="I181" s="350"/>
      <c r="J181" s="390"/>
      <c r="K181" s="280"/>
      <c r="L181" s="424"/>
      <c r="M181" s="424"/>
      <c r="N181" s="424"/>
      <c r="O181" s="424"/>
      <c r="P181" s="424"/>
      <c r="Q181" s="424"/>
      <c r="R181" s="424"/>
      <c r="S181" s="424"/>
      <c r="T181" s="424"/>
      <c r="U181" s="304"/>
      <c r="V181" s="304"/>
      <c r="X181" s="304"/>
      <c r="Z181" s="451" t="s">
        <v>799</v>
      </c>
      <c r="AA181" s="280">
        <f>IF(OR(H178=0, H178=10%), 0, 1)</f>
        <v>0</v>
      </c>
    </row>
    <row r="182" spans="2:27">
      <c r="B182" s="1384" t="s">
        <v>800</v>
      </c>
      <c r="C182" s="1385"/>
      <c r="D182" s="1385"/>
      <c r="E182" s="1385"/>
      <c r="F182" s="1386"/>
      <c r="G182" s="459"/>
      <c r="H182" s="387" t="str">
        <f>AA173</f>
        <v>Shareholder %</v>
      </c>
      <c r="I182" s="346"/>
      <c r="J182" s="388" t="str">
        <f>AA174</f>
        <v>Shareholder %</v>
      </c>
      <c r="K182" s="280"/>
      <c r="L182" s="424"/>
      <c r="M182" s="424"/>
      <c r="N182" s="424"/>
      <c r="O182" s="424"/>
      <c r="P182" s="424"/>
      <c r="Q182" s="424"/>
      <c r="R182" s="424"/>
      <c r="S182" s="424"/>
      <c r="T182" s="424"/>
      <c r="U182" s="304"/>
      <c r="V182" s="304"/>
      <c r="X182" s="304"/>
      <c r="Z182" s="451" t="s">
        <v>801</v>
      </c>
      <c r="AA182" s="280">
        <f>IF(OR(J178=0, J178+100%), 0, 1)</f>
        <v>0</v>
      </c>
    </row>
    <row r="183" spans="2:27">
      <c r="B183" s="1297" t="s">
        <v>802</v>
      </c>
      <c r="C183" s="1298"/>
      <c r="D183" s="1298"/>
      <c r="E183" s="1298"/>
      <c r="F183" s="1298"/>
      <c r="G183" s="460"/>
      <c r="H183" s="416"/>
      <c r="I183" s="460"/>
      <c r="J183" s="417"/>
      <c r="K183" s="280"/>
      <c r="L183" s="424"/>
      <c r="M183" s="424"/>
      <c r="N183" s="424"/>
      <c r="O183" s="424"/>
      <c r="P183" s="424"/>
      <c r="Q183" s="424"/>
      <c r="R183" s="424"/>
      <c r="S183" s="424"/>
      <c r="T183" s="424"/>
      <c r="U183" s="304"/>
      <c r="V183" s="304"/>
      <c r="X183" s="304"/>
      <c r="Z183" s="451" t="s">
        <v>803</v>
      </c>
      <c r="AA183" s="362">
        <f>G199/12</f>
        <v>0</v>
      </c>
    </row>
    <row r="184" spans="2:27">
      <c r="B184" s="1387" t="s">
        <v>804</v>
      </c>
      <c r="C184" s="1388"/>
      <c r="D184" s="1388"/>
      <c r="E184" s="1388"/>
      <c r="F184" s="1389"/>
      <c r="G184" s="461"/>
      <c r="H184" s="419">
        <f>(G184*H178)*-1</f>
        <v>0</v>
      </c>
      <c r="I184" s="461"/>
      <c r="J184" s="420">
        <f>(I184*J178)*-1</f>
        <v>0</v>
      </c>
      <c r="K184" s="280"/>
      <c r="L184" s="424"/>
      <c r="M184" s="424"/>
      <c r="N184" s="424"/>
      <c r="O184" s="424"/>
      <c r="P184" s="424"/>
      <c r="Q184" s="424"/>
      <c r="R184" s="424"/>
      <c r="S184" s="424"/>
      <c r="T184" s="424"/>
      <c r="U184" s="304"/>
      <c r="V184" s="304"/>
      <c r="X184" s="304"/>
      <c r="Z184" s="451" t="s">
        <v>805</v>
      </c>
      <c r="AA184" s="362">
        <f>(G199+I199)/24</f>
        <v>0</v>
      </c>
    </row>
    <row r="185" spans="2:27">
      <c r="B185" s="1390" t="s">
        <v>806</v>
      </c>
      <c r="C185" s="1391"/>
      <c r="D185" s="1391"/>
      <c r="E185" s="1391"/>
      <c r="F185" s="1392"/>
      <c r="G185" s="461"/>
      <c r="H185" s="419">
        <f>(G185*H178)*-1</f>
        <v>0</v>
      </c>
      <c r="I185" s="461"/>
      <c r="J185" s="420">
        <f>(I185*J178)*-1</f>
        <v>0</v>
      </c>
      <c r="K185" s="280"/>
      <c r="L185" s="424"/>
      <c r="M185" s="424"/>
      <c r="N185" s="424"/>
      <c r="O185" s="424"/>
      <c r="P185" s="424"/>
      <c r="Q185" s="424"/>
      <c r="R185" s="424"/>
      <c r="S185" s="424"/>
      <c r="T185" s="424"/>
      <c r="U185" s="304"/>
      <c r="V185" s="304"/>
      <c r="X185" s="304"/>
      <c r="Z185" s="451"/>
    </row>
    <row r="186" spans="2:27">
      <c r="B186" s="1302" t="s">
        <v>807</v>
      </c>
      <c r="C186" s="1303"/>
      <c r="D186" s="1303"/>
      <c r="E186" s="1303"/>
      <c r="F186" s="1304"/>
      <c r="G186" s="461"/>
      <c r="H186" s="419">
        <f>(G186*H178)*-1</f>
        <v>0</v>
      </c>
      <c r="I186" s="461"/>
      <c r="J186" s="420">
        <f>(I186*J178)*-1</f>
        <v>0</v>
      </c>
      <c r="K186" s="280"/>
      <c r="L186" s="424"/>
      <c r="M186" s="424"/>
      <c r="N186" s="424"/>
      <c r="O186" s="424"/>
      <c r="P186" s="424"/>
      <c r="Q186" s="424"/>
      <c r="R186" s="424"/>
      <c r="S186" s="424"/>
      <c r="T186" s="424"/>
      <c r="U186" s="304"/>
      <c r="V186" s="304"/>
      <c r="X186" s="304"/>
      <c r="Z186" s="451" t="s">
        <v>808</v>
      </c>
      <c r="AA186" s="280">
        <f>IF(AND(J180=0, J182=0, J184=0, J185=0, J186=0, J188=0, J189=0, J190=0, J191=0, J193=0, J194=0, J195=0, J196=0, J198=0, I199=0), 0, 1)</f>
        <v>1</v>
      </c>
    </row>
    <row r="187" spans="2:27">
      <c r="B187" s="1229" t="s">
        <v>809</v>
      </c>
      <c r="C187" s="1230"/>
      <c r="D187" s="1230"/>
      <c r="E187" s="1230"/>
      <c r="F187" s="1230"/>
      <c r="G187" s="350"/>
      <c r="H187" s="351"/>
      <c r="I187" s="350"/>
      <c r="J187" s="352"/>
      <c r="K187" s="280"/>
      <c r="L187" s="424"/>
      <c r="M187" s="424"/>
      <c r="N187" s="424"/>
      <c r="O187" s="424"/>
      <c r="P187" s="424"/>
      <c r="Q187" s="424"/>
      <c r="R187" s="424"/>
      <c r="S187" s="424"/>
      <c r="T187" s="424"/>
      <c r="U187" s="304"/>
      <c r="V187" s="304"/>
      <c r="X187" s="304"/>
      <c r="Z187" s="451" t="s">
        <v>810</v>
      </c>
      <c r="AA187" s="280">
        <f>IF(AND(G199&lt;=I199, I199&lt;&gt;0), 0, 1)</f>
        <v>1</v>
      </c>
    </row>
    <row r="188" spans="2:27">
      <c r="B188" s="1243" t="s">
        <v>811</v>
      </c>
      <c r="C188" s="1244"/>
      <c r="D188" s="1244"/>
      <c r="E188" s="1244"/>
      <c r="F188" s="1245"/>
      <c r="G188" s="346"/>
      <c r="H188" s="384">
        <f>G188*H178</f>
        <v>0</v>
      </c>
      <c r="I188" s="346"/>
      <c r="J188" s="385">
        <f>I188*J178</f>
        <v>0</v>
      </c>
      <c r="K188" s="280"/>
      <c r="L188" s="424"/>
      <c r="M188" s="424"/>
      <c r="N188" s="424"/>
      <c r="O188" s="424"/>
      <c r="P188" s="424"/>
      <c r="Q188" s="424"/>
      <c r="R188" s="424"/>
      <c r="S188" s="424"/>
      <c r="T188" s="424"/>
      <c r="U188" s="304"/>
      <c r="V188" s="304"/>
      <c r="X188" s="304"/>
      <c r="Z188" s="451" t="s">
        <v>812</v>
      </c>
      <c r="AA188" s="280">
        <f>IF(AND(AA187=0, AA186=1), 0, 1)</f>
        <v>1</v>
      </c>
    </row>
    <row r="189" spans="2:27">
      <c r="B189" s="1381" t="s">
        <v>813</v>
      </c>
      <c r="C189" s="1224"/>
      <c r="D189" s="1224"/>
      <c r="E189" s="1224"/>
      <c r="F189" s="1225"/>
      <c r="G189" s="346"/>
      <c r="H189" s="384">
        <f>G189*H178</f>
        <v>0</v>
      </c>
      <c r="I189" s="346"/>
      <c r="J189" s="385">
        <f>I189*J178</f>
        <v>0</v>
      </c>
      <c r="K189" s="280"/>
      <c r="L189" s="424"/>
      <c r="M189" s="424"/>
      <c r="N189" s="424"/>
      <c r="O189" s="424"/>
      <c r="P189" s="424"/>
      <c r="Q189" s="424"/>
      <c r="R189" s="424"/>
      <c r="S189" s="424"/>
      <c r="T189" s="424"/>
      <c r="U189" s="304"/>
      <c r="X189" s="304"/>
    </row>
    <row r="190" spans="2:27">
      <c r="B190" s="1223" t="s">
        <v>814</v>
      </c>
      <c r="C190" s="1224"/>
      <c r="D190" s="1224"/>
      <c r="E190" s="1224"/>
      <c r="F190" s="1225"/>
      <c r="G190" s="346"/>
      <c r="H190" s="384">
        <f>G190*H178</f>
        <v>0</v>
      </c>
      <c r="I190" s="346"/>
      <c r="J190" s="385">
        <f>I190*J178</f>
        <v>0</v>
      </c>
      <c r="K190" s="280"/>
      <c r="L190" s="424"/>
      <c r="M190" s="424"/>
      <c r="N190" s="424"/>
      <c r="O190" s="424"/>
      <c r="P190" s="424"/>
      <c r="Q190" s="424"/>
      <c r="R190" s="424"/>
      <c r="S190" s="424"/>
      <c r="T190" s="424"/>
      <c r="U190" s="304"/>
      <c r="X190" s="304"/>
      <c r="AA190" s="349" t="s">
        <v>596</v>
      </c>
    </row>
    <row r="191" spans="2:27">
      <c r="B191" s="1226" t="s">
        <v>825</v>
      </c>
      <c r="C191" s="1227"/>
      <c r="D191" s="1227"/>
      <c r="E191" s="1227"/>
      <c r="F191" s="1228"/>
      <c r="G191" s="346"/>
      <c r="H191" s="384">
        <f>G191*H178</f>
        <v>0</v>
      </c>
      <c r="I191" s="346"/>
      <c r="J191" s="385">
        <f>I191*J178</f>
        <v>0</v>
      </c>
      <c r="K191" s="280"/>
      <c r="L191" s="424"/>
      <c r="M191" s="424"/>
      <c r="N191" s="424"/>
      <c r="O191" s="424"/>
      <c r="P191" s="424"/>
      <c r="Q191" s="424"/>
      <c r="R191" s="424"/>
      <c r="S191" s="424"/>
      <c r="T191" s="424"/>
      <c r="U191" s="304"/>
      <c r="X191" s="304"/>
      <c r="Z191" s="462"/>
      <c r="AA191" s="349" t="s">
        <v>683</v>
      </c>
    </row>
    <row r="192" spans="2:27">
      <c r="B192" s="1229" t="s">
        <v>816</v>
      </c>
      <c r="C192" s="1230"/>
      <c r="D192" s="1230"/>
      <c r="E192" s="1230"/>
      <c r="F192" s="1230"/>
      <c r="G192" s="351"/>
      <c r="H192" s="351"/>
      <c r="I192" s="351"/>
      <c r="J192" s="352"/>
      <c r="K192" s="280"/>
      <c r="L192" s="424"/>
      <c r="M192" s="424"/>
      <c r="N192" s="424"/>
      <c r="O192" s="424"/>
      <c r="P192" s="424"/>
      <c r="Q192" s="424"/>
      <c r="R192" s="424"/>
      <c r="S192" s="424"/>
      <c r="T192" s="424"/>
      <c r="U192" s="304"/>
      <c r="X192" s="304"/>
      <c r="AA192" s="349" t="s">
        <v>599</v>
      </c>
    </row>
    <row r="193" spans="2:27">
      <c r="B193" s="1231" t="s">
        <v>817</v>
      </c>
      <c r="C193" s="1382"/>
      <c r="D193" s="1382"/>
      <c r="E193" s="1382"/>
      <c r="F193" s="1383"/>
      <c r="G193" s="346"/>
      <c r="H193" s="359">
        <f>(G193*H178)*-1</f>
        <v>0</v>
      </c>
      <c r="I193" s="346"/>
      <c r="J193" s="400">
        <f>(I193*J178)*-1</f>
        <v>0</v>
      </c>
      <c r="K193" s="280"/>
      <c r="L193" s="424"/>
      <c r="M193" s="424"/>
      <c r="N193" s="424"/>
      <c r="O193" s="424"/>
      <c r="P193" s="424"/>
      <c r="Q193" s="424"/>
      <c r="R193" s="424"/>
      <c r="S193" s="424"/>
      <c r="T193" s="424"/>
      <c r="U193" s="304"/>
      <c r="X193" s="304"/>
      <c r="AA193" s="349" t="s">
        <v>603</v>
      </c>
    </row>
    <row r="194" spans="2:27" ht="28.5" customHeight="1">
      <c r="B194" s="1369" t="s">
        <v>818</v>
      </c>
      <c r="C194" s="1370"/>
      <c r="D194" s="1370"/>
      <c r="E194" s="1370"/>
      <c r="F194" s="1371"/>
      <c r="G194" s="346"/>
      <c r="H194" s="359">
        <f>G194*H178*-1</f>
        <v>0</v>
      </c>
      <c r="I194" s="346"/>
      <c r="J194" s="400">
        <f>(I194*J178)*-1</f>
        <v>0</v>
      </c>
      <c r="K194" s="280"/>
      <c r="L194" s="424"/>
      <c r="M194" s="424"/>
      <c r="N194" s="424"/>
      <c r="O194" s="424"/>
      <c r="P194" s="424"/>
      <c r="Q194" s="424"/>
      <c r="R194" s="424"/>
      <c r="S194" s="424"/>
      <c r="T194" s="424"/>
      <c r="U194" s="304"/>
      <c r="X194" s="304"/>
      <c r="AA194" s="349" t="s">
        <v>605</v>
      </c>
    </row>
    <row r="195" spans="2:27">
      <c r="B195" s="1372" t="s">
        <v>819</v>
      </c>
      <c r="C195" s="1373"/>
      <c r="D195" s="1373"/>
      <c r="E195" s="1373"/>
      <c r="F195" s="1374"/>
      <c r="G195" s="346"/>
      <c r="H195" s="359">
        <f>G195*H178*-1</f>
        <v>0</v>
      </c>
      <c r="I195" s="346"/>
      <c r="J195" s="400">
        <f>I195*J178*-1</f>
        <v>0</v>
      </c>
      <c r="K195" s="280"/>
      <c r="L195" s="424"/>
      <c r="M195" s="424"/>
      <c r="N195" s="424"/>
      <c r="O195" s="424"/>
      <c r="P195" s="424"/>
      <c r="Q195" s="424"/>
      <c r="R195" s="424"/>
      <c r="S195" s="424"/>
      <c r="T195" s="424"/>
      <c r="U195" s="304"/>
    </row>
    <row r="196" spans="2:27">
      <c r="B196" s="1375" t="s">
        <v>820</v>
      </c>
      <c r="C196" s="1376"/>
      <c r="D196" s="1376"/>
      <c r="E196" s="1376"/>
      <c r="F196" s="1377"/>
      <c r="G196" s="346"/>
      <c r="H196" s="359">
        <f>G196*H178*-1</f>
        <v>0</v>
      </c>
      <c r="I196" s="346"/>
      <c r="J196" s="359">
        <f>I196*J178*-1</f>
        <v>0</v>
      </c>
      <c r="K196" s="280"/>
      <c r="L196" s="424"/>
      <c r="M196" s="424"/>
      <c r="N196" s="424"/>
      <c r="O196" s="424"/>
      <c r="P196" s="424"/>
      <c r="Q196" s="424"/>
      <c r="R196" s="424"/>
      <c r="S196" s="424"/>
      <c r="T196" s="424"/>
      <c r="U196" s="304"/>
    </row>
    <row r="197" spans="2:27" ht="15" customHeight="1">
      <c r="B197" s="1378" t="s">
        <v>735</v>
      </c>
      <c r="C197" s="1379"/>
      <c r="D197" s="1379"/>
      <c r="E197" s="1379"/>
      <c r="F197" s="1379"/>
      <c r="G197" s="350"/>
      <c r="H197" s="389"/>
      <c r="I197" s="350"/>
      <c r="J197" s="390"/>
      <c r="K197" s="280"/>
      <c r="L197" s="424"/>
      <c r="M197" s="424"/>
      <c r="N197" s="424"/>
      <c r="O197" s="424"/>
      <c r="P197" s="424"/>
      <c r="Q197" s="424"/>
      <c r="R197" s="424"/>
      <c r="S197" s="424"/>
      <c r="T197" s="424"/>
      <c r="U197" s="304"/>
    </row>
    <row r="198" spans="2:27">
      <c r="B198" s="1380" t="s">
        <v>821</v>
      </c>
      <c r="C198" s="1370"/>
      <c r="D198" s="1370"/>
      <c r="E198" s="1370"/>
      <c r="F198" s="1371"/>
      <c r="G198" s="346"/>
      <c r="H198" s="359">
        <f>(G198*H178)</f>
        <v>0</v>
      </c>
      <c r="I198" s="346"/>
      <c r="J198" s="400">
        <f>(I198*J178)</f>
        <v>0</v>
      </c>
      <c r="K198" s="280"/>
      <c r="L198" s="424"/>
      <c r="M198" s="424"/>
      <c r="N198" s="424"/>
      <c r="O198" s="424"/>
      <c r="P198" s="424"/>
      <c r="Q198" s="424"/>
      <c r="R198" s="424"/>
      <c r="S198" s="424"/>
      <c r="T198" s="424"/>
      <c r="U198" s="304"/>
    </row>
    <row r="199" spans="2:27">
      <c r="B199" s="1158" t="s">
        <v>822</v>
      </c>
      <c r="C199" s="1159"/>
      <c r="D199" s="1159"/>
      <c r="E199" s="1159"/>
      <c r="F199" s="1160"/>
      <c r="G199" s="1359">
        <f>SUM(H180:H198)</f>
        <v>0</v>
      </c>
      <c r="H199" s="1360"/>
      <c r="I199" s="1361">
        <f>SUM(J180:J198)</f>
        <v>0</v>
      </c>
      <c r="J199" s="1362"/>
      <c r="K199" s="280"/>
      <c r="L199" s="424"/>
      <c r="M199" s="424"/>
      <c r="N199" s="424"/>
      <c r="O199" s="424"/>
      <c r="P199" s="424"/>
      <c r="Q199" s="424"/>
      <c r="R199" s="424"/>
      <c r="S199" s="424"/>
      <c r="T199" s="424"/>
      <c r="U199" s="304"/>
    </row>
    <row r="200" spans="2:27" ht="18.75">
      <c r="B200" s="1363" t="s">
        <v>823</v>
      </c>
      <c r="C200" s="1364"/>
      <c r="D200" s="1364"/>
      <c r="E200" s="1364"/>
      <c r="F200" s="1365"/>
      <c r="G200" s="1161" t="str">
        <f>IF(OR(AA188=0, I199=0), "12 Month Average", "24 Month Average")</f>
        <v>12 Month Average</v>
      </c>
      <c r="H200" s="1162"/>
      <c r="I200" s="1162"/>
      <c r="J200" s="1163"/>
      <c r="K200" s="280"/>
      <c r="L200" s="424"/>
      <c r="M200" s="424"/>
      <c r="N200" s="424"/>
      <c r="O200" s="424"/>
      <c r="P200" s="424"/>
      <c r="Q200" s="424"/>
      <c r="R200" s="424"/>
      <c r="S200" s="424"/>
      <c r="T200" s="424"/>
      <c r="U200" s="304"/>
    </row>
    <row r="201" spans="2:27" ht="34.5" thickBot="1">
      <c r="B201" s="1366" t="s">
        <v>824</v>
      </c>
      <c r="C201" s="1367"/>
      <c r="D201" s="1367"/>
      <c r="E201" s="1367"/>
      <c r="F201" s="1368"/>
      <c r="G201" s="1167">
        <f>IF(OR(AA188=0, I199=0), AA183, AA184)</f>
        <v>0</v>
      </c>
      <c r="H201" s="1168"/>
      <c r="I201" s="1168"/>
      <c r="J201" s="1169"/>
      <c r="L201" s="424"/>
      <c r="M201" s="424"/>
      <c r="N201" s="424"/>
      <c r="O201" s="424"/>
      <c r="P201" s="424"/>
      <c r="Q201" s="424"/>
      <c r="R201" s="424"/>
      <c r="S201" s="424"/>
      <c r="T201" s="424"/>
      <c r="U201" s="304"/>
    </row>
    <row r="202" spans="2:27" ht="9" customHeight="1" thickBot="1">
      <c r="H202" s="330"/>
      <c r="I202" s="330"/>
      <c r="L202" s="424"/>
      <c r="M202" s="424"/>
      <c r="N202" s="424"/>
      <c r="O202" s="424"/>
      <c r="P202" s="424"/>
      <c r="Q202" s="424"/>
      <c r="R202" s="424"/>
      <c r="S202" s="424"/>
      <c r="T202" s="424"/>
      <c r="U202" s="304"/>
    </row>
    <row r="203" spans="2:27" ht="135" customHeight="1" thickBot="1">
      <c r="B203" s="1148" t="s">
        <v>761</v>
      </c>
      <c r="C203" s="1285"/>
      <c r="D203" s="1285"/>
      <c r="E203" s="1285"/>
      <c r="F203" s="1285"/>
      <c r="G203" s="1285"/>
      <c r="H203" s="1285"/>
      <c r="I203" s="1285"/>
      <c r="J203" s="1286"/>
      <c r="L203" s="424"/>
      <c r="M203" s="424"/>
      <c r="N203" s="424"/>
      <c r="O203" s="424"/>
      <c r="P203" s="424"/>
      <c r="Q203" s="424"/>
      <c r="R203" s="424"/>
      <c r="S203" s="424"/>
      <c r="T203" s="424"/>
      <c r="U203" s="304"/>
    </row>
    <row r="204" spans="2:27" ht="9" customHeight="1">
      <c r="B204" s="304"/>
      <c r="C204" s="304"/>
      <c r="D204" s="304"/>
      <c r="E204" s="304"/>
      <c r="F204" s="304"/>
      <c r="G204" s="304"/>
      <c r="H204" s="304"/>
      <c r="I204" s="304"/>
      <c r="L204" s="304"/>
      <c r="M204" s="304"/>
      <c r="N204" s="304"/>
      <c r="O204" s="304"/>
      <c r="P204" s="304"/>
      <c r="Q204" s="304"/>
      <c r="R204" s="304"/>
      <c r="S204" s="304"/>
      <c r="T204" s="304"/>
      <c r="U204" s="304"/>
    </row>
    <row r="205" spans="2:27" ht="13.5" customHeight="1" thickBot="1"/>
    <row r="206" spans="2:27" ht="82.5" customHeight="1">
      <c r="B206" s="1187" t="s">
        <v>791</v>
      </c>
      <c r="C206" s="1188"/>
      <c r="D206" s="1188"/>
      <c r="E206" s="1188"/>
      <c r="F206" s="1188"/>
      <c r="G206" s="1188"/>
      <c r="H206" s="1188"/>
      <c r="I206" s="1188"/>
      <c r="J206" s="331" t="str">
        <f>'[3]Reference Sheet'!$B$2</f>
        <v>Rev. 4.12.2016</v>
      </c>
      <c r="L206" s="424"/>
      <c r="M206" s="424"/>
      <c r="N206" s="424"/>
      <c r="O206" s="424"/>
      <c r="P206" s="424"/>
      <c r="Q206" s="424"/>
      <c r="R206" s="424"/>
      <c r="S206" s="424"/>
      <c r="T206" s="424"/>
      <c r="U206" s="304"/>
    </row>
    <row r="207" spans="2:27" ht="17.25" customHeight="1" thickBot="1">
      <c r="B207" s="332"/>
      <c r="C207" s="368" t="s">
        <v>710</v>
      </c>
      <c r="D207" s="1400"/>
      <c r="E207" s="1401"/>
      <c r="F207" s="1401"/>
      <c r="G207" s="1401"/>
      <c r="H207" s="333"/>
      <c r="I207" s="333"/>
      <c r="J207" s="334"/>
      <c r="L207" s="424"/>
      <c r="M207" s="424"/>
      <c r="N207" s="424"/>
      <c r="O207" s="424"/>
      <c r="P207" s="424"/>
      <c r="Q207" s="424"/>
      <c r="R207" s="424"/>
      <c r="S207" s="424"/>
      <c r="T207" s="424"/>
      <c r="U207" s="304"/>
      <c r="X207" s="304"/>
      <c r="Z207" s="451" t="s">
        <v>717</v>
      </c>
      <c r="AA207" s="451" t="str">
        <f>IF(OR(H212=0, H212&gt;100%), "Shareholder %", G216*H212)</f>
        <v>Shareholder %</v>
      </c>
    </row>
    <row r="208" spans="2:27" ht="17.25" customHeight="1" thickBot="1">
      <c r="B208" s="332"/>
      <c r="C208" s="368" t="s">
        <v>711</v>
      </c>
      <c r="D208" s="1402"/>
      <c r="E208" s="1403"/>
      <c r="F208" s="1403"/>
      <c r="G208" s="1403"/>
      <c r="H208" s="368" t="s">
        <v>712</v>
      </c>
      <c r="I208" s="1400"/>
      <c r="J208" s="1404"/>
      <c r="L208" s="424"/>
      <c r="M208" s="424"/>
      <c r="N208" s="424"/>
      <c r="O208" s="424"/>
      <c r="P208" s="424"/>
      <c r="Q208" s="424"/>
      <c r="R208" s="424"/>
      <c r="S208" s="424"/>
      <c r="T208" s="424"/>
      <c r="U208" s="304"/>
      <c r="X208" s="304"/>
      <c r="Z208" s="451" t="s">
        <v>720</v>
      </c>
      <c r="AA208" s="451" t="str">
        <f>IF(OR(J212&gt;100%, J212=0), "Shareholder %", I216*J212)</f>
        <v>Shareholder %</v>
      </c>
    </row>
    <row r="209" spans="2:28" s="404" customFormat="1" ht="16.5" thickBot="1">
      <c r="B209" s="1393" t="s">
        <v>671</v>
      </c>
      <c r="C209" s="1394"/>
      <c r="D209" s="1405"/>
      <c r="E209" s="1406"/>
      <c r="F209" s="1406"/>
      <c r="G209" s="1406"/>
      <c r="H209" s="452" t="s">
        <v>673</v>
      </c>
      <c r="I209" s="1407"/>
      <c r="J209" s="1408"/>
      <c r="L209" s="424"/>
      <c r="M209" s="424"/>
      <c r="N209" s="424"/>
      <c r="O209" s="424"/>
      <c r="P209" s="424"/>
      <c r="Q209" s="424"/>
      <c r="R209" s="424"/>
      <c r="S209" s="424"/>
      <c r="T209" s="424"/>
      <c r="U209" s="367"/>
      <c r="X209" s="304"/>
      <c r="Y209" s="280"/>
      <c r="Z209" s="451"/>
      <c r="AA209" s="451"/>
      <c r="AB209" s="405"/>
    </row>
    <row r="210" spans="2:28" s="404" customFormat="1" ht="16.5" thickBot="1">
      <c r="B210" s="1393" t="s">
        <v>674</v>
      </c>
      <c r="C210" s="1394"/>
      <c r="D210" s="1395"/>
      <c r="E210" s="1396"/>
      <c r="F210" s="1396"/>
      <c r="G210" s="1396"/>
      <c r="H210" s="1396"/>
      <c r="I210" s="1396"/>
      <c r="J210" s="1397"/>
      <c r="K210" s="405"/>
      <c r="L210" s="424"/>
      <c r="M210" s="424"/>
      <c r="N210" s="424"/>
      <c r="O210" s="424"/>
      <c r="P210" s="424"/>
      <c r="Q210" s="424"/>
      <c r="R210" s="424"/>
      <c r="S210" s="424"/>
      <c r="T210" s="424"/>
      <c r="U210" s="367"/>
      <c r="X210" s="304"/>
      <c r="Y210" s="280"/>
      <c r="Z210" s="451" t="s">
        <v>793</v>
      </c>
      <c r="AA210" s="349" t="str">
        <f>IF(OR(H212=0, H212&gt;100%),"Enter Shareholder %",$J$40)</f>
        <v>Enter Shareholder %</v>
      </c>
      <c r="AB210" s="405"/>
    </row>
    <row r="211" spans="2:28">
      <c r="B211" s="1265"/>
      <c r="C211" s="1266"/>
      <c r="D211" s="1266"/>
      <c r="E211" s="1266"/>
      <c r="F211" s="1267"/>
      <c r="G211" s="453" t="s">
        <v>713</v>
      </c>
      <c r="H211" s="454" t="s">
        <v>676</v>
      </c>
      <c r="I211" s="342"/>
      <c r="J211" s="373" t="s">
        <v>677</v>
      </c>
      <c r="K211" s="280"/>
      <c r="L211" s="424"/>
      <c r="M211" s="424"/>
      <c r="N211" s="424"/>
      <c r="O211" s="424"/>
      <c r="P211" s="424"/>
      <c r="Q211" s="424"/>
      <c r="R211" s="424"/>
      <c r="S211" s="424"/>
      <c r="T211" s="424"/>
      <c r="U211" s="304"/>
      <c r="V211" s="304"/>
      <c r="X211" s="304"/>
      <c r="Z211" s="451" t="s">
        <v>794</v>
      </c>
      <c r="AA211" s="349" t="str">
        <f>IF(OR(J212=0, J212&gt;100%),"Enter Shareholder %",$J$41)</f>
        <v>Enter Shareholder %</v>
      </c>
    </row>
    <row r="212" spans="2:28" ht="15.75" thickBot="1">
      <c r="B212" s="1269"/>
      <c r="C212" s="1270"/>
      <c r="D212" s="1270"/>
      <c r="E212" s="1270"/>
      <c r="F212" s="1271"/>
      <c r="G212" s="408" t="s">
        <v>795</v>
      </c>
      <c r="H212" s="376"/>
      <c r="I212" s="377"/>
      <c r="J212" s="378"/>
      <c r="K212" s="280"/>
      <c r="L212" s="424"/>
      <c r="M212" s="424"/>
      <c r="N212" s="424"/>
      <c r="O212" s="424"/>
      <c r="P212" s="424"/>
      <c r="Q212" s="424"/>
      <c r="R212" s="424"/>
      <c r="S212" s="424"/>
      <c r="T212" s="424"/>
      <c r="U212" s="304"/>
      <c r="V212" s="304"/>
      <c r="X212" s="304"/>
      <c r="Z212" s="451" t="s">
        <v>796</v>
      </c>
      <c r="AA212" s="349">
        <f>SUM(H216:H232)</f>
        <v>0</v>
      </c>
    </row>
    <row r="213" spans="2:28">
      <c r="B213" s="1229" t="s">
        <v>744</v>
      </c>
      <c r="C213" s="1273"/>
      <c r="D213" s="1273"/>
      <c r="E213" s="1273"/>
      <c r="F213" s="1273"/>
      <c r="G213" s="455" t="s">
        <v>719</v>
      </c>
      <c r="H213" s="413"/>
      <c r="I213" s="456" t="s">
        <v>719</v>
      </c>
      <c r="J213" s="415"/>
      <c r="K213" s="280"/>
      <c r="L213" s="424"/>
      <c r="M213" s="424"/>
      <c r="N213" s="424"/>
      <c r="O213" s="424"/>
      <c r="P213" s="424"/>
      <c r="Q213" s="424"/>
      <c r="R213" s="424"/>
      <c r="S213" s="424"/>
      <c r="T213" s="424"/>
      <c r="U213" s="304"/>
      <c r="V213" s="304"/>
      <c r="X213" s="304"/>
      <c r="Z213" s="451" t="s">
        <v>797</v>
      </c>
      <c r="AA213" s="362">
        <f>SUM(J216:J232)</f>
        <v>0</v>
      </c>
    </row>
    <row r="214" spans="2:28">
      <c r="B214" s="1384" t="s">
        <v>798</v>
      </c>
      <c r="C214" s="1385"/>
      <c r="D214" s="1385"/>
      <c r="E214" s="1385"/>
      <c r="F214" s="1386"/>
      <c r="G214" s="457"/>
      <c r="H214" s="458">
        <f>G214</f>
        <v>0</v>
      </c>
      <c r="I214" s="457"/>
      <c r="J214" s="400">
        <f>I214</f>
        <v>0</v>
      </c>
      <c r="K214" s="280"/>
      <c r="L214" s="424"/>
      <c r="M214" s="424"/>
      <c r="N214" s="424"/>
      <c r="O214" s="424"/>
      <c r="P214" s="424"/>
      <c r="Q214" s="424"/>
      <c r="R214" s="424"/>
      <c r="S214" s="424"/>
      <c r="T214" s="424"/>
      <c r="U214" s="304"/>
      <c r="V214" s="304"/>
      <c r="X214" s="304"/>
    </row>
    <row r="215" spans="2:28">
      <c r="B215" s="1398">
        <v>1120</v>
      </c>
      <c r="C215" s="1399"/>
      <c r="D215" s="1399"/>
      <c r="E215" s="1399"/>
      <c r="F215" s="1399"/>
      <c r="G215" s="350"/>
      <c r="H215" s="389"/>
      <c r="I215" s="350"/>
      <c r="J215" s="390"/>
      <c r="K215" s="280"/>
      <c r="L215" s="424"/>
      <c r="M215" s="424"/>
      <c r="N215" s="424"/>
      <c r="O215" s="424"/>
      <c r="P215" s="424"/>
      <c r="Q215" s="424"/>
      <c r="R215" s="424"/>
      <c r="S215" s="424"/>
      <c r="T215" s="424"/>
      <c r="U215" s="304"/>
      <c r="V215" s="304"/>
      <c r="X215" s="304"/>
      <c r="Z215" s="451" t="s">
        <v>799</v>
      </c>
      <c r="AA215" s="280">
        <f>IF(OR(H212=0, H212=10%), 0, 1)</f>
        <v>0</v>
      </c>
    </row>
    <row r="216" spans="2:28">
      <c r="B216" s="1384" t="s">
        <v>800</v>
      </c>
      <c r="C216" s="1385"/>
      <c r="D216" s="1385"/>
      <c r="E216" s="1385"/>
      <c r="F216" s="1386"/>
      <c r="G216" s="459"/>
      <c r="H216" s="387" t="str">
        <f>AA207</f>
        <v>Shareholder %</v>
      </c>
      <c r="I216" s="346"/>
      <c r="J216" s="388" t="str">
        <f>AA208</f>
        <v>Shareholder %</v>
      </c>
      <c r="K216" s="280"/>
      <c r="L216" s="424"/>
      <c r="M216" s="424"/>
      <c r="N216" s="424"/>
      <c r="O216" s="424"/>
      <c r="P216" s="424"/>
      <c r="Q216" s="424"/>
      <c r="R216" s="424"/>
      <c r="S216" s="424"/>
      <c r="T216" s="424"/>
      <c r="U216" s="304"/>
      <c r="V216" s="304"/>
      <c r="X216" s="304"/>
      <c r="Z216" s="451" t="s">
        <v>801</v>
      </c>
      <c r="AA216" s="280">
        <f>IF(OR(J212=0, J212+100%), 0, 1)</f>
        <v>0</v>
      </c>
    </row>
    <row r="217" spans="2:28">
      <c r="B217" s="1297" t="s">
        <v>802</v>
      </c>
      <c r="C217" s="1298"/>
      <c r="D217" s="1298"/>
      <c r="E217" s="1298"/>
      <c r="F217" s="1298"/>
      <c r="G217" s="460"/>
      <c r="H217" s="416"/>
      <c r="I217" s="460"/>
      <c r="J217" s="417"/>
      <c r="K217" s="280"/>
      <c r="L217" s="424"/>
      <c r="M217" s="424"/>
      <c r="N217" s="424"/>
      <c r="O217" s="424"/>
      <c r="P217" s="424"/>
      <c r="Q217" s="424"/>
      <c r="R217" s="424"/>
      <c r="S217" s="424"/>
      <c r="T217" s="424"/>
      <c r="U217" s="304"/>
      <c r="V217" s="304"/>
      <c r="X217" s="304"/>
      <c r="Z217" s="451" t="s">
        <v>803</v>
      </c>
      <c r="AA217" s="362">
        <f>G233/12</f>
        <v>0</v>
      </c>
    </row>
    <row r="218" spans="2:28">
      <c r="B218" s="1387" t="s">
        <v>804</v>
      </c>
      <c r="C218" s="1388"/>
      <c r="D218" s="1388"/>
      <c r="E218" s="1388"/>
      <c r="F218" s="1389"/>
      <c r="G218" s="461"/>
      <c r="H218" s="419">
        <f>(G218*H212)*-1</f>
        <v>0</v>
      </c>
      <c r="I218" s="461"/>
      <c r="J218" s="420">
        <f>(I218*J212)*-1</f>
        <v>0</v>
      </c>
      <c r="K218" s="280"/>
      <c r="L218" s="424"/>
      <c r="M218" s="424"/>
      <c r="N218" s="424"/>
      <c r="O218" s="424"/>
      <c r="P218" s="424"/>
      <c r="Q218" s="424"/>
      <c r="R218" s="424"/>
      <c r="S218" s="424"/>
      <c r="T218" s="424"/>
      <c r="U218" s="304"/>
      <c r="V218" s="304"/>
      <c r="X218" s="304"/>
      <c r="Z218" s="451" t="s">
        <v>805</v>
      </c>
      <c r="AA218" s="362">
        <f>(G233+I233)/24</f>
        <v>0</v>
      </c>
    </row>
    <row r="219" spans="2:28">
      <c r="B219" s="1390" t="s">
        <v>806</v>
      </c>
      <c r="C219" s="1391"/>
      <c r="D219" s="1391"/>
      <c r="E219" s="1391"/>
      <c r="F219" s="1392"/>
      <c r="G219" s="461"/>
      <c r="H219" s="419">
        <f>(G219*H212)*-1</f>
        <v>0</v>
      </c>
      <c r="I219" s="461"/>
      <c r="J219" s="420">
        <f>(I219*J212)*-1</f>
        <v>0</v>
      </c>
      <c r="K219" s="280"/>
      <c r="L219" s="424"/>
      <c r="M219" s="424"/>
      <c r="N219" s="424"/>
      <c r="O219" s="424"/>
      <c r="P219" s="424"/>
      <c r="Q219" s="424"/>
      <c r="R219" s="424"/>
      <c r="S219" s="424"/>
      <c r="T219" s="424"/>
      <c r="U219" s="304"/>
      <c r="V219" s="304"/>
      <c r="X219" s="304"/>
      <c r="Z219" s="451"/>
    </row>
    <row r="220" spans="2:28">
      <c r="B220" s="1302" t="s">
        <v>807</v>
      </c>
      <c r="C220" s="1303"/>
      <c r="D220" s="1303"/>
      <c r="E220" s="1303"/>
      <c r="F220" s="1304"/>
      <c r="G220" s="461"/>
      <c r="H220" s="419">
        <f>(G220*H212)*-1</f>
        <v>0</v>
      </c>
      <c r="I220" s="461"/>
      <c r="J220" s="420">
        <f>(I220*J212)*-1</f>
        <v>0</v>
      </c>
      <c r="K220" s="280"/>
      <c r="L220" s="424"/>
      <c r="M220" s="424"/>
      <c r="N220" s="424"/>
      <c r="O220" s="424"/>
      <c r="P220" s="424"/>
      <c r="Q220" s="424"/>
      <c r="R220" s="424"/>
      <c r="S220" s="424"/>
      <c r="T220" s="424"/>
      <c r="U220" s="304"/>
      <c r="V220" s="304"/>
      <c r="X220" s="304"/>
      <c r="Z220" s="451" t="s">
        <v>808</v>
      </c>
      <c r="AA220" s="280">
        <f>IF(AND(J214=0, J216=0, J218=0, J219=0, J220=0, J222=0, J223=0, J224=0, J225=0, J227=0, J228=0, J229=0, J230=0, J232=0, I233=0), 0, 1)</f>
        <v>1</v>
      </c>
    </row>
    <row r="221" spans="2:28">
      <c r="B221" s="1229" t="s">
        <v>809</v>
      </c>
      <c r="C221" s="1230"/>
      <c r="D221" s="1230"/>
      <c r="E221" s="1230"/>
      <c r="F221" s="1230"/>
      <c r="G221" s="350"/>
      <c r="H221" s="351"/>
      <c r="I221" s="350"/>
      <c r="J221" s="352"/>
      <c r="K221" s="280"/>
      <c r="L221" s="424"/>
      <c r="M221" s="424"/>
      <c r="N221" s="424"/>
      <c r="O221" s="424"/>
      <c r="P221" s="424"/>
      <c r="Q221" s="424"/>
      <c r="R221" s="424"/>
      <c r="S221" s="424"/>
      <c r="T221" s="424"/>
      <c r="U221" s="304"/>
      <c r="V221" s="304"/>
      <c r="X221" s="304"/>
      <c r="Z221" s="451" t="s">
        <v>810</v>
      </c>
      <c r="AA221" s="280">
        <f>IF(AND(G233&lt;=I233, I233&lt;&gt;0), 0, 1)</f>
        <v>1</v>
      </c>
    </row>
    <row r="222" spans="2:28">
      <c r="B222" s="1243" t="s">
        <v>811</v>
      </c>
      <c r="C222" s="1244"/>
      <c r="D222" s="1244"/>
      <c r="E222" s="1244"/>
      <c r="F222" s="1245"/>
      <c r="G222" s="346"/>
      <c r="H222" s="384">
        <f>G222*H212</f>
        <v>0</v>
      </c>
      <c r="I222" s="346"/>
      <c r="J222" s="385">
        <f>I222*J212</f>
        <v>0</v>
      </c>
      <c r="K222" s="280"/>
      <c r="L222" s="424"/>
      <c r="M222" s="424"/>
      <c r="N222" s="424"/>
      <c r="O222" s="424"/>
      <c r="P222" s="424"/>
      <c r="Q222" s="424"/>
      <c r="R222" s="424"/>
      <c r="S222" s="424"/>
      <c r="T222" s="424"/>
      <c r="U222" s="304"/>
      <c r="V222" s="304"/>
      <c r="X222" s="304"/>
      <c r="Z222" s="451" t="s">
        <v>812</v>
      </c>
      <c r="AA222" s="280">
        <f>IF(AND(AA221=0, AA220=1), 0, 1)</f>
        <v>1</v>
      </c>
    </row>
    <row r="223" spans="2:28">
      <c r="B223" s="1381" t="s">
        <v>813</v>
      </c>
      <c r="C223" s="1224"/>
      <c r="D223" s="1224"/>
      <c r="E223" s="1224"/>
      <c r="F223" s="1225"/>
      <c r="G223" s="346"/>
      <c r="H223" s="384">
        <f>G223*H212</f>
        <v>0</v>
      </c>
      <c r="I223" s="346"/>
      <c r="J223" s="385">
        <f>I223*J212</f>
        <v>0</v>
      </c>
      <c r="K223" s="280"/>
      <c r="L223" s="424"/>
      <c r="M223" s="424"/>
      <c r="N223" s="424"/>
      <c r="O223" s="424"/>
      <c r="P223" s="424"/>
      <c r="Q223" s="424"/>
      <c r="R223" s="424"/>
      <c r="S223" s="424"/>
      <c r="T223" s="424"/>
      <c r="U223" s="304"/>
      <c r="X223" s="304"/>
    </row>
    <row r="224" spans="2:28">
      <c r="B224" s="1223" t="s">
        <v>814</v>
      </c>
      <c r="C224" s="1224"/>
      <c r="D224" s="1224"/>
      <c r="E224" s="1224"/>
      <c r="F224" s="1225"/>
      <c r="G224" s="346"/>
      <c r="H224" s="384">
        <f>G224*H212</f>
        <v>0</v>
      </c>
      <c r="I224" s="346"/>
      <c r="J224" s="385">
        <f>I224*J212</f>
        <v>0</v>
      </c>
      <c r="K224" s="280"/>
      <c r="L224" s="424"/>
      <c r="M224" s="424"/>
      <c r="N224" s="424"/>
      <c r="O224" s="424"/>
      <c r="P224" s="424"/>
      <c r="Q224" s="424"/>
      <c r="R224" s="424"/>
      <c r="S224" s="424"/>
      <c r="T224" s="424"/>
      <c r="U224" s="304"/>
      <c r="X224" s="304"/>
      <c r="AA224" s="349" t="s">
        <v>596</v>
      </c>
    </row>
    <row r="225" spans="2:27">
      <c r="B225" s="1226" t="s">
        <v>825</v>
      </c>
      <c r="C225" s="1227"/>
      <c r="D225" s="1227"/>
      <c r="E225" s="1227"/>
      <c r="F225" s="1228"/>
      <c r="G225" s="346"/>
      <c r="H225" s="384">
        <f>G225*H212</f>
        <v>0</v>
      </c>
      <c r="I225" s="346"/>
      <c r="J225" s="385">
        <f>I225*J212</f>
        <v>0</v>
      </c>
      <c r="K225" s="280"/>
      <c r="L225" s="424"/>
      <c r="M225" s="424"/>
      <c r="N225" s="424"/>
      <c r="O225" s="424"/>
      <c r="P225" s="424"/>
      <c r="Q225" s="424"/>
      <c r="R225" s="424"/>
      <c r="S225" s="424"/>
      <c r="T225" s="424"/>
      <c r="U225" s="304"/>
      <c r="X225" s="304"/>
      <c r="Z225" s="462"/>
      <c r="AA225" s="349" t="s">
        <v>683</v>
      </c>
    </row>
    <row r="226" spans="2:27">
      <c r="B226" s="1229" t="s">
        <v>816</v>
      </c>
      <c r="C226" s="1230"/>
      <c r="D226" s="1230"/>
      <c r="E226" s="1230"/>
      <c r="F226" s="1230"/>
      <c r="G226" s="351"/>
      <c r="H226" s="351"/>
      <c r="I226" s="351"/>
      <c r="J226" s="352"/>
      <c r="K226" s="280"/>
      <c r="L226" s="424"/>
      <c r="M226" s="424"/>
      <c r="N226" s="424"/>
      <c r="O226" s="424"/>
      <c r="P226" s="424"/>
      <c r="Q226" s="424"/>
      <c r="R226" s="424"/>
      <c r="S226" s="424"/>
      <c r="T226" s="424"/>
      <c r="U226" s="304"/>
      <c r="X226" s="304"/>
      <c r="AA226" s="349" t="s">
        <v>599</v>
      </c>
    </row>
    <row r="227" spans="2:27">
      <c r="B227" s="1231" t="s">
        <v>817</v>
      </c>
      <c r="C227" s="1382"/>
      <c r="D227" s="1382"/>
      <c r="E227" s="1382"/>
      <c r="F227" s="1383"/>
      <c r="G227" s="346"/>
      <c r="H227" s="359">
        <f>(G227*H212)*-1</f>
        <v>0</v>
      </c>
      <c r="I227" s="346"/>
      <c r="J227" s="400">
        <f>(I227*J212)*-1</f>
        <v>0</v>
      </c>
      <c r="K227" s="280"/>
      <c r="L227" s="424"/>
      <c r="M227" s="424"/>
      <c r="N227" s="424"/>
      <c r="O227" s="424"/>
      <c r="P227" s="424"/>
      <c r="Q227" s="424"/>
      <c r="R227" s="424"/>
      <c r="S227" s="424"/>
      <c r="T227" s="424"/>
      <c r="U227" s="304"/>
      <c r="X227" s="304"/>
      <c r="AA227" s="349" t="s">
        <v>603</v>
      </c>
    </row>
    <row r="228" spans="2:27" ht="28.5" customHeight="1">
      <c r="B228" s="1369" t="s">
        <v>818</v>
      </c>
      <c r="C228" s="1370"/>
      <c r="D228" s="1370"/>
      <c r="E228" s="1370"/>
      <c r="F228" s="1371"/>
      <c r="G228" s="346"/>
      <c r="H228" s="359">
        <f>G228*H212*-1</f>
        <v>0</v>
      </c>
      <c r="I228" s="346"/>
      <c r="J228" s="400">
        <f>(I228*J212)*-1</f>
        <v>0</v>
      </c>
      <c r="K228" s="280"/>
      <c r="L228" s="424"/>
      <c r="M228" s="424"/>
      <c r="N228" s="424"/>
      <c r="O228" s="424"/>
      <c r="P228" s="424"/>
      <c r="Q228" s="424"/>
      <c r="R228" s="424"/>
      <c r="S228" s="424"/>
      <c r="T228" s="424"/>
      <c r="U228" s="304"/>
      <c r="X228" s="304"/>
      <c r="AA228" s="349" t="s">
        <v>605</v>
      </c>
    </row>
    <row r="229" spans="2:27">
      <c r="B229" s="1372" t="s">
        <v>819</v>
      </c>
      <c r="C229" s="1373"/>
      <c r="D229" s="1373"/>
      <c r="E229" s="1373"/>
      <c r="F229" s="1374"/>
      <c r="G229" s="346"/>
      <c r="H229" s="359">
        <f>G229*H212*-1</f>
        <v>0</v>
      </c>
      <c r="I229" s="346"/>
      <c r="J229" s="400">
        <f>I229*J212*-1</f>
        <v>0</v>
      </c>
      <c r="K229" s="280"/>
      <c r="L229" s="424"/>
      <c r="M229" s="424"/>
      <c r="N229" s="424"/>
      <c r="O229" s="424"/>
      <c r="P229" s="424"/>
      <c r="Q229" s="424"/>
      <c r="R229" s="424"/>
      <c r="S229" s="424"/>
      <c r="T229" s="424"/>
      <c r="U229" s="304"/>
    </row>
    <row r="230" spans="2:27">
      <c r="B230" s="1375" t="s">
        <v>820</v>
      </c>
      <c r="C230" s="1376"/>
      <c r="D230" s="1376"/>
      <c r="E230" s="1376"/>
      <c r="F230" s="1377"/>
      <c r="G230" s="346"/>
      <c r="H230" s="359">
        <f>G230*H212*-1</f>
        <v>0</v>
      </c>
      <c r="I230" s="346"/>
      <c r="J230" s="359">
        <f>I230*J212*-1</f>
        <v>0</v>
      </c>
      <c r="K230" s="280"/>
      <c r="L230" s="424"/>
      <c r="M230" s="424"/>
      <c r="N230" s="424"/>
      <c r="O230" s="424"/>
      <c r="P230" s="424"/>
      <c r="Q230" s="424"/>
      <c r="R230" s="424"/>
      <c r="S230" s="424"/>
      <c r="T230" s="424"/>
      <c r="U230" s="304"/>
    </row>
    <row r="231" spans="2:27" ht="15" customHeight="1">
      <c r="B231" s="1378" t="s">
        <v>735</v>
      </c>
      <c r="C231" s="1379"/>
      <c r="D231" s="1379"/>
      <c r="E231" s="1379"/>
      <c r="F231" s="1379"/>
      <c r="G231" s="350"/>
      <c r="H231" s="389"/>
      <c r="I231" s="350"/>
      <c r="J231" s="390"/>
      <c r="K231" s="280"/>
      <c r="L231" s="424"/>
      <c r="M231" s="424"/>
      <c r="N231" s="424"/>
      <c r="O231" s="424"/>
      <c r="P231" s="424"/>
      <c r="Q231" s="424"/>
      <c r="R231" s="424"/>
      <c r="S231" s="424"/>
      <c r="T231" s="424"/>
      <c r="U231" s="304"/>
    </row>
    <row r="232" spans="2:27">
      <c r="B232" s="1380" t="s">
        <v>821</v>
      </c>
      <c r="C232" s="1370"/>
      <c r="D232" s="1370"/>
      <c r="E232" s="1370"/>
      <c r="F232" s="1371"/>
      <c r="G232" s="346"/>
      <c r="H232" s="359">
        <f>(G232*H212)</f>
        <v>0</v>
      </c>
      <c r="I232" s="346"/>
      <c r="J232" s="400">
        <f>(I232*J212)</f>
        <v>0</v>
      </c>
      <c r="K232" s="280"/>
      <c r="L232" s="424"/>
      <c r="M232" s="424"/>
      <c r="N232" s="424"/>
      <c r="O232" s="424"/>
      <c r="P232" s="424"/>
      <c r="Q232" s="424"/>
      <c r="R232" s="424"/>
      <c r="S232" s="424"/>
      <c r="T232" s="424"/>
      <c r="U232" s="304"/>
    </row>
    <row r="233" spans="2:27">
      <c r="B233" s="1158" t="s">
        <v>822</v>
      </c>
      <c r="C233" s="1159"/>
      <c r="D233" s="1159"/>
      <c r="E233" s="1159"/>
      <c r="F233" s="1160"/>
      <c r="G233" s="1359">
        <f>SUM(H214:H232)</f>
        <v>0</v>
      </c>
      <c r="H233" s="1360"/>
      <c r="I233" s="1361">
        <f>SUM(J214:J232)</f>
        <v>0</v>
      </c>
      <c r="J233" s="1362"/>
      <c r="K233" s="280"/>
      <c r="L233" s="424"/>
      <c r="M233" s="424"/>
      <c r="N233" s="424"/>
      <c r="O233" s="424"/>
      <c r="P233" s="424"/>
      <c r="Q233" s="424"/>
      <c r="R233" s="424"/>
      <c r="S233" s="424"/>
      <c r="T233" s="424"/>
      <c r="U233" s="304"/>
    </row>
    <row r="234" spans="2:27" ht="18.75">
      <c r="B234" s="1363" t="s">
        <v>823</v>
      </c>
      <c r="C234" s="1364"/>
      <c r="D234" s="1364"/>
      <c r="E234" s="1364"/>
      <c r="F234" s="1365"/>
      <c r="G234" s="1161" t="str">
        <f>IF(OR(AA222=0, I233=0), "12 Month Average", "24 Month Average")</f>
        <v>12 Month Average</v>
      </c>
      <c r="H234" s="1162"/>
      <c r="I234" s="1162"/>
      <c r="J234" s="1163"/>
      <c r="K234" s="280"/>
      <c r="L234" s="424"/>
      <c r="M234" s="424"/>
      <c r="N234" s="424"/>
      <c r="O234" s="424"/>
      <c r="P234" s="424"/>
      <c r="Q234" s="424"/>
      <c r="R234" s="424"/>
      <c r="S234" s="424"/>
      <c r="T234" s="424"/>
      <c r="U234" s="304"/>
    </row>
    <row r="235" spans="2:27" ht="34.5" thickBot="1">
      <c r="B235" s="1366" t="s">
        <v>824</v>
      </c>
      <c r="C235" s="1367"/>
      <c r="D235" s="1367"/>
      <c r="E235" s="1367"/>
      <c r="F235" s="1368"/>
      <c r="G235" s="1167">
        <f>IF(OR(AA222=0, I233=0), AA217, AA218)</f>
        <v>0</v>
      </c>
      <c r="H235" s="1168"/>
      <c r="I235" s="1168"/>
      <c r="J235" s="1169"/>
      <c r="L235" s="424"/>
      <c r="M235" s="424"/>
      <c r="N235" s="424"/>
      <c r="O235" s="424"/>
      <c r="P235" s="424"/>
      <c r="Q235" s="424"/>
      <c r="R235" s="424"/>
      <c r="S235" s="424"/>
      <c r="T235" s="424"/>
      <c r="U235" s="304"/>
    </row>
    <row r="236" spans="2:27" ht="9" customHeight="1" thickBot="1">
      <c r="H236" s="330"/>
      <c r="I236" s="330"/>
      <c r="L236" s="424"/>
      <c r="M236" s="424"/>
      <c r="N236" s="424"/>
      <c r="O236" s="424"/>
      <c r="P236" s="424"/>
      <c r="Q236" s="424"/>
      <c r="R236" s="424"/>
      <c r="S236" s="424"/>
      <c r="T236" s="424"/>
      <c r="U236" s="304"/>
    </row>
    <row r="237" spans="2:27" ht="135" customHeight="1" thickBot="1">
      <c r="B237" s="1148" t="s">
        <v>761</v>
      </c>
      <c r="C237" s="1285"/>
      <c r="D237" s="1285"/>
      <c r="E237" s="1285"/>
      <c r="F237" s="1285"/>
      <c r="G237" s="1285"/>
      <c r="H237" s="1285"/>
      <c r="I237" s="1285"/>
      <c r="J237" s="1286"/>
      <c r="L237" s="424"/>
      <c r="M237" s="424"/>
      <c r="N237" s="424"/>
      <c r="O237" s="424"/>
      <c r="P237" s="424"/>
      <c r="Q237" s="424"/>
      <c r="R237" s="424"/>
      <c r="S237" s="424"/>
      <c r="T237" s="424"/>
      <c r="U237" s="304"/>
    </row>
    <row r="238" spans="2:27" ht="9" customHeight="1">
      <c r="B238" s="304"/>
      <c r="C238" s="304"/>
      <c r="D238" s="304"/>
      <c r="E238" s="304"/>
      <c r="F238" s="304"/>
      <c r="G238" s="304"/>
      <c r="H238" s="304"/>
      <c r="I238" s="304"/>
      <c r="L238" s="304"/>
      <c r="M238" s="304"/>
      <c r="N238" s="304"/>
      <c r="O238" s="304"/>
      <c r="P238" s="304"/>
      <c r="Q238" s="304"/>
      <c r="R238" s="304"/>
      <c r="S238" s="304"/>
      <c r="T238" s="304"/>
      <c r="U238" s="304"/>
    </row>
    <row r="239" spans="2:27" ht="13.5" customHeight="1" thickBot="1"/>
    <row r="240" spans="2:27" ht="82.5" customHeight="1">
      <c r="B240" s="1187" t="s">
        <v>791</v>
      </c>
      <c r="C240" s="1188"/>
      <c r="D240" s="1188"/>
      <c r="E240" s="1188"/>
      <c r="F240" s="1188"/>
      <c r="G240" s="1188"/>
      <c r="H240" s="1188"/>
      <c r="I240" s="1188"/>
      <c r="J240" s="331" t="str">
        <f>'[3]Reference Sheet'!$B$2</f>
        <v>Rev. 4.12.2016</v>
      </c>
      <c r="L240" s="424"/>
      <c r="M240" s="424"/>
      <c r="N240" s="424"/>
      <c r="O240" s="424"/>
      <c r="P240" s="424"/>
      <c r="Q240" s="424"/>
      <c r="R240" s="424"/>
      <c r="S240" s="424"/>
      <c r="T240" s="424"/>
      <c r="U240" s="304"/>
    </row>
    <row r="241" spans="2:28" ht="17.25" customHeight="1" thickBot="1">
      <c r="B241" s="332"/>
      <c r="C241" s="368" t="s">
        <v>710</v>
      </c>
      <c r="D241" s="1400"/>
      <c r="E241" s="1401"/>
      <c r="F241" s="1401"/>
      <c r="G241" s="1401"/>
      <c r="H241" s="333"/>
      <c r="I241" s="333"/>
      <c r="J241" s="334"/>
      <c r="L241" s="424"/>
      <c r="M241" s="424"/>
      <c r="N241" s="424"/>
      <c r="O241" s="424"/>
      <c r="P241" s="424"/>
      <c r="Q241" s="424"/>
      <c r="R241" s="424"/>
      <c r="S241" s="424"/>
      <c r="T241" s="424"/>
      <c r="U241" s="304"/>
      <c r="X241" s="304"/>
      <c r="Z241" s="451" t="s">
        <v>717</v>
      </c>
      <c r="AA241" s="451" t="str">
        <f>IF(OR(H246=0, H246&gt;100%), "Shareholder %", G250*H246)</f>
        <v>Shareholder %</v>
      </c>
    </row>
    <row r="242" spans="2:28" ht="17.25" customHeight="1" thickBot="1">
      <c r="B242" s="332"/>
      <c r="C242" s="368" t="s">
        <v>711</v>
      </c>
      <c r="D242" s="1402"/>
      <c r="E242" s="1403"/>
      <c r="F242" s="1403"/>
      <c r="G242" s="1403"/>
      <c r="H242" s="368" t="s">
        <v>712</v>
      </c>
      <c r="I242" s="1400"/>
      <c r="J242" s="1404"/>
      <c r="L242" s="424"/>
      <c r="M242" s="424"/>
      <c r="N242" s="424"/>
      <c r="O242" s="424"/>
      <c r="P242" s="424"/>
      <c r="Q242" s="424"/>
      <c r="R242" s="424"/>
      <c r="S242" s="424"/>
      <c r="T242" s="424"/>
      <c r="U242" s="304"/>
      <c r="X242" s="304"/>
      <c r="Z242" s="451" t="s">
        <v>720</v>
      </c>
      <c r="AA242" s="451" t="str">
        <f>IF(OR(J246&gt;100%, J246=0), "Shareholder %", I250*J246)</f>
        <v>Shareholder %</v>
      </c>
    </row>
    <row r="243" spans="2:28" s="404" customFormat="1" ht="16.5" thickBot="1">
      <c r="B243" s="1393" t="s">
        <v>671</v>
      </c>
      <c r="C243" s="1394"/>
      <c r="D243" s="1405"/>
      <c r="E243" s="1406"/>
      <c r="F243" s="1406"/>
      <c r="G243" s="1406"/>
      <c r="H243" s="452" t="s">
        <v>673</v>
      </c>
      <c r="I243" s="1407"/>
      <c r="J243" s="1408"/>
      <c r="L243" s="424"/>
      <c r="M243" s="424"/>
      <c r="N243" s="424"/>
      <c r="O243" s="424"/>
      <c r="P243" s="424"/>
      <c r="Q243" s="424"/>
      <c r="R243" s="424"/>
      <c r="S243" s="424"/>
      <c r="T243" s="424"/>
      <c r="U243" s="367"/>
      <c r="X243" s="304"/>
      <c r="Y243" s="280"/>
      <c r="Z243" s="451"/>
      <c r="AA243" s="451"/>
      <c r="AB243" s="405"/>
    </row>
    <row r="244" spans="2:28" s="404" customFormat="1" ht="16.5" thickBot="1">
      <c r="B244" s="1393" t="s">
        <v>674</v>
      </c>
      <c r="C244" s="1394"/>
      <c r="D244" s="1395"/>
      <c r="E244" s="1396"/>
      <c r="F244" s="1396"/>
      <c r="G244" s="1396"/>
      <c r="H244" s="1396"/>
      <c r="I244" s="1396"/>
      <c r="J244" s="1397"/>
      <c r="K244" s="405"/>
      <c r="L244" s="424"/>
      <c r="M244" s="424"/>
      <c r="N244" s="424"/>
      <c r="O244" s="424"/>
      <c r="P244" s="424"/>
      <c r="Q244" s="424"/>
      <c r="R244" s="424"/>
      <c r="S244" s="424"/>
      <c r="T244" s="424"/>
      <c r="U244" s="367"/>
      <c r="X244" s="304"/>
      <c r="Y244" s="280"/>
      <c r="Z244" s="451" t="s">
        <v>793</v>
      </c>
      <c r="AA244" s="349" t="str">
        <f>IF(OR(H246=0, H246&gt;100%),"Enter Shareholder %",$J$40)</f>
        <v>Enter Shareholder %</v>
      </c>
      <c r="AB244" s="405"/>
    </row>
    <row r="245" spans="2:28">
      <c r="B245" s="1265"/>
      <c r="C245" s="1266"/>
      <c r="D245" s="1266"/>
      <c r="E245" s="1266"/>
      <c r="F245" s="1267"/>
      <c r="G245" s="453" t="s">
        <v>713</v>
      </c>
      <c r="H245" s="454" t="s">
        <v>676</v>
      </c>
      <c r="I245" s="342"/>
      <c r="J245" s="373" t="s">
        <v>677</v>
      </c>
      <c r="K245" s="280"/>
      <c r="L245" s="424"/>
      <c r="M245" s="424"/>
      <c r="N245" s="424"/>
      <c r="O245" s="424"/>
      <c r="P245" s="424"/>
      <c r="Q245" s="424"/>
      <c r="R245" s="424"/>
      <c r="S245" s="424"/>
      <c r="T245" s="424"/>
      <c r="U245" s="304"/>
      <c r="V245" s="304"/>
      <c r="X245" s="304"/>
      <c r="Z245" s="451" t="s">
        <v>794</v>
      </c>
      <c r="AA245" s="349" t="str">
        <f>IF(OR(J246=0, J246&gt;100%),"Enter Shareholder %",$J$41)</f>
        <v>Enter Shareholder %</v>
      </c>
    </row>
    <row r="246" spans="2:28" ht="15.75" thickBot="1">
      <c r="B246" s="1269"/>
      <c r="C246" s="1270"/>
      <c r="D246" s="1270"/>
      <c r="E246" s="1270"/>
      <c r="F246" s="1271"/>
      <c r="G246" s="408" t="s">
        <v>795</v>
      </c>
      <c r="H246" s="376"/>
      <c r="I246" s="377"/>
      <c r="J246" s="378"/>
      <c r="K246" s="280"/>
      <c r="L246" s="424"/>
      <c r="M246" s="424"/>
      <c r="N246" s="424"/>
      <c r="O246" s="424"/>
      <c r="P246" s="424"/>
      <c r="Q246" s="424"/>
      <c r="R246" s="424"/>
      <c r="S246" s="424"/>
      <c r="T246" s="424"/>
      <c r="U246" s="304"/>
      <c r="V246" s="304"/>
      <c r="X246" s="304"/>
      <c r="Z246" s="451" t="s">
        <v>796</v>
      </c>
      <c r="AA246" s="349">
        <f>SUM(H250:H266)</f>
        <v>0</v>
      </c>
    </row>
    <row r="247" spans="2:28">
      <c r="B247" s="1229" t="s">
        <v>744</v>
      </c>
      <c r="C247" s="1273"/>
      <c r="D247" s="1273"/>
      <c r="E247" s="1273"/>
      <c r="F247" s="1273"/>
      <c r="G247" s="455" t="s">
        <v>719</v>
      </c>
      <c r="H247" s="413"/>
      <c r="I247" s="456" t="s">
        <v>719</v>
      </c>
      <c r="J247" s="415"/>
      <c r="K247" s="280"/>
      <c r="L247" s="424"/>
      <c r="M247" s="424"/>
      <c r="N247" s="424"/>
      <c r="O247" s="424"/>
      <c r="P247" s="424"/>
      <c r="Q247" s="424"/>
      <c r="R247" s="424"/>
      <c r="S247" s="424"/>
      <c r="T247" s="424"/>
      <c r="U247" s="304"/>
      <c r="V247" s="304"/>
      <c r="X247" s="304"/>
      <c r="Z247" s="451" t="s">
        <v>797</v>
      </c>
      <c r="AA247" s="362">
        <f>SUM(J250:J266)</f>
        <v>0</v>
      </c>
    </row>
    <row r="248" spans="2:28">
      <c r="B248" s="1384" t="s">
        <v>798</v>
      </c>
      <c r="C248" s="1385"/>
      <c r="D248" s="1385"/>
      <c r="E248" s="1385"/>
      <c r="F248" s="1386"/>
      <c r="G248" s="457"/>
      <c r="H248" s="458">
        <f>G248</f>
        <v>0</v>
      </c>
      <c r="I248" s="457"/>
      <c r="J248" s="400">
        <f>I248</f>
        <v>0</v>
      </c>
      <c r="K248" s="280"/>
      <c r="L248" s="424"/>
      <c r="M248" s="424"/>
      <c r="N248" s="424"/>
      <c r="O248" s="424"/>
      <c r="P248" s="424"/>
      <c r="Q248" s="424"/>
      <c r="R248" s="424"/>
      <c r="S248" s="424"/>
      <c r="T248" s="424"/>
      <c r="U248" s="304"/>
      <c r="V248" s="304"/>
      <c r="X248" s="304"/>
    </row>
    <row r="249" spans="2:28">
      <c r="B249" s="1398">
        <v>1120</v>
      </c>
      <c r="C249" s="1399"/>
      <c r="D249" s="1399"/>
      <c r="E249" s="1399"/>
      <c r="F249" s="1399"/>
      <c r="G249" s="350"/>
      <c r="H249" s="389"/>
      <c r="I249" s="350"/>
      <c r="J249" s="390"/>
      <c r="K249" s="280"/>
      <c r="L249" s="424"/>
      <c r="M249" s="424"/>
      <c r="N249" s="424"/>
      <c r="O249" s="424"/>
      <c r="P249" s="424"/>
      <c r="Q249" s="424"/>
      <c r="R249" s="424"/>
      <c r="S249" s="424"/>
      <c r="T249" s="424"/>
      <c r="U249" s="304"/>
      <c r="V249" s="304"/>
      <c r="X249" s="304"/>
      <c r="Z249" s="451" t="s">
        <v>799</v>
      </c>
      <c r="AA249" s="280">
        <f>IF(OR(H246=0, H246=10%), 0, 1)</f>
        <v>0</v>
      </c>
    </row>
    <row r="250" spans="2:28">
      <c r="B250" s="1384" t="s">
        <v>800</v>
      </c>
      <c r="C250" s="1385"/>
      <c r="D250" s="1385"/>
      <c r="E250" s="1385"/>
      <c r="F250" s="1386"/>
      <c r="G250" s="459"/>
      <c r="H250" s="387" t="str">
        <f>AA241</f>
        <v>Shareholder %</v>
      </c>
      <c r="I250" s="346"/>
      <c r="J250" s="388" t="str">
        <f>AA242</f>
        <v>Shareholder %</v>
      </c>
      <c r="K250" s="280"/>
      <c r="L250" s="424"/>
      <c r="M250" s="424"/>
      <c r="N250" s="424"/>
      <c r="O250" s="424"/>
      <c r="P250" s="424"/>
      <c r="Q250" s="424"/>
      <c r="R250" s="424"/>
      <c r="S250" s="424"/>
      <c r="T250" s="424"/>
      <c r="U250" s="304"/>
      <c r="V250" s="304"/>
      <c r="X250" s="304"/>
      <c r="Z250" s="451" t="s">
        <v>801</v>
      </c>
      <c r="AA250" s="280">
        <f>IF(OR(J246=0, J246+100%), 0, 1)</f>
        <v>0</v>
      </c>
    </row>
    <row r="251" spans="2:28">
      <c r="B251" s="1297" t="s">
        <v>802</v>
      </c>
      <c r="C251" s="1298"/>
      <c r="D251" s="1298"/>
      <c r="E251" s="1298"/>
      <c r="F251" s="1298"/>
      <c r="G251" s="460"/>
      <c r="H251" s="416"/>
      <c r="I251" s="460"/>
      <c r="J251" s="417"/>
      <c r="K251" s="280"/>
      <c r="L251" s="424"/>
      <c r="M251" s="424"/>
      <c r="N251" s="424"/>
      <c r="O251" s="424"/>
      <c r="P251" s="424"/>
      <c r="Q251" s="424"/>
      <c r="R251" s="424"/>
      <c r="S251" s="424"/>
      <c r="T251" s="424"/>
      <c r="U251" s="304"/>
      <c r="V251" s="304"/>
      <c r="X251" s="304"/>
      <c r="Z251" s="451" t="s">
        <v>803</v>
      </c>
      <c r="AA251" s="362">
        <f>G267/12</f>
        <v>0</v>
      </c>
    </row>
    <row r="252" spans="2:28">
      <c r="B252" s="1387" t="s">
        <v>804</v>
      </c>
      <c r="C252" s="1388"/>
      <c r="D252" s="1388"/>
      <c r="E252" s="1388"/>
      <c r="F252" s="1389"/>
      <c r="G252" s="461"/>
      <c r="H252" s="419">
        <f>(G252*H246)*-1</f>
        <v>0</v>
      </c>
      <c r="I252" s="461"/>
      <c r="J252" s="420">
        <f>(I252*J246)*-1</f>
        <v>0</v>
      </c>
      <c r="K252" s="280"/>
      <c r="L252" s="424"/>
      <c r="M252" s="424"/>
      <c r="N252" s="424"/>
      <c r="O252" s="424"/>
      <c r="P252" s="424"/>
      <c r="Q252" s="424"/>
      <c r="R252" s="424"/>
      <c r="S252" s="424"/>
      <c r="T252" s="424"/>
      <c r="U252" s="304"/>
      <c r="V252" s="304"/>
      <c r="X252" s="304"/>
      <c r="Z252" s="451" t="s">
        <v>805</v>
      </c>
      <c r="AA252" s="362">
        <f>(G267+I267)/24</f>
        <v>0</v>
      </c>
    </row>
    <row r="253" spans="2:28">
      <c r="B253" s="1390" t="s">
        <v>806</v>
      </c>
      <c r="C253" s="1391"/>
      <c r="D253" s="1391"/>
      <c r="E253" s="1391"/>
      <c r="F253" s="1392"/>
      <c r="G253" s="461"/>
      <c r="H253" s="419">
        <f>(G253*H246)*-1</f>
        <v>0</v>
      </c>
      <c r="I253" s="461"/>
      <c r="J253" s="420">
        <f>(I253*J246)*-1</f>
        <v>0</v>
      </c>
      <c r="K253" s="280"/>
      <c r="L253" s="424"/>
      <c r="M253" s="424"/>
      <c r="N253" s="424"/>
      <c r="O253" s="424"/>
      <c r="P253" s="424"/>
      <c r="Q253" s="424"/>
      <c r="R253" s="424"/>
      <c r="S253" s="424"/>
      <c r="T253" s="424"/>
      <c r="U253" s="304"/>
      <c r="V253" s="304"/>
      <c r="X253" s="304"/>
      <c r="Z253" s="451"/>
    </row>
    <row r="254" spans="2:28">
      <c r="B254" s="1302" t="s">
        <v>807</v>
      </c>
      <c r="C254" s="1303"/>
      <c r="D254" s="1303"/>
      <c r="E254" s="1303"/>
      <c r="F254" s="1304"/>
      <c r="G254" s="461"/>
      <c r="H254" s="419">
        <f>(G254*H246)*-1</f>
        <v>0</v>
      </c>
      <c r="I254" s="461"/>
      <c r="J254" s="420">
        <f>(I254*J246)*-1</f>
        <v>0</v>
      </c>
      <c r="K254" s="280"/>
      <c r="L254" s="424"/>
      <c r="M254" s="424"/>
      <c r="N254" s="424"/>
      <c r="O254" s="424"/>
      <c r="P254" s="424"/>
      <c r="Q254" s="424"/>
      <c r="R254" s="424"/>
      <c r="S254" s="424"/>
      <c r="T254" s="424"/>
      <c r="U254" s="304"/>
      <c r="V254" s="304"/>
      <c r="X254" s="304"/>
      <c r="Z254" s="451" t="s">
        <v>808</v>
      </c>
      <c r="AA254" s="280">
        <f>IF(AND(J248=0, J250=0, J252=0, J253=0, J254=0, J256=0, J257=0, J258=0, J259=0, J261=0, J262=0, J263=0, J264=0, J266=0, I267=0), 0, 1)</f>
        <v>1</v>
      </c>
    </row>
    <row r="255" spans="2:28">
      <c r="B255" s="1229" t="s">
        <v>809</v>
      </c>
      <c r="C255" s="1230"/>
      <c r="D255" s="1230"/>
      <c r="E255" s="1230"/>
      <c r="F255" s="1230"/>
      <c r="G255" s="350"/>
      <c r="H255" s="351"/>
      <c r="I255" s="350"/>
      <c r="J255" s="352"/>
      <c r="K255" s="280"/>
      <c r="L255" s="424"/>
      <c r="M255" s="424"/>
      <c r="N255" s="424"/>
      <c r="O255" s="424"/>
      <c r="P255" s="424"/>
      <c r="Q255" s="424"/>
      <c r="R255" s="424"/>
      <c r="S255" s="424"/>
      <c r="T255" s="424"/>
      <c r="U255" s="304"/>
      <c r="V255" s="304"/>
      <c r="X255" s="304"/>
      <c r="Z255" s="451" t="s">
        <v>810</v>
      </c>
      <c r="AA255" s="280">
        <f>IF(AND(G267&lt;=I267, I267&lt;&gt;0), 0, 1)</f>
        <v>1</v>
      </c>
    </row>
    <row r="256" spans="2:28">
      <c r="B256" s="1243" t="s">
        <v>811</v>
      </c>
      <c r="C256" s="1244"/>
      <c r="D256" s="1244"/>
      <c r="E256" s="1244"/>
      <c r="F256" s="1245"/>
      <c r="G256" s="346"/>
      <c r="H256" s="384">
        <f>G256*H246</f>
        <v>0</v>
      </c>
      <c r="I256" s="346"/>
      <c r="J256" s="385">
        <f>I256*J246</f>
        <v>0</v>
      </c>
      <c r="K256" s="280"/>
      <c r="L256" s="424"/>
      <c r="M256" s="424"/>
      <c r="N256" s="424"/>
      <c r="O256" s="424"/>
      <c r="P256" s="424"/>
      <c r="Q256" s="424"/>
      <c r="R256" s="424"/>
      <c r="S256" s="424"/>
      <c r="T256" s="424"/>
      <c r="U256" s="304"/>
      <c r="V256" s="304"/>
      <c r="X256" s="304"/>
      <c r="Z256" s="451" t="s">
        <v>812</v>
      </c>
      <c r="AA256" s="280">
        <f>IF(AND(AA255=0, AA254=1), 0, 1)</f>
        <v>1</v>
      </c>
    </row>
    <row r="257" spans="2:27">
      <c r="B257" s="1381" t="s">
        <v>813</v>
      </c>
      <c r="C257" s="1224"/>
      <c r="D257" s="1224"/>
      <c r="E257" s="1224"/>
      <c r="F257" s="1225"/>
      <c r="G257" s="346"/>
      <c r="H257" s="384">
        <f>G257*H246</f>
        <v>0</v>
      </c>
      <c r="I257" s="346"/>
      <c r="J257" s="385">
        <f>I257*J246</f>
        <v>0</v>
      </c>
      <c r="K257" s="280"/>
      <c r="L257" s="424"/>
      <c r="M257" s="424"/>
      <c r="N257" s="424"/>
      <c r="O257" s="424"/>
      <c r="P257" s="424"/>
      <c r="Q257" s="424"/>
      <c r="R257" s="424"/>
      <c r="S257" s="424"/>
      <c r="T257" s="424"/>
      <c r="U257" s="304"/>
      <c r="X257" s="304"/>
    </row>
    <row r="258" spans="2:27">
      <c r="B258" s="1223" t="s">
        <v>814</v>
      </c>
      <c r="C258" s="1224"/>
      <c r="D258" s="1224"/>
      <c r="E258" s="1224"/>
      <c r="F258" s="1225"/>
      <c r="G258" s="346"/>
      <c r="H258" s="384">
        <f>G258*H246</f>
        <v>0</v>
      </c>
      <c r="I258" s="346"/>
      <c r="J258" s="385">
        <f>I258*J246</f>
        <v>0</v>
      </c>
      <c r="K258" s="280"/>
      <c r="L258" s="424"/>
      <c r="M258" s="424"/>
      <c r="N258" s="424"/>
      <c r="O258" s="424"/>
      <c r="P258" s="424"/>
      <c r="Q258" s="424"/>
      <c r="R258" s="424"/>
      <c r="S258" s="424"/>
      <c r="T258" s="424"/>
      <c r="U258" s="304"/>
      <c r="X258" s="304"/>
      <c r="AA258" s="349" t="s">
        <v>596</v>
      </c>
    </row>
    <row r="259" spans="2:27">
      <c r="B259" s="1226" t="s">
        <v>825</v>
      </c>
      <c r="C259" s="1227"/>
      <c r="D259" s="1227"/>
      <c r="E259" s="1227"/>
      <c r="F259" s="1228"/>
      <c r="G259" s="346"/>
      <c r="H259" s="384">
        <f>G259*H246</f>
        <v>0</v>
      </c>
      <c r="I259" s="346"/>
      <c r="J259" s="385">
        <f>I259*J246</f>
        <v>0</v>
      </c>
      <c r="K259" s="280"/>
      <c r="L259" s="424"/>
      <c r="M259" s="424"/>
      <c r="N259" s="424"/>
      <c r="O259" s="424"/>
      <c r="P259" s="424"/>
      <c r="Q259" s="424"/>
      <c r="R259" s="424"/>
      <c r="S259" s="424"/>
      <c r="T259" s="424"/>
      <c r="U259" s="304"/>
      <c r="X259" s="304"/>
      <c r="Z259" s="462"/>
      <c r="AA259" s="349" t="s">
        <v>683</v>
      </c>
    </row>
    <row r="260" spans="2:27">
      <c r="B260" s="1229" t="s">
        <v>816</v>
      </c>
      <c r="C260" s="1230"/>
      <c r="D260" s="1230"/>
      <c r="E260" s="1230"/>
      <c r="F260" s="1230"/>
      <c r="G260" s="351"/>
      <c r="H260" s="351"/>
      <c r="I260" s="351"/>
      <c r="J260" s="352"/>
      <c r="K260" s="280"/>
      <c r="L260" s="424"/>
      <c r="M260" s="424"/>
      <c r="N260" s="424"/>
      <c r="O260" s="424"/>
      <c r="P260" s="424"/>
      <c r="Q260" s="424"/>
      <c r="R260" s="424"/>
      <c r="S260" s="424"/>
      <c r="T260" s="424"/>
      <c r="U260" s="304"/>
      <c r="X260" s="304"/>
      <c r="AA260" s="349" t="s">
        <v>599</v>
      </c>
    </row>
    <row r="261" spans="2:27">
      <c r="B261" s="1231" t="s">
        <v>817</v>
      </c>
      <c r="C261" s="1382"/>
      <c r="D261" s="1382"/>
      <c r="E261" s="1382"/>
      <c r="F261" s="1383"/>
      <c r="G261" s="346"/>
      <c r="H261" s="359">
        <f>(G261*H246)*-1</f>
        <v>0</v>
      </c>
      <c r="I261" s="346"/>
      <c r="J261" s="400">
        <f>(I261*J246)*-1</f>
        <v>0</v>
      </c>
      <c r="K261" s="280"/>
      <c r="L261" s="424"/>
      <c r="M261" s="424"/>
      <c r="N261" s="424"/>
      <c r="O261" s="424"/>
      <c r="P261" s="424"/>
      <c r="Q261" s="424"/>
      <c r="R261" s="424"/>
      <c r="S261" s="424"/>
      <c r="T261" s="424"/>
      <c r="U261" s="304"/>
      <c r="X261" s="304"/>
      <c r="AA261" s="349" t="s">
        <v>603</v>
      </c>
    </row>
    <row r="262" spans="2:27" ht="28.5" customHeight="1">
      <c r="B262" s="1369" t="s">
        <v>818</v>
      </c>
      <c r="C262" s="1370"/>
      <c r="D262" s="1370"/>
      <c r="E262" s="1370"/>
      <c r="F262" s="1371"/>
      <c r="G262" s="346"/>
      <c r="H262" s="359">
        <f>G262*H246*-1</f>
        <v>0</v>
      </c>
      <c r="I262" s="346"/>
      <c r="J262" s="400">
        <f>(I262*J246)*-1</f>
        <v>0</v>
      </c>
      <c r="K262" s="280"/>
      <c r="L262" s="424"/>
      <c r="M262" s="424"/>
      <c r="N262" s="424"/>
      <c r="O262" s="424"/>
      <c r="P262" s="424"/>
      <c r="Q262" s="424"/>
      <c r="R262" s="424"/>
      <c r="S262" s="424"/>
      <c r="T262" s="424"/>
      <c r="U262" s="304"/>
      <c r="X262" s="304"/>
      <c r="AA262" s="349" t="s">
        <v>605</v>
      </c>
    </row>
    <row r="263" spans="2:27">
      <c r="B263" s="1372" t="s">
        <v>819</v>
      </c>
      <c r="C263" s="1373"/>
      <c r="D263" s="1373"/>
      <c r="E263" s="1373"/>
      <c r="F263" s="1374"/>
      <c r="G263" s="346"/>
      <c r="H263" s="359">
        <f>G263*H246*-1</f>
        <v>0</v>
      </c>
      <c r="I263" s="346"/>
      <c r="J263" s="400">
        <f>I263*J246*-1</f>
        <v>0</v>
      </c>
      <c r="K263" s="280"/>
      <c r="L263" s="424"/>
      <c r="M263" s="424"/>
      <c r="N263" s="424"/>
      <c r="O263" s="424"/>
      <c r="P263" s="424"/>
      <c r="Q263" s="424"/>
      <c r="R263" s="424"/>
      <c r="S263" s="424"/>
      <c r="T263" s="424"/>
      <c r="U263" s="304"/>
    </row>
    <row r="264" spans="2:27">
      <c r="B264" s="1375" t="s">
        <v>820</v>
      </c>
      <c r="C264" s="1376"/>
      <c r="D264" s="1376"/>
      <c r="E264" s="1376"/>
      <c r="F264" s="1377"/>
      <c r="G264" s="346"/>
      <c r="H264" s="359">
        <f>G264*H246*-1</f>
        <v>0</v>
      </c>
      <c r="I264" s="346"/>
      <c r="J264" s="359">
        <f>I264*J246*-1</f>
        <v>0</v>
      </c>
      <c r="K264" s="280"/>
      <c r="L264" s="424"/>
      <c r="M264" s="424"/>
      <c r="N264" s="424"/>
      <c r="O264" s="424"/>
      <c r="P264" s="424"/>
      <c r="Q264" s="424"/>
      <c r="R264" s="424"/>
      <c r="S264" s="424"/>
      <c r="T264" s="424"/>
      <c r="U264" s="304"/>
    </row>
    <row r="265" spans="2:27" ht="15" customHeight="1">
      <c r="B265" s="1378" t="s">
        <v>735</v>
      </c>
      <c r="C265" s="1379"/>
      <c r="D265" s="1379"/>
      <c r="E265" s="1379"/>
      <c r="F265" s="1379"/>
      <c r="G265" s="350"/>
      <c r="H265" s="389"/>
      <c r="I265" s="350"/>
      <c r="J265" s="390"/>
      <c r="K265" s="280"/>
      <c r="L265" s="424"/>
      <c r="M265" s="424"/>
      <c r="N265" s="424"/>
      <c r="O265" s="424"/>
      <c r="P265" s="424"/>
      <c r="Q265" s="424"/>
      <c r="R265" s="424"/>
      <c r="S265" s="424"/>
      <c r="T265" s="424"/>
      <c r="U265" s="304"/>
    </row>
    <row r="266" spans="2:27">
      <c r="B266" s="1380" t="s">
        <v>821</v>
      </c>
      <c r="C266" s="1370"/>
      <c r="D266" s="1370"/>
      <c r="E266" s="1370"/>
      <c r="F266" s="1371"/>
      <c r="G266" s="346"/>
      <c r="H266" s="359">
        <f>(G266*H246)</f>
        <v>0</v>
      </c>
      <c r="I266" s="346"/>
      <c r="J266" s="400">
        <f>(I266*J246)</f>
        <v>0</v>
      </c>
      <c r="K266" s="280"/>
      <c r="L266" s="424"/>
      <c r="M266" s="424"/>
      <c r="N266" s="424"/>
      <c r="O266" s="424"/>
      <c r="P266" s="424"/>
      <c r="Q266" s="424"/>
      <c r="R266" s="424"/>
      <c r="S266" s="424"/>
      <c r="T266" s="424"/>
      <c r="U266" s="304"/>
    </row>
    <row r="267" spans="2:27">
      <c r="B267" s="1158" t="s">
        <v>822</v>
      </c>
      <c r="C267" s="1159"/>
      <c r="D267" s="1159"/>
      <c r="E267" s="1159"/>
      <c r="F267" s="1160"/>
      <c r="G267" s="1359">
        <f>SUM(H248:H266)</f>
        <v>0</v>
      </c>
      <c r="H267" s="1360"/>
      <c r="I267" s="1361">
        <f>SUM(J248:J266)</f>
        <v>0</v>
      </c>
      <c r="J267" s="1362"/>
      <c r="K267" s="280"/>
      <c r="L267" s="424"/>
      <c r="M267" s="424"/>
      <c r="N267" s="424"/>
      <c r="O267" s="424"/>
      <c r="P267" s="424"/>
      <c r="Q267" s="424"/>
      <c r="R267" s="424"/>
      <c r="S267" s="424"/>
      <c r="T267" s="424"/>
      <c r="U267" s="304"/>
    </row>
    <row r="268" spans="2:27" ht="18.75">
      <c r="B268" s="1363" t="s">
        <v>823</v>
      </c>
      <c r="C268" s="1364"/>
      <c r="D268" s="1364"/>
      <c r="E268" s="1364"/>
      <c r="F268" s="1365"/>
      <c r="G268" s="1161" t="str">
        <f>IF(OR(AA256=0, I267=0), "12 Month Average", "24 Month Average")</f>
        <v>12 Month Average</v>
      </c>
      <c r="H268" s="1162"/>
      <c r="I268" s="1162"/>
      <c r="J268" s="1163"/>
      <c r="K268" s="280"/>
      <c r="L268" s="424"/>
      <c r="M268" s="424"/>
      <c r="N268" s="424"/>
      <c r="O268" s="424"/>
      <c r="P268" s="424"/>
      <c r="Q268" s="424"/>
      <c r="R268" s="424"/>
      <c r="S268" s="424"/>
      <c r="T268" s="424"/>
      <c r="U268" s="304"/>
    </row>
    <row r="269" spans="2:27" ht="34.5" thickBot="1">
      <c r="B269" s="1366" t="s">
        <v>824</v>
      </c>
      <c r="C269" s="1367"/>
      <c r="D269" s="1367"/>
      <c r="E269" s="1367"/>
      <c r="F269" s="1368"/>
      <c r="G269" s="1167">
        <f>IF(OR(AA256=0, I267=0), AA251, AA252)</f>
        <v>0</v>
      </c>
      <c r="H269" s="1168"/>
      <c r="I269" s="1168"/>
      <c r="J269" s="1169"/>
      <c r="L269" s="424"/>
      <c r="M269" s="424"/>
      <c r="N269" s="424"/>
      <c r="O269" s="424"/>
      <c r="P269" s="424"/>
      <c r="Q269" s="424"/>
      <c r="R269" s="424"/>
      <c r="S269" s="424"/>
      <c r="T269" s="424"/>
      <c r="U269" s="304"/>
    </row>
    <row r="270" spans="2:27" ht="9" customHeight="1" thickBot="1">
      <c r="H270" s="330"/>
      <c r="I270" s="330"/>
      <c r="L270" s="424"/>
      <c r="M270" s="424"/>
      <c r="N270" s="424"/>
      <c r="O270" s="424"/>
      <c r="P270" s="424"/>
      <c r="Q270" s="424"/>
      <c r="R270" s="424"/>
      <c r="S270" s="424"/>
      <c r="T270" s="424"/>
      <c r="U270" s="304"/>
    </row>
    <row r="271" spans="2:27" ht="135" customHeight="1" thickBot="1">
      <c r="B271" s="1148" t="s">
        <v>761</v>
      </c>
      <c r="C271" s="1285"/>
      <c r="D271" s="1285"/>
      <c r="E271" s="1285"/>
      <c r="F271" s="1285"/>
      <c r="G271" s="1285"/>
      <c r="H271" s="1285"/>
      <c r="I271" s="1285"/>
      <c r="J271" s="1286"/>
      <c r="L271" s="424"/>
      <c r="M271" s="424"/>
      <c r="N271" s="424"/>
      <c r="O271" s="424"/>
      <c r="P271" s="424"/>
      <c r="Q271" s="424"/>
      <c r="R271" s="424"/>
      <c r="S271" s="424"/>
      <c r="T271" s="424"/>
      <c r="U271" s="304"/>
    </row>
    <row r="272" spans="2:27" ht="9" customHeight="1">
      <c r="B272" s="304"/>
      <c r="C272" s="304"/>
      <c r="D272" s="304"/>
      <c r="E272" s="304"/>
      <c r="F272" s="304"/>
      <c r="G272" s="304"/>
      <c r="H272" s="304"/>
      <c r="I272" s="304"/>
      <c r="L272" s="304"/>
      <c r="M272" s="304"/>
      <c r="N272" s="304"/>
      <c r="O272" s="304"/>
      <c r="P272" s="304"/>
      <c r="Q272" s="304"/>
      <c r="R272" s="304"/>
      <c r="S272" s="304"/>
      <c r="T272" s="304"/>
      <c r="U272" s="304"/>
    </row>
    <row r="273" spans="2:28" ht="13.5" customHeight="1" thickBot="1"/>
    <row r="274" spans="2:28" ht="82.5" customHeight="1">
      <c r="B274" s="1187" t="s">
        <v>791</v>
      </c>
      <c r="C274" s="1188"/>
      <c r="D274" s="1188"/>
      <c r="E274" s="1188"/>
      <c r="F274" s="1188"/>
      <c r="G274" s="1188"/>
      <c r="H274" s="1188"/>
      <c r="I274" s="1188"/>
      <c r="J274" s="331" t="str">
        <f>'[3]Reference Sheet'!$B$2</f>
        <v>Rev. 4.12.2016</v>
      </c>
      <c r="L274" s="424"/>
      <c r="M274" s="424"/>
      <c r="N274" s="424"/>
      <c r="O274" s="424"/>
      <c r="P274" s="424"/>
      <c r="Q274" s="424"/>
      <c r="R274" s="424"/>
      <c r="S274" s="424"/>
      <c r="T274" s="424"/>
      <c r="U274" s="304"/>
    </row>
    <row r="275" spans="2:28" ht="17.25" customHeight="1" thickBot="1">
      <c r="B275" s="332"/>
      <c r="C275" s="368" t="s">
        <v>710</v>
      </c>
      <c r="D275" s="1400"/>
      <c r="E275" s="1401"/>
      <c r="F275" s="1401"/>
      <c r="G275" s="1401"/>
      <c r="H275" s="333"/>
      <c r="I275" s="333"/>
      <c r="J275" s="334"/>
      <c r="L275" s="424"/>
      <c r="M275" s="424"/>
      <c r="N275" s="424"/>
      <c r="O275" s="424"/>
      <c r="P275" s="424"/>
      <c r="Q275" s="424"/>
      <c r="R275" s="424"/>
      <c r="S275" s="424"/>
      <c r="T275" s="424"/>
      <c r="U275" s="304"/>
      <c r="X275" s="304"/>
      <c r="Z275" s="451" t="s">
        <v>717</v>
      </c>
      <c r="AA275" s="451" t="str">
        <f>IF(OR(H280=0, H280&gt;100%), "Shareholder %", G284*H280)</f>
        <v>Shareholder %</v>
      </c>
    </row>
    <row r="276" spans="2:28" ht="17.25" customHeight="1" thickBot="1">
      <c r="B276" s="332"/>
      <c r="C276" s="368" t="s">
        <v>711</v>
      </c>
      <c r="D276" s="1402"/>
      <c r="E276" s="1403"/>
      <c r="F276" s="1403"/>
      <c r="G276" s="1403"/>
      <c r="H276" s="368" t="s">
        <v>712</v>
      </c>
      <c r="I276" s="1400"/>
      <c r="J276" s="1404"/>
      <c r="L276" s="424"/>
      <c r="M276" s="424"/>
      <c r="N276" s="424"/>
      <c r="O276" s="424"/>
      <c r="P276" s="424"/>
      <c r="Q276" s="424"/>
      <c r="R276" s="424"/>
      <c r="S276" s="424"/>
      <c r="T276" s="424"/>
      <c r="U276" s="304"/>
      <c r="X276" s="304"/>
      <c r="Z276" s="451" t="s">
        <v>720</v>
      </c>
      <c r="AA276" s="451" t="str">
        <f>IF(OR(J280&gt;100%, J280=0), "Shareholder %", I284*J280)</f>
        <v>Shareholder %</v>
      </c>
    </row>
    <row r="277" spans="2:28" s="404" customFormat="1" ht="16.5" thickBot="1">
      <c r="B277" s="1393" t="s">
        <v>671</v>
      </c>
      <c r="C277" s="1394"/>
      <c r="D277" s="1405"/>
      <c r="E277" s="1406"/>
      <c r="F277" s="1406"/>
      <c r="G277" s="1406"/>
      <c r="H277" s="452" t="s">
        <v>673</v>
      </c>
      <c r="I277" s="1407"/>
      <c r="J277" s="1408"/>
      <c r="L277" s="424"/>
      <c r="M277" s="424"/>
      <c r="N277" s="424"/>
      <c r="O277" s="424"/>
      <c r="P277" s="424"/>
      <c r="Q277" s="424"/>
      <c r="R277" s="424"/>
      <c r="S277" s="424"/>
      <c r="T277" s="424"/>
      <c r="U277" s="367"/>
      <c r="X277" s="304"/>
      <c r="Y277" s="280"/>
      <c r="Z277" s="451"/>
      <c r="AA277" s="451"/>
      <c r="AB277" s="405"/>
    </row>
    <row r="278" spans="2:28" s="404" customFormat="1" ht="16.5" thickBot="1">
      <c r="B278" s="1393" t="s">
        <v>674</v>
      </c>
      <c r="C278" s="1394"/>
      <c r="D278" s="1395"/>
      <c r="E278" s="1396"/>
      <c r="F278" s="1396"/>
      <c r="G278" s="1396"/>
      <c r="H278" s="1396"/>
      <c r="I278" s="1396"/>
      <c r="J278" s="1397"/>
      <c r="K278" s="405"/>
      <c r="L278" s="424"/>
      <c r="M278" s="424"/>
      <c r="N278" s="424"/>
      <c r="O278" s="424"/>
      <c r="P278" s="424"/>
      <c r="Q278" s="424"/>
      <c r="R278" s="424"/>
      <c r="S278" s="424"/>
      <c r="T278" s="424"/>
      <c r="U278" s="367"/>
      <c r="X278" s="304"/>
      <c r="Y278" s="280"/>
      <c r="Z278" s="451" t="s">
        <v>793</v>
      </c>
      <c r="AA278" s="349" t="str">
        <f>IF(OR(H280=0, H280&gt;100%),"Enter Shareholder %",$J$40)</f>
        <v>Enter Shareholder %</v>
      </c>
      <c r="AB278" s="405"/>
    </row>
    <row r="279" spans="2:28">
      <c r="B279" s="1265"/>
      <c r="C279" s="1266"/>
      <c r="D279" s="1266"/>
      <c r="E279" s="1266"/>
      <c r="F279" s="1267"/>
      <c r="G279" s="453" t="s">
        <v>713</v>
      </c>
      <c r="H279" s="454" t="s">
        <v>676</v>
      </c>
      <c r="I279" s="342"/>
      <c r="J279" s="373" t="s">
        <v>677</v>
      </c>
      <c r="K279" s="280"/>
      <c r="L279" s="424"/>
      <c r="M279" s="424"/>
      <c r="N279" s="424"/>
      <c r="O279" s="424"/>
      <c r="P279" s="424"/>
      <c r="Q279" s="424"/>
      <c r="R279" s="424"/>
      <c r="S279" s="424"/>
      <c r="T279" s="424"/>
      <c r="U279" s="304"/>
      <c r="V279" s="304"/>
      <c r="X279" s="304"/>
      <c r="Z279" s="451" t="s">
        <v>794</v>
      </c>
      <c r="AA279" s="349" t="str">
        <f>IF(OR(J280=0, J280&gt;100%),"Enter Shareholder %",$J$41)</f>
        <v>Enter Shareholder %</v>
      </c>
    </row>
    <row r="280" spans="2:28" ht="15.75" thickBot="1">
      <c r="B280" s="1269"/>
      <c r="C280" s="1270"/>
      <c r="D280" s="1270"/>
      <c r="E280" s="1270"/>
      <c r="F280" s="1271"/>
      <c r="G280" s="408" t="s">
        <v>795</v>
      </c>
      <c r="H280" s="376"/>
      <c r="I280" s="377"/>
      <c r="J280" s="378"/>
      <c r="K280" s="280"/>
      <c r="L280" s="424"/>
      <c r="M280" s="424"/>
      <c r="N280" s="424"/>
      <c r="O280" s="424"/>
      <c r="P280" s="424"/>
      <c r="Q280" s="424"/>
      <c r="R280" s="424"/>
      <c r="S280" s="424"/>
      <c r="T280" s="424"/>
      <c r="U280" s="304"/>
      <c r="V280" s="304"/>
      <c r="X280" s="304"/>
      <c r="Z280" s="451" t="s">
        <v>796</v>
      </c>
      <c r="AA280" s="349">
        <f>SUM(H284:H300)</f>
        <v>0</v>
      </c>
    </row>
    <row r="281" spans="2:28">
      <c r="B281" s="1229" t="s">
        <v>744</v>
      </c>
      <c r="C281" s="1273"/>
      <c r="D281" s="1273"/>
      <c r="E281" s="1273"/>
      <c r="F281" s="1273"/>
      <c r="G281" s="455" t="s">
        <v>719</v>
      </c>
      <c r="H281" s="413"/>
      <c r="I281" s="456" t="s">
        <v>719</v>
      </c>
      <c r="J281" s="415"/>
      <c r="K281" s="280"/>
      <c r="L281" s="424"/>
      <c r="M281" s="424"/>
      <c r="N281" s="424"/>
      <c r="O281" s="424"/>
      <c r="P281" s="424"/>
      <c r="Q281" s="424"/>
      <c r="R281" s="424"/>
      <c r="S281" s="424"/>
      <c r="T281" s="424"/>
      <c r="U281" s="304"/>
      <c r="V281" s="304"/>
      <c r="X281" s="304"/>
      <c r="Z281" s="451" t="s">
        <v>797</v>
      </c>
      <c r="AA281" s="362">
        <f>SUM(J284:J300)</f>
        <v>0</v>
      </c>
    </row>
    <row r="282" spans="2:28">
      <c r="B282" s="1384" t="s">
        <v>798</v>
      </c>
      <c r="C282" s="1385"/>
      <c r="D282" s="1385"/>
      <c r="E282" s="1385"/>
      <c r="F282" s="1386"/>
      <c r="G282" s="457"/>
      <c r="H282" s="458">
        <f>G282</f>
        <v>0</v>
      </c>
      <c r="I282" s="457"/>
      <c r="J282" s="400">
        <f>I282</f>
        <v>0</v>
      </c>
      <c r="K282" s="280"/>
      <c r="L282" s="424"/>
      <c r="M282" s="424"/>
      <c r="N282" s="424"/>
      <c r="O282" s="424"/>
      <c r="P282" s="424"/>
      <c r="Q282" s="424"/>
      <c r="R282" s="424"/>
      <c r="S282" s="424"/>
      <c r="T282" s="424"/>
      <c r="U282" s="304"/>
      <c r="V282" s="304"/>
      <c r="X282" s="304"/>
    </row>
    <row r="283" spans="2:28">
      <c r="B283" s="1398">
        <v>1120</v>
      </c>
      <c r="C283" s="1399"/>
      <c r="D283" s="1399"/>
      <c r="E283" s="1399"/>
      <c r="F283" s="1399"/>
      <c r="G283" s="350"/>
      <c r="H283" s="389"/>
      <c r="I283" s="350"/>
      <c r="J283" s="390"/>
      <c r="K283" s="280"/>
      <c r="L283" s="424"/>
      <c r="M283" s="424"/>
      <c r="N283" s="424"/>
      <c r="O283" s="424"/>
      <c r="P283" s="424"/>
      <c r="Q283" s="424"/>
      <c r="R283" s="424"/>
      <c r="S283" s="424"/>
      <c r="T283" s="424"/>
      <c r="U283" s="304"/>
      <c r="V283" s="304"/>
      <c r="X283" s="304"/>
      <c r="Z283" s="451" t="s">
        <v>799</v>
      </c>
      <c r="AA283" s="280">
        <f>IF(OR(H280=0, H280=10%), 0, 1)</f>
        <v>0</v>
      </c>
    </row>
    <row r="284" spans="2:28">
      <c r="B284" s="1384" t="s">
        <v>800</v>
      </c>
      <c r="C284" s="1385"/>
      <c r="D284" s="1385"/>
      <c r="E284" s="1385"/>
      <c r="F284" s="1386"/>
      <c r="G284" s="459"/>
      <c r="H284" s="387" t="str">
        <f>AA275</f>
        <v>Shareholder %</v>
      </c>
      <c r="I284" s="346"/>
      <c r="J284" s="388" t="str">
        <f>AA276</f>
        <v>Shareholder %</v>
      </c>
      <c r="K284" s="280"/>
      <c r="L284" s="424"/>
      <c r="M284" s="424"/>
      <c r="N284" s="424"/>
      <c r="O284" s="424"/>
      <c r="P284" s="424"/>
      <c r="Q284" s="424"/>
      <c r="R284" s="424"/>
      <c r="S284" s="424"/>
      <c r="T284" s="424"/>
      <c r="U284" s="304"/>
      <c r="V284" s="304"/>
      <c r="X284" s="304"/>
      <c r="Z284" s="451" t="s">
        <v>801</v>
      </c>
      <c r="AA284" s="280">
        <f>IF(OR(J280=0, J280+100%), 0, 1)</f>
        <v>0</v>
      </c>
    </row>
    <row r="285" spans="2:28">
      <c r="B285" s="1297" t="s">
        <v>802</v>
      </c>
      <c r="C285" s="1298"/>
      <c r="D285" s="1298"/>
      <c r="E285" s="1298"/>
      <c r="F285" s="1298"/>
      <c r="G285" s="460"/>
      <c r="H285" s="416"/>
      <c r="I285" s="460"/>
      <c r="J285" s="417"/>
      <c r="K285" s="280"/>
      <c r="L285" s="424"/>
      <c r="M285" s="424"/>
      <c r="N285" s="424"/>
      <c r="O285" s="424"/>
      <c r="P285" s="424"/>
      <c r="Q285" s="424"/>
      <c r="R285" s="424"/>
      <c r="S285" s="424"/>
      <c r="T285" s="424"/>
      <c r="U285" s="304"/>
      <c r="V285" s="304"/>
      <c r="X285" s="304"/>
      <c r="Z285" s="451" t="s">
        <v>803</v>
      </c>
      <c r="AA285" s="362">
        <f>G301/12</f>
        <v>0</v>
      </c>
    </row>
    <row r="286" spans="2:28">
      <c r="B286" s="1387" t="s">
        <v>804</v>
      </c>
      <c r="C286" s="1388"/>
      <c r="D286" s="1388"/>
      <c r="E286" s="1388"/>
      <c r="F286" s="1389"/>
      <c r="G286" s="461"/>
      <c r="H286" s="419">
        <f>(G286*H280)*-1</f>
        <v>0</v>
      </c>
      <c r="I286" s="461"/>
      <c r="J286" s="420">
        <f>(I286*J280)*-1</f>
        <v>0</v>
      </c>
      <c r="K286" s="280"/>
      <c r="L286" s="424"/>
      <c r="M286" s="424"/>
      <c r="N286" s="424"/>
      <c r="O286" s="424"/>
      <c r="P286" s="424"/>
      <c r="Q286" s="424"/>
      <c r="R286" s="424"/>
      <c r="S286" s="424"/>
      <c r="T286" s="424"/>
      <c r="U286" s="304"/>
      <c r="V286" s="304"/>
      <c r="X286" s="304"/>
      <c r="Z286" s="451" t="s">
        <v>805</v>
      </c>
      <c r="AA286" s="362">
        <f>(G301+I301)/24</f>
        <v>0</v>
      </c>
    </row>
    <row r="287" spans="2:28">
      <c r="B287" s="1390" t="s">
        <v>806</v>
      </c>
      <c r="C287" s="1391"/>
      <c r="D287" s="1391"/>
      <c r="E287" s="1391"/>
      <c r="F287" s="1392"/>
      <c r="G287" s="461"/>
      <c r="H287" s="419">
        <f>(G287*H280)*-1</f>
        <v>0</v>
      </c>
      <c r="I287" s="461"/>
      <c r="J287" s="420">
        <f>(I287*J280)*-1</f>
        <v>0</v>
      </c>
      <c r="K287" s="280"/>
      <c r="L287" s="424"/>
      <c r="M287" s="424"/>
      <c r="N287" s="424"/>
      <c r="O287" s="424"/>
      <c r="P287" s="424"/>
      <c r="Q287" s="424"/>
      <c r="R287" s="424"/>
      <c r="S287" s="424"/>
      <c r="T287" s="424"/>
      <c r="U287" s="304"/>
      <c r="V287" s="304"/>
      <c r="X287" s="304"/>
      <c r="Z287" s="451"/>
    </row>
    <row r="288" spans="2:28">
      <c r="B288" s="1302" t="s">
        <v>807</v>
      </c>
      <c r="C288" s="1303"/>
      <c r="D288" s="1303"/>
      <c r="E288" s="1303"/>
      <c r="F288" s="1304"/>
      <c r="G288" s="461"/>
      <c r="H288" s="419">
        <f>(G288*H280)*-1</f>
        <v>0</v>
      </c>
      <c r="I288" s="461"/>
      <c r="J288" s="420">
        <f>(I288*J280)*-1</f>
        <v>0</v>
      </c>
      <c r="K288" s="280"/>
      <c r="L288" s="424"/>
      <c r="M288" s="424"/>
      <c r="N288" s="424"/>
      <c r="O288" s="424"/>
      <c r="P288" s="424"/>
      <c r="Q288" s="424"/>
      <c r="R288" s="424"/>
      <c r="S288" s="424"/>
      <c r="T288" s="424"/>
      <c r="U288" s="304"/>
      <c r="V288" s="304"/>
      <c r="X288" s="304"/>
      <c r="Z288" s="451" t="s">
        <v>808</v>
      </c>
      <c r="AA288" s="280">
        <f>IF(AND(J282=0, J284=0, J286=0, J287=0, J288=0, J290=0, J291=0, J292=0, J293=0, J295=0, J296=0, J297=0, J298=0, J300=0, I301=0), 0, 1)</f>
        <v>1</v>
      </c>
    </row>
    <row r="289" spans="2:27">
      <c r="B289" s="1229" t="s">
        <v>809</v>
      </c>
      <c r="C289" s="1230"/>
      <c r="D289" s="1230"/>
      <c r="E289" s="1230"/>
      <c r="F289" s="1230"/>
      <c r="G289" s="350"/>
      <c r="H289" s="351"/>
      <c r="I289" s="350"/>
      <c r="J289" s="352"/>
      <c r="K289" s="280"/>
      <c r="L289" s="424"/>
      <c r="M289" s="424"/>
      <c r="N289" s="424"/>
      <c r="O289" s="424"/>
      <c r="P289" s="424"/>
      <c r="Q289" s="424"/>
      <c r="R289" s="424"/>
      <c r="S289" s="424"/>
      <c r="T289" s="424"/>
      <c r="U289" s="304"/>
      <c r="V289" s="304"/>
      <c r="X289" s="304"/>
      <c r="Z289" s="451" t="s">
        <v>810</v>
      </c>
      <c r="AA289" s="280">
        <f>IF(AND(G301&lt;=I301, I301&lt;&gt;0), 0, 1)</f>
        <v>1</v>
      </c>
    </row>
    <row r="290" spans="2:27">
      <c r="B290" s="1243" t="s">
        <v>811</v>
      </c>
      <c r="C290" s="1244"/>
      <c r="D290" s="1244"/>
      <c r="E290" s="1244"/>
      <c r="F290" s="1245"/>
      <c r="G290" s="346"/>
      <c r="H290" s="384">
        <f>G290*H280</f>
        <v>0</v>
      </c>
      <c r="I290" s="346"/>
      <c r="J290" s="385">
        <f>I290*J280</f>
        <v>0</v>
      </c>
      <c r="K290" s="280"/>
      <c r="L290" s="424"/>
      <c r="M290" s="424"/>
      <c r="N290" s="424"/>
      <c r="O290" s="424"/>
      <c r="P290" s="424"/>
      <c r="Q290" s="424"/>
      <c r="R290" s="424"/>
      <c r="S290" s="424"/>
      <c r="T290" s="424"/>
      <c r="U290" s="304"/>
      <c r="V290" s="304"/>
      <c r="X290" s="304"/>
      <c r="Z290" s="451" t="s">
        <v>812</v>
      </c>
      <c r="AA290" s="280">
        <f>IF(AND(AA289=0, AA288=1), 0, 1)</f>
        <v>1</v>
      </c>
    </row>
    <row r="291" spans="2:27">
      <c r="B291" s="1381" t="s">
        <v>813</v>
      </c>
      <c r="C291" s="1224"/>
      <c r="D291" s="1224"/>
      <c r="E291" s="1224"/>
      <c r="F291" s="1225"/>
      <c r="G291" s="346"/>
      <c r="H291" s="384">
        <f>G291*H280</f>
        <v>0</v>
      </c>
      <c r="I291" s="346"/>
      <c r="J291" s="385">
        <f>I291*J280</f>
        <v>0</v>
      </c>
      <c r="K291" s="280"/>
      <c r="L291" s="424"/>
      <c r="M291" s="424"/>
      <c r="N291" s="424"/>
      <c r="O291" s="424"/>
      <c r="P291" s="424"/>
      <c r="Q291" s="424"/>
      <c r="R291" s="424"/>
      <c r="S291" s="424"/>
      <c r="T291" s="424"/>
      <c r="U291" s="304"/>
      <c r="X291" s="304"/>
    </row>
    <row r="292" spans="2:27">
      <c r="B292" s="1223" t="s">
        <v>814</v>
      </c>
      <c r="C292" s="1224"/>
      <c r="D292" s="1224"/>
      <c r="E292" s="1224"/>
      <c r="F292" s="1225"/>
      <c r="G292" s="346"/>
      <c r="H292" s="384">
        <f>G292*H280</f>
        <v>0</v>
      </c>
      <c r="I292" s="346"/>
      <c r="J292" s="385">
        <f>I292*J280</f>
        <v>0</v>
      </c>
      <c r="K292" s="280"/>
      <c r="L292" s="424"/>
      <c r="M292" s="424"/>
      <c r="N292" s="424"/>
      <c r="O292" s="424"/>
      <c r="P292" s="424"/>
      <c r="Q292" s="424"/>
      <c r="R292" s="424"/>
      <c r="S292" s="424"/>
      <c r="T292" s="424"/>
      <c r="U292" s="304"/>
      <c r="X292" s="304"/>
      <c r="AA292" s="349" t="s">
        <v>596</v>
      </c>
    </row>
    <row r="293" spans="2:27">
      <c r="B293" s="1226" t="s">
        <v>825</v>
      </c>
      <c r="C293" s="1227"/>
      <c r="D293" s="1227"/>
      <c r="E293" s="1227"/>
      <c r="F293" s="1228"/>
      <c r="G293" s="346"/>
      <c r="H293" s="384">
        <f>G293*H280</f>
        <v>0</v>
      </c>
      <c r="I293" s="346"/>
      <c r="J293" s="385">
        <f>I293*J280</f>
        <v>0</v>
      </c>
      <c r="K293" s="280"/>
      <c r="L293" s="424"/>
      <c r="M293" s="424"/>
      <c r="N293" s="424"/>
      <c r="O293" s="424"/>
      <c r="P293" s="424"/>
      <c r="Q293" s="424"/>
      <c r="R293" s="424"/>
      <c r="S293" s="424"/>
      <c r="T293" s="424"/>
      <c r="U293" s="304"/>
      <c r="X293" s="304"/>
      <c r="Z293" s="462"/>
      <c r="AA293" s="349" t="s">
        <v>683</v>
      </c>
    </row>
    <row r="294" spans="2:27">
      <c r="B294" s="1229" t="s">
        <v>816</v>
      </c>
      <c r="C294" s="1230"/>
      <c r="D294" s="1230"/>
      <c r="E294" s="1230"/>
      <c r="F294" s="1230"/>
      <c r="G294" s="351"/>
      <c r="H294" s="351"/>
      <c r="I294" s="351"/>
      <c r="J294" s="352"/>
      <c r="K294" s="280"/>
      <c r="L294" s="424"/>
      <c r="M294" s="424"/>
      <c r="N294" s="424"/>
      <c r="O294" s="424"/>
      <c r="P294" s="424"/>
      <c r="Q294" s="424"/>
      <c r="R294" s="424"/>
      <c r="S294" s="424"/>
      <c r="T294" s="424"/>
      <c r="U294" s="304"/>
      <c r="X294" s="304"/>
      <c r="AA294" s="349" t="s">
        <v>599</v>
      </c>
    </row>
    <row r="295" spans="2:27">
      <c r="B295" s="1231" t="s">
        <v>817</v>
      </c>
      <c r="C295" s="1382"/>
      <c r="D295" s="1382"/>
      <c r="E295" s="1382"/>
      <c r="F295" s="1383"/>
      <c r="G295" s="346"/>
      <c r="H295" s="359">
        <f>(G295*H280)*-1</f>
        <v>0</v>
      </c>
      <c r="I295" s="346"/>
      <c r="J295" s="400">
        <f>(I295*J280)*-1</f>
        <v>0</v>
      </c>
      <c r="K295" s="280"/>
      <c r="L295" s="424"/>
      <c r="M295" s="424"/>
      <c r="N295" s="424"/>
      <c r="O295" s="424"/>
      <c r="P295" s="424"/>
      <c r="Q295" s="424"/>
      <c r="R295" s="424"/>
      <c r="S295" s="424"/>
      <c r="T295" s="424"/>
      <c r="U295" s="304"/>
      <c r="X295" s="304"/>
      <c r="AA295" s="349" t="s">
        <v>603</v>
      </c>
    </row>
    <row r="296" spans="2:27" ht="28.5" customHeight="1">
      <c r="B296" s="1369" t="s">
        <v>818</v>
      </c>
      <c r="C296" s="1370"/>
      <c r="D296" s="1370"/>
      <c r="E296" s="1370"/>
      <c r="F296" s="1371"/>
      <c r="G296" s="346"/>
      <c r="H296" s="359">
        <f>G296*H280*-1</f>
        <v>0</v>
      </c>
      <c r="I296" s="346"/>
      <c r="J296" s="400">
        <f>(I296*J280)*-1</f>
        <v>0</v>
      </c>
      <c r="K296" s="280"/>
      <c r="L296" s="424"/>
      <c r="M296" s="424"/>
      <c r="N296" s="424"/>
      <c r="O296" s="424"/>
      <c r="P296" s="424"/>
      <c r="Q296" s="424"/>
      <c r="R296" s="424"/>
      <c r="S296" s="424"/>
      <c r="T296" s="424"/>
      <c r="U296" s="304"/>
      <c r="X296" s="304"/>
      <c r="AA296" s="349" t="s">
        <v>605</v>
      </c>
    </row>
    <row r="297" spans="2:27">
      <c r="B297" s="1372" t="s">
        <v>819</v>
      </c>
      <c r="C297" s="1373"/>
      <c r="D297" s="1373"/>
      <c r="E297" s="1373"/>
      <c r="F297" s="1374"/>
      <c r="G297" s="346"/>
      <c r="H297" s="359">
        <f>G297*H280*-1</f>
        <v>0</v>
      </c>
      <c r="I297" s="346"/>
      <c r="J297" s="400">
        <f>I297*J280*-1</f>
        <v>0</v>
      </c>
      <c r="K297" s="280"/>
      <c r="L297" s="424"/>
      <c r="M297" s="424"/>
      <c r="N297" s="424"/>
      <c r="O297" s="424"/>
      <c r="P297" s="424"/>
      <c r="Q297" s="424"/>
      <c r="R297" s="424"/>
      <c r="S297" s="424"/>
      <c r="T297" s="424"/>
      <c r="U297" s="304"/>
    </row>
    <row r="298" spans="2:27">
      <c r="B298" s="1375" t="s">
        <v>820</v>
      </c>
      <c r="C298" s="1376"/>
      <c r="D298" s="1376"/>
      <c r="E298" s="1376"/>
      <c r="F298" s="1377"/>
      <c r="G298" s="346"/>
      <c r="H298" s="359">
        <f>G298*H280*-1</f>
        <v>0</v>
      </c>
      <c r="I298" s="346"/>
      <c r="J298" s="359">
        <f>I298*J280*-1</f>
        <v>0</v>
      </c>
      <c r="K298" s="280"/>
      <c r="L298" s="424"/>
      <c r="M298" s="424"/>
      <c r="N298" s="424"/>
      <c r="O298" s="424"/>
      <c r="P298" s="424"/>
      <c r="Q298" s="424"/>
      <c r="R298" s="424"/>
      <c r="S298" s="424"/>
      <c r="T298" s="424"/>
      <c r="U298" s="304"/>
    </row>
    <row r="299" spans="2:27" ht="15" customHeight="1">
      <c r="B299" s="1378" t="s">
        <v>735</v>
      </c>
      <c r="C299" s="1379"/>
      <c r="D299" s="1379"/>
      <c r="E299" s="1379"/>
      <c r="F299" s="1379"/>
      <c r="G299" s="350"/>
      <c r="H299" s="389"/>
      <c r="I299" s="350"/>
      <c r="J299" s="390"/>
      <c r="K299" s="280"/>
      <c r="L299" s="424"/>
      <c r="M299" s="424"/>
      <c r="N299" s="424"/>
      <c r="O299" s="424"/>
      <c r="P299" s="424"/>
      <c r="Q299" s="424"/>
      <c r="R299" s="424"/>
      <c r="S299" s="424"/>
      <c r="T299" s="424"/>
      <c r="U299" s="304"/>
    </row>
    <row r="300" spans="2:27">
      <c r="B300" s="1380" t="s">
        <v>821</v>
      </c>
      <c r="C300" s="1370"/>
      <c r="D300" s="1370"/>
      <c r="E300" s="1370"/>
      <c r="F300" s="1371"/>
      <c r="G300" s="346"/>
      <c r="H300" s="359">
        <f>(G300*H280)</f>
        <v>0</v>
      </c>
      <c r="I300" s="346"/>
      <c r="J300" s="400">
        <f>(I300*J280)</f>
        <v>0</v>
      </c>
      <c r="K300" s="280"/>
      <c r="L300" s="424"/>
      <c r="M300" s="424"/>
      <c r="N300" s="424"/>
      <c r="O300" s="424"/>
      <c r="P300" s="424"/>
      <c r="Q300" s="424"/>
      <c r="R300" s="424"/>
      <c r="S300" s="424"/>
      <c r="T300" s="424"/>
      <c r="U300" s="304"/>
    </row>
    <row r="301" spans="2:27">
      <c r="B301" s="1158" t="s">
        <v>822</v>
      </c>
      <c r="C301" s="1159"/>
      <c r="D301" s="1159"/>
      <c r="E301" s="1159"/>
      <c r="F301" s="1160"/>
      <c r="G301" s="1359">
        <f>SUM(H282:H300)</f>
        <v>0</v>
      </c>
      <c r="H301" s="1360"/>
      <c r="I301" s="1361">
        <f>SUM(J282:J300)</f>
        <v>0</v>
      </c>
      <c r="J301" s="1362"/>
      <c r="K301" s="280"/>
      <c r="L301" s="424"/>
      <c r="M301" s="424"/>
      <c r="N301" s="424"/>
      <c r="O301" s="424"/>
      <c r="P301" s="424"/>
      <c r="Q301" s="424"/>
      <c r="R301" s="424"/>
      <c r="S301" s="424"/>
      <c r="T301" s="424"/>
      <c r="U301" s="304"/>
    </row>
    <row r="302" spans="2:27" ht="18.75">
      <c r="B302" s="1363" t="s">
        <v>823</v>
      </c>
      <c r="C302" s="1364"/>
      <c r="D302" s="1364"/>
      <c r="E302" s="1364"/>
      <c r="F302" s="1365"/>
      <c r="G302" s="1161" t="str">
        <f>IF(OR(AA290=0, I301=0), "12 Month Average", "24 Month Average")</f>
        <v>12 Month Average</v>
      </c>
      <c r="H302" s="1162"/>
      <c r="I302" s="1162"/>
      <c r="J302" s="1163"/>
      <c r="K302" s="280"/>
      <c r="L302" s="424"/>
      <c r="M302" s="424"/>
      <c r="N302" s="424"/>
      <c r="O302" s="424"/>
      <c r="P302" s="424"/>
      <c r="Q302" s="424"/>
      <c r="R302" s="424"/>
      <c r="S302" s="424"/>
      <c r="T302" s="424"/>
      <c r="U302" s="304"/>
    </row>
    <row r="303" spans="2:27" ht="34.5" thickBot="1">
      <c r="B303" s="1366" t="s">
        <v>824</v>
      </c>
      <c r="C303" s="1367"/>
      <c r="D303" s="1367"/>
      <c r="E303" s="1367"/>
      <c r="F303" s="1368"/>
      <c r="G303" s="1167">
        <f>IF(OR(AA290=0, I301=0), AA285, AA286)</f>
        <v>0</v>
      </c>
      <c r="H303" s="1168"/>
      <c r="I303" s="1168"/>
      <c r="J303" s="1169"/>
      <c r="L303" s="424"/>
      <c r="M303" s="424"/>
      <c r="N303" s="424"/>
      <c r="O303" s="424"/>
      <c r="P303" s="424"/>
      <c r="Q303" s="424"/>
      <c r="R303" s="424"/>
      <c r="S303" s="424"/>
      <c r="T303" s="424"/>
      <c r="U303" s="304"/>
    </row>
    <row r="304" spans="2:27" ht="9" customHeight="1" thickBot="1">
      <c r="H304" s="330"/>
      <c r="I304" s="330"/>
      <c r="L304" s="424"/>
      <c r="M304" s="424"/>
      <c r="N304" s="424"/>
      <c r="O304" s="424"/>
      <c r="P304" s="424"/>
      <c r="Q304" s="424"/>
      <c r="R304" s="424"/>
      <c r="S304" s="424"/>
      <c r="T304" s="424"/>
      <c r="U304" s="304"/>
    </row>
    <row r="305" spans="2:28" ht="135" customHeight="1" thickBot="1">
      <c r="B305" s="1148" t="s">
        <v>761</v>
      </c>
      <c r="C305" s="1285"/>
      <c r="D305" s="1285"/>
      <c r="E305" s="1285"/>
      <c r="F305" s="1285"/>
      <c r="G305" s="1285"/>
      <c r="H305" s="1285"/>
      <c r="I305" s="1285"/>
      <c r="J305" s="1286"/>
      <c r="L305" s="424"/>
      <c r="M305" s="424"/>
      <c r="N305" s="424"/>
      <c r="O305" s="424"/>
      <c r="P305" s="424"/>
      <c r="Q305" s="424"/>
      <c r="R305" s="424"/>
      <c r="S305" s="424"/>
      <c r="T305" s="424"/>
      <c r="U305" s="304"/>
    </row>
    <row r="306" spans="2:28" ht="9" customHeight="1">
      <c r="B306" s="304"/>
      <c r="C306" s="304"/>
      <c r="D306" s="304"/>
      <c r="E306" s="304"/>
      <c r="F306" s="304"/>
      <c r="G306" s="304"/>
      <c r="H306" s="304"/>
      <c r="I306" s="304"/>
      <c r="L306" s="304"/>
      <c r="M306" s="304"/>
      <c r="N306" s="304"/>
      <c r="O306" s="304"/>
      <c r="P306" s="304"/>
      <c r="Q306" s="304"/>
      <c r="R306" s="304"/>
      <c r="S306" s="304"/>
      <c r="T306" s="304"/>
      <c r="U306" s="304"/>
    </row>
    <row r="307" spans="2:28" ht="13.5" customHeight="1" thickBot="1"/>
    <row r="308" spans="2:28" ht="82.5" customHeight="1">
      <c r="B308" s="1187" t="s">
        <v>791</v>
      </c>
      <c r="C308" s="1188"/>
      <c r="D308" s="1188"/>
      <c r="E308" s="1188"/>
      <c r="F308" s="1188"/>
      <c r="G308" s="1188"/>
      <c r="H308" s="1188"/>
      <c r="I308" s="1188"/>
      <c r="J308" s="331" t="str">
        <f>'[3]Reference Sheet'!$B$2</f>
        <v>Rev. 4.12.2016</v>
      </c>
      <c r="L308" s="424"/>
      <c r="M308" s="424"/>
      <c r="N308" s="424"/>
      <c r="O308" s="424"/>
      <c r="P308" s="424"/>
      <c r="Q308" s="424"/>
      <c r="R308" s="424"/>
      <c r="S308" s="424"/>
      <c r="T308" s="424"/>
      <c r="U308" s="304"/>
    </row>
    <row r="309" spans="2:28" ht="17.25" customHeight="1" thickBot="1">
      <c r="B309" s="332"/>
      <c r="C309" s="368" t="s">
        <v>710</v>
      </c>
      <c r="D309" s="1400"/>
      <c r="E309" s="1401"/>
      <c r="F309" s="1401"/>
      <c r="G309" s="1401"/>
      <c r="H309" s="333"/>
      <c r="I309" s="333"/>
      <c r="J309" s="334"/>
      <c r="L309" s="424"/>
      <c r="M309" s="424"/>
      <c r="N309" s="424"/>
      <c r="O309" s="424"/>
      <c r="P309" s="424"/>
      <c r="Q309" s="424"/>
      <c r="R309" s="424"/>
      <c r="S309" s="424"/>
      <c r="T309" s="424"/>
      <c r="U309" s="304"/>
      <c r="X309" s="304"/>
      <c r="Z309" s="451" t="s">
        <v>717</v>
      </c>
      <c r="AA309" s="451" t="str">
        <f>IF(OR(H314=0, H314&gt;100%), "Shareholder %", G318*H314)</f>
        <v>Shareholder %</v>
      </c>
    </row>
    <row r="310" spans="2:28" ht="17.25" customHeight="1" thickBot="1">
      <c r="B310" s="332"/>
      <c r="C310" s="368" t="s">
        <v>711</v>
      </c>
      <c r="D310" s="1402"/>
      <c r="E310" s="1403"/>
      <c r="F310" s="1403"/>
      <c r="G310" s="1403"/>
      <c r="H310" s="368" t="s">
        <v>712</v>
      </c>
      <c r="I310" s="1400"/>
      <c r="J310" s="1404"/>
      <c r="L310" s="424"/>
      <c r="M310" s="424"/>
      <c r="N310" s="424"/>
      <c r="O310" s="424"/>
      <c r="P310" s="424"/>
      <c r="Q310" s="424"/>
      <c r="R310" s="424"/>
      <c r="S310" s="424"/>
      <c r="T310" s="424"/>
      <c r="U310" s="304"/>
      <c r="X310" s="304"/>
      <c r="Z310" s="451" t="s">
        <v>720</v>
      </c>
      <c r="AA310" s="451" t="str">
        <f>IF(OR(J314&gt;100%, J314=0), "Shareholder %", I318*J314)</f>
        <v>Shareholder %</v>
      </c>
    </row>
    <row r="311" spans="2:28" s="404" customFormat="1" ht="16.5" thickBot="1">
      <c r="B311" s="1393" t="s">
        <v>671</v>
      </c>
      <c r="C311" s="1394"/>
      <c r="D311" s="1405"/>
      <c r="E311" s="1406"/>
      <c r="F311" s="1406"/>
      <c r="G311" s="1406"/>
      <c r="H311" s="452" t="s">
        <v>673</v>
      </c>
      <c r="I311" s="1407"/>
      <c r="J311" s="1408"/>
      <c r="L311" s="424"/>
      <c r="M311" s="424"/>
      <c r="N311" s="424"/>
      <c r="O311" s="424"/>
      <c r="P311" s="424"/>
      <c r="Q311" s="424"/>
      <c r="R311" s="424"/>
      <c r="S311" s="424"/>
      <c r="T311" s="424"/>
      <c r="U311" s="367"/>
      <c r="X311" s="304"/>
      <c r="Y311" s="280"/>
      <c r="Z311" s="451"/>
      <c r="AA311" s="451"/>
      <c r="AB311" s="405"/>
    </row>
    <row r="312" spans="2:28" s="404" customFormat="1" ht="16.5" thickBot="1">
      <c r="B312" s="1393" t="s">
        <v>674</v>
      </c>
      <c r="C312" s="1394"/>
      <c r="D312" s="1395"/>
      <c r="E312" s="1396"/>
      <c r="F312" s="1396"/>
      <c r="G312" s="1396"/>
      <c r="H312" s="1396"/>
      <c r="I312" s="1396"/>
      <c r="J312" s="1397"/>
      <c r="K312" s="405"/>
      <c r="L312" s="424"/>
      <c r="M312" s="424"/>
      <c r="N312" s="424"/>
      <c r="O312" s="424"/>
      <c r="P312" s="424"/>
      <c r="Q312" s="424"/>
      <c r="R312" s="424"/>
      <c r="S312" s="424"/>
      <c r="T312" s="424"/>
      <c r="U312" s="367"/>
      <c r="X312" s="304"/>
      <c r="Y312" s="280"/>
      <c r="Z312" s="451" t="s">
        <v>793</v>
      </c>
      <c r="AA312" s="349" t="str">
        <f>IF(OR(H314=0, H314&gt;100%),"Enter Shareholder %",$J$40)</f>
        <v>Enter Shareholder %</v>
      </c>
      <c r="AB312" s="405"/>
    </row>
    <row r="313" spans="2:28">
      <c r="B313" s="1265"/>
      <c r="C313" s="1266"/>
      <c r="D313" s="1266"/>
      <c r="E313" s="1266"/>
      <c r="F313" s="1267"/>
      <c r="G313" s="453" t="s">
        <v>713</v>
      </c>
      <c r="H313" s="454" t="s">
        <v>676</v>
      </c>
      <c r="I313" s="342"/>
      <c r="J313" s="373" t="s">
        <v>677</v>
      </c>
      <c r="K313" s="280"/>
      <c r="L313" s="424"/>
      <c r="M313" s="424"/>
      <c r="N313" s="424"/>
      <c r="O313" s="424"/>
      <c r="P313" s="424"/>
      <c r="Q313" s="424"/>
      <c r="R313" s="424"/>
      <c r="S313" s="424"/>
      <c r="T313" s="424"/>
      <c r="U313" s="304"/>
      <c r="V313" s="304"/>
      <c r="X313" s="304"/>
      <c r="Z313" s="451" t="s">
        <v>794</v>
      </c>
      <c r="AA313" s="349" t="str">
        <f>IF(OR(J314=0, J314&gt;100%),"Enter Shareholder %",$J$41)</f>
        <v>Enter Shareholder %</v>
      </c>
    </row>
    <row r="314" spans="2:28" ht="15.75" thickBot="1">
      <c r="B314" s="1269"/>
      <c r="C314" s="1270"/>
      <c r="D314" s="1270"/>
      <c r="E314" s="1270"/>
      <c r="F314" s="1271"/>
      <c r="G314" s="408" t="s">
        <v>795</v>
      </c>
      <c r="H314" s="376"/>
      <c r="I314" s="377"/>
      <c r="J314" s="378"/>
      <c r="K314" s="280"/>
      <c r="L314" s="424"/>
      <c r="M314" s="424"/>
      <c r="N314" s="424"/>
      <c r="O314" s="424"/>
      <c r="P314" s="424"/>
      <c r="Q314" s="424"/>
      <c r="R314" s="424"/>
      <c r="S314" s="424"/>
      <c r="T314" s="424"/>
      <c r="U314" s="304"/>
      <c r="V314" s="304"/>
      <c r="X314" s="304"/>
      <c r="Z314" s="451" t="s">
        <v>796</v>
      </c>
      <c r="AA314" s="349">
        <f>SUM(H318:H334)</f>
        <v>0</v>
      </c>
    </row>
    <row r="315" spans="2:28">
      <c r="B315" s="1229" t="s">
        <v>744</v>
      </c>
      <c r="C315" s="1273"/>
      <c r="D315" s="1273"/>
      <c r="E315" s="1273"/>
      <c r="F315" s="1273"/>
      <c r="G315" s="455" t="s">
        <v>719</v>
      </c>
      <c r="H315" s="413"/>
      <c r="I315" s="456" t="s">
        <v>719</v>
      </c>
      <c r="J315" s="415"/>
      <c r="K315" s="280"/>
      <c r="L315" s="424"/>
      <c r="M315" s="424"/>
      <c r="N315" s="424"/>
      <c r="O315" s="424"/>
      <c r="P315" s="424"/>
      <c r="Q315" s="424"/>
      <c r="R315" s="424"/>
      <c r="S315" s="424"/>
      <c r="T315" s="424"/>
      <c r="U315" s="304"/>
      <c r="V315" s="304"/>
      <c r="X315" s="304"/>
      <c r="Z315" s="451" t="s">
        <v>797</v>
      </c>
      <c r="AA315" s="362">
        <f>SUM(J318:J334)</f>
        <v>0</v>
      </c>
    </row>
    <row r="316" spans="2:28">
      <c r="B316" s="1384" t="s">
        <v>798</v>
      </c>
      <c r="C316" s="1385"/>
      <c r="D316" s="1385"/>
      <c r="E316" s="1385"/>
      <c r="F316" s="1386"/>
      <c r="G316" s="457"/>
      <c r="H316" s="458">
        <f>G316</f>
        <v>0</v>
      </c>
      <c r="I316" s="457"/>
      <c r="J316" s="400">
        <f>I316</f>
        <v>0</v>
      </c>
      <c r="K316" s="280"/>
      <c r="L316" s="424"/>
      <c r="M316" s="424"/>
      <c r="N316" s="424"/>
      <c r="O316" s="424"/>
      <c r="P316" s="424"/>
      <c r="Q316" s="424"/>
      <c r="R316" s="424"/>
      <c r="S316" s="424"/>
      <c r="T316" s="424"/>
      <c r="U316" s="304"/>
      <c r="V316" s="304"/>
      <c r="X316" s="304"/>
    </row>
    <row r="317" spans="2:28">
      <c r="B317" s="1398">
        <v>1120</v>
      </c>
      <c r="C317" s="1399"/>
      <c r="D317" s="1399"/>
      <c r="E317" s="1399"/>
      <c r="F317" s="1399"/>
      <c r="G317" s="350"/>
      <c r="H317" s="389"/>
      <c r="I317" s="350"/>
      <c r="J317" s="390"/>
      <c r="K317" s="280"/>
      <c r="L317" s="424"/>
      <c r="M317" s="424"/>
      <c r="N317" s="424"/>
      <c r="O317" s="424"/>
      <c r="P317" s="424"/>
      <c r="Q317" s="424"/>
      <c r="R317" s="424"/>
      <c r="S317" s="424"/>
      <c r="T317" s="424"/>
      <c r="U317" s="304"/>
      <c r="V317" s="304"/>
      <c r="X317" s="304"/>
      <c r="Z317" s="451" t="s">
        <v>799</v>
      </c>
      <c r="AA317" s="280">
        <f>IF(OR(H314=0, H314=10%), 0, 1)</f>
        <v>0</v>
      </c>
    </row>
    <row r="318" spans="2:28">
      <c r="B318" s="1384" t="s">
        <v>800</v>
      </c>
      <c r="C318" s="1385"/>
      <c r="D318" s="1385"/>
      <c r="E318" s="1385"/>
      <c r="F318" s="1386"/>
      <c r="G318" s="459"/>
      <c r="H318" s="387" t="str">
        <f>AA309</f>
        <v>Shareholder %</v>
      </c>
      <c r="I318" s="346"/>
      <c r="J318" s="388" t="str">
        <f>AA310</f>
        <v>Shareholder %</v>
      </c>
      <c r="K318" s="280"/>
      <c r="L318" s="424"/>
      <c r="M318" s="424"/>
      <c r="N318" s="424"/>
      <c r="O318" s="424"/>
      <c r="P318" s="424"/>
      <c r="Q318" s="424"/>
      <c r="R318" s="424"/>
      <c r="S318" s="424"/>
      <c r="T318" s="424"/>
      <c r="U318" s="304"/>
      <c r="V318" s="304"/>
      <c r="X318" s="304"/>
      <c r="Z318" s="451" t="s">
        <v>801</v>
      </c>
      <c r="AA318" s="280">
        <f>IF(OR(J314=0, J314+100%), 0, 1)</f>
        <v>0</v>
      </c>
    </row>
    <row r="319" spans="2:28">
      <c r="B319" s="1297" t="s">
        <v>802</v>
      </c>
      <c r="C319" s="1298"/>
      <c r="D319" s="1298"/>
      <c r="E319" s="1298"/>
      <c r="F319" s="1298"/>
      <c r="G319" s="460"/>
      <c r="H319" s="416"/>
      <c r="I319" s="460"/>
      <c r="J319" s="417"/>
      <c r="K319" s="280"/>
      <c r="L319" s="424"/>
      <c r="M319" s="424"/>
      <c r="N319" s="424"/>
      <c r="O319" s="424"/>
      <c r="P319" s="424"/>
      <c r="Q319" s="424"/>
      <c r="R319" s="424"/>
      <c r="S319" s="424"/>
      <c r="T319" s="424"/>
      <c r="U319" s="304"/>
      <c r="V319" s="304"/>
      <c r="X319" s="304"/>
      <c r="Z319" s="451" t="s">
        <v>803</v>
      </c>
      <c r="AA319" s="362">
        <f>G335/12</f>
        <v>0</v>
      </c>
    </row>
    <row r="320" spans="2:28">
      <c r="B320" s="1387" t="s">
        <v>804</v>
      </c>
      <c r="C320" s="1388"/>
      <c r="D320" s="1388"/>
      <c r="E320" s="1388"/>
      <c r="F320" s="1389"/>
      <c r="G320" s="461"/>
      <c r="H320" s="419">
        <f>(G320*H314)*-1</f>
        <v>0</v>
      </c>
      <c r="I320" s="461"/>
      <c r="J320" s="420">
        <f>(I320*J314)*-1</f>
        <v>0</v>
      </c>
      <c r="K320" s="280"/>
      <c r="L320" s="424"/>
      <c r="M320" s="424"/>
      <c r="N320" s="424"/>
      <c r="O320" s="424"/>
      <c r="P320" s="424"/>
      <c r="Q320" s="424"/>
      <c r="R320" s="424"/>
      <c r="S320" s="424"/>
      <c r="T320" s="424"/>
      <c r="U320" s="304"/>
      <c r="V320" s="304"/>
      <c r="X320" s="304"/>
      <c r="Z320" s="451" t="s">
        <v>805</v>
      </c>
      <c r="AA320" s="362">
        <f>(G335+I335)/24</f>
        <v>0</v>
      </c>
    </row>
    <row r="321" spans="2:27">
      <c r="B321" s="1390" t="s">
        <v>806</v>
      </c>
      <c r="C321" s="1391"/>
      <c r="D321" s="1391"/>
      <c r="E321" s="1391"/>
      <c r="F321" s="1392"/>
      <c r="G321" s="461"/>
      <c r="H321" s="419">
        <f>(G321*H314)*-1</f>
        <v>0</v>
      </c>
      <c r="I321" s="461"/>
      <c r="J321" s="420">
        <f>(I321*J314)*-1</f>
        <v>0</v>
      </c>
      <c r="K321" s="280"/>
      <c r="L321" s="424"/>
      <c r="M321" s="424"/>
      <c r="N321" s="424"/>
      <c r="O321" s="424"/>
      <c r="P321" s="424"/>
      <c r="Q321" s="424"/>
      <c r="R321" s="424"/>
      <c r="S321" s="424"/>
      <c r="T321" s="424"/>
      <c r="U321" s="304"/>
      <c r="V321" s="304"/>
      <c r="X321" s="304"/>
      <c r="Z321" s="451"/>
    </row>
    <row r="322" spans="2:27">
      <c r="B322" s="1302" t="s">
        <v>807</v>
      </c>
      <c r="C322" s="1303"/>
      <c r="D322" s="1303"/>
      <c r="E322" s="1303"/>
      <c r="F322" s="1304"/>
      <c r="G322" s="461"/>
      <c r="H322" s="419">
        <f>(G322*H314)*-1</f>
        <v>0</v>
      </c>
      <c r="I322" s="461"/>
      <c r="J322" s="420">
        <f>(I322*J314)*-1</f>
        <v>0</v>
      </c>
      <c r="K322" s="280"/>
      <c r="L322" s="424"/>
      <c r="M322" s="424"/>
      <c r="N322" s="424"/>
      <c r="O322" s="424"/>
      <c r="P322" s="424"/>
      <c r="Q322" s="424"/>
      <c r="R322" s="424"/>
      <c r="S322" s="424"/>
      <c r="T322" s="424"/>
      <c r="U322" s="304"/>
      <c r="V322" s="304"/>
      <c r="X322" s="304"/>
      <c r="Z322" s="451" t="s">
        <v>808</v>
      </c>
      <c r="AA322" s="280">
        <f>IF(AND(J316=0, J318=0, J320=0, J321=0, J322=0, J324=0, J325=0, J326=0, J327=0, J329=0, J330=0, J331=0, J332=0, J334=0, I335=0), 0, 1)</f>
        <v>1</v>
      </c>
    </row>
    <row r="323" spans="2:27">
      <c r="B323" s="1229" t="s">
        <v>809</v>
      </c>
      <c r="C323" s="1230"/>
      <c r="D323" s="1230"/>
      <c r="E323" s="1230"/>
      <c r="F323" s="1230"/>
      <c r="G323" s="350"/>
      <c r="H323" s="351"/>
      <c r="I323" s="350"/>
      <c r="J323" s="352"/>
      <c r="K323" s="280"/>
      <c r="L323" s="424"/>
      <c r="M323" s="424"/>
      <c r="N323" s="424"/>
      <c r="O323" s="424"/>
      <c r="P323" s="424"/>
      <c r="Q323" s="424"/>
      <c r="R323" s="424"/>
      <c r="S323" s="424"/>
      <c r="T323" s="424"/>
      <c r="U323" s="304"/>
      <c r="V323" s="304"/>
      <c r="X323" s="304"/>
      <c r="Z323" s="451" t="s">
        <v>810</v>
      </c>
      <c r="AA323" s="280">
        <f>IF(AND(G335&lt;=I335, I335&lt;&gt;0), 0, 1)</f>
        <v>1</v>
      </c>
    </row>
    <row r="324" spans="2:27">
      <c r="B324" s="1243" t="s">
        <v>811</v>
      </c>
      <c r="C324" s="1244"/>
      <c r="D324" s="1244"/>
      <c r="E324" s="1244"/>
      <c r="F324" s="1245"/>
      <c r="G324" s="346"/>
      <c r="H324" s="384">
        <f>G324*H314</f>
        <v>0</v>
      </c>
      <c r="I324" s="346"/>
      <c r="J324" s="385">
        <f>I324*J314</f>
        <v>0</v>
      </c>
      <c r="K324" s="280"/>
      <c r="L324" s="424"/>
      <c r="M324" s="424"/>
      <c r="N324" s="424"/>
      <c r="O324" s="424"/>
      <c r="P324" s="424"/>
      <c r="Q324" s="424"/>
      <c r="R324" s="424"/>
      <c r="S324" s="424"/>
      <c r="T324" s="424"/>
      <c r="U324" s="304"/>
      <c r="V324" s="304"/>
      <c r="X324" s="304"/>
      <c r="Z324" s="451" t="s">
        <v>812</v>
      </c>
      <c r="AA324" s="280">
        <f>IF(AND(AA323=0, AA322=1), 0, 1)</f>
        <v>1</v>
      </c>
    </row>
    <row r="325" spans="2:27">
      <c r="B325" s="1381" t="s">
        <v>813</v>
      </c>
      <c r="C325" s="1224"/>
      <c r="D325" s="1224"/>
      <c r="E325" s="1224"/>
      <c r="F325" s="1225"/>
      <c r="G325" s="346"/>
      <c r="H325" s="384">
        <f>G325*H314</f>
        <v>0</v>
      </c>
      <c r="I325" s="346"/>
      <c r="J325" s="385">
        <f>I325*J314</f>
        <v>0</v>
      </c>
      <c r="K325" s="280"/>
      <c r="L325" s="424"/>
      <c r="M325" s="424"/>
      <c r="N325" s="424"/>
      <c r="O325" s="424"/>
      <c r="P325" s="424"/>
      <c r="Q325" s="424"/>
      <c r="R325" s="424"/>
      <c r="S325" s="424"/>
      <c r="T325" s="424"/>
      <c r="U325" s="304"/>
      <c r="X325" s="304"/>
    </row>
    <row r="326" spans="2:27">
      <c r="B326" s="1223" t="s">
        <v>814</v>
      </c>
      <c r="C326" s="1224"/>
      <c r="D326" s="1224"/>
      <c r="E326" s="1224"/>
      <c r="F326" s="1225"/>
      <c r="G326" s="346"/>
      <c r="H326" s="384">
        <f>G326*H314</f>
        <v>0</v>
      </c>
      <c r="I326" s="346"/>
      <c r="J326" s="385">
        <f>I326*J314</f>
        <v>0</v>
      </c>
      <c r="K326" s="280"/>
      <c r="L326" s="424"/>
      <c r="M326" s="424"/>
      <c r="N326" s="424"/>
      <c r="O326" s="424"/>
      <c r="P326" s="424"/>
      <c r="Q326" s="424"/>
      <c r="R326" s="424"/>
      <c r="S326" s="424"/>
      <c r="T326" s="424"/>
      <c r="U326" s="304"/>
      <c r="X326" s="304"/>
      <c r="AA326" s="349" t="s">
        <v>596</v>
      </c>
    </row>
    <row r="327" spans="2:27">
      <c r="B327" s="1226" t="s">
        <v>825</v>
      </c>
      <c r="C327" s="1227"/>
      <c r="D327" s="1227"/>
      <c r="E327" s="1227"/>
      <c r="F327" s="1228"/>
      <c r="G327" s="346"/>
      <c r="H327" s="384">
        <f>G327*H314</f>
        <v>0</v>
      </c>
      <c r="I327" s="346"/>
      <c r="J327" s="385">
        <f>I327*J314</f>
        <v>0</v>
      </c>
      <c r="K327" s="280"/>
      <c r="L327" s="424"/>
      <c r="M327" s="424"/>
      <c r="N327" s="424"/>
      <c r="O327" s="424"/>
      <c r="P327" s="424"/>
      <c r="Q327" s="424"/>
      <c r="R327" s="424"/>
      <c r="S327" s="424"/>
      <c r="T327" s="424"/>
      <c r="U327" s="304"/>
      <c r="X327" s="304"/>
      <c r="Z327" s="462"/>
      <c r="AA327" s="349" t="s">
        <v>683</v>
      </c>
    </row>
    <row r="328" spans="2:27">
      <c r="B328" s="1229" t="s">
        <v>816</v>
      </c>
      <c r="C328" s="1230"/>
      <c r="D328" s="1230"/>
      <c r="E328" s="1230"/>
      <c r="F328" s="1230"/>
      <c r="G328" s="351"/>
      <c r="H328" s="351"/>
      <c r="I328" s="351"/>
      <c r="J328" s="352"/>
      <c r="K328" s="280"/>
      <c r="L328" s="424"/>
      <c r="M328" s="424"/>
      <c r="N328" s="424"/>
      <c r="O328" s="424"/>
      <c r="P328" s="424"/>
      <c r="Q328" s="424"/>
      <c r="R328" s="424"/>
      <c r="S328" s="424"/>
      <c r="T328" s="424"/>
      <c r="U328" s="304"/>
      <c r="X328" s="304"/>
      <c r="AA328" s="349" t="s">
        <v>599</v>
      </c>
    </row>
    <row r="329" spans="2:27">
      <c r="B329" s="1231" t="s">
        <v>817</v>
      </c>
      <c r="C329" s="1382"/>
      <c r="D329" s="1382"/>
      <c r="E329" s="1382"/>
      <c r="F329" s="1383"/>
      <c r="G329" s="346"/>
      <c r="H329" s="359">
        <f>(G329*H314)*-1</f>
        <v>0</v>
      </c>
      <c r="I329" s="346"/>
      <c r="J329" s="400">
        <f>(I329*J314)*-1</f>
        <v>0</v>
      </c>
      <c r="K329" s="280"/>
      <c r="L329" s="424"/>
      <c r="M329" s="424"/>
      <c r="N329" s="424"/>
      <c r="O329" s="424"/>
      <c r="P329" s="424"/>
      <c r="Q329" s="424"/>
      <c r="R329" s="424"/>
      <c r="S329" s="424"/>
      <c r="T329" s="424"/>
      <c r="U329" s="304"/>
      <c r="X329" s="304"/>
      <c r="AA329" s="349" t="s">
        <v>603</v>
      </c>
    </row>
    <row r="330" spans="2:27" ht="28.5" customHeight="1">
      <c r="B330" s="1369" t="s">
        <v>818</v>
      </c>
      <c r="C330" s="1370"/>
      <c r="D330" s="1370"/>
      <c r="E330" s="1370"/>
      <c r="F330" s="1371"/>
      <c r="G330" s="346"/>
      <c r="H330" s="359">
        <f>G330*H314*-1</f>
        <v>0</v>
      </c>
      <c r="I330" s="346"/>
      <c r="J330" s="400">
        <f>(I330*J314)*-1</f>
        <v>0</v>
      </c>
      <c r="K330" s="280"/>
      <c r="L330" s="424"/>
      <c r="M330" s="424"/>
      <c r="N330" s="424"/>
      <c r="O330" s="424"/>
      <c r="P330" s="424"/>
      <c r="Q330" s="424"/>
      <c r="R330" s="424"/>
      <c r="S330" s="424"/>
      <c r="T330" s="424"/>
      <c r="U330" s="304"/>
      <c r="X330" s="304"/>
      <c r="AA330" s="349" t="s">
        <v>605</v>
      </c>
    </row>
    <row r="331" spans="2:27">
      <c r="B331" s="1372" t="s">
        <v>819</v>
      </c>
      <c r="C331" s="1373"/>
      <c r="D331" s="1373"/>
      <c r="E331" s="1373"/>
      <c r="F331" s="1374"/>
      <c r="G331" s="346"/>
      <c r="H331" s="359">
        <f>G331*H314*-1</f>
        <v>0</v>
      </c>
      <c r="I331" s="346"/>
      <c r="J331" s="400">
        <f>I331*J314*-1</f>
        <v>0</v>
      </c>
      <c r="K331" s="280"/>
      <c r="L331" s="424"/>
      <c r="M331" s="424"/>
      <c r="N331" s="424"/>
      <c r="O331" s="424"/>
      <c r="P331" s="424"/>
      <c r="Q331" s="424"/>
      <c r="R331" s="424"/>
      <c r="S331" s="424"/>
      <c r="T331" s="424"/>
      <c r="U331" s="304"/>
    </row>
    <row r="332" spans="2:27">
      <c r="B332" s="1375" t="s">
        <v>820</v>
      </c>
      <c r="C332" s="1376"/>
      <c r="D332" s="1376"/>
      <c r="E332" s="1376"/>
      <c r="F332" s="1377"/>
      <c r="G332" s="346"/>
      <c r="H332" s="359">
        <f>G332*H314*-1</f>
        <v>0</v>
      </c>
      <c r="I332" s="346"/>
      <c r="J332" s="359">
        <f>I332*J314*-1</f>
        <v>0</v>
      </c>
      <c r="K332" s="280"/>
      <c r="L332" s="424"/>
      <c r="M332" s="424"/>
      <c r="N332" s="424"/>
      <c r="O332" s="424"/>
      <c r="P332" s="424"/>
      <c r="Q332" s="424"/>
      <c r="R332" s="424"/>
      <c r="S332" s="424"/>
      <c r="T332" s="424"/>
      <c r="U332" s="304"/>
    </row>
    <row r="333" spans="2:27" ht="15" customHeight="1">
      <c r="B333" s="1378" t="s">
        <v>735</v>
      </c>
      <c r="C333" s="1379"/>
      <c r="D333" s="1379"/>
      <c r="E333" s="1379"/>
      <c r="F333" s="1379"/>
      <c r="G333" s="350"/>
      <c r="H333" s="389"/>
      <c r="I333" s="350"/>
      <c r="J333" s="390"/>
      <c r="K333" s="280"/>
      <c r="L333" s="424"/>
      <c r="M333" s="424"/>
      <c r="N333" s="424"/>
      <c r="O333" s="424"/>
      <c r="P333" s="424"/>
      <c r="Q333" s="424"/>
      <c r="R333" s="424"/>
      <c r="S333" s="424"/>
      <c r="T333" s="424"/>
      <c r="U333" s="304"/>
    </row>
    <row r="334" spans="2:27">
      <c r="B334" s="1380" t="s">
        <v>821</v>
      </c>
      <c r="C334" s="1370"/>
      <c r="D334" s="1370"/>
      <c r="E334" s="1370"/>
      <c r="F334" s="1371"/>
      <c r="G334" s="346"/>
      <c r="H334" s="359">
        <f>(G334*H314)</f>
        <v>0</v>
      </c>
      <c r="I334" s="346"/>
      <c r="J334" s="400">
        <f>(I334*J314)</f>
        <v>0</v>
      </c>
      <c r="K334" s="280"/>
      <c r="L334" s="424"/>
      <c r="M334" s="424"/>
      <c r="N334" s="424"/>
      <c r="O334" s="424"/>
      <c r="P334" s="424"/>
      <c r="Q334" s="424"/>
      <c r="R334" s="424"/>
      <c r="S334" s="424"/>
      <c r="T334" s="424"/>
      <c r="U334" s="304"/>
    </row>
    <row r="335" spans="2:27">
      <c r="B335" s="1158" t="s">
        <v>822</v>
      </c>
      <c r="C335" s="1159"/>
      <c r="D335" s="1159"/>
      <c r="E335" s="1159"/>
      <c r="F335" s="1160"/>
      <c r="G335" s="1359">
        <f>SUM(H316:H334)</f>
        <v>0</v>
      </c>
      <c r="H335" s="1360"/>
      <c r="I335" s="1361">
        <f>SUM(J316:J334)</f>
        <v>0</v>
      </c>
      <c r="J335" s="1362"/>
      <c r="K335" s="280"/>
      <c r="L335" s="424"/>
      <c r="M335" s="424"/>
      <c r="N335" s="424"/>
      <c r="O335" s="424"/>
      <c r="P335" s="424"/>
      <c r="Q335" s="424"/>
      <c r="R335" s="424"/>
      <c r="S335" s="424"/>
      <c r="T335" s="424"/>
      <c r="U335" s="304"/>
    </row>
    <row r="336" spans="2:27" ht="18.75">
      <c r="B336" s="1363" t="s">
        <v>823</v>
      </c>
      <c r="C336" s="1364"/>
      <c r="D336" s="1364"/>
      <c r="E336" s="1364"/>
      <c r="F336" s="1365"/>
      <c r="G336" s="1161" t="str">
        <f>IF(OR(AA324=0, I335=0), "12 Month Average", "24 Month Average")</f>
        <v>12 Month Average</v>
      </c>
      <c r="H336" s="1162"/>
      <c r="I336" s="1162"/>
      <c r="J336" s="1163"/>
      <c r="K336" s="280"/>
      <c r="L336" s="424"/>
      <c r="M336" s="424"/>
      <c r="N336" s="424"/>
      <c r="O336" s="424"/>
      <c r="P336" s="424"/>
      <c r="Q336" s="424"/>
      <c r="R336" s="424"/>
      <c r="S336" s="424"/>
      <c r="T336" s="424"/>
      <c r="U336" s="304"/>
    </row>
    <row r="337" spans="2:28" ht="34.5" thickBot="1">
      <c r="B337" s="1366" t="s">
        <v>824</v>
      </c>
      <c r="C337" s="1367"/>
      <c r="D337" s="1367"/>
      <c r="E337" s="1367"/>
      <c r="F337" s="1368"/>
      <c r="G337" s="1167">
        <f>IF(OR(AA324=0, I335=0), AA319, AA320)</f>
        <v>0</v>
      </c>
      <c r="H337" s="1168"/>
      <c r="I337" s="1168"/>
      <c r="J337" s="1169"/>
      <c r="L337" s="424"/>
      <c r="M337" s="424"/>
      <c r="N337" s="424"/>
      <c r="O337" s="424"/>
      <c r="P337" s="424"/>
      <c r="Q337" s="424"/>
      <c r="R337" s="424"/>
      <c r="S337" s="424"/>
      <c r="T337" s="424"/>
      <c r="U337" s="304"/>
    </row>
    <row r="338" spans="2:28" ht="9" customHeight="1" thickBot="1">
      <c r="H338" s="330"/>
      <c r="I338" s="330"/>
      <c r="L338" s="424"/>
      <c r="M338" s="424"/>
      <c r="N338" s="424"/>
      <c r="O338" s="424"/>
      <c r="P338" s="424"/>
      <c r="Q338" s="424"/>
      <c r="R338" s="424"/>
      <c r="S338" s="424"/>
      <c r="T338" s="424"/>
      <c r="U338" s="304"/>
    </row>
    <row r="339" spans="2:28" ht="135" customHeight="1" thickBot="1">
      <c r="B339" s="1148" t="s">
        <v>761</v>
      </c>
      <c r="C339" s="1285"/>
      <c r="D339" s="1285"/>
      <c r="E339" s="1285"/>
      <c r="F339" s="1285"/>
      <c r="G339" s="1285"/>
      <c r="H339" s="1285"/>
      <c r="I339" s="1285"/>
      <c r="J339" s="1286"/>
      <c r="L339" s="424"/>
      <c r="M339" s="424"/>
      <c r="N339" s="424"/>
      <c r="O339" s="424"/>
      <c r="P339" s="424"/>
      <c r="Q339" s="424"/>
      <c r="R339" s="424"/>
      <c r="S339" s="424"/>
      <c r="T339" s="424"/>
      <c r="U339" s="304"/>
    </row>
    <row r="340" spans="2:28" ht="9" customHeight="1">
      <c r="B340" s="304"/>
      <c r="C340" s="304"/>
      <c r="D340" s="304"/>
      <c r="E340" s="304"/>
      <c r="F340" s="304"/>
      <c r="G340" s="304"/>
      <c r="H340" s="304"/>
      <c r="I340" s="304"/>
      <c r="L340" s="304"/>
      <c r="M340" s="304"/>
      <c r="N340" s="304"/>
      <c r="O340" s="304"/>
      <c r="P340" s="304"/>
      <c r="Q340" s="304"/>
      <c r="R340" s="304"/>
      <c r="S340" s="304"/>
      <c r="T340" s="304"/>
      <c r="U340" s="304"/>
    </row>
    <row r="341" spans="2:28" ht="13.5" customHeight="1" thickBot="1"/>
    <row r="342" spans="2:28" ht="82.5" customHeight="1">
      <c r="B342" s="1187" t="s">
        <v>791</v>
      </c>
      <c r="C342" s="1188"/>
      <c r="D342" s="1188"/>
      <c r="E342" s="1188"/>
      <c r="F342" s="1188"/>
      <c r="G342" s="1188"/>
      <c r="H342" s="1188"/>
      <c r="I342" s="1188"/>
      <c r="J342" s="331" t="str">
        <f>'[3]Reference Sheet'!$B$2</f>
        <v>Rev. 4.12.2016</v>
      </c>
      <c r="L342" s="424"/>
      <c r="M342" s="424"/>
      <c r="N342" s="424"/>
      <c r="O342" s="424"/>
      <c r="P342" s="424"/>
      <c r="Q342" s="424"/>
      <c r="R342" s="424"/>
      <c r="S342" s="424"/>
      <c r="T342" s="424"/>
      <c r="U342" s="304"/>
    </row>
    <row r="343" spans="2:28" ht="17.25" customHeight="1" thickBot="1">
      <c r="B343" s="332"/>
      <c r="C343" s="368" t="s">
        <v>710</v>
      </c>
      <c r="D343" s="1400"/>
      <c r="E343" s="1401"/>
      <c r="F343" s="1401"/>
      <c r="G343" s="1401"/>
      <c r="H343" s="333"/>
      <c r="I343" s="333"/>
      <c r="J343" s="334"/>
      <c r="L343" s="424"/>
      <c r="M343" s="424"/>
      <c r="N343" s="424"/>
      <c r="O343" s="424"/>
      <c r="P343" s="424"/>
      <c r="Q343" s="424"/>
      <c r="R343" s="424"/>
      <c r="S343" s="424"/>
      <c r="T343" s="424"/>
      <c r="U343" s="304"/>
      <c r="X343" s="304"/>
      <c r="Z343" s="451" t="s">
        <v>717</v>
      </c>
      <c r="AA343" s="451" t="str">
        <f>IF(OR(H348=0, H348&gt;100%), "Shareholder %", G352*H348)</f>
        <v>Shareholder %</v>
      </c>
    </row>
    <row r="344" spans="2:28" ht="17.25" customHeight="1" thickBot="1">
      <c r="B344" s="332"/>
      <c r="C344" s="368" t="s">
        <v>711</v>
      </c>
      <c r="D344" s="1402"/>
      <c r="E344" s="1403"/>
      <c r="F344" s="1403"/>
      <c r="G344" s="1403"/>
      <c r="H344" s="368" t="s">
        <v>712</v>
      </c>
      <c r="I344" s="1400"/>
      <c r="J344" s="1404"/>
      <c r="L344" s="424"/>
      <c r="M344" s="424"/>
      <c r="N344" s="424"/>
      <c r="O344" s="424"/>
      <c r="P344" s="424"/>
      <c r="Q344" s="424"/>
      <c r="R344" s="424"/>
      <c r="S344" s="424"/>
      <c r="T344" s="424"/>
      <c r="U344" s="304"/>
      <c r="X344" s="304"/>
      <c r="Z344" s="451" t="s">
        <v>720</v>
      </c>
      <c r="AA344" s="451" t="str">
        <f>IF(OR(J348&gt;100%, J348=0), "Shareholder %", I352*J348)</f>
        <v>Shareholder %</v>
      </c>
    </row>
    <row r="345" spans="2:28" s="404" customFormat="1" ht="16.5" thickBot="1">
      <c r="B345" s="1393" t="s">
        <v>671</v>
      </c>
      <c r="C345" s="1394"/>
      <c r="D345" s="1405"/>
      <c r="E345" s="1406"/>
      <c r="F345" s="1406"/>
      <c r="G345" s="1406"/>
      <c r="H345" s="452" t="s">
        <v>673</v>
      </c>
      <c r="I345" s="1407"/>
      <c r="J345" s="1408"/>
      <c r="L345" s="424"/>
      <c r="M345" s="424"/>
      <c r="N345" s="424"/>
      <c r="O345" s="424"/>
      <c r="P345" s="424"/>
      <c r="Q345" s="424"/>
      <c r="R345" s="424"/>
      <c r="S345" s="424"/>
      <c r="T345" s="424"/>
      <c r="U345" s="367"/>
      <c r="X345" s="304"/>
      <c r="Y345" s="280"/>
      <c r="Z345" s="451"/>
      <c r="AA345" s="451"/>
      <c r="AB345" s="405"/>
    </row>
    <row r="346" spans="2:28" s="404" customFormat="1" ht="16.5" thickBot="1">
      <c r="B346" s="1393" t="s">
        <v>674</v>
      </c>
      <c r="C346" s="1394"/>
      <c r="D346" s="1395"/>
      <c r="E346" s="1396"/>
      <c r="F346" s="1396"/>
      <c r="G346" s="1396"/>
      <c r="H346" s="1396"/>
      <c r="I346" s="1396"/>
      <c r="J346" s="1397"/>
      <c r="K346" s="405"/>
      <c r="L346" s="424"/>
      <c r="M346" s="424"/>
      <c r="N346" s="424"/>
      <c r="O346" s="424"/>
      <c r="P346" s="424"/>
      <c r="Q346" s="424"/>
      <c r="R346" s="424"/>
      <c r="S346" s="424"/>
      <c r="T346" s="424"/>
      <c r="U346" s="367"/>
      <c r="X346" s="304"/>
      <c r="Y346" s="280"/>
      <c r="Z346" s="451" t="s">
        <v>793</v>
      </c>
      <c r="AA346" s="349" t="str">
        <f>IF(OR(H348=0, H348&gt;100%),"Enter Shareholder %",$J$40)</f>
        <v>Enter Shareholder %</v>
      </c>
      <c r="AB346" s="405"/>
    </row>
    <row r="347" spans="2:28">
      <c r="B347" s="1265"/>
      <c r="C347" s="1266"/>
      <c r="D347" s="1266"/>
      <c r="E347" s="1266"/>
      <c r="F347" s="1267"/>
      <c r="G347" s="453" t="s">
        <v>713</v>
      </c>
      <c r="H347" s="454" t="s">
        <v>676</v>
      </c>
      <c r="I347" s="342"/>
      <c r="J347" s="373" t="s">
        <v>677</v>
      </c>
      <c r="K347" s="280"/>
      <c r="L347" s="424"/>
      <c r="M347" s="424"/>
      <c r="N347" s="424"/>
      <c r="O347" s="424"/>
      <c r="P347" s="424"/>
      <c r="Q347" s="424"/>
      <c r="R347" s="424"/>
      <c r="S347" s="424"/>
      <c r="T347" s="424"/>
      <c r="U347" s="304"/>
      <c r="V347" s="304"/>
      <c r="X347" s="304"/>
      <c r="Z347" s="451" t="s">
        <v>794</v>
      </c>
      <c r="AA347" s="349" t="str">
        <f>IF(OR(J348=0, J348&gt;100%),"Enter Shareholder %",$J$41)</f>
        <v>Enter Shareholder %</v>
      </c>
    </row>
    <row r="348" spans="2:28" ht="15.75" thickBot="1">
      <c r="B348" s="1269"/>
      <c r="C348" s="1270"/>
      <c r="D348" s="1270"/>
      <c r="E348" s="1270"/>
      <c r="F348" s="1271"/>
      <c r="G348" s="408" t="s">
        <v>795</v>
      </c>
      <c r="H348" s="376"/>
      <c r="I348" s="377"/>
      <c r="J348" s="378"/>
      <c r="K348" s="280"/>
      <c r="L348" s="424"/>
      <c r="M348" s="424"/>
      <c r="N348" s="424"/>
      <c r="O348" s="424"/>
      <c r="P348" s="424"/>
      <c r="Q348" s="424"/>
      <c r="R348" s="424"/>
      <c r="S348" s="424"/>
      <c r="T348" s="424"/>
      <c r="U348" s="304"/>
      <c r="V348" s="304"/>
      <c r="X348" s="304"/>
      <c r="Z348" s="451" t="s">
        <v>796</v>
      </c>
      <c r="AA348" s="349">
        <f>SUM(H352:H368)</f>
        <v>0</v>
      </c>
    </row>
    <row r="349" spans="2:28">
      <c r="B349" s="1229" t="s">
        <v>744</v>
      </c>
      <c r="C349" s="1273"/>
      <c r="D349" s="1273"/>
      <c r="E349" s="1273"/>
      <c r="F349" s="1273"/>
      <c r="G349" s="455" t="s">
        <v>719</v>
      </c>
      <c r="H349" s="413"/>
      <c r="I349" s="456" t="s">
        <v>719</v>
      </c>
      <c r="J349" s="415"/>
      <c r="K349" s="280"/>
      <c r="L349" s="424"/>
      <c r="M349" s="424"/>
      <c r="N349" s="424"/>
      <c r="O349" s="424"/>
      <c r="P349" s="424"/>
      <c r="Q349" s="424"/>
      <c r="R349" s="424"/>
      <c r="S349" s="424"/>
      <c r="T349" s="424"/>
      <c r="U349" s="304"/>
      <c r="V349" s="304"/>
      <c r="X349" s="304"/>
      <c r="Z349" s="451" t="s">
        <v>797</v>
      </c>
      <c r="AA349" s="362">
        <f>SUM(J352:J368)</f>
        <v>0</v>
      </c>
    </row>
    <row r="350" spans="2:28">
      <c r="B350" s="1384" t="s">
        <v>798</v>
      </c>
      <c r="C350" s="1385"/>
      <c r="D350" s="1385"/>
      <c r="E350" s="1385"/>
      <c r="F350" s="1386"/>
      <c r="G350" s="457"/>
      <c r="H350" s="458">
        <f>G350</f>
        <v>0</v>
      </c>
      <c r="I350" s="457"/>
      <c r="J350" s="400">
        <f>I350</f>
        <v>0</v>
      </c>
      <c r="K350" s="280"/>
      <c r="L350" s="424"/>
      <c r="M350" s="424"/>
      <c r="N350" s="424"/>
      <c r="O350" s="424"/>
      <c r="P350" s="424"/>
      <c r="Q350" s="424"/>
      <c r="R350" s="424"/>
      <c r="S350" s="424"/>
      <c r="T350" s="424"/>
      <c r="U350" s="304"/>
      <c r="V350" s="304"/>
      <c r="X350" s="304"/>
    </row>
    <row r="351" spans="2:28">
      <c r="B351" s="1398">
        <v>1120</v>
      </c>
      <c r="C351" s="1399"/>
      <c r="D351" s="1399"/>
      <c r="E351" s="1399"/>
      <c r="F351" s="1399"/>
      <c r="G351" s="350"/>
      <c r="H351" s="389"/>
      <c r="I351" s="350"/>
      <c r="J351" s="390"/>
      <c r="K351" s="280"/>
      <c r="L351" s="424"/>
      <c r="M351" s="424"/>
      <c r="N351" s="424"/>
      <c r="O351" s="424"/>
      <c r="P351" s="424"/>
      <c r="Q351" s="424"/>
      <c r="R351" s="424"/>
      <c r="S351" s="424"/>
      <c r="T351" s="424"/>
      <c r="U351" s="304"/>
      <c r="V351" s="304"/>
      <c r="X351" s="304"/>
      <c r="Z351" s="451" t="s">
        <v>799</v>
      </c>
      <c r="AA351" s="280">
        <f>IF(OR(H348=0, H348=10%), 0, 1)</f>
        <v>0</v>
      </c>
    </row>
    <row r="352" spans="2:28">
      <c r="B352" s="1384" t="s">
        <v>800</v>
      </c>
      <c r="C352" s="1385"/>
      <c r="D352" s="1385"/>
      <c r="E352" s="1385"/>
      <c r="F352" s="1386"/>
      <c r="G352" s="459"/>
      <c r="H352" s="387" t="str">
        <f>AA343</f>
        <v>Shareholder %</v>
      </c>
      <c r="I352" s="346"/>
      <c r="J352" s="388" t="str">
        <f>AA344</f>
        <v>Shareholder %</v>
      </c>
      <c r="K352" s="280"/>
      <c r="L352" s="424"/>
      <c r="M352" s="424"/>
      <c r="N352" s="424"/>
      <c r="O352" s="424"/>
      <c r="P352" s="424"/>
      <c r="Q352" s="424"/>
      <c r="R352" s="424"/>
      <c r="S352" s="424"/>
      <c r="T352" s="424"/>
      <c r="U352" s="304"/>
      <c r="V352" s="304"/>
      <c r="X352" s="304"/>
      <c r="Z352" s="451" t="s">
        <v>801</v>
      </c>
      <c r="AA352" s="280">
        <f>IF(OR(J348=0, J348+100%), 0, 1)</f>
        <v>0</v>
      </c>
    </row>
    <row r="353" spans="2:27">
      <c r="B353" s="1297" t="s">
        <v>802</v>
      </c>
      <c r="C353" s="1298"/>
      <c r="D353" s="1298"/>
      <c r="E353" s="1298"/>
      <c r="F353" s="1298"/>
      <c r="G353" s="460"/>
      <c r="H353" s="416"/>
      <c r="I353" s="460"/>
      <c r="J353" s="417"/>
      <c r="K353" s="280"/>
      <c r="L353" s="424"/>
      <c r="M353" s="424"/>
      <c r="N353" s="424"/>
      <c r="O353" s="424"/>
      <c r="P353" s="424"/>
      <c r="Q353" s="424"/>
      <c r="R353" s="424"/>
      <c r="S353" s="424"/>
      <c r="T353" s="424"/>
      <c r="U353" s="304"/>
      <c r="V353" s="304"/>
      <c r="X353" s="304"/>
      <c r="Z353" s="451" t="s">
        <v>803</v>
      </c>
      <c r="AA353" s="362">
        <f>G369/12</f>
        <v>0</v>
      </c>
    </row>
    <row r="354" spans="2:27">
      <c r="B354" s="1387" t="s">
        <v>804</v>
      </c>
      <c r="C354" s="1388"/>
      <c r="D354" s="1388"/>
      <c r="E354" s="1388"/>
      <c r="F354" s="1389"/>
      <c r="G354" s="461"/>
      <c r="H354" s="419">
        <f>(G354*H348)*-1</f>
        <v>0</v>
      </c>
      <c r="I354" s="461"/>
      <c r="J354" s="420">
        <f>(I354*J348)*-1</f>
        <v>0</v>
      </c>
      <c r="K354" s="280"/>
      <c r="L354" s="424"/>
      <c r="M354" s="424"/>
      <c r="N354" s="424"/>
      <c r="O354" s="424"/>
      <c r="P354" s="424"/>
      <c r="Q354" s="424"/>
      <c r="R354" s="424"/>
      <c r="S354" s="424"/>
      <c r="T354" s="424"/>
      <c r="U354" s="304"/>
      <c r="V354" s="304"/>
      <c r="X354" s="304"/>
      <c r="Z354" s="451" t="s">
        <v>805</v>
      </c>
      <c r="AA354" s="362">
        <f>(G369+I369)/24</f>
        <v>0</v>
      </c>
    </row>
    <row r="355" spans="2:27">
      <c r="B355" s="1390" t="s">
        <v>806</v>
      </c>
      <c r="C355" s="1391"/>
      <c r="D355" s="1391"/>
      <c r="E355" s="1391"/>
      <c r="F355" s="1392"/>
      <c r="G355" s="461"/>
      <c r="H355" s="419">
        <f>(G355*H348)*-1</f>
        <v>0</v>
      </c>
      <c r="I355" s="461"/>
      <c r="J355" s="420">
        <f>(I355*J348)*-1</f>
        <v>0</v>
      </c>
      <c r="K355" s="280"/>
      <c r="L355" s="424"/>
      <c r="M355" s="424"/>
      <c r="N355" s="424"/>
      <c r="O355" s="424"/>
      <c r="P355" s="424"/>
      <c r="Q355" s="424"/>
      <c r="R355" s="424"/>
      <c r="S355" s="424"/>
      <c r="T355" s="424"/>
      <c r="U355" s="304"/>
      <c r="V355" s="304"/>
      <c r="X355" s="304"/>
      <c r="Z355" s="451"/>
    </row>
    <row r="356" spans="2:27">
      <c r="B356" s="1302" t="s">
        <v>807</v>
      </c>
      <c r="C356" s="1303"/>
      <c r="D356" s="1303"/>
      <c r="E356" s="1303"/>
      <c r="F356" s="1304"/>
      <c r="G356" s="461"/>
      <c r="H356" s="419">
        <f>(G356*H348)*-1</f>
        <v>0</v>
      </c>
      <c r="I356" s="461"/>
      <c r="J356" s="420">
        <f>(I356*J348)*-1</f>
        <v>0</v>
      </c>
      <c r="K356" s="280"/>
      <c r="L356" s="424"/>
      <c r="M356" s="424"/>
      <c r="N356" s="424"/>
      <c r="O356" s="424"/>
      <c r="P356" s="424"/>
      <c r="Q356" s="424"/>
      <c r="R356" s="424"/>
      <c r="S356" s="424"/>
      <c r="T356" s="424"/>
      <c r="U356" s="304"/>
      <c r="V356" s="304"/>
      <c r="X356" s="304"/>
      <c r="Z356" s="451" t="s">
        <v>808</v>
      </c>
      <c r="AA356" s="280">
        <f>IF(AND(J350=0, J352=0, J354=0, J355=0, J356=0, J358=0, J359=0, J360=0, J361=0, J363=0, J364=0, J365=0, J366=0, J368=0, I369=0), 0, 1)</f>
        <v>1</v>
      </c>
    </row>
    <row r="357" spans="2:27">
      <c r="B357" s="1229" t="s">
        <v>809</v>
      </c>
      <c r="C357" s="1230"/>
      <c r="D357" s="1230"/>
      <c r="E357" s="1230"/>
      <c r="F357" s="1230"/>
      <c r="G357" s="350"/>
      <c r="H357" s="351"/>
      <c r="I357" s="350"/>
      <c r="J357" s="352"/>
      <c r="K357" s="280"/>
      <c r="L357" s="424"/>
      <c r="M357" s="424"/>
      <c r="N357" s="424"/>
      <c r="O357" s="424"/>
      <c r="P357" s="424"/>
      <c r="Q357" s="424"/>
      <c r="R357" s="424"/>
      <c r="S357" s="424"/>
      <c r="T357" s="424"/>
      <c r="U357" s="304"/>
      <c r="V357" s="304"/>
      <c r="X357" s="304"/>
      <c r="Z357" s="451" t="s">
        <v>810</v>
      </c>
      <c r="AA357" s="280">
        <f>IF(AND(G369&lt;=I369, I369&lt;&gt;0), 0, 1)</f>
        <v>1</v>
      </c>
    </row>
    <row r="358" spans="2:27">
      <c r="B358" s="1243" t="s">
        <v>811</v>
      </c>
      <c r="C358" s="1244"/>
      <c r="D358" s="1244"/>
      <c r="E358" s="1244"/>
      <c r="F358" s="1245"/>
      <c r="G358" s="346"/>
      <c r="H358" s="384">
        <f>G358*H348</f>
        <v>0</v>
      </c>
      <c r="I358" s="346"/>
      <c r="J358" s="385">
        <f>I358*J348</f>
        <v>0</v>
      </c>
      <c r="K358" s="280"/>
      <c r="L358" s="424"/>
      <c r="M358" s="424"/>
      <c r="N358" s="424"/>
      <c r="O358" s="424"/>
      <c r="P358" s="424"/>
      <c r="Q358" s="424"/>
      <c r="R358" s="424"/>
      <c r="S358" s="424"/>
      <c r="T358" s="424"/>
      <c r="U358" s="304"/>
      <c r="V358" s="304"/>
      <c r="X358" s="304"/>
      <c r="Z358" s="451" t="s">
        <v>812</v>
      </c>
      <c r="AA358" s="280">
        <f>IF(AND(AA357=0, AA356=1), 0, 1)</f>
        <v>1</v>
      </c>
    </row>
    <row r="359" spans="2:27">
      <c r="B359" s="1381" t="s">
        <v>813</v>
      </c>
      <c r="C359" s="1224"/>
      <c r="D359" s="1224"/>
      <c r="E359" s="1224"/>
      <c r="F359" s="1225"/>
      <c r="G359" s="346"/>
      <c r="H359" s="384">
        <f>G359*H348</f>
        <v>0</v>
      </c>
      <c r="I359" s="346"/>
      <c r="J359" s="385">
        <f>I359*J348</f>
        <v>0</v>
      </c>
      <c r="K359" s="280"/>
      <c r="L359" s="424"/>
      <c r="M359" s="424"/>
      <c r="N359" s="424"/>
      <c r="O359" s="424"/>
      <c r="P359" s="424"/>
      <c r="Q359" s="424"/>
      <c r="R359" s="424"/>
      <c r="S359" s="424"/>
      <c r="T359" s="424"/>
      <c r="U359" s="304"/>
      <c r="X359" s="304"/>
    </row>
    <row r="360" spans="2:27">
      <c r="B360" s="1223" t="s">
        <v>814</v>
      </c>
      <c r="C360" s="1224"/>
      <c r="D360" s="1224"/>
      <c r="E360" s="1224"/>
      <c r="F360" s="1225"/>
      <c r="G360" s="346"/>
      <c r="H360" s="384">
        <f>G360*H348</f>
        <v>0</v>
      </c>
      <c r="I360" s="346"/>
      <c r="J360" s="385">
        <f>I360*J348</f>
        <v>0</v>
      </c>
      <c r="K360" s="280"/>
      <c r="L360" s="424"/>
      <c r="M360" s="424"/>
      <c r="N360" s="424"/>
      <c r="O360" s="424"/>
      <c r="P360" s="424"/>
      <c r="Q360" s="424"/>
      <c r="R360" s="424"/>
      <c r="S360" s="424"/>
      <c r="T360" s="424"/>
      <c r="U360" s="304"/>
      <c r="X360" s="304"/>
      <c r="AA360" s="349" t="s">
        <v>596</v>
      </c>
    </row>
    <row r="361" spans="2:27">
      <c r="B361" s="1226" t="s">
        <v>825</v>
      </c>
      <c r="C361" s="1227"/>
      <c r="D361" s="1227"/>
      <c r="E361" s="1227"/>
      <c r="F361" s="1228"/>
      <c r="G361" s="346"/>
      <c r="H361" s="384">
        <f>G361*H348</f>
        <v>0</v>
      </c>
      <c r="I361" s="346"/>
      <c r="J361" s="385">
        <f>I361*J348</f>
        <v>0</v>
      </c>
      <c r="K361" s="280"/>
      <c r="L361" s="424"/>
      <c r="M361" s="424"/>
      <c r="N361" s="424"/>
      <c r="O361" s="424"/>
      <c r="P361" s="424"/>
      <c r="Q361" s="424"/>
      <c r="R361" s="424"/>
      <c r="S361" s="424"/>
      <c r="T361" s="424"/>
      <c r="U361" s="304"/>
      <c r="X361" s="304"/>
      <c r="Z361" s="462"/>
      <c r="AA361" s="349" t="s">
        <v>683</v>
      </c>
    </row>
    <row r="362" spans="2:27">
      <c r="B362" s="1229" t="s">
        <v>816</v>
      </c>
      <c r="C362" s="1230"/>
      <c r="D362" s="1230"/>
      <c r="E362" s="1230"/>
      <c r="F362" s="1230"/>
      <c r="G362" s="351"/>
      <c r="H362" s="351"/>
      <c r="I362" s="351"/>
      <c r="J362" s="352"/>
      <c r="K362" s="280"/>
      <c r="L362" s="424"/>
      <c r="M362" s="424"/>
      <c r="N362" s="424"/>
      <c r="O362" s="424"/>
      <c r="P362" s="424"/>
      <c r="Q362" s="424"/>
      <c r="R362" s="424"/>
      <c r="S362" s="424"/>
      <c r="T362" s="424"/>
      <c r="U362" s="304"/>
      <c r="X362" s="304"/>
      <c r="AA362" s="349" t="s">
        <v>599</v>
      </c>
    </row>
    <row r="363" spans="2:27">
      <c r="B363" s="1231" t="s">
        <v>817</v>
      </c>
      <c r="C363" s="1382"/>
      <c r="D363" s="1382"/>
      <c r="E363" s="1382"/>
      <c r="F363" s="1383"/>
      <c r="G363" s="346"/>
      <c r="H363" s="359">
        <f>(G363*H348)*-1</f>
        <v>0</v>
      </c>
      <c r="I363" s="346"/>
      <c r="J363" s="400">
        <f>(I363*J348)*-1</f>
        <v>0</v>
      </c>
      <c r="K363" s="280"/>
      <c r="L363" s="424"/>
      <c r="M363" s="424"/>
      <c r="N363" s="424"/>
      <c r="O363" s="424"/>
      <c r="P363" s="424"/>
      <c r="Q363" s="424"/>
      <c r="R363" s="424"/>
      <c r="S363" s="424"/>
      <c r="T363" s="424"/>
      <c r="U363" s="304"/>
      <c r="X363" s="304"/>
      <c r="AA363" s="349" t="s">
        <v>603</v>
      </c>
    </row>
    <row r="364" spans="2:27" ht="28.5" customHeight="1">
      <c r="B364" s="1369" t="s">
        <v>818</v>
      </c>
      <c r="C364" s="1370"/>
      <c r="D364" s="1370"/>
      <c r="E364" s="1370"/>
      <c r="F364" s="1371"/>
      <c r="G364" s="346"/>
      <c r="H364" s="359">
        <f>G364*H348*-1</f>
        <v>0</v>
      </c>
      <c r="I364" s="346"/>
      <c r="J364" s="400">
        <f>(I364*J348)*-1</f>
        <v>0</v>
      </c>
      <c r="K364" s="280"/>
      <c r="L364" s="424"/>
      <c r="M364" s="424"/>
      <c r="N364" s="424"/>
      <c r="O364" s="424"/>
      <c r="P364" s="424"/>
      <c r="Q364" s="424"/>
      <c r="R364" s="424"/>
      <c r="S364" s="424"/>
      <c r="T364" s="424"/>
      <c r="U364" s="304"/>
      <c r="X364" s="304"/>
      <c r="AA364" s="349" t="s">
        <v>605</v>
      </c>
    </row>
    <row r="365" spans="2:27">
      <c r="B365" s="1372" t="s">
        <v>819</v>
      </c>
      <c r="C365" s="1373"/>
      <c r="D365" s="1373"/>
      <c r="E365" s="1373"/>
      <c r="F365" s="1374"/>
      <c r="G365" s="346"/>
      <c r="H365" s="359">
        <f>G365*H348*-1</f>
        <v>0</v>
      </c>
      <c r="I365" s="346"/>
      <c r="J365" s="400">
        <f>I365*J348*-1</f>
        <v>0</v>
      </c>
      <c r="K365" s="280"/>
      <c r="L365" s="424"/>
      <c r="M365" s="424"/>
      <c r="N365" s="424"/>
      <c r="O365" s="424"/>
      <c r="P365" s="424"/>
      <c r="Q365" s="424"/>
      <c r="R365" s="424"/>
      <c r="S365" s="424"/>
      <c r="T365" s="424"/>
      <c r="U365" s="304"/>
    </row>
    <row r="366" spans="2:27">
      <c r="B366" s="1375" t="s">
        <v>820</v>
      </c>
      <c r="C366" s="1376"/>
      <c r="D366" s="1376"/>
      <c r="E366" s="1376"/>
      <c r="F366" s="1377"/>
      <c r="G366" s="346"/>
      <c r="H366" s="359">
        <f>G366*H348*-1</f>
        <v>0</v>
      </c>
      <c r="I366" s="346"/>
      <c r="J366" s="359">
        <f>I366*J348*-1</f>
        <v>0</v>
      </c>
      <c r="K366" s="280"/>
      <c r="L366" s="424"/>
      <c r="M366" s="424"/>
      <c r="N366" s="424"/>
      <c r="O366" s="424"/>
      <c r="P366" s="424"/>
      <c r="Q366" s="424"/>
      <c r="R366" s="424"/>
      <c r="S366" s="424"/>
      <c r="T366" s="424"/>
      <c r="U366" s="304"/>
    </row>
    <row r="367" spans="2:27" ht="15" customHeight="1">
      <c r="B367" s="1378" t="s">
        <v>735</v>
      </c>
      <c r="C367" s="1379"/>
      <c r="D367" s="1379"/>
      <c r="E367" s="1379"/>
      <c r="F367" s="1379"/>
      <c r="G367" s="350"/>
      <c r="H367" s="389"/>
      <c r="I367" s="350"/>
      <c r="J367" s="390"/>
      <c r="K367" s="280"/>
      <c r="L367" s="424"/>
      <c r="M367" s="424"/>
      <c r="N367" s="424"/>
      <c r="O367" s="424"/>
      <c r="P367" s="424"/>
      <c r="Q367" s="424"/>
      <c r="R367" s="424"/>
      <c r="S367" s="424"/>
      <c r="T367" s="424"/>
      <c r="U367" s="304"/>
    </row>
    <row r="368" spans="2:27">
      <c r="B368" s="1380" t="s">
        <v>821</v>
      </c>
      <c r="C368" s="1370"/>
      <c r="D368" s="1370"/>
      <c r="E368" s="1370"/>
      <c r="F368" s="1371"/>
      <c r="G368" s="346"/>
      <c r="H368" s="359">
        <f>(G368*H348)</f>
        <v>0</v>
      </c>
      <c r="I368" s="346"/>
      <c r="J368" s="400">
        <f>(I368*J348)</f>
        <v>0</v>
      </c>
      <c r="K368" s="280"/>
      <c r="L368" s="424"/>
      <c r="M368" s="424"/>
      <c r="N368" s="424"/>
      <c r="O368" s="424"/>
      <c r="P368" s="424"/>
      <c r="Q368" s="424"/>
      <c r="R368" s="424"/>
      <c r="S368" s="424"/>
      <c r="T368" s="424"/>
      <c r="U368" s="304"/>
    </row>
    <row r="369" spans="2:28">
      <c r="B369" s="1158" t="s">
        <v>822</v>
      </c>
      <c r="C369" s="1159"/>
      <c r="D369" s="1159"/>
      <c r="E369" s="1159"/>
      <c r="F369" s="1160"/>
      <c r="G369" s="1359">
        <f>SUM(H350:H368)</f>
        <v>0</v>
      </c>
      <c r="H369" s="1360"/>
      <c r="I369" s="1361">
        <f>SUM(J350:J368)</f>
        <v>0</v>
      </c>
      <c r="J369" s="1362"/>
      <c r="K369" s="280"/>
      <c r="L369" s="424"/>
      <c r="M369" s="424"/>
      <c r="N369" s="424"/>
      <c r="O369" s="424"/>
      <c r="P369" s="424"/>
      <c r="Q369" s="424"/>
      <c r="R369" s="424"/>
      <c r="S369" s="424"/>
      <c r="T369" s="424"/>
      <c r="U369" s="304"/>
    </row>
    <row r="370" spans="2:28" ht="18.75">
      <c r="B370" s="1363" t="s">
        <v>823</v>
      </c>
      <c r="C370" s="1364"/>
      <c r="D370" s="1364"/>
      <c r="E370" s="1364"/>
      <c r="F370" s="1365"/>
      <c r="G370" s="1161" t="str">
        <f>IF(OR(AA358=0, I369=0), "12 Month Average", "24 Month Average")</f>
        <v>12 Month Average</v>
      </c>
      <c r="H370" s="1162"/>
      <c r="I370" s="1162"/>
      <c r="J370" s="1163"/>
      <c r="K370" s="280"/>
      <c r="L370" s="424"/>
      <c r="M370" s="424"/>
      <c r="N370" s="424"/>
      <c r="O370" s="424"/>
      <c r="P370" s="424"/>
      <c r="Q370" s="424"/>
      <c r="R370" s="424"/>
      <c r="S370" s="424"/>
      <c r="T370" s="424"/>
      <c r="U370" s="304"/>
    </row>
    <row r="371" spans="2:28" ht="34.5" thickBot="1">
      <c r="B371" s="1366" t="s">
        <v>824</v>
      </c>
      <c r="C371" s="1367"/>
      <c r="D371" s="1367"/>
      <c r="E371" s="1367"/>
      <c r="F371" s="1368"/>
      <c r="G371" s="1167">
        <f>IF(OR(AA358=0, I369=0), AA353, AA354)</f>
        <v>0</v>
      </c>
      <c r="H371" s="1168"/>
      <c r="I371" s="1168"/>
      <c r="J371" s="1169"/>
      <c r="L371" s="424"/>
      <c r="M371" s="424"/>
      <c r="N371" s="424"/>
      <c r="O371" s="424"/>
      <c r="P371" s="424"/>
      <c r="Q371" s="424"/>
      <c r="R371" s="424"/>
      <c r="S371" s="424"/>
      <c r="T371" s="424"/>
      <c r="U371" s="304"/>
    </row>
    <row r="372" spans="2:28" ht="9" customHeight="1" thickBot="1">
      <c r="H372" s="330"/>
      <c r="I372" s="330"/>
      <c r="L372" s="424"/>
      <c r="M372" s="424"/>
      <c r="N372" s="424"/>
      <c r="O372" s="424"/>
      <c r="P372" s="424"/>
      <c r="Q372" s="424"/>
      <c r="R372" s="424"/>
      <c r="S372" s="424"/>
      <c r="T372" s="424"/>
      <c r="U372" s="304"/>
    </row>
    <row r="373" spans="2:28" ht="135" customHeight="1" thickBot="1">
      <c r="B373" s="1148" t="s">
        <v>761</v>
      </c>
      <c r="C373" s="1285"/>
      <c r="D373" s="1285"/>
      <c r="E373" s="1285"/>
      <c r="F373" s="1285"/>
      <c r="G373" s="1285"/>
      <c r="H373" s="1285"/>
      <c r="I373" s="1285"/>
      <c r="J373" s="1286"/>
      <c r="L373" s="424"/>
      <c r="M373" s="424"/>
      <c r="N373" s="424"/>
      <c r="O373" s="424"/>
      <c r="P373" s="424"/>
      <c r="Q373" s="424"/>
      <c r="R373" s="424"/>
      <c r="S373" s="424"/>
      <c r="T373" s="424"/>
      <c r="U373" s="304"/>
    </row>
    <row r="374" spans="2:28" ht="9" customHeight="1">
      <c r="B374" s="304"/>
      <c r="C374" s="304"/>
      <c r="D374" s="304"/>
      <c r="E374" s="304"/>
      <c r="F374" s="304"/>
      <c r="G374" s="304"/>
      <c r="H374" s="304"/>
      <c r="I374" s="304"/>
      <c r="L374" s="304"/>
      <c r="M374" s="304"/>
      <c r="N374" s="304"/>
      <c r="O374" s="304"/>
      <c r="P374" s="304"/>
      <c r="Q374" s="304"/>
      <c r="R374" s="304"/>
      <c r="S374" s="304"/>
      <c r="T374" s="304"/>
      <c r="U374" s="304"/>
    </row>
    <row r="375" spans="2:28" ht="13.5" customHeight="1" thickBot="1"/>
    <row r="376" spans="2:28" ht="82.5" customHeight="1">
      <c r="B376" s="1187" t="s">
        <v>791</v>
      </c>
      <c r="C376" s="1188"/>
      <c r="D376" s="1188"/>
      <c r="E376" s="1188"/>
      <c r="F376" s="1188"/>
      <c r="G376" s="1188"/>
      <c r="H376" s="1188"/>
      <c r="I376" s="1188"/>
      <c r="J376" s="331" t="str">
        <f>'[3]Reference Sheet'!$B$2</f>
        <v>Rev. 4.12.2016</v>
      </c>
      <c r="L376" s="424"/>
      <c r="M376" s="424"/>
      <c r="N376" s="424"/>
      <c r="O376" s="424"/>
      <c r="P376" s="424"/>
      <c r="Q376" s="424"/>
      <c r="R376" s="424"/>
      <c r="S376" s="424"/>
      <c r="T376" s="424"/>
      <c r="U376" s="304"/>
    </row>
    <row r="377" spans="2:28" ht="17.25" customHeight="1" thickBot="1">
      <c r="B377" s="332"/>
      <c r="C377" s="368" t="s">
        <v>710</v>
      </c>
      <c r="D377" s="1400"/>
      <c r="E377" s="1401"/>
      <c r="F377" s="1401"/>
      <c r="G377" s="1401"/>
      <c r="H377" s="333"/>
      <c r="I377" s="333"/>
      <c r="J377" s="334"/>
      <c r="L377" s="424"/>
      <c r="M377" s="424"/>
      <c r="N377" s="424"/>
      <c r="O377" s="424"/>
      <c r="P377" s="424"/>
      <c r="Q377" s="424"/>
      <c r="R377" s="424"/>
      <c r="S377" s="424"/>
      <c r="T377" s="424"/>
      <c r="U377" s="304"/>
      <c r="X377" s="304"/>
      <c r="Z377" s="451" t="s">
        <v>717</v>
      </c>
      <c r="AA377" s="451" t="str">
        <f>IF(OR(H382=0, H382&gt;100%), "Shareholder %", G386*H382)</f>
        <v>Shareholder %</v>
      </c>
    </row>
    <row r="378" spans="2:28" ht="17.25" customHeight="1" thickBot="1">
      <c r="B378" s="332"/>
      <c r="C378" s="368" t="s">
        <v>711</v>
      </c>
      <c r="D378" s="1402"/>
      <c r="E378" s="1403"/>
      <c r="F378" s="1403"/>
      <c r="G378" s="1403"/>
      <c r="H378" s="368" t="s">
        <v>712</v>
      </c>
      <c r="I378" s="1400"/>
      <c r="J378" s="1404"/>
      <c r="L378" s="424"/>
      <c r="M378" s="424"/>
      <c r="N378" s="424"/>
      <c r="O378" s="424"/>
      <c r="P378" s="424"/>
      <c r="Q378" s="424"/>
      <c r="R378" s="424"/>
      <c r="S378" s="424"/>
      <c r="T378" s="424"/>
      <c r="U378" s="304"/>
      <c r="X378" s="304"/>
      <c r="Z378" s="451" t="s">
        <v>720</v>
      </c>
      <c r="AA378" s="451" t="str">
        <f>IF(OR(J382&gt;100%, J382=0), "Shareholder %", I386*J382)</f>
        <v>Shareholder %</v>
      </c>
    </row>
    <row r="379" spans="2:28" s="404" customFormat="1" ht="16.5" thickBot="1">
      <c r="B379" s="1393" t="s">
        <v>671</v>
      </c>
      <c r="C379" s="1394"/>
      <c r="D379" s="1405"/>
      <c r="E379" s="1406"/>
      <c r="F379" s="1406"/>
      <c r="G379" s="1406"/>
      <c r="H379" s="452" t="s">
        <v>673</v>
      </c>
      <c r="I379" s="1407"/>
      <c r="J379" s="1408"/>
      <c r="L379" s="424"/>
      <c r="M379" s="424"/>
      <c r="N379" s="424"/>
      <c r="O379" s="424"/>
      <c r="P379" s="424"/>
      <c r="Q379" s="424"/>
      <c r="R379" s="424"/>
      <c r="S379" s="424"/>
      <c r="T379" s="424"/>
      <c r="U379" s="367"/>
      <c r="X379" s="304"/>
      <c r="Y379" s="280"/>
      <c r="Z379" s="451"/>
      <c r="AA379" s="451"/>
      <c r="AB379" s="405"/>
    </row>
    <row r="380" spans="2:28" s="404" customFormat="1" ht="16.5" thickBot="1">
      <c r="B380" s="1393" t="s">
        <v>674</v>
      </c>
      <c r="C380" s="1394"/>
      <c r="D380" s="1395"/>
      <c r="E380" s="1396"/>
      <c r="F380" s="1396"/>
      <c r="G380" s="1396"/>
      <c r="H380" s="1396"/>
      <c r="I380" s="1396"/>
      <c r="J380" s="1397"/>
      <c r="K380" s="405"/>
      <c r="L380" s="424"/>
      <c r="M380" s="424"/>
      <c r="N380" s="424"/>
      <c r="O380" s="424"/>
      <c r="P380" s="424"/>
      <c r="Q380" s="424"/>
      <c r="R380" s="424"/>
      <c r="S380" s="424"/>
      <c r="T380" s="424"/>
      <c r="U380" s="367"/>
      <c r="X380" s="304"/>
      <c r="Y380" s="280"/>
      <c r="Z380" s="451" t="s">
        <v>793</v>
      </c>
      <c r="AA380" s="349" t="str">
        <f>IF(OR(H382=0, H382&gt;100%),"Enter Shareholder %",$J$40)</f>
        <v>Enter Shareholder %</v>
      </c>
      <c r="AB380" s="405"/>
    </row>
    <row r="381" spans="2:28">
      <c r="B381" s="1265"/>
      <c r="C381" s="1266"/>
      <c r="D381" s="1266"/>
      <c r="E381" s="1266"/>
      <c r="F381" s="1267"/>
      <c r="G381" s="453" t="s">
        <v>713</v>
      </c>
      <c r="H381" s="454" t="s">
        <v>676</v>
      </c>
      <c r="I381" s="342"/>
      <c r="J381" s="373" t="s">
        <v>677</v>
      </c>
      <c r="K381" s="280"/>
      <c r="L381" s="424"/>
      <c r="M381" s="424"/>
      <c r="N381" s="424"/>
      <c r="O381" s="424"/>
      <c r="P381" s="424"/>
      <c r="Q381" s="424"/>
      <c r="R381" s="424"/>
      <c r="S381" s="424"/>
      <c r="T381" s="424"/>
      <c r="U381" s="304"/>
      <c r="V381" s="304"/>
      <c r="X381" s="304"/>
      <c r="Z381" s="451" t="s">
        <v>794</v>
      </c>
      <c r="AA381" s="349" t="str">
        <f>IF(OR(J382=0, J382&gt;100%),"Enter Shareholder %",$J$41)</f>
        <v>Enter Shareholder %</v>
      </c>
    </row>
    <row r="382" spans="2:28" ht="15.75" thickBot="1">
      <c r="B382" s="1269"/>
      <c r="C382" s="1270"/>
      <c r="D382" s="1270"/>
      <c r="E382" s="1270"/>
      <c r="F382" s="1271"/>
      <c r="G382" s="408" t="s">
        <v>795</v>
      </c>
      <c r="H382" s="376"/>
      <c r="I382" s="377"/>
      <c r="J382" s="378"/>
      <c r="K382" s="280"/>
      <c r="L382" s="424"/>
      <c r="M382" s="424"/>
      <c r="N382" s="424"/>
      <c r="O382" s="424"/>
      <c r="P382" s="424"/>
      <c r="Q382" s="424"/>
      <c r="R382" s="424"/>
      <c r="S382" s="424"/>
      <c r="T382" s="424"/>
      <c r="U382" s="304"/>
      <c r="V382" s="304"/>
      <c r="X382" s="304"/>
      <c r="Z382" s="451" t="s">
        <v>796</v>
      </c>
      <c r="AA382" s="349">
        <f>SUM(H386:H402)</f>
        <v>0</v>
      </c>
    </row>
    <row r="383" spans="2:28">
      <c r="B383" s="1229" t="s">
        <v>744</v>
      </c>
      <c r="C383" s="1273"/>
      <c r="D383" s="1273"/>
      <c r="E383" s="1273"/>
      <c r="F383" s="1273"/>
      <c r="G383" s="455" t="s">
        <v>719</v>
      </c>
      <c r="H383" s="413"/>
      <c r="I383" s="456" t="s">
        <v>719</v>
      </c>
      <c r="J383" s="415"/>
      <c r="K383" s="280"/>
      <c r="L383" s="424"/>
      <c r="M383" s="424"/>
      <c r="N383" s="424"/>
      <c r="O383" s="424"/>
      <c r="P383" s="424"/>
      <c r="Q383" s="424"/>
      <c r="R383" s="424"/>
      <c r="S383" s="424"/>
      <c r="T383" s="424"/>
      <c r="U383" s="304"/>
      <c r="V383" s="304"/>
      <c r="X383" s="304"/>
      <c r="Z383" s="451" t="s">
        <v>797</v>
      </c>
      <c r="AA383" s="362">
        <f>SUM(J386:J402)</f>
        <v>0</v>
      </c>
    </row>
    <row r="384" spans="2:28">
      <c r="B384" s="1384" t="s">
        <v>798</v>
      </c>
      <c r="C384" s="1385"/>
      <c r="D384" s="1385"/>
      <c r="E384" s="1385"/>
      <c r="F384" s="1386"/>
      <c r="G384" s="457"/>
      <c r="H384" s="458">
        <f>G384</f>
        <v>0</v>
      </c>
      <c r="I384" s="457"/>
      <c r="J384" s="400">
        <f>I384</f>
        <v>0</v>
      </c>
      <c r="K384" s="280"/>
      <c r="L384" s="424"/>
      <c r="M384" s="424"/>
      <c r="N384" s="424"/>
      <c r="O384" s="424"/>
      <c r="P384" s="424"/>
      <c r="Q384" s="424"/>
      <c r="R384" s="424"/>
      <c r="S384" s="424"/>
      <c r="T384" s="424"/>
      <c r="U384" s="304"/>
      <c r="V384" s="304"/>
      <c r="X384" s="304"/>
    </row>
    <row r="385" spans="2:27">
      <c r="B385" s="1398">
        <v>1120</v>
      </c>
      <c r="C385" s="1399"/>
      <c r="D385" s="1399"/>
      <c r="E385" s="1399"/>
      <c r="F385" s="1399"/>
      <c r="G385" s="350"/>
      <c r="H385" s="389"/>
      <c r="I385" s="350"/>
      <c r="J385" s="390"/>
      <c r="K385" s="280"/>
      <c r="L385" s="424"/>
      <c r="M385" s="424"/>
      <c r="N385" s="424"/>
      <c r="O385" s="424"/>
      <c r="P385" s="424"/>
      <c r="Q385" s="424"/>
      <c r="R385" s="424"/>
      <c r="S385" s="424"/>
      <c r="T385" s="424"/>
      <c r="U385" s="304"/>
      <c r="V385" s="304"/>
      <c r="X385" s="304"/>
      <c r="Z385" s="451" t="s">
        <v>799</v>
      </c>
      <c r="AA385" s="280">
        <f>IF(OR(H382=0, H382=10%), 0, 1)</f>
        <v>0</v>
      </c>
    </row>
    <row r="386" spans="2:27">
      <c r="B386" s="1384" t="s">
        <v>800</v>
      </c>
      <c r="C386" s="1385"/>
      <c r="D386" s="1385"/>
      <c r="E386" s="1385"/>
      <c r="F386" s="1386"/>
      <c r="G386" s="459"/>
      <c r="H386" s="387" t="str">
        <f>AA377</f>
        <v>Shareholder %</v>
      </c>
      <c r="I386" s="346"/>
      <c r="J386" s="388" t="str">
        <f>AA378</f>
        <v>Shareholder %</v>
      </c>
      <c r="K386" s="280"/>
      <c r="L386" s="424"/>
      <c r="M386" s="424"/>
      <c r="N386" s="424"/>
      <c r="O386" s="424"/>
      <c r="P386" s="424"/>
      <c r="Q386" s="424"/>
      <c r="R386" s="424"/>
      <c r="S386" s="424"/>
      <c r="T386" s="424"/>
      <c r="U386" s="304"/>
      <c r="V386" s="304"/>
      <c r="X386" s="304"/>
      <c r="Z386" s="451" t="s">
        <v>801</v>
      </c>
      <c r="AA386" s="280">
        <f>IF(OR(J382=0, J382+100%), 0, 1)</f>
        <v>0</v>
      </c>
    </row>
    <row r="387" spans="2:27">
      <c r="B387" s="1297" t="s">
        <v>802</v>
      </c>
      <c r="C387" s="1298"/>
      <c r="D387" s="1298"/>
      <c r="E387" s="1298"/>
      <c r="F387" s="1298"/>
      <c r="G387" s="460"/>
      <c r="H387" s="416"/>
      <c r="I387" s="460"/>
      <c r="J387" s="417"/>
      <c r="K387" s="280"/>
      <c r="L387" s="424"/>
      <c r="M387" s="424"/>
      <c r="N387" s="424"/>
      <c r="O387" s="424"/>
      <c r="P387" s="424"/>
      <c r="Q387" s="424"/>
      <c r="R387" s="424"/>
      <c r="S387" s="424"/>
      <c r="T387" s="424"/>
      <c r="U387" s="304"/>
      <c r="V387" s="304"/>
      <c r="X387" s="304"/>
      <c r="Z387" s="451" t="s">
        <v>803</v>
      </c>
      <c r="AA387" s="362">
        <f>G403/12</f>
        <v>0</v>
      </c>
    </row>
    <row r="388" spans="2:27">
      <c r="B388" s="1387" t="s">
        <v>804</v>
      </c>
      <c r="C388" s="1388"/>
      <c r="D388" s="1388"/>
      <c r="E388" s="1388"/>
      <c r="F388" s="1389"/>
      <c r="G388" s="461"/>
      <c r="H388" s="419">
        <f>(G388*H382)*-1</f>
        <v>0</v>
      </c>
      <c r="I388" s="461"/>
      <c r="J388" s="420">
        <f>(I388*J382)*-1</f>
        <v>0</v>
      </c>
      <c r="K388" s="280"/>
      <c r="L388" s="424"/>
      <c r="M388" s="424"/>
      <c r="N388" s="424"/>
      <c r="O388" s="424"/>
      <c r="P388" s="424"/>
      <c r="Q388" s="424"/>
      <c r="R388" s="424"/>
      <c r="S388" s="424"/>
      <c r="T388" s="424"/>
      <c r="U388" s="304"/>
      <c r="V388" s="304"/>
      <c r="X388" s="304"/>
      <c r="Z388" s="451" t="s">
        <v>805</v>
      </c>
      <c r="AA388" s="362">
        <f>(G403+I403)/24</f>
        <v>0</v>
      </c>
    </row>
    <row r="389" spans="2:27">
      <c r="B389" s="1390" t="s">
        <v>806</v>
      </c>
      <c r="C389" s="1391"/>
      <c r="D389" s="1391"/>
      <c r="E389" s="1391"/>
      <c r="F389" s="1392"/>
      <c r="G389" s="461"/>
      <c r="H389" s="419">
        <f>(G389*H382)*-1</f>
        <v>0</v>
      </c>
      <c r="I389" s="461"/>
      <c r="J389" s="420">
        <f>(I389*J382)*-1</f>
        <v>0</v>
      </c>
      <c r="K389" s="280"/>
      <c r="L389" s="424"/>
      <c r="M389" s="424"/>
      <c r="N389" s="424"/>
      <c r="O389" s="424"/>
      <c r="P389" s="424"/>
      <c r="Q389" s="424"/>
      <c r="R389" s="424"/>
      <c r="S389" s="424"/>
      <c r="T389" s="424"/>
      <c r="U389" s="304"/>
      <c r="V389" s="304"/>
      <c r="X389" s="304"/>
      <c r="Z389" s="451"/>
    </row>
    <row r="390" spans="2:27">
      <c r="B390" s="1302" t="s">
        <v>807</v>
      </c>
      <c r="C390" s="1303"/>
      <c r="D390" s="1303"/>
      <c r="E390" s="1303"/>
      <c r="F390" s="1304"/>
      <c r="G390" s="461"/>
      <c r="H390" s="419">
        <f>(G390*H382)*-1</f>
        <v>0</v>
      </c>
      <c r="I390" s="461"/>
      <c r="J390" s="420">
        <f>(I390*J382)*-1</f>
        <v>0</v>
      </c>
      <c r="K390" s="280"/>
      <c r="L390" s="424"/>
      <c r="M390" s="424"/>
      <c r="N390" s="424"/>
      <c r="O390" s="424"/>
      <c r="P390" s="424"/>
      <c r="Q390" s="424"/>
      <c r="R390" s="424"/>
      <c r="S390" s="424"/>
      <c r="T390" s="424"/>
      <c r="U390" s="304"/>
      <c r="V390" s="304"/>
      <c r="X390" s="304"/>
      <c r="Z390" s="451" t="s">
        <v>808</v>
      </c>
      <c r="AA390" s="280">
        <f>IF(AND(J384=0, J386=0, J388=0, J389=0, J390=0, J392=0, J393=0, J394=0, J395=0, J397=0, J398=0, J399=0, J400=0, J402=0, I403=0), 0, 1)</f>
        <v>1</v>
      </c>
    </row>
    <row r="391" spans="2:27">
      <c r="B391" s="1229" t="s">
        <v>809</v>
      </c>
      <c r="C391" s="1230"/>
      <c r="D391" s="1230"/>
      <c r="E391" s="1230"/>
      <c r="F391" s="1230"/>
      <c r="G391" s="350"/>
      <c r="H391" s="351"/>
      <c r="I391" s="350"/>
      <c r="J391" s="352"/>
      <c r="K391" s="280"/>
      <c r="L391" s="424"/>
      <c r="M391" s="424"/>
      <c r="N391" s="424"/>
      <c r="O391" s="424"/>
      <c r="P391" s="424"/>
      <c r="Q391" s="424"/>
      <c r="R391" s="424"/>
      <c r="S391" s="424"/>
      <c r="T391" s="424"/>
      <c r="U391" s="304"/>
      <c r="V391" s="304"/>
      <c r="X391" s="304"/>
      <c r="Z391" s="451" t="s">
        <v>810</v>
      </c>
      <c r="AA391" s="280">
        <f>IF(AND(G403&lt;=I403, I403&lt;&gt;0), 0, 1)</f>
        <v>1</v>
      </c>
    </row>
    <row r="392" spans="2:27">
      <c r="B392" s="1243" t="s">
        <v>811</v>
      </c>
      <c r="C392" s="1244"/>
      <c r="D392" s="1244"/>
      <c r="E392" s="1244"/>
      <c r="F392" s="1245"/>
      <c r="G392" s="346"/>
      <c r="H392" s="384">
        <f>G392*H382</f>
        <v>0</v>
      </c>
      <c r="I392" s="346"/>
      <c r="J392" s="385">
        <f>I392*J382</f>
        <v>0</v>
      </c>
      <c r="K392" s="280"/>
      <c r="L392" s="424"/>
      <c r="M392" s="424"/>
      <c r="N392" s="424"/>
      <c r="O392" s="424"/>
      <c r="P392" s="424"/>
      <c r="Q392" s="424"/>
      <c r="R392" s="424"/>
      <c r="S392" s="424"/>
      <c r="T392" s="424"/>
      <c r="U392" s="304"/>
      <c r="V392" s="304"/>
      <c r="X392" s="304"/>
      <c r="Z392" s="451" t="s">
        <v>812</v>
      </c>
      <c r="AA392" s="280">
        <f>IF(AND(AA391=0, AA390=1), 0, 1)</f>
        <v>1</v>
      </c>
    </row>
    <row r="393" spans="2:27">
      <c r="B393" s="1381" t="s">
        <v>813</v>
      </c>
      <c r="C393" s="1224"/>
      <c r="D393" s="1224"/>
      <c r="E393" s="1224"/>
      <c r="F393" s="1225"/>
      <c r="G393" s="346"/>
      <c r="H393" s="384">
        <f>G393*H382</f>
        <v>0</v>
      </c>
      <c r="I393" s="346"/>
      <c r="J393" s="385">
        <f>I393*J382</f>
        <v>0</v>
      </c>
      <c r="K393" s="280"/>
      <c r="L393" s="424"/>
      <c r="M393" s="424"/>
      <c r="N393" s="424"/>
      <c r="O393" s="424"/>
      <c r="P393" s="424"/>
      <c r="Q393" s="424"/>
      <c r="R393" s="424"/>
      <c r="S393" s="424"/>
      <c r="T393" s="424"/>
      <c r="U393" s="304"/>
      <c r="X393" s="304"/>
    </row>
    <row r="394" spans="2:27">
      <c r="B394" s="1223" t="s">
        <v>814</v>
      </c>
      <c r="C394" s="1224"/>
      <c r="D394" s="1224"/>
      <c r="E394" s="1224"/>
      <c r="F394" s="1225"/>
      <c r="G394" s="346"/>
      <c r="H394" s="384">
        <f>G394*H382</f>
        <v>0</v>
      </c>
      <c r="I394" s="346"/>
      <c r="J394" s="385">
        <f>I394*J382</f>
        <v>0</v>
      </c>
      <c r="K394" s="280"/>
      <c r="L394" s="424"/>
      <c r="M394" s="424"/>
      <c r="N394" s="424"/>
      <c r="O394" s="424"/>
      <c r="P394" s="424"/>
      <c r="Q394" s="424"/>
      <c r="R394" s="424"/>
      <c r="S394" s="424"/>
      <c r="T394" s="424"/>
      <c r="U394" s="304"/>
      <c r="X394" s="304"/>
      <c r="AA394" s="349" t="s">
        <v>596</v>
      </c>
    </row>
    <row r="395" spans="2:27">
      <c r="B395" s="1226" t="s">
        <v>825</v>
      </c>
      <c r="C395" s="1227"/>
      <c r="D395" s="1227"/>
      <c r="E395" s="1227"/>
      <c r="F395" s="1228"/>
      <c r="G395" s="346"/>
      <c r="H395" s="384">
        <f>G395*H382</f>
        <v>0</v>
      </c>
      <c r="I395" s="346"/>
      <c r="J395" s="385">
        <f>I395*J382</f>
        <v>0</v>
      </c>
      <c r="K395" s="280"/>
      <c r="L395" s="424"/>
      <c r="M395" s="424"/>
      <c r="N395" s="424"/>
      <c r="O395" s="424"/>
      <c r="P395" s="424"/>
      <c r="Q395" s="424"/>
      <c r="R395" s="424"/>
      <c r="S395" s="424"/>
      <c r="T395" s="424"/>
      <c r="U395" s="304"/>
      <c r="X395" s="304"/>
      <c r="Z395" s="462"/>
      <c r="AA395" s="349" t="s">
        <v>683</v>
      </c>
    </row>
    <row r="396" spans="2:27">
      <c r="B396" s="1229" t="s">
        <v>816</v>
      </c>
      <c r="C396" s="1230"/>
      <c r="D396" s="1230"/>
      <c r="E396" s="1230"/>
      <c r="F396" s="1230"/>
      <c r="G396" s="351"/>
      <c r="H396" s="351"/>
      <c r="I396" s="351"/>
      <c r="J396" s="352"/>
      <c r="K396" s="280"/>
      <c r="L396" s="424"/>
      <c r="M396" s="424"/>
      <c r="N396" s="424"/>
      <c r="O396" s="424"/>
      <c r="P396" s="424"/>
      <c r="Q396" s="424"/>
      <c r="R396" s="424"/>
      <c r="S396" s="424"/>
      <c r="T396" s="424"/>
      <c r="U396" s="304"/>
      <c r="X396" s="304"/>
      <c r="AA396" s="349" t="s">
        <v>599</v>
      </c>
    </row>
    <row r="397" spans="2:27">
      <c r="B397" s="1231" t="s">
        <v>817</v>
      </c>
      <c r="C397" s="1382"/>
      <c r="D397" s="1382"/>
      <c r="E397" s="1382"/>
      <c r="F397" s="1383"/>
      <c r="G397" s="346"/>
      <c r="H397" s="359">
        <f>(G397*H382)*-1</f>
        <v>0</v>
      </c>
      <c r="I397" s="346"/>
      <c r="J397" s="400">
        <f>(I397*J382)*-1</f>
        <v>0</v>
      </c>
      <c r="K397" s="280"/>
      <c r="L397" s="424"/>
      <c r="M397" s="424"/>
      <c r="N397" s="424"/>
      <c r="O397" s="424"/>
      <c r="P397" s="424"/>
      <c r="Q397" s="424"/>
      <c r="R397" s="424"/>
      <c r="S397" s="424"/>
      <c r="T397" s="424"/>
      <c r="U397" s="304"/>
      <c r="X397" s="304"/>
      <c r="AA397" s="349" t="s">
        <v>603</v>
      </c>
    </row>
    <row r="398" spans="2:27" ht="28.5" customHeight="1">
      <c r="B398" s="1369" t="s">
        <v>818</v>
      </c>
      <c r="C398" s="1370"/>
      <c r="D398" s="1370"/>
      <c r="E398" s="1370"/>
      <c r="F398" s="1371"/>
      <c r="G398" s="346"/>
      <c r="H398" s="359">
        <f>G398*H382*-1</f>
        <v>0</v>
      </c>
      <c r="I398" s="346"/>
      <c r="J398" s="400">
        <f>(I398*J382)*-1</f>
        <v>0</v>
      </c>
      <c r="K398" s="280"/>
      <c r="L398" s="424"/>
      <c r="M398" s="424"/>
      <c r="N398" s="424"/>
      <c r="O398" s="424"/>
      <c r="P398" s="424"/>
      <c r="Q398" s="424"/>
      <c r="R398" s="424"/>
      <c r="S398" s="424"/>
      <c r="T398" s="424"/>
      <c r="U398" s="304"/>
      <c r="X398" s="304"/>
      <c r="AA398" s="349" t="s">
        <v>605</v>
      </c>
    </row>
    <row r="399" spans="2:27">
      <c r="B399" s="1372" t="s">
        <v>819</v>
      </c>
      <c r="C399" s="1373"/>
      <c r="D399" s="1373"/>
      <c r="E399" s="1373"/>
      <c r="F399" s="1374"/>
      <c r="G399" s="346"/>
      <c r="H399" s="359">
        <f>G399*H382*-1</f>
        <v>0</v>
      </c>
      <c r="I399" s="346"/>
      <c r="J399" s="400">
        <f>I399*J382*-1</f>
        <v>0</v>
      </c>
      <c r="K399" s="280"/>
      <c r="L399" s="424"/>
      <c r="M399" s="424"/>
      <c r="N399" s="424"/>
      <c r="O399" s="424"/>
      <c r="P399" s="424"/>
      <c r="Q399" s="424"/>
      <c r="R399" s="424"/>
      <c r="S399" s="424"/>
      <c r="T399" s="424"/>
      <c r="U399" s="304"/>
    </row>
    <row r="400" spans="2:27">
      <c r="B400" s="1375" t="s">
        <v>820</v>
      </c>
      <c r="C400" s="1376"/>
      <c r="D400" s="1376"/>
      <c r="E400" s="1376"/>
      <c r="F400" s="1377"/>
      <c r="G400" s="346"/>
      <c r="H400" s="359">
        <f>G400*H382*-1</f>
        <v>0</v>
      </c>
      <c r="I400" s="346"/>
      <c r="J400" s="359">
        <f>I400*J382*-1</f>
        <v>0</v>
      </c>
      <c r="K400" s="280"/>
      <c r="L400" s="424"/>
      <c r="M400" s="424"/>
      <c r="N400" s="424"/>
      <c r="O400" s="424"/>
      <c r="P400" s="424"/>
      <c r="Q400" s="424"/>
      <c r="R400" s="424"/>
      <c r="S400" s="424"/>
      <c r="T400" s="424"/>
      <c r="U400" s="304"/>
    </row>
    <row r="401" spans="2:28" ht="15" customHeight="1">
      <c r="B401" s="1378" t="s">
        <v>735</v>
      </c>
      <c r="C401" s="1379"/>
      <c r="D401" s="1379"/>
      <c r="E401" s="1379"/>
      <c r="F401" s="1379"/>
      <c r="G401" s="350"/>
      <c r="H401" s="389"/>
      <c r="I401" s="350"/>
      <c r="J401" s="390"/>
      <c r="K401" s="280"/>
      <c r="L401" s="424"/>
      <c r="M401" s="424"/>
      <c r="N401" s="424"/>
      <c r="O401" s="424"/>
      <c r="P401" s="424"/>
      <c r="Q401" s="424"/>
      <c r="R401" s="424"/>
      <c r="S401" s="424"/>
      <c r="T401" s="424"/>
      <c r="U401" s="304"/>
    </row>
    <row r="402" spans="2:28">
      <c r="B402" s="1380" t="s">
        <v>821</v>
      </c>
      <c r="C402" s="1370"/>
      <c r="D402" s="1370"/>
      <c r="E402" s="1370"/>
      <c r="F402" s="1371"/>
      <c r="G402" s="346"/>
      <c r="H402" s="359">
        <f>(G402*H382)</f>
        <v>0</v>
      </c>
      <c r="I402" s="346"/>
      <c r="J402" s="400">
        <f>(I402*J382)</f>
        <v>0</v>
      </c>
      <c r="K402" s="280"/>
      <c r="L402" s="424"/>
      <c r="M402" s="424"/>
      <c r="N402" s="424"/>
      <c r="O402" s="424"/>
      <c r="P402" s="424"/>
      <c r="Q402" s="424"/>
      <c r="R402" s="424"/>
      <c r="S402" s="424"/>
      <c r="T402" s="424"/>
      <c r="U402" s="304"/>
    </row>
    <row r="403" spans="2:28">
      <c r="B403" s="1158" t="s">
        <v>822</v>
      </c>
      <c r="C403" s="1159"/>
      <c r="D403" s="1159"/>
      <c r="E403" s="1159"/>
      <c r="F403" s="1160"/>
      <c r="G403" s="1359">
        <f>SUM(H384:H402)</f>
        <v>0</v>
      </c>
      <c r="H403" s="1360"/>
      <c r="I403" s="1361">
        <f>SUM(J384:J402)</f>
        <v>0</v>
      </c>
      <c r="J403" s="1362"/>
      <c r="K403" s="280"/>
      <c r="L403" s="424"/>
      <c r="M403" s="424"/>
      <c r="N403" s="424"/>
      <c r="O403" s="424"/>
      <c r="P403" s="424"/>
      <c r="Q403" s="424"/>
      <c r="R403" s="424"/>
      <c r="S403" s="424"/>
      <c r="T403" s="424"/>
      <c r="U403" s="304"/>
    </row>
    <row r="404" spans="2:28" ht="18.75">
      <c r="B404" s="1363" t="s">
        <v>823</v>
      </c>
      <c r="C404" s="1364"/>
      <c r="D404" s="1364"/>
      <c r="E404" s="1364"/>
      <c r="F404" s="1365"/>
      <c r="G404" s="1161" t="str">
        <f>IF(OR(AA392=0, I403=0), "12 Month Average", "24 Month Average")</f>
        <v>12 Month Average</v>
      </c>
      <c r="H404" s="1162"/>
      <c r="I404" s="1162"/>
      <c r="J404" s="1163"/>
      <c r="K404" s="280"/>
      <c r="L404" s="424"/>
      <c r="M404" s="424"/>
      <c r="N404" s="424"/>
      <c r="O404" s="424"/>
      <c r="P404" s="424"/>
      <c r="Q404" s="424"/>
      <c r="R404" s="424"/>
      <c r="S404" s="424"/>
      <c r="T404" s="424"/>
      <c r="U404" s="304"/>
    </row>
    <row r="405" spans="2:28" ht="34.5" thickBot="1">
      <c r="B405" s="1366" t="s">
        <v>824</v>
      </c>
      <c r="C405" s="1367"/>
      <c r="D405" s="1367"/>
      <c r="E405" s="1367"/>
      <c r="F405" s="1368"/>
      <c r="G405" s="1167">
        <f>IF(OR(AA392=0, I403=0), AA387, AA388)</f>
        <v>0</v>
      </c>
      <c r="H405" s="1168"/>
      <c r="I405" s="1168"/>
      <c r="J405" s="1169"/>
      <c r="L405" s="424"/>
      <c r="M405" s="424"/>
      <c r="N405" s="424"/>
      <c r="O405" s="424"/>
      <c r="P405" s="424"/>
      <c r="Q405" s="424"/>
      <c r="R405" s="424"/>
      <c r="S405" s="424"/>
      <c r="T405" s="424"/>
      <c r="U405" s="304"/>
    </row>
    <row r="406" spans="2:28" ht="9" customHeight="1" thickBot="1">
      <c r="H406" s="330"/>
      <c r="I406" s="330"/>
      <c r="L406" s="424"/>
      <c r="M406" s="424"/>
      <c r="N406" s="424"/>
      <c r="O406" s="424"/>
      <c r="P406" s="424"/>
      <c r="Q406" s="424"/>
      <c r="R406" s="424"/>
      <c r="S406" s="424"/>
      <c r="T406" s="424"/>
      <c r="U406" s="304"/>
    </row>
    <row r="407" spans="2:28" ht="135" customHeight="1" thickBot="1">
      <c r="B407" s="1148" t="s">
        <v>761</v>
      </c>
      <c r="C407" s="1285"/>
      <c r="D407" s="1285"/>
      <c r="E407" s="1285"/>
      <c r="F407" s="1285"/>
      <c r="G407" s="1285"/>
      <c r="H407" s="1285"/>
      <c r="I407" s="1285"/>
      <c r="J407" s="1286"/>
      <c r="L407" s="424"/>
      <c r="M407" s="424"/>
      <c r="N407" s="424"/>
      <c r="O407" s="424"/>
      <c r="P407" s="424"/>
      <c r="Q407" s="424"/>
      <c r="R407" s="424"/>
      <c r="S407" s="424"/>
      <c r="T407" s="424"/>
      <c r="U407" s="304"/>
    </row>
    <row r="408" spans="2:28" ht="9" customHeight="1">
      <c r="B408" s="304"/>
      <c r="C408" s="304"/>
      <c r="D408" s="304"/>
      <c r="E408" s="304"/>
      <c r="F408" s="304"/>
      <c r="G408" s="304"/>
      <c r="H408" s="304"/>
      <c r="I408" s="304"/>
      <c r="L408" s="304"/>
      <c r="M408" s="304"/>
      <c r="N408" s="304"/>
      <c r="O408" s="304"/>
      <c r="P408" s="304"/>
      <c r="Q408" s="304"/>
      <c r="R408" s="304"/>
      <c r="S408" s="304"/>
      <c r="T408" s="304"/>
      <c r="U408" s="304"/>
    </row>
    <row r="409" spans="2:28" ht="13.5" customHeight="1" thickBot="1"/>
    <row r="410" spans="2:28" ht="82.5" customHeight="1">
      <c r="B410" s="1187" t="s">
        <v>791</v>
      </c>
      <c r="C410" s="1188"/>
      <c r="D410" s="1188"/>
      <c r="E410" s="1188"/>
      <c r="F410" s="1188"/>
      <c r="G410" s="1188"/>
      <c r="H410" s="1188"/>
      <c r="I410" s="1188"/>
      <c r="J410" s="331" t="str">
        <f>'[3]Reference Sheet'!$B$2</f>
        <v>Rev. 4.12.2016</v>
      </c>
      <c r="L410" s="424"/>
      <c r="M410" s="424"/>
      <c r="N410" s="424"/>
      <c r="O410" s="424"/>
      <c r="P410" s="424"/>
      <c r="Q410" s="424"/>
      <c r="R410" s="424"/>
      <c r="S410" s="424"/>
      <c r="T410" s="424"/>
      <c r="U410" s="304"/>
    </row>
    <row r="411" spans="2:28" ht="17.25" customHeight="1" thickBot="1">
      <c r="B411" s="332"/>
      <c r="C411" s="368" t="s">
        <v>710</v>
      </c>
      <c r="D411" s="1400"/>
      <c r="E411" s="1401"/>
      <c r="F411" s="1401"/>
      <c r="G411" s="1401"/>
      <c r="H411" s="333"/>
      <c r="I411" s="333"/>
      <c r="J411" s="334"/>
      <c r="L411" s="424"/>
      <c r="M411" s="424"/>
      <c r="N411" s="424"/>
      <c r="O411" s="424"/>
      <c r="P411" s="424"/>
      <c r="Q411" s="424"/>
      <c r="R411" s="424"/>
      <c r="S411" s="424"/>
      <c r="T411" s="424"/>
      <c r="U411" s="304"/>
      <c r="X411" s="304"/>
      <c r="Z411" s="451" t="s">
        <v>717</v>
      </c>
      <c r="AA411" s="451" t="str">
        <f>IF(OR(H416=0, H416&gt;100%), "Shareholder %", G420*H416)</f>
        <v>Shareholder %</v>
      </c>
    </row>
    <row r="412" spans="2:28" ht="17.25" customHeight="1" thickBot="1">
      <c r="B412" s="332"/>
      <c r="C412" s="368" t="s">
        <v>711</v>
      </c>
      <c r="D412" s="1402"/>
      <c r="E412" s="1403"/>
      <c r="F412" s="1403"/>
      <c r="G412" s="1403"/>
      <c r="H412" s="368" t="s">
        <v>712</v>
      </c>
      <c r="I412" s="1400"/>
      <c r="J412" s="1404"/>
      <c r="L412" s="424"/>
      <c r="M412" s="424"/>
      <c r="N412" s="424"/>
      <c r="O412" s="424"/>
      <c r="P412" s="424"/>
      <c r="Q412" s="424"/>
      <c r="R412" s="424"/>
      <c r="S412" s="424"/>
      <c r="T412" s="424"/>
      <c r="U412" s="304"/>
      <c r="X412" s="304"/>
      <c r="Z412" s="451" t="s">
        <v>720</v>
      </c>
      <c r="AA412" s="451" t="str">
        <f>IF(OR(J416&gt;100%, J416=0), "Shareholder %", I420*J416)</f>
        <v>Shareholder %</v>
      </c>
    </row>
    <row r="413" spans="2:28" s="404" customFormat="1" ht="16.5" thickBot="1">
      <c r="B413" s="1393" t="s">
        <v>671</v>
      </c>
      <c r="C413" s="1394"/>
      <c r="D413" s="1405"/>
      <c r="E413" s="1406"/>
      <c r="F413" s="1406"/>
      <c r="G413" s="1406"/>
      <c r="H413" s="452" t="s">
        <v>673</v>
      </c>
      <c r="I413" s="1407"/>
      <c r="J413" s="1408"/>
      <c r="L413" s="424"/>
      <c r="M413" s="424"/>
      <c r="N413" s="424"/>
      <c r="O413" s="424"/>
      <c r="P413" s="424"/>
      <c r="Q413" s="424"/>
      <c r="R413" s="424"/>
      <c r="S413" s="424"/>
      <c r="T413" s="424"/>
      <c r="U413" s="367"/>
      <c r="X413" s="304"/>
      <c r="Y413" s="280"/>
      <c r="Z413" s="451"/>
      <c r="AA413" s="451"/>
      <c r="AB413" s="405"/>
    </row>
    <row r="414" spans="2:28" s="404" customFormat="1" ht="16.5" thickBot="1">
      <c r="B414" s="1393" t="s">
        <v>674</v>
      </c>
      <c r="C414" s="1394"/>
      <c r="D414" s="1395"/>
      <c r="E414" s="1396"/>
      <c r="F414" s="1396"/>
      <c r="G414" s="1396"/>
      <c r="H414" s="1396"/>
      <c r="I414" s="1396"/>
      <c r="J414" s="1397"/>
      <c r="K414" s="405"/>
      <c r="L414" s="424"/>
      <c r="M414" s="424"/>
      <c r="N414" s="424"/>
      <c r="O414" s="424"/>
      <c r="P414" s="424"/>
      <c r="Q414" s="424"/>
      <c r="R414" s="424"/>
      <c r="S414" s="424"/>
      <c r="T414" s="424"/>
      <c r="U414" s="367"/>
      <c r="X414" s="304"/>
      <c r="Y414" s="280"/>
      <c r="Z414" s="451" t="s">
        <v>793</v>
      </c>
      <c r="AA414" s="349" t="str">
        <f>IF(OR(H416=0, H416&gt;100%),"Enter Shareholder %",$J$40)</f>
        <v>Enter Shareholder %</v>
      </c>
      <c r="AB414" s="405"/>
    </row>
    <row r="415" spans="2:28">
      <c r="B415" s="1265"/>
      <c r="C415" s="1266"/>
      <c r="D415" s="1266"/>
      <c r="E415" s="1266"/>
      <c r="F415" s="1267"/>
      <c r="G415" s="453" t="s">
        <v>713</v>
      </c>
      <c r="H415" s="454" t="s">
        <v>676</v>
      </c>
      <c r="I415" s="342"/>
      <c r="J415" s="373" t="s">
        <v>677</v>
      </c>
      <c r="K415" s="280"/>
      <c r="L415" s="424"/>
      <c r="M415" s="424"/>
      <c r="N415" s="424"/>
      <c r="O415" s="424"/>
      <c r="P415" s="424"/>
      <c r="Q415" s="424"/>
      <c r="R415" s="424"/>
      <c r="S415" s="424"/>
      <c r="T415" s="424"/>
      <c r="U415" s="304"/>
      <c r="V415" s="304"/>
      <c r="X415" s="304"/>
      <c r="Z415" s="451" t="s">
        <v>794</v>
      </c>
      <c r="AA415" s="349" t="str">
        <f>IF(OR(J416=0, J416&gt;100%),"Enter Shareholder %",$J$41)</f>
        <v>Enter Shareholder %</v>
      </c>
    </row>
    <row r="416" spans="2:28" ht="15.75" thickBot="1">
      <c r="B416" s="1269"/>
      <c r="C416" s="1270"/>
      <c r="D416" s="1270"/>
      <c r="E416" s="1270"/>
      <c r="F416" s="1271"/>
      <c r="G416" s="408" t="s">
        <v>795</v>
      </c>
      <c r="H416" s="376"/>
      <c r="I416" s="377"/>
      <c r="J416" s="378"/>
      <c r="K416" s="280"/>
      <c r="L416" s="424"/>
      <c r="M416" s="424"/>
      <c r="N416" s="424"/>
      <c r="O416" s="424"/>
      <c r="P416" s="424"/>
      <c r="Q416" s="424"/>
      <c r="R416" s="424"/>
      <c r="S416" s="424"/>
      <c r="T416" s="424"/>
      <c r="U416" s="304"/>
      <c r="V416" s="304"/>
      <c r="X416" s="304"/>
      <c r="Z416" s="451" t="s">
        <v>796</v>
      </c>
      <c r="AA416" s="349">
        <f>SUM(H420:H436)</f>
        <v>0</v>
      </c>
    </row>
    <row r="417" spans="2:27">
      <c r="B417" s="1229" t="s">
        <v>744</v>
      </c>
      <c r="C417" s="1273"/>
      <c r="D417" s="1273"/>
      <c r="E417" s="1273"/>
      <c r="F417" s="1273"/>
      <c r="G417" s="455" t="s">
        <v>719</v>
      </c>
      <c r="H417" s="413"/>
      <c r="I417" s="456" t="s">
        <v>719</v>
      </c>
      <c r="J417" s="415"/>
      <c r="K417" s="280"/>
      <c r="L417" s="424"/>
      <c r="M417" s="424"/>
      <c r="N417" s="424"/>
      <c r="O417" s="424"/>
      <c r="P417" s="424"/>
      <c r="Q417" s="424"/>
      <c r="R417" s="424"/>
      <c r="S417" s="424"/>
      <c r="T417" s="424"/>
      <c r="U417" s="304"/>
      <c r="V417" s="304"/>
      <c r="X417" s="304"/>
      <c r="Z417" s="451" t="s">
        <v>797</v>
      </c>
      <c r="AA417" s="362">
        <f>SUM(J420:J436)</f>
        <v>0</v>
      </c>
    </row>
    <row r="418" spans="2:27">
      <c r="B418" s="1384" t="s">
        <v>798</v>
      </c>
      <c r="C418" s="1385"/>
      <c r="D418" s="1385"/>
      <c r="E418" s="1385"/>
      <c r="F418" s="1386"/>
      <c r="G418" s="457"/>
      <c r="H418" s="458">
        <f>G418</f>
        <v>0</v>
      </c>
      <c r="I418" s="457"/>
      <c r="J418" s="400">
        <f>I418</f>
        <v>0</v>
      </c>
      <c r="K418" s="280"/>
      <c r="L418" s="424"/>
      <c r="M418" s="424"/>
      <c r="N418" s="424"/>
      <c r="O418" s="424"/>
      <c r="P418" s="424"/>
      <c r="Q418" s="424"/>
      <c r="R418" s="424"/>
      <c r="S418" s="424"/>
      <c r="T418" s="424"/>
      <c r="U418" s="304"/>
      <c r="V418" s="304"/>
      <c r="X418" s="304"/>
    </row>
    <row r="419" spans="2:27">
      <c r="B419" s="1398">
        <v>1120</v>
      </c>
      <c r="C419" s="1399"/>
      <c r="D419" s="1399"/>
      <c r="E419" s="1399"/>
      <c r="F419" s="1399"/>
      <c r="G419" s="350"/>
      <c r="H419" s="389"/>
      <c r="I419" s="350"/>
      <c r="J419" s="390"/>
      <c r="K419" s="280"/>
      <c r="L419" s="424"/>
      <c r="M419" s="424"/>
      <c r="N419" s="424"/>
      <c r="O419" s="424"/>
      <c r="P419" s="424"/>
      <c r="Q419" s="424"/>
      <c r="R419" s="424"/>
      <c r="S419" s="424"/>
      <c r="T419" s="424"/>
      <c r="U419" s="304"/>
      <c r="V419" s="304"/>
      <c r="X419" s="304"/>
      <c r="Z419" s="451" t="s">
        <v>799</v>
      </c>
      <c r="AA419" s="280">
        <f>IF(OR(H416=0, H416=10%), 0, 1)</f>
        <v>0</v>
      </c>
    </row>
    <row r="420" spans="2:27">
      <c r="B420" s="1384" t="s">
        <v>800</v>
      </c>
      <c r="C420" s="1385"/>
      <c r="D420" s="1385"/>
      <c r="E420" s="1385"/>
      <c r="F420" s="1386"/>
      <c r="G420" s="459"/>
      <c r="H420" s="387" t="str">
        <f>AA411</f>
        <v>Shareholder %</v>
      </c>
      <c r="I420" s="346"/>
      <c r="J420" s="388" t="str">
        <f>AA412</f>
        <v>Shareholder %</v>
      </c>
      <c r="K420" s="280"/>
      <c r="L420" s="424"/>
      <c r="M420" s="424"/>
      <c r="N420" s="424"/>
      <c r="O420" s="424"/>
      <c r="P420" s="424"/>
      <c r="Q420" s="424"/>
      <c r="R420" s="424"/>
      <c r="S420" s="424"/>
      <c r="T420" s="424"/>
      <c r="U420" s="304"/>
      <c r="V420" s="304"/>
      <c r="X420" s="304"/>
      <c r="Z420" s="451" t="s">
        <v>801</v>
      </c>
      <c r="AA420" s="280">
        <f>IF(OR(J416=0, J416+100%), 0, 1)</f>
        <v>0</v>
      </c>
    </row>
    <row r="421" spans="2:27">
      <c r="B421" s="1297" t="s">
        <v>802</v>
      </c>
      <c r="C421" s="1298"/>
      <c r="D421" s="1298"/>
      <c r="E421" s="1298"/>
      <c r="F421" s="1298"/>
      <c r="G421" s="460"/>
      <c r="H421" s="416"/>
      <c r="I421" s="460"/>
      <c r="J421" s="417"/>
      <c r="K421" s="280"/>
      <c r="L421" s="424"/>
      <c r="M421" s="424"/>
      <c r="N421" s="424"/>
      <c r="O421" s="424"/>
      <c r="P421" s="424"/>
      <c r="Q421" s="424"/>
      <c r="R421" s="424"/>
      <c r="S421" s="424"/>
      <c r="T421" s="424"/>
      <c r="U421" s="304"/>
      <c r="V421" s="304"/>
      <c r="X421" s="304"/>
      <c r="Z421" s="451" t="s">
        <v>803</v>
      </c>
      <c r="AA421" s="362">
        <f>G437/12</f>
        <v>0</v>
      </c>
    </row>
    <row r="422" spans="2:27">
      <c r="B422" s="1387" t="s">
        <v>804</v>
      </c>
      <c r="C422" s="1388"/>
      <c r="D422" s="1388"/>
      <c r="E422" s="1388"/>
      <c r="F422" s="1389"/>
      <c r="G422" s="461"/>
      <c r="H422" s="419">
        <f>(G422*H416)*-1</f>
        <v>0</v>
      </c>
      <c r="I422" s="461"/>
      <c r="J422" s="420">
        <f>(I422*J416)*-1</f>
        <v>0</v>
      </c>
      <c r="K422" s="280"/>
      <c r="L422" s="424"/>
      <c r="M422" s="424"/>
      <c r="N422" s="424"/>
      <c r="O422" s="424"/>
      <c r="P422" s="424"/>
      <c r="Q422" s="424"/>
      <c r="R422" s="424"/>
      <c r="S422" s="424"/>
      <c r="T422" s="424"/>
      <c r="U422" s="304"/>
      <c r="V422" s="304"/>
      <c r="X422" s="304"/>
      <c r="Z422" s="451" t="s">
        <v>805</v>
      </c>
      <c r="AA422" s="362">
        <f>(G437+I437)/24</f>
        <v>0</v>
      </c>
    </row>
    <row r="423" spans="2:27">
      <c r="B423" s="1390" t="s">
        <v>806</v>
      </c>
      <c r="C423" s="1391"/>
      <c r="D423" s="1391"/>
      <c r="E423" s="1391"/>
      <c r="F423" s="1392"/>
      <c r="G423" s="461"/>
      <c r="H423" s="419">
        <f>(G423*H416)*-1</f>
        <v>0</v>
      </c>
      <c r="I423" s="461"/>
      <c r="J423" s="420">
        <f>(I423*J416)*-1</f>
        <v>0</v>
      </c>
      <c r="K423" s="280"/>
      <c r="L423" s="424"/>
      <c r="M423" s="424"/>
      <c r="N423" s="424"/>
      <c r="O423" s="424"/>
      <c r="P423" s="424"/>
      <c r="Q423" s="424"/>
      <c r="R423" s="424"/>
      <c r="S423" s="424"/>
      <c r="T423" s="424"/>
      <c r="U423" s="304"/>
      <c r="V423" s="304"/>
      <c r="X423" s="304"/>
      <c r="Z423" s="451"/>
    </row>
    <row r="424" spans="2:27">
      <c r="B424" s="1302" t="s">
        <v>807</v>
      </c>
      <c r="C424" s="1303"/>
      <c r="D424" s="1303"/>
      <c r="E424" s="1303"/>
      <c r="F424" s="1304"/>
      <c r="G424" s="461"/>
      <c r="H424" s="419">
        <f>(G424*H416)*-1</f>
        <v>0</v>
      </c>
      <c r="I424" s="461"/>
      <c r="J424" s="420">
        <f>(I424*J416)*-1</f>
        <v>0</v>
      </c>
      <c r="K424" s="280"/>
      <c r="L424" s="424"/>
      <c r="M424" s="424"/>
      <c r="N424" s="424"/>
      <c r="O424" s="424"/>
      <c r="P424" s="424"/>
      <c r="Q424" s="424"/>
      <c r="R424" s="424"/>
      <c r="S424" s="424"/>
      <c r="T424" s="424"/>
      <c r="U424" s="304"/>
      <c r="V424" s="304"/>
      <c r="X424" s="304"/>
      <c r="Z424" s="451" t="s">
        <v>808</v>
      </c>
      <c r="AA424" s="280">
        <f>IF(AND(J418=0, J420=0, J422=0, J423=0, J424=0, J426=0, J427=0, J428=0, J429=0, J431=0, J432=0, J433=0, J434=0, J436=0, I437=0), 0, 1)</f>
        <v>1</v>
      </c>
    </row>
    <row r="425" spans="2:27">
      <c r="B425" s="1229" t="s">
        <v>809</v>
      </c>
      <c r="C425" s="1230"/>
      <c r="D425" s="1230"/>
      <c r="E425" s="1230"/>
      <c r="F425" s="1230"/>
      <c r="G425" s="350"/>
      <c r="H425" s="351"/>
      <c r="I425" s="350"/>
      <c r="J425" s="352"/>
      <c r="K425" s="280"/>
      <c r="L425" s="424"/>
      <c r="M425" s="424"/>
      <c r="N425" s="424"/>
      <c r="O425" s="424"/>
      <c r="P425" s="424"/>
      <c r="Q425" s="424"/>
      <c r="R425" s="424"/>
      <c r="S425" s="424"/>
      <c r="T425" s="424"/>
      <c r="U425" s="304"/>
      <c r="V425" s="304"/>
      <c r="X425" s="304"/>
      <c r="Z425" s="451" t="s">
        <v>810</v>
      </c>
      <c r="AA425" s="280">
        <f>IF(AND(G437&lt;=I437, I437&lt;&gt;0), 0, 1)</f>
        <v>1</v>
      </c>
    </row>
    <row r="426" spans="2:27">
      <c r="B426" s="1243" t="s">
        <v>811</v>
      </c>
      <c r="C426" s="1244"/>
      <c r="D426" s="1244"/>
      <c r="E426" s="1244"/>
      <c r="F426" s="1245"/>
      <c r="G426" s="346"/>
      <c r="H426" s="384">
        <f>G426*H416</f>
        <v>0</v>
      </c>
      <c r="I426" s="346"/>
      <c r="J426" s="385">
        <f>I426*J416</f>
        <v>0</v>
      </c>
      <c r="K426" s="280"/>
      <c r="L426" s="424"/>
      <c r="M426" s="424"/>
      <c r="N426" s="424"/>
      <c r="O426" s="424"/>
      <c r="P426" s="424"/>
      <c r="Q426" s="424"/>
      <c r="R426" s="424"/>
      <c r="S426" s="424"/>
      <c r="T426" s="424"/>
      <c r="U426" s="304"/>
      <c r="V426" s="304"/>
      <c r="X426" s="304"/>
      <c r="Z426" s="451" t="s">
        <v>812</v>
      </c>
      <c r="AA426" s="280">
        <f>IF(AND(AA425=0, AA424=1), 0, 1)</f>
        <v>1</v>
      </c>
    </row>
    <row r="427" spans="2:27">
      <c r="B427" s="1381" t="s">
        <v>813</v>
      </c>
      <c r="C427" s="1224"/>
      <c r="D427" s="1224"/>
      <c r="E427" s="1224"/>
      <c r="F427" s="1225"/>
      <c r="G427" s="346"/>
      <c r="H427" s="384">
        <f>G427*H416</f>
        <v>0</v>
      </c>
      <c r="I427" s="346"/>
      <c r="J427" s="385">
        <f>I427*J416</f>
        <v>0</v>
      </c>
      <c r="K427" s="280"/>
      <c r="L427" s="424"/>
      <c r="M427" s="424"/>
      <c r="N427" s="424"/>
      <c r="O427" s="424"/>
      <c r="P427" s="424"/>
      <c r="Q427" s="424"/>
      <c r="R427" s="424"/>
      <c r="S427" s="424"/>
      <c r="T427" s="424"/>
      <c r="U427" s="304"/>
      <c r="X427" s="304"/>
    </row>
    <row r="428" spans="2:27">
      <c r="B428" s="1223" t="s">
        <v>814</v>
      </c>
      <c r="C428" s="1224"/>
      <c r="D428" s="1224"/>
      <c r="E428" s="1224"/>
      <c r="F428" s="1225"/>
      <c r="G428" s="346"/>
      <c r="H428" s="384">
        <f>G428*H416</f>
        <v>0</v>
      </c>
      <c r="I428" s="346"/>
      <c r="J428" s="385">
        <f>I428*J416</f>
        <v>0</v>
      </c>
      <c r="K428" s="280"/>
      <c r="L428" s="424"/>
      <c r="M428" s="424"/>
      <c r="N428" s="424"/>
      <c r="O428" s="424"/>
      <c r="P428" s="424"/>
      <c r="Q428" s="424"/>
      <c r="R428" s="424"/>
      <c r="S428" s="424"/>
      <c r="T428" s="424"/>
      <c r="U428" s="304"/>
      <c r="X428" s="304"/>
      <c r="AA428" s="349" t="s">
        <v>596</v>
      </c>
    </row>
    <row r="429" spans="2:27">
      <c r="B429" s="1226" t="s">
        <v>825</v>
      </c>
      <c r="C429" s="1227"/>
      <c r="D429" s="1227"/>
      <c r="E429" s="1227"/>
      <c r="F429" s="1228"/>
      <c r="G429" s="346"/>
      <c r="H429" s="384">
        <f>G429*H416</f>
        <v>0</v>
      </c>
      <c r="I429" s="346"/>
      <c r="J429" s="385">
        <f>I429*J416</f>
        <v>0</v>
      </c>
      <c r="K429" s="280"/>
      <c r="L429" s="424"/>
      <c r="M429" s="424"/>
      <c r="N429" s="424"/>
      <c r="O429" s="424"/>
      <c r="P429" s="424"/>
      <c r="Q429" s="424"/>
      <c r="R429" s="424"/>
      <c r="S429" s="424"/>
      <c r="T429" s="424"/>
      <c r="U429" s="304"/>
      <c r="X429" s="304"/>
      <c r="Z429" s="462"/>
      <c r="AA429" s="349" t="s">
        <v>683</v>
      </c>
    </row>
    <row r="430" spans="2:27">
      <c r="B430" s="1229" t="s">
        <v>816</v>
      </c>
      <c r="C430" s="1230"/>
      <c r="D430" s="1230"/>
      <c r="E430" s="1230"/>
      <c r="F430" s="1230"/>
      <c r="G430" s="351"/>
      <c r="H430" s="351"/>
      <c r="I430" s="351"/>
      <c r="J430" s="352"/>
      <c r="K430" s="280"/>
      <c r="L430" s="424"/>
      <c r="M430" s="424"/>
      <c r="N430" s="424"/>
      <c r="O430" s="424"/>
      <c r="P430" s="424"/>
      <c r="Q430" s="424"/>
      <c r="R430" s="424"/>
      <c r="S430" s="424"/>
      <c r="T430" s="424"/>
      <c r="U430" s="304"/>
      <c r="X430" s="304"/>
      <c r="AA430" s="349" t="s">
        <v>599</v>
      </c>
    </row>
    <row r="431" spans="2:27">
      <c r="B431" s="1231" t="s">
        <v>817</v>
      </c>
      <c r="C431" s="1382"/>
      <c r="D431" s="1382"/>
      <c r="E431" s="1382"/>
      <c r="F431" s="1383"/>
      <c r="G431" s="346"/>
      <c r="H431" s="359">
        <f>(G431*H416)*-1</f>
        <v>0</v>
      </c>
      <c r="I431" s="346"/>
      <c r="J431" s="400">
        <f>(I431*J416)*-1</f>
        <v>0</v>
      </c>
      <c r="K431" s="280"/>
      <c r="L431" s="424"/>
      <c r="M431" s="424"/>
      <c r="N431" s="424"/>
      <c r="O431" s="424"/>
      <c r="P431" s="424"/>
      <c r="Q431" s="424"/>
      <c r="R431" s="424"/>
      <c r="S431" s="424"/>
      <c r="T431" s="424"/>
      <c r="U431" s="304"/>
      <c r="X431" s="304"/>
      <c r="AA431" s="349" t="s">
        <v>603</v>
      </c>
    </row>
    <row r="432" spans="2:27" ht="28.5" customHeight="1">
      <c r="B432" s="1369" t="s">
        <v>818</v>
      </c>
      <c r="C432" s="1370"/>
      <c r="D432" s="1370"/>
      <c r="E432" s="1370"/>
      <c r="F432" s="1371"/>
      <c r="G432" s="346"/>
      <c r="H432" s="359">
        <f>G432*H416*-1</f>
        <v>0</v>
      </c>
      <c r="I432" s="346"/>
      <c r="J432" s="400">
        <f>(I432*J416)*-1</f>
        <v>0</v>
      </c>
      <c r="K432" s="280"/>
      <c r="L432" s="424"/>
      <c r="M432" s="424"/>
      <c r="N432" s="424"/>
      <c r="O432" s="424"/>
      <c r="P432" s="424"/>
      <c r="Q432" s="424"/>
      <c r="R432" s="424"/>
      <c r="S432" s="424"/>
      <c r="T432" s="424"/>
      <c r="U432" s="304"/>
      <c r="X432" s="304"/>
      <c r="AA432" s="349" t="s">
        <v>605</v>
      </c>
    </row>
    <row r="433" spans="2:28">
      <c r="B433" s="1372" t="s">
        <v>819</v>
      </c>
      <c r="C433" s="1373"/>
      <c r="D433" s="1373"/>
      <c r="E433" s="1373"/>
      <c r="F433" s="1374"/>
      <c r="G433" s="346"/>
      <c r="H433" s="359">
        <f>G433*H416*-1</f>
        <v>0</v>
      </c>
      <c r="I433" s="346"/>
      <c r="J433" s="400">
        <f>I433*J416*-1</f>
        <v>0</v>
      </c>
      <c r="K433" s="280"/>
      <c r="L433" s="424"/>
      <c r="M433" s="424"/>
      <c r="N433" s="424"/>
      <c r="O433" s="424"/>
      <c r="P433" s="424"/>
      <c r="Q433" s="424"/>
      <c r="R433" s="424"/>
      <c r="S433" s="424"/>
      <c r="T433" s="424"/>
      <c r="U433" s="304"/>
    </row>
    <row r="434" spans="2:28">
      <c r="B434" s="1375" t="s">
        <v>820</v>
      </c>
      <c r="C434" s="1376"/>
      <c r="D434" s="1376"/>
      <c r="E434" s="1376"/>
      <c r="F434" s="1377"/>
      <c r="G434" s="346"/>
      <c r="H434" s="359">
        <f>G434*H416*-1</f>
        <v>0</v>
      </c>
      <c r="I434" s="346"/>
      <c r="J434" s="359">
        <f>I434*J416*-1</f>
        <v>0</v>
      </c>
      <c r="K434" s="280"/>
      <c r="L434" s="424"/>
      <c r="M434" s="424"/>
      <c r="N434" s="424"/>
      <c r="O434" s="424"/>
      <c r="P434" s="424"/>
      <c r="Q434" s="424"/>
      <c r="R434" s="424"/>
      <c r="S434" s="424"/>
      <c r="T434" s="424"/>
      <c r="U434" s="304"/>
    </row>
    <row r="435" spans="2:28" ht="15" customHeight="1">
      <c r="B435" s="1378" t="s">
        <v>735</v>
      </c>
      <c r="C435" s="1379"/>
      <c r="D435" s="1379"/>
      <c r="E435" s="1379"/>
      <c r="F435" s="1379"/>
      <c r="G435" s="350"/>
      <c r="H435" s="389"/>
      <c r="I435" s="350"/>
      <c r="J435" s="390"/>
      <c r="K435" s="280"/>
      <c r="L435" s="424"/>
      <c r="M435" s="424"/>
      <c r="N435" s="424"/>
      <c r="O435" s="424"/>
      <c r="P435" s="424"/>
      <c r="Q435" s="424"/>
      <c r="R435" s="424"/>
      <c r="S435" s="424"/>
      <c r="T435" s="424"/>
      <c r="U435" s="304"/>
    </row>
    <row r="436" spans="2:28">
      <c r="B436" s="1380" t="s">
        <v>821</v>
      </c>
      <c r="C436" s="1370"/>
      <c r="D436" s="1370"/>
      <c r="E436" s="1370"/>
      <c r="F436" s="1371"/>
      <c r="G436" s="346"/>
      <c r="H436" s="359">
        <f>(G436*H416)</f>
        <v>0</v>
      </c>
      <c r="I436" s="346"/>
      <c r="J436" s="400">
        <f>(I436*J416)</f>
        <v>0</v>
      </c>
      <c r="K436" s="280"/>
      <c r="L436" s="424"/>
      <c r="M436" s="424"/>
      <c r="N436" s="424"/>
      <c r="O436" s="424"/>
      <c r="P436" s="424"/>
      <c r="Q436" s="424"/>
      <c r="R436" s="424"/>
      <c r="S436" s="424"/>
      <c r="T436" s="424"/>
      <c r="U436" s="304"/>
    </row>
    <row r="437" spans="2:28">
      <c r="B437" s="1158" t="s">
        <v>822</v>
      </c>
      <c r="C437" s="1159"/>
      <c r="D437" s="1159"/>
      <c r="E437" s="1159"/>
      <c r="F437" s="1160"/>
      <c r="G437" s="1359">
        <f>SUM(H418:H436)</f>
        <v>0</v>
      </c>
      <c r="H437" s="1360"/>
      <c r="I437" s="1361">
        <f>SUM(J418:J436)</f>
        <v>0</v>
      </c>
      <c r="J437" s="1362"/>
      <c r="K437" s="280"/>
      <c r="L437" s="424"/>
      <c r="M437" s="424"/>
      <c r="N437" s="424"/>
      <c r="O437" s="424"/>
      <c r="P437" s="424"/>
      <c r="Q437" s="424"/>
      <c r="R437" s="424"/>
      <c r="S437" s="424"/>
      <c r="T437" s="424"/>
      <c r="U437" s="304"/>
    </row>
    <row r="438" spans="2:28" ht="18.75">
      <c r="B438" s="1363" t="s">
        <v>823</v>
      </c>
      <c r="C438" s="1364"/>
      <c r="D438" s="1364"/>
      <c r="E438" s="1364"/>
      <c r="F438" s="1365"/>
      <c r="G438" s="1161" t="str">
        <f>IF(OR(AA426=0, I437=0), "12 Month Average", "24 Month Average")</f>
        <v>12 Month Average</v>
      </c>
      <c r="H438" s="1162"/>
      <c r="I438" s="1162"/>
      <c r="J438" s="1163"/>
      <c r="K438" s="280"/>
      <c r="L438" s="424"/>
      <c r="M438" s="424"/>
      <c r="N438" s="424"/>
      <c r="O438" s="424"/>
      <c r="P438" s="424"/>
      <c r="Q438" s="424"/>
      <c r="R438" s="424"/>
      <c r="S438" s="424"/>
      <c r="T438" s="424"/>
      <c r="U438" s="304"/>
    </row>
    <row r="439" spans="2:28" ht="34.5" thickBot="1">
      <c r="B439" s="1366" t="s">
        <v>824</v>
      </c>
      <c r="C439" s="1367"/>
      <c r="D439" s="1367"/>
      <c r="E439" s="1367"/>
      <c r="F439" s="1368"/>
      <c r="G439" s="1167">
        <f>IF(OR(AA426=0, I437=0), AA421, AA422)</f>
        <v>0</v>
      </c>
      <c r="H439" s="1168"/>
      <c r="I439" s="1168"/>
      <c r="J439" s="1169"/>
      <c r="L439" s="424"/>
      <c r="M439" s="424"/>
      <c r="N439" s="424"/>
      <c r="O439" s="424"/>
      <c r="P439" s="424"/>
      <c r="Q439" s="424"/>
      <c r="R439" s="424"/>
      <c r="S439" s="424"/>
      <c r="T439" s="424"/>
      <c r="U439" s="304"/>
    </row>
    <row r="440" spans="2:28" ht="9" customHeight="1" thickBot="1">
      <c r="H440" s="330"/>
      <c r="I440" s="330"/>
      <c r="L440" s="424"/>
      <c r="M440" s="424"/>
      <c r="N440" s="424"/>
      <c r="O440" s="424"/>
      <c r="P440" s="424"/>
      <c r="Q440" s="424"/>
      <c r="R440" s="424"/>
      <c r="S440" s="424"/>
      <c r="T440" s="424"/>
      <c r="U440" s="304"/>
    </row>
    <row r="441" spans="2:28" ht="135" customHeight="1" thickBot="1">
      <c r="B441" s="1148" t="s">
        <v>761</v>
      </c>
      <c r="C441" s="1285"/>
      <c r="D441" s="1285"/>
      <c r="E441" s="1285"/>
      <c r="F441" s="1285"/>
      <c r="G441" s="1285"/>
      <c r="H441" s="1285"/>
      <c r="I441" s="1285"/>
      <c r="J441" s="1286"/>
      <c r="L441" s="424"/>
      <c r="M441" s="424"/>
      <c r="N441" s="424"/>
      <c r="O441" s="424"/>
      <c r="P441" s="424"/>
      <c r="Q441" s="424"/>
      <c r="R441" s="424"/>
      <c r="S441" s="424"/>
      <c r="T441" s="424"/>
      <c r="U441" s="304"/>
    </row>
    <row r="442" spans="2:28" ht="9" customHeight="1">
      <c r="B442" s="304"/>
      <c r="C442" s="304"/>
      <c r="D442" s="304"/>
      <c r="E442" s="304"/>
      <c r="F442" s="304"/>
      <c r="G442" s="304"/>
      <c r="H442" s="304"/>
      <c r="I442" s="304"/>
      <c r="L442" s="304"/>
      <c r="M442" s="304"/>
      <c r="N442" s="304"/>
      <c r="O442" s="304"/>
      <c r="P442" s="304"/>
      <c r="Q442" s="304"/>
      <c r="R442" s="304"/>
      <c r="S442" s="304"/>
      <c r="T442" s="304"/>
      <c r="U442" s="304"/>
    </row>
    <row r="443" spans="2:28" ht="13.5" customHeight="1" thickBot="1"/>
    <row r="444" spans="2:28" ht="82.5" customHeight="1">
      <c r="B444" s="1187" t="s">
        <v>791</v>
      </c>
      <c r="C444" s="1188"/>
      <c r="D444" s="1188"/>
      <c r="E444" s="1188"/>
      <c r="F444" s="1188"/>
      <c r="G444" s="1188"/>
      <c r="H444" s="1188"/>
      <c r="I444" s="1188"/>
      <c r="J444" s="331" t="str">
        <f>'[3]Reference Sheet'!$B$2</f>
        <v>Rev. 4.12.2016</v>
      </c>
      <c r="L444" s="424"/>
      <c r="M444" s="424"/>
      <c r="N444" s="424"/>
      <c r="O444" s="424"/>
      <c r="P444" s="424"/>
      <c r="Q444" s="424"/>
      <c r="R444" s="424"/>
      <c r="S444" s="424"/>
      <c r="T444" s="424"/>
      <c r="U444" s="304"/>
    </row>
    <row r="445" spans="2:28" ht="17.25" customHeight="1" thickBot="1">
      <c r="B445" s="332"/>
      <c r="C445" s="368" t="s">
        <v>710</v>
      </c>
      <c r="D445" s="1400"/>
      <c r="E445" s="1401"/>
      <c r="F445" s="1401"/>
      <c r="G445" s="1401"/>
      <c r="H445" s="333"/>
      <c r="I445" s="333"/>
      <c r="J445" s="334"/>
      <c r="L445" s="424"/>
      <c r="M445" s="424"/>
      <c r="N445" s="424"/>
      <c r="O445" s="424"/>
      <c r="P445" s="424"/>
      <c r="Q445" s="424"/>
      <c r="R445" s="424"/>
      <c r="S445" s="424"/>
      <c r="T445" s="424"/>
      <c r="U445" s="304"/>
      <c r="X445" s="304"/>
      <c r="Z445" s="451" t="s">
        <v>717</v>
      </c>
      <c r="AA445" s="451" t="str">
        <f>IF(OR(H450=0, H450&gt;100%), "Shareholder %", G454*H450)</f>
        <v>Shareholder %</v>
      </c>
    </row>
    <row r="446" spans="2:28" ht="17.25" customHeight="1" thickBot="1">
      <c r="B446" s="332"/>
      <c r="C446" s="368" t="s">
        <v>711</v>
      </c>
      <c r="D446" s="1402"/>
      <c r="E446" s="1403"/>
      <c r="F446" s="1403"/>
      <c r="G446" s="1403"/>
      <c r="H446" s="368" t="s">
        <v>712</v>
      </c>
      <c r="I446" s="1400"/>
      <c r="J446" s="1404"/>
      <c r="L446" s="424"/>
      <c r="M446" s="424"/>
      <c r="N446" s="424"/>
      <c r="O446" s="424"/>
      <c r="P446" s="424"/>
      <c r="Q446" s="424"/>
      <c r="R446" s="424"/>
      <c r="S446" s="424"/>
      <c r="T446" s="424"/>
      <c r="U446" s="304"/>
      <c r="X446" s="304"/>
      <c r="Z446" s="451" t="s">
        <v>720</v>
      </c>
      <c r="AA446" s="451" t="str">
        <f>IF(OR(J450&gt;100%, J450=0), "Shareholder %", I454*J450)</f>
        <v>Shareholder %</v>
      </c>
    </row>
    <row r="447" spans="2:28" s="404" customFormat="1" ht="16.5" thickBot="1">
      <c r="B447" s="1393" t="s">
        <v>671</v>
      </c>
      <c r="C447" s="1394"/>
      <c r="D447" s="1405"/>
      <c r="E447" s="1406"/>
      <c r="F447" s="1406"/>
      <c r="G447" s="1406"/>
      <c r="H447" s="452" t="s">
        <v>673</v>
      </c>
      <c r="I447" s="1407"/>
      <c r="J447" s="1408"/>
      <c r="L447" s="424"/>
      <c r="M447" s="424"/>
      <c r="N447" s="424"/>
      <c r="O447" s="424"/>
      <c r="P447" s="424"/>
      <c r="Q447" s="424"/>
      <c r="R447" s="424"/>
      <c r="S447" s="424"/>
      <c r="T447" s="424"/>
      <c r="U447" s="367"/>
      <c r="X447" s="304"/>
      <c r="Y447" s="280"/>
      <c r="Z447" s="451"/>
      <c r="AA447" s="451"/>
      <c r="AB447" s="405"/>
    </row>
    <row r="448" spans="2:28" s="404" customFormat="1" ht="16.5" thickBot="1">
      <c r="B448" s="1393" t="s">
        <v>674</v>
      </c>
      <c r="C448" s="1394"/>
      <c r="D448" s="1395"/>
      <c r="E448" s="1396"/>
      <c r="F448" s="1396"/>
      <c r="G448" s="1396"/>
      <c r="H448" s="1396"/>
      <c r="I448" s="1396"/>
      <c r="J448" s="1397"/>
      <c r="K448" s="405"/>
      <c r="L448" s="424"/>
      <c r="M448" s="424"/>
      <c r="N448" s="424"/>
      <c r="O448" s="424"/>
      <c r="P448" s="424"/>
      <c r="Q448" s="424"/>
      <c r="R448" s="424"/>
      <c r="S448" s="424"/>
      <c r="T448" s="424"/>
      <c r="U448" s="367"/>
      <c r="X448" s="304"/>
      <c r="Y448" s="280"/>
      <c r="Z448" s="451" t="s">
        <v>793</v>
      </c>
      <c r="AA448" s="349" t="str">
        <f>IF(OR(H450=0, H450&gt;100%),"Enter Shareholder %",$J$40)</f>
        <v>Enter Shareholder %</v>
      </c>
      <c r="AB448" s="405"/>
    </row>
    <row r="449" spans="2:27">
      <c r="B449" s="1265"/>
      <c r="C449" s="1266"/>
      <c r="D449" s="1266"/>
      <c r="E449" s="1266"/>
      <c r="F449" s="1267"/>
      <c r="G449" s="453" t="s">
        <v>713</v>
      </c>
      <c r="H449" s="454" t="s">
        <v>676</v>
      </c>
      <c r="I449" s="342"/>
      <c r="J449" s="373" t="s">
        <v>677</v>
      </c>
      <c r="K449" s="280"/>
      <c r="L449" s="424"/>
      <c r="M449" s="424"/>
      <c r="N449" s="424"/>
      <c r="O449" s="424"/>
      <c r="P449" s="424"/>
      <c r="Q449" s="424"/>
      <c r="R449" s="424"/>
      <c r="S449" s="424"/>
      <c r="T449" s="424"/>
      <c r="U449" s="304"/>
      <c r="V449" s="304"/>
      <c r="X449" s="304"/>
      <c r="Z449" s="451" t="s">
        <v>794</v>
      </c>
      <c r="AA449" s="349" t="str">
        <f>IF(OR(J450=0, J450&gt;100%),"Enter Shareholder %",$J$41)</f>
        <v>Enter Shareholder %</v>
      </c>
    </row>
    <row r="450" spans="2:27" ht="15.75" thickBot="1">
      <c r="B450" s="1269"/>
      <c r="C450" s="1270"/>
      <c r="D450" s="1270"/>
      <c r="E450" s="1270"/>
      <c r="F450" s="1271"/>
      <c r="G450" s="408" t="s">
        <v>795</v>
      </c>
      <c r="H450" s="376"/>
      <c r="I450" s="377"/>
      <c r="J450" s="378"/>
      <c r="K450" s="280"/>
      <c r="L450" s="424"/>
      <c r="M450" s="424"/>
      <c r="N450" s="424"/>
      <c r="O450" s="424"/>
      <c r="P450" s="424"/>
      <c r="Q450" s="424"/>
      <c r="R450" s="424"/>
      <c r="S450" s="424"/>
      <c r="T450" s="424"/>
      <c r="U450" s="304"/>
      <c r="V450" s="304"/>
      <c r="X450" s="304"/>
      <c r="Z450" s="451" t="s">
        <v>796</v>
      </c>
      <c r="AA450" s="349">
        <f>SUM(H454:H470)</f>
        <v>0</v>
      </c>
    </row>
    <row r="451" spans="2:27">
      <c r="B451" s="1229" t="s">
        <v>744</v>
      </c>
      <c r="C451" s="1273"/>
      <c r="D451" s="1273"/>
      <c r="E451" s="1273"/>
      <c r="F451" s="1273"/>
      <c r="G451" s="455" t="s">
        <v>719</v>
      </c>
      <c r="H451" s="413"/>
      <c r="I451" s="456" t="s">
        <v>719</v>
      </c>
      <c r="J451" s="415"/>
      <c r="K451" s="280"/>
      <c r="L451" s="424"/>
      <c r="M451" s="424"/>
      <c r="N451" s="424"/>
      <c r="O451" s="424"/>
      <c r="P451" s="424"/>
      <c r="Q451" s="424"/>
      <c r="R451" s="424"/>
      <c r="S451" s="424"/>
      <c r="T451" s="424"/>
      <c r="U451" s="304"/>
      <c r="V451" s="304"/>
      <c r="X451" s="304"/>
      <c r="Z451" s="451" t="s">
        <v>797</v>
      </c>
      <c r="AA451" s="362">
        <f>SUM(J454:J470)</f>
        <v>0</v>
      </c>
    </row>
    <row r="452" spans="2:27">
      <c r="B452" s="1384" t="s">
        <v>798</v>
      </c>
      <c r="C452" s="1385"/>
      <c r="D452" s="1385"/>
      <c r="E452" s="1385"/>
      <c r="F452" s="1386"/>
      <c r="G452" s="457"/>
      <c r="H452" s="458">
        <f>G452</f>
        <v>0</v>
      </c>
      <c r="I452" s="457"/>
      <c r="J452" s="400">
        <f>I452</f>
        <v>0</v>
      </c>
      <c r="K452" s="280"/>
      <c r="L452" s="424"/>
      <c r="M452" s="424"/>
      <c r="N452" s="424"/>
      <c r="O452" s="424"/>
      <c r="P452" s="424"/>
      <c r="Q452" s="424"/>
      <c r="R452" s="424"/>
      <c r="S452" s="424"/>
      <c r="T452" s="424"/>
      <c r="U452" s="304"/>
      <c r="V452" s="304"/>
      <c r="X452" s="304"/>
    </row>
    <row r="453" spans="2:27">
      <c r="B453" s="1398">
        <v>1120</v>
      </c>
      <c r="C453" s="1399"/>
      <c r="D453" s="1399"/>
      <c r="E453" s="1399"/>
      <c r="F453" s="1399"/>
      <c r="G453" s="350"/>
      <c r="H453" s="389"/>
      <c r="I453" s="350"/>
      <c r="J453" s="390"/>
      <c r="K453" s="280"/>
      <c r="L453" s="424"/>
      <c r="M453" s="424"/>
      <c r="N453" s="424"/>
      <c r="O453" s="424"/>
      <c r="P453" s="424"/>
      <c r="Q453" s="424"/>
      <c r="R453" s="424"/>
      <c r="S453" s="424"/>
      <c r="T453" s="424"/>
      <c r="U453" s="304"/>
      <c r="V453" s="304"/>
      <c r="X453" s="304"/>
      <c r="Z453" s="451" t="s">
        <v>799</v>
      </c>
      <c r="AA453" s="280">
        <f>IF(OR(H450=0, H450=10%), 0, 1)</f>
        <v>0</v>
      </c>
    </row>
    <row r="454" spans="2:27">
      <c r="B454" s="1384" t="s">
        <v>800</v>
      </c>
      <c r="C454" s="1385"/>
      <c r="D454" s="1385"/>
      <c r="E454" s="1385"/>
      <c r="F454" s="1386"/>
      <c r="G454" s="459"/>
      <c r="H454" s="387" t="str">
        <f>AA445</f>
        <v>Shareholder %</v>
      </c>
      <c r="I454" s="346"/>
      <c r="J454" s="388" t="str">
        <f>AA446</f>
        <v>Shareholder %</v>
      </c>
      <c r="K454" s="280"/>
      <c r="L454" s="424"/>
      <c r="M454" s="424"/>
      <c r="N454" s="424"/>
      <c r="O454" s="424"/>
      <c r="P454" s="424"/>
      <c r="Q454" s="424"/>
      <c r="R454" s="424"/>
      <c r="S454" s="424"/>
      <c r="T454" s="424"/>
      <c r="U454" s="304"/>
      <c r="V454" s="304"/>
      <c r="X454" s="304"/>
      <c r="Z454" s="451" t="s">
        <v>801</v>
      </c>
      <c r="AA454" s="280">
        <f>IF(OR(J450=0, J450+100%), 0, 1)</f>
        <v>0</v>
      </c>
    </row>
    <row r="455" spans="2:27">
      <c r="B455" s="1297" t="s">
        <v>802</v>
      </c>
      <c r="C455" s="1298"/>
      <c r="D455" s="1298"/>
      <c r="E455" s="1298"/>
      <c r="F455" s="1298"/>
      <c r="G455" s="460"/>
      <c r="H455" s="416"/>
      <c r="I455" s="460"/>
      <c r="J455" s="417"/>
      <c r="K455" s="280"/>
      <c r="L455" s="424"/>
      <c r="M455" s="424"/>
      <c r="N455" s="424"/>
      <c r="O455" s="424"/>
      <c r="P455" s="424"/>
      <c r="Q455" s="424"/>
      <c r="R455" s="424"/>
      <c r="S455" s="424"/>
      <c r="T455" s="424"/>
      <c r="U455" s="304"/>
      <c r="V455" s="304"/>
      <c r="X455" s="304"/>
      <c r="Z455" s="451" t="s">
        <v>803</v>
      </c>
      <c r="AA455" s="362">
        <f>G471/12</f>
        <v>0</v>
      </c>
    </row>
    <row r="456" spans="2:27">
      <c r="B456" s="1387" t="s">
        <v>804</v>
      </c>
      <c r="C456" s="1388"/>
      <c r="D456" s="1388"/>
      <c r="E456" s="1388"/>
      <c r="F456" s="1389"/>
      <c r="G456" s="461"/>
      <c r="H456" s="419">
        <f>(G456*H450)*-1</f>
        <v>0</v>
      </c>
      <c r="I456" s="461"/>
      <c r="J456" s="420">
        <f>(I456*J450)*-1</f>
        <v>0</v>
      </c>
      <c r="K456" s="280"/>
      <c r="L456" s="424"/>
      <c r="M456" s="424"/>
      <c r="N456" s="424"/>
      <c r="O456" s="424"/>
      <c r="P456" s="424"/>
      <c r="Q456" s="424"/>
      <c r="R456" s="424"/>
      <c r="S456" s="424"/>
      <c r="T456" s="424"/>
      <c r="U456" s="304"/>
      <c r="V456" s="304"/>
      <c r="X456" s="304"/>
      <c r="Z456" s="451" t="s">
        <v>805</v>
      </c>
      <c r="AA456" s="362">
        <f>(G471+I471)/24</f>
        <v>0</v>
      </c>
    </row>
    <row r="457" spans="2:27">
      <c r="B457" s="1390" t="s">
        <v>806</v>
      </c>
      <c r="C457" s="1391"/>
      <c r="D457" s="1391"/>
      <c r="E457" s="1391"/>
      <c r="F457" s="1392"/>
      <c r="G457" s="461"/>
      <c r="H457" s="419">
        <f>(G457*H450)*-1</f>
        <v>0</v>
      </c>
      <c r="I457" s="461"/>
      <c r="J457" s="420">
        <f>(I457*J450)*-1</f>
        <v>0</v>
      </c>
      <c r="K457" s="280"/>
      <c r="L457" s="424"/>
      <c r="M457" s="424"/>
      <c r="N457" s="424"/>
      <c r="O457" s="424"/>
      <c r="P457" s="424"/>
      <c r="Q457" s="424"/>
      <c r="R457" s="424"/>
      <c r="S457" s="424"/>
      <c r="T457" s="424"/>
      <c r="U457" s="304"/>
      <c r="V457" s="304"/>
      <c r="X457" s="304"/>
      <c r="Z457" s="451"/>
    </row>
    <row r="458" spans="2:27">
      <c r="B458" s="1302" t="s">
        <v>807</v>
      </c>
      <c r="C458" s="1303"/>
      <c r="D458" s="1303"/>
      <c r="E458" s="1303"/>
      <c r="F458" s="1304"/>
      <c r="G458" s="461"/>
      <c r="H458" s="419">
        <f>(G458*H450)*-1</f>
        <v>0</v>
      </c>
      <c r="I458" s="461"/>
      <c r="J458" s="420">
        <f>(I458*J450)*-1</f>
        <v>0</v>
      </c>
      <c r="K458" s="280"/>
      <c r="L458" s="424"/>
      <c r="M458" s="424"/>
      <c r="N458" s="424"/>
      <c r="O458" s="424"/>
      <c r="P458" s="424"/>
      <c r="Q458" s="424"/>
      <c r="R458" s="424"/>
      <c r="S458" s="424"/>
      <c r="T458" s="424"/>
      <c r="U458" s="304"/>
      <c r="V458" s="304"/>
      <c r="X458" s="304"/>
      <c r="Z458" s="451" t="s">
        <v>808</v>
      </c>
      <c r="AA458" s="280">
        <f>IF(AND(J452=0, J454=0, J456=0, J457=0, J458=0, J460=0, J461=0, J462=0, J463=0, J465=0, J466=0, J467=0, J468=0, J470=0, I471=0), 0, 1)</f>
        <v>1</v>
      </c>
    </row>
    <row r="459" spans="2:27">
      <c r="B459" s="1229" t="s">
        <v>809</v>
      </c>
      <c r="C459" s="1230"/>
      <c r="D459" s="1230"/>
      <c r="E459" s="1230"/>
      <c r="F459" s="1230"/>
      <c r="G459" s="350"/>
      <c r="H459" s="351"/>
      <c r="I459" s="350"/>
      <c r="J459" s="352"/>
      <c r="K459" s="280"/>
      <c r="L459" s="424"/>
      <c r="M459" s="424"/>
      <c r="N459" s="424"/>
      <c r="O459" s="424"/>
      <c r="P459" s="424"/>
      <c r="Q459" s="424"/>
      <c r="R459" s="424"/>
      <c r="S459" s="424"/>
      <c r="T459" s="424"/>
      <c r="U459" s="304"/>
      <c r="V459" s="304"/>
      <c r="X459" s="304"/>
      <c r="Z459" s="451" t="s">
        <v>810</v>
      </c>
      <c r="AA459" s="280">
        <f>IF(AND(G471&lt;=I471, I471&lt;&gt;0), 0, 1)</f>
        <v>1</v>
      </c>
    </row>
    <row r="460" spans="2:27">
      <c r="B460" s="1243" t="s">
        <v>811</v>
      </c>
      <c r="C460" s="1244"/>
      <c r="D460" s="1244"/>
      <c r="E460" s="1244"/>
      <c r="F460" s="1245"/>
      <c r="G460" s="346"/>
      <c r="H460" s="384">
        <f>G460*H450</f>
        <v>0</v>
      </c>
      <c r="I460" s="346"/>
      <c r="J460" s="385">
        <f>I460*J450</f>
        <v>0</v>
      </c>
      <c r="K460" s="280"/>
      <c r="L460" s="424"/>
      <c r="M460" s="424"/>
      <c r="N460" s="424"/>
      <c r="O460" s="424"/>
      <c r="P460" s="424"/>
      <c r="Q460" s="424"/>
      <c r="R460" s="424"/>
      <c r="S460" s="424"/>
      <c r="T460" s="424"/>
      <c r="U460" s="304"/>
      <c r="V460" s="304"/>
      <c r="X460" s="304"/>
      <c r="Z460" s="451" t="s">
        <v>812</v>
      </c>
      <c r="AA460" s="280">
        <f>IF(AND(AA459=0, AA458=1), 0, 1)</f>
        <v>1</v>
      </c>
    </row>
    <row r="461" spans="2:27">
      <c r="B461" s="1381" t="s">
        <v>813</v>
      </c>
      <c r="C461" s="1224"/>
      <c r="D461" s="1224"/>
      <c r="E461" s="1224"/>
      <c r="F461" s="1225"/>
      <c r="G461" s="346"/>
      <c r="H461" s="384">
        <f>G461*H450</f>
        <v>0</v>
      </c>
      <c r="I461" s="346"/>
      <c r="J461" s="385">
        <f>I461*J450</f>
        <v>0</v>
      </c>
      <c r="K461" s="280"/>
      <c r="L461" s="424"/>
      <c r="M461" s="424"/>
      <c r="N461" s="424"/>
      <c r="O461" s="424"/>
      <c r="P461" s="424"/>
      <c r="Q461" s="424"/>
      <c r="R461" s="424"/>
      <c r="S461" s="424"/>
      <c r="T461" s="424"/>
      <c r="U461" s="304"/>
      <c r="X461" s="304"/>
    </row>
    <row r="462" spans="2:27">
      <c r="B462" s="1223" t="s">
        <v>814</v>
      </c>
      <c r="C462" s="1224"/>
      <c r="D462" s="1224"/>
      <c r="E462" s="1224"/>
      <c r="F462" s="1225"/>
      <c r="G462" s="346"/>
      <c r="H462" s="384">
        <f>G462*H450</f>
        <v>0</v>
      </c>
      <c r="I462" s="346"/>
      <c r="J462" s="385">
        <f>I462*J450</f>
        <v>0</v>
      </c>
      <c r="K462" s="280"/>
      <c r="L462" s="424"/>
      <c r="M462" s="424"/>
      <c r="N462" s="424"/>
      <c r="O462" s="424"/>
      <c r="P462" s="424"/>
      <c r="Q462" s="424"/>
      <c r="R462" s="424"/>
      <c r="S462" s="424"/>
      <c r="T462" s="424"/>
      <c r="U462" s="304"/>
      <c r="X462" s="304"/>
      <c r="AA462" s="349" t="s">
        <v>596</v>
      </c>
    </row>
    <row r="463" spans="2:27">
      <c r="B463" s="1226" t="s">
        <v>825</v>
      </c>
      <c r="C463" s="1227"/>
      <c r="D463" s="1227"/>
      <c r="E463" s="1227"/>
      <c r="F463" s="1228"/>
      <c r="G463" s="346"/>
      <c r="H463" s="384">
        <f>G463*H450</f>
        <v>0</v>
      </c>
      <c r="I463" s="346"/>
      <c r="J463" s="385">
        <f>I463*J450</f>
        <v>0</v>
      </c>
      <c r="K463" s="280"/>
      <c r="L463" s="424"/>
      <c r="M463" s="424"/>
      <c r="N463" s="424"/>
      <c r="O463" s="424"/>
      <c r="P463" s="424"/>
      <c r="Q463" s="424"/>
      <c r="R463" s="424"/>
      <c r="S463" s="424"/>
      <c r="T463" s="424"/>
      <c r="U463" s="304"/>
      <c r="X463" s="304"/>
      <c r="Z463" s="462"/>
      <c r="AA463" s="349" t="s">
        <v>683</v>
      </c>
    </row>
    <row r="464" spans="2:27">
      <c r="B464" s="1229" t="s">
        <v>816</v>
      </c>
      <c r="C464" s="1230"/>
      <c r="D464" s="1230"/>
      <c r="E464" s="1230"/>
      <c r="F464" s="1230"/>
      <c r="G464" s="351"/>
      <c r="H464" s="351"/>
      <c r="I464" s="351"/>
      <c r="J464" s="352"/>
      <c r="K464" s="280"/>
      <c r="L464" s="424"/>
      <c r="M464" s="424"/>
      <c r="N464" s="424"/>
      <c r="O464" s="424"/>
      <c r="P464" s="424"/>
      <c r="Q464" s="424"/>
      <c r="R464" s="424"/>
      <c r="S464" s="424"/>
      <c r="T464" s="424"/>
      <c r="U464" s="304"/>
      <c r="X464" s="304"/>
      <c r="AA464" s="349" t="s">
        <v>599</v>
      </c>
    </row>
    <row r="465" spans="2:27">
      <c r="B465" s="1231" t="s">
        <v>817</v>
      </c>
      <c r="C465" s="1382"/>
      <c r="D465" s="1382"/>
      <c r="E465" s="1382"/>
      <c r="F465" s="1383"/>
      <c r="G465" s="346"/>
      <c r="H465" s="359">
        <f>(G465*H450)*-1</f>
        <v>0</v>
      </c>
      <c r="I465" s="346"/>
      <c r="J465" s="400">
        <f>(I465*J450)*-1</f>
        <v>0</v>
      </c>
      <c r="K465" s="280"/>
      <c r="L465" s="424"/>
      <c r="M465" s="424"/>
      <c r="N465" s="424"/>
      <c r="O465" s="424"/>
      <c r="P465" s="424"/>
      <c r="Q465" s="424"/>
      <c r="R465" s="424"/>
      <c r="S465" s="424"/>
      <c r="T465" s="424"/>
      <c r="U465" s="304"/>
      <c r="X465" s="304"/>
      <c r="AA465" s="349" t="s">
        <v>603</v>
      </c>
    </row>
    <row r="466" spans="2:27" ht="28.5" customHeight="1">
      <c r="B466" s="1369" t="s">
        <v>818</v>
      </c>
      <c r="C466" s="1370"/>
      <c r="D466" s="1370"/>
      <c r="E466" s="1370"/>
      <c r="F466" s="1371"/>
      <c r="G466" s="346"/>
      <c r="H466" s="359">
        <f>G466*H450*-1</f>
        <v>0</v>
      </c>
      <c r="I466" s="346"/>
      <c r="J466" s="400">
        <f>(I466*J450)*-1</f>
        <v>0</v>
      </c>
      <c r="K466" s="280"/>
      <c r="L466" s="424"/>
      <c r="M466" s="424"/>
      <c r="N466" s="424"/>
      <c r="O466" s="424"/>
      <c r="P466" s="424"/>
      <c r="Q466" s="424"/>
      <c r="R466" s="424"/>
      <c r="S466" s="424"/>
      <c r="T466" s="424"/>
      <c r="U466" s="304"/>
      <c r="X466" s="304"/>
      <c r="AA466" s="349" t="s">
        <v>605</v>
      </c>
    </row>
    <row r="467" spans="2:27">
      <c r="B467" s="1372" t="s">
        <v>819</v>
      </c>
      <c r="C467" s="1373"/>
      <c r="D467" s="1373"/>
      <c r="E467" s="1373"/>
      <c r="F467" s="1374"/>
      <c r="G467" s="346"/>
      <c r="H467" s="359">
        <f>G467*H450*-1</f>
        <v>0</v>
      </c>
      <c r="I467" s="346"/>
      <c r="J467" s="400">
        <f>I467*J450*-1</f>
        <v>0</v>
      </c>
      <c r="K467" s="280"/>
      <c r="L467" s="424"/>
      <c r="M467" s="424"/>
      <c r="N467" s="424"/>
      <c r="O467" s="424"/>
      <c r="P467" s="424"/>
      <c r="Q467" s="424"/>
      <c r="R467" s="424"/>
      <c r="S467" s="424"/>
      <c r="T467" s="424"/>
      <c r="U467" s="304"/>
    </row>
    <row r="468" spans="2:27">
      <c r="B468" s="1375" t="s">
        <v>820</v>
      </c>
      <c r="C468" s="1376"/>
      <c r="D468" s="1376"/>
      <c r="E468" s="1376"/>
      <c r="F468" s="1377"/>
      <c r="G468" s="346"/>
      <c r="H468" s="359">
        <f>G468*H450*-1</f>
        <v>0</v>
      </c>
      <c r="I468" s="346"/>
      <c r="J468" s="359">
        <f>I468*J450*-1</f>
        <v>0</v>
      </c>
      <c r="K468" s="280"/>
      <c r="L468" s="424"/>
      <c r="M468" s="424"/>
      <c r="N468" s="424"/>
      <c r="O468" s="424"/>
      <c r="P468" s="424"/>
      <c r="Q468" s="424"/>
      <c r="R468" s="424"/>
      <c r="S468" s="424"/>
      <c r="T468" s="424"/>
      <c r="U468" s="304"/>
    </row>
    <row r="469" spans="2:27" ht="15" customHeight="1">
      <c r="B469" s="1378" t="s">
        <v>735</v>
      </c>
      <c r="C469" s="1379"/>
      <c r="D469" s="1379"/>
      <c r="E469" s="1379"/>
      <c r="F469" s="1379"/>
      <c r="G469" s="350"/>
      <c r="H469" s="389"/>
      <c r="I469" s="350"/>
      <c r="J469" s="390"/>
      <c r="K469" s="280"/>
      <c r="L469" s="424"/>
      <c r="M469" s="424"/>
      <c r="N469" s="424"/>
      <c r="O469" s="424"/>
      <c r="P469" s="424"/>
      <c r="Q469" s="424"/>
      <c r="R469" s="424"/>
      <c r="S469" s="424"/>
      <c r="T469" s="424"/>
      <c r="U469" s="304"/>
    </row>
    <row r="470" spans="2:27">
      <c r="B470" s="1380" t="s">
        <v>821</v>
      </c>
      <c r="C470" s="1370"/>
      <c r="D470" s="1370"/>
      <c r="E470" s="1370"/>
      <c r="F470" s="1371"/>
      <c r="G470" s="346"/>
      <c r="H470" s="359">
        <f>(G470*H450)</f>
        <v>0</v>
      </c>
      <c r="I470" s="346"/>
      <c r="J470" s="400">
        <f>(I470*J450)</f>
        <v>0</v>
      </c>
      <c r="K470" s="280"/>
      <c r="L470" s="424"/>
      <c r="M470" s="424"/>
      <c r="N470" s="424"/>
      <c r="O470" s="424"/>
      <c r="P470" s="424"/>
      <c r="Q470" s="424"/>
      <c r="R470" s="424"/>
      <c r="S470" s="424"/>
      <c r="T470" s="424"/>
      <c r="U470" s="304"/>
    </row>
    <row r="471" spans="2:27">
      <c r="B471" s="1158" t="s">
        <v>822</v>
      </c>
      <c r="C471" s="1159"/>
      <c r="D471" s="1159"/>
      <c r="E471" s="1159"/>
      <c r="F471" s="1160"/>
      <c r="G471" s="1359">
        <f>SUM(H452:H470)</f>
        <v>0</v>
      </c>
      <c r="H471" s="1360"/>
      <c r="I471" s="1361">
        <f>SUM(J452:J470)</f>
        <v>0</v>
      </c>
      <c r="J471" s="1362"/>
      <c r="K471" s="280"/>
      <c r="L471" s="424"/>
      <c r="M471" s="424"/>
      <c r="N471" s="424"/>
      <c r="O471" s="424"/>
      <c r="P471" s="424"/>
      <c r="Q471" s="424"/>
      <c r="R471" s="424"/>
      <c r="S471" s="424"/>
      <c r="T471" s="424"/>
      <c r="U471" s="304"/>
    </row>
    <row r="472" spans="2:27" ht="18.75">
      <c r="B472" s="1363" t="s">
        <v>823</v>
      </c>
      <c r="C472" s="1364"/>
      <c r="D472" s="1364"/>
      <c r="E472" s="1364"/>
      <c r="F472" s="1365"/>
      <c r="G472" s="1161" t="str">
        <f>IF(OR(AA460=0, I471=0), "12 Month Average", "24 Month Average")</f>
        <v>12 Month Average</v>
      </c>
      <c r="H472" s="1162"/>
      <c r="I472" s="1162"/>
      <c r="J472" s="1163"/>
      <c r="K472" s="280"/>
      <c r="L472" s="424"/>
      <c r="M472" s="424"/>
      <c r="N472" s="424"/>
      <c r="O472" s="424"/>
      <c r="P472" s="424"/>
      <c r="Q472" s="424"/>
      <c r="R472" s="424"/>
      <c r="S472" s="424"/>
      <c r="T472" s="424"/>
      <c r="U472" s="304"/>
    </row>
    <row r="473" spans="2:27" ht="34.5" thickBot="1">
      <c r="B473" s="1366" t="s">
        <v>824</v>
      </c>
      <c r="C473" s="1367"/>
      <c r="D473" s="1367"/>
      <c r="E473" s="1367"/>
      <c r="F473" s="1368"/>
      <c r="G473" s="1167">
        <f>IF(OR(AA460=0, I471=0), AA455, AA456)</f>
        <v>0</v>
      </c>
      <c r="H473" s="1168"/>
      <c r="I473" s="1168"/>
      <c r="J473" s="1169"/>
      <c r="L473" s="424"/>
      <c r="M473" s="424"/>
      <c r="N473" s="424"/>
      <c r="O473" s="424"/>
      <c r="P473" s="424"/>
      <c r="Q473" s="424"/>
      <c r="R473" s="424"/>
      <c r="S473" s="424"/>
      <c r="T473" s="424"/>
      <c r="U473" s="304"/>
    </row>
    <row r="474" spans="2:27" ht="9" customHeight="1" thickBot="1">
      <c r="H474" s="330"/>
      <c r="I474" s="330"/>
      <c r="L474" s="424"/>
      <c r="M474" s="424"/>
      <c r="N474" s="424"/>
      <c r="O474" s="424"/>
      <c r="P474" s="424"/>
      <c r="Q474" s="424"/>
      <c r="R474" s="424"/>
      <c r="S474" s="424"/>
      <c r="T474" s="424"/>
      <c r="U474" s="304"/>
    </row>
    <row r="475" spans="2:27" ht="135" customHeight="1" thickBot="1">
      <c r="B475" s="1148" t="s">
        <v>761</v>
      </c>
      <c r="C475" s="1285"/>
      <c r="D475" s="1285"/>
      <c r="E475" s="1285"/>
      <c r="F475" s="1285"/>
      <c r="G475" s="1285"/>
      <c r="H475" s="1285"/>
      <c r="I475" s="1285"/>
      <c r="J475" s="1286"/>
      <c r="L475" s="424"/>
      <c r="M475" s="424"/>
      <c r="N475" s="424"/>
      <c r="O475" s="424"/>
      <c r="P475" s="424"/>
      <c r="Q475" s="424"/>
      <c r="R475" s="424"/>
      <c r="S475" s="424"/>
      <c r="T475" s="424"/>
      <c r="U475" s="304"/>
    </row>
    <row r="476" spans="2:27" ht="9" customHeight="1">
      <c r="B476" s="304"/>
      <c r="C476" s="304"/>
      <c r="D476" s="304"/>
      <c r="E476" s="304"/>
      <c r="F476" s="304"/>
      <c r="G476" s="304"/>
      <c r="H476" s="304"/>
      <c r="I476" s="304"/>
      <c r="L476" s="304"/>
      <c r="M476" s="304"/>
      <c r="N476" s="304"/>
      <c r="O476" s="304"/>
      <c r="P476" s="304"/>
      <c r="Q476" s="304"/>
      <c r="R476" s="304"/>
      <c r="S476" s="304"/>
      <c r="T476" s="304"/>
      <c r="U476" s="304"/>
    </row>
    <row r="477" spans="2:27" ht="13.5" customHeight="1" thickBot="1"/>
    <row r="478" spans="2:27" ht="82.5" customHeight="1">
      <c r="B478" s="1187" t="s">
        <v>791</v>
      </c>
      <c r="C478" s="1188"/>
      <c r="D478" s="1188"/>
      <c r="E478" s="1188"/>
      <c r="F478" s="1188"/>
      <c r="G478" s="1188"/>
      <c r="H478" s="1188"/>
      <c r="I478" s="1188"/>
      <c r="J478" s="331" t="str">
        <f>'[3]Reference Sheet'!$B$2</f>
        <v>Rev. 4.12.2016</v>
      </c>
      <c r="L478" s="424"/>
      <c r="M478" s="424"/>
      <c r="N478" s="424"/>
      <c r="O478" s="424"/>
      <c r="P478" s="424"/>
      <c r="Q478" s="424"/>
      <c r="R478" s="424"/>
      <c r="S478" s="424"/>
      <c r="T478" s="424"/>
      <c r="U478" s="304"/>
    </row>
    <row r="479" spans="2:27" ht="17.25" customHeight="1" thickBot="1">
      <c r="B479" s="332"/>
      <c r="C479" s="368" t="s">
        <v>710</v>
      </c>
      <c r="D479" s="1400"/>
      <c r="E479" s="1401"/>
      <c r="F479" s="1401"/>
      <c r="G479" s="1401"/>
      <c r="H479" s="333"/>
      <c r="I479" s="333"/>
      <c r="J479" s="334"/>
      <c r="L479" s="424"/>
      <c r="M479" s="424"/>
      <c r="N479" s="424"/>
      <c r="O479" s="424"/>
      <c r="P479" s="424"/>
      <c r="Q479" s="424"/>
      <c r="R479" s="424"/>
      <c r="S479" s="424"/>
      <c r="T479" s="424"/>
      <c r="U479" s="304"/>
      <c r="X479" s="304"/>
      <c r="Z479" s="451" t="s">
        <v>717</v>
      </c>
      <c r="AA479" s="451" t="str">
        <f>IF(OR(H484=0, H484&gt;100%), "Shareholder %", G488*H484)</f>
        <v>Shareholder %</v>
      </c>
    </row>
    <row r="480" spans="2:27" ht="17.25" customHeight="1" thickBot="1">
      <c r="B480" s="332"/>
      <c r="C480" s="368" t="s">
        <v>711</v>
      </c>
      <c r="D480" s="1402"/>
      <c r="E480" s="1403"/>
      <c r="F480" s="1403"/>
      <c r="G480" s="1403"/>
      <c r="H480" s="368" t="s">
        <v>712</v>
      </c>
      <c r="I480" s="1400"/>
      <c r="J480" s="1404"/>
      <c r="L480" s="424"/>
      <c r="M480" s="424"/>
      <c r="N480" s="424"/>
      <c r="O480" s="424"/>
      <c r="P480" s="424"/>
      <c r="Q480" s="424"/>
      <c r="R480" s="424"/>
      <c r="S480" s="424"/>
      <c r="T480" s="424"/>
      <c r="U480" s="304"/>
      <c r="X480" s="304"/>
      <c r="Z480" s="451" t="s">
        <v>720</v>
      </c>
      <c r="AA480" s="451" t="str">
        <f>IF(OR(J484&gt;100%, J484=0), "Shareholder %", I488*J484)</f>
        <v>Shareholder %</v>
      </c>
    </row>
    <row r="481" spans="2:28" s="404" customFormat="1" ht="16.5" thickBot="1">
      <c r="B481" s="1393" t="s">
        <v>671</v>
      </c>
      <c r="C481" s="1394"/>
      <c r="D481" s="1405"/>
      <c r="E481" s="1406"/>
      <c r="F481" s="1406"/>
      <c r="G481" s="1406"/>
      <c r="H481" s="452" t="s">
        <v>673</v>
      </c>
      <c r="I481" s="1407"/>
      <c r="J481" s="1408"/>
      <c r="L481" s="424"/>
      <c r="M481" s="424"/>
      <c r="N481" s="424"/>
      <c r="O481" s="424"/>
      <c r="P481" s="424"/>
      <c r="Q481" s="424"/>
      <c r="R481" s="424"/>
      <c r="S481" s="424"/>
      <c r="T481" s="424"/>
      <c r="U481" s="367"/>
      <c r="X481" s="304"/>
      <c r="Y481" s="280"/>
      <c r="Z481" s="451"/>
      <c r="AA481" s="451"/>
      <c r="AB481" s="405"/>
    </row>
    <row r="482" spans="2:28" s="404" customFormat="1" ht="16.5" thickBot="1">
      <c r="B482" s="1393" t="s">
        <v>674</v>
      </c>
      <c r="C482" s="1394"/>
      <c r="D482" s="1395"/>
      <c r="E482" s="1396"/>
      <c r="F482" s="1396"/>
      <c r="G482" s="1396"/>
      <c r="H482" s="1396"/>
      <c r="I482" s="1396"/>
      <c r="J482" s="1397"/>
      <c r="K482" s="405"/>
      <c r="L482" s="424"/>
      <c r="M482" s="424"/>
      <c r="N482" s="424"/>
      <c r="O482" s="424"/>
      <c r="P482" s="424"/>
      <c r="Q482" s="424"/>
      <c r="R482" s="424"/>
      <c r="S482" s="424"/>
      <c r="T482" s="424"/>
      <c r="U482" s="367"/>
      <c r="X482" s="304"/>
      <c r="Y482" s="280"/>
      <c r="Z482" s="451" t="s">
        <v>793</v>
      </c>
      <c r="AA482" s="349" t="str">
        <f>IF(OR(H484=0, H484&gt;100%),"Enter Shareholder %",$J$40)</f>
        <v>Enter Shareholder %</v>
      </c>
      <c r="AB482" s="405"/>
    </row>
    <row r="483" spans="2:28">
      <c r="B483" s="1265"/>
      <c r="C483" s="1266"/>
      <c r="D483" s="1266"/>
      <c r="E483" s="1266"/>
      <c r="F483" s="1267"/>
      <c r="G483" s="453" t="s">
        <v>713</v>
      </c>
      <c r="H483" s="454" t="s">
        <v>676</v>
      </c>
      <c r="I483" s="342"/>
      <c r="J483" s="373" t="s">
        <v>677</v>
      </c>
      <c r="K483" s="280"/>
      <c r="L483" s="424"/>
      <c r="M483" s="424"/>
      <c r="N483" s="424"/>
      <c r="O483" s="424"/>
      <c r="P483" s="424"/>
      <c r="Q483" s="424"/>
      <c r="R483" s="424"/>
      <c r="S483" s="424"/>
      <c r="T483" s="424"/>
      <c r="U483" s="304"/>
      <c r="V483" s="304"/>
      <c r="X483" s="304"/>
      <c r="Z483" s="451" t="s">
        <v>794</v>
      </c>
      <c r="AA483" s="349" t="str">
        <f>IF(OR(J484=0, J484&gt;100%),"Enter Shareholder %",$J$41)</f>
        <v>Enter Shareholder %</v>
      </c>
    </row>
    <row r="484" spans="2:28" ht="15.75" thickBot="1">
      <c r="B484" s="1269"/>
      <c r="C484" s="1270"/>
      <c r="D484" s="1270"/>
      <c r="E484" s="1270"/>
      <c r="F484" s="1271"/>
      <c r="G484" s="408" t="s">
        <v>795</v>
      </c>
      <c r="H484" s="376"/>
      <c r="I484" s="377"/>
      <c r="J484" s="378"/>
      <c r="K484" s="280"/>
      <c r="L484" s="424"/>
      <c r="M484" s="424"/>
      <c r="N484" s="424"/>
      <c r="O484" s="424"/>
      <c r="P484" s="424"/>
      <c r="Q484" s="424"/>
      <c r="R484" s="424"/>
      <c r="S484" s="424"/>
      <c r="T484" s="424"/>
      <c r="U484" s="304"/>
      <c r="V484" s="304"/>
      <c r="X484" s="304"/>
      <c r="Z484" s="451" t="s">
        <v>796</v>
      </c>
      <c r="AA484" s="349">
        <f>SUM(H488:H504)</f>
        <v>0</v>
      </c>
    </row>
    <row r="485" spans="2:28">
      <c r="B485" s="1229" t="s">
        <v>744</v>
      </c>
      <c r="C485" s="1273"/>
      <c r="D485" s="1273"/>
      <c r="E485" s="1273"/>
      <c r="F485" s="1273"/>
      <c r="G485" s="455" t="s">
        <v>719</v>
      </c>
      <c r="H485" s="413"/>
      <c r="I485" s="456" t="s">
        <v>719</v>
      </c>
      <c r="J485" s="415"/>
      <c r="K485" s="280"/>
      <c r="L485" s="424"/>
      <c r="M485" s="424"/>
      <c r="N485" s="424"/>
      <c r="O485" s="424"/>
      <c r="P485" s="424"/>
      <c r="Q485" s="424"/>
      <c r="R485" s="424"/>
      <c r="S485" s="424"/>
      <c r="T485" s="424"/>
      <c r="U485" s="304"/>
      <c r="V485" s="304"/>
      <c r="X485" s="304"/>
      <c r="Z485" s="451" t="s">
        <v>797</v>
      </c>
      <c r="AA485" s="362">
        <f>SUM(J488:J504)</f>
        <v>0</v>
      </c>
    </row>
    <row r="486" spans="2:28">
      <c r="B486" s="1384" t="s">
        <v>798</v>
      </c>
      <c r="C486" s="1385"/>
      <c r="D486" s="1385"/>
      <c r="E486" s="1385"/>
      <c r="F486" s="1386"/>
      <c r="G486" s="457"/>
      <c r="H486" s="458">
        <f>G486</f>
        <v>0</v>
      </c>
      <c r="I486" s="457"/>
      <c r="J486" s="400">
        <f>I486</f>
        <v>0</v>
      </c>
      <c r="K486" s="280"/>
      <c r="L486" s="424"/>
      <c r="M486" s="424"/>
      <c r="N486" s="424"/>
      <c r="O486" s="424"/>
      <c r="P486" s="424"/>
      <c r="Q486" s="424"/>
      <c r="R486" s="424"/>
      <c r="S486" s="424"/>
      <c r="T486" s="424"/>
      <c r="U486" s="304"/>
      <c r="V486" s="304"/>
      <c r="X486" s="304"/>
    </row>
    <row r="487" spans="2:28">
      <c r="B487" s="1398">
        <v>1120</v>
      </c>
      <c r="C487" s="1399"/>
      <c r="D487" s="1399"/>
      <c r="E487" s="1399"/>
      <c r="F487" s="1399"/>
      <c r="G487" s="350"/>
      <c r="H487" s="389"/>
      <c r="I487" s="350"/>
      <c r="J487" s="390"/>
      <c r="K487" s="280"/>
      <c r="L487" s="424"/>
      <c r="M487" s="424"/>
      <c r="N487" s="424"/>
      <c r="O487" s="424"/>
      <c r="P487" s="424"/>
      <c r="Q487" s="424"/>
      <c r="R487" s="424"/>
      <c r="S487" s="424"/>
      <c r="T487" s="424"/>
      <c r="U487" s="304"/>
      <c r="V487" s="304"/>
      <c r="X487" s="304"/>
      <c r="Z487" s="451" t="s">
        <v>799</v>
      </c>
      <c r="AA487" s="280">
        <f>IF(OR(H484=0, H484=10%), 0, 1)</f>
        <v>0</v>
      </c>
    </row>
    <row r="488" spans="2:28">
      <c r="B488" s="1384" t="s">
        <v>800</v>
      </c>
      <c r="C488" s="1385"/>
      <c r="D488" s="1385"/>
      <c r="E488" s="1385"/>
      <c r="F488" s="1386"/>
      <c r="G488" s="459"/>
      <c r="H488" s="387" t="str">
        <f>AA479</f>
        <v>Shareholder %</v>
      </c>
      <c r="I488" s="346"/>
      <c r="J488" s="388" t="str">
        <f>AA480</f>
        <v>Shareholder %</v>
      </c>
      <c r="K488" s="280"/>
      <c r="L488" s="424"/>
      <c r="M488" s="424"/>
      <c r="N488" s="424"/>
      <c r="O488" s="424"/>
      <c r="P488" s="424"/>
      <c r="Q488" s="424"/>
      <c r="R488" s="424"/>
      <c r="S488" s="424"/>
      <c r="T488" s="424"/>
      <c r="U488" s="304"/>
      <c r="V488" s="304"/>
      <c r="X488" s="304"/>
      <c r="Z488" s="451" t="s">
        <v>801</v>
      </c>
      <c r="AA488" s="280">
        <f>IF(OR(J484=0, J484+100%), 0, 1)</f>
        <v>0</v>
      </c>
    </row>
    <row r="489" spans="2:28">
      <c r="B489" s="1297" t="s">
        <v>802</v>
      </c>
      <c r="C489" s="1298"/>
      <c r="D489" s="1298"/>
      <c r="E489" s="1298"/>
      <c r="F489" s="1298"/>
      <c r="G489" s="460"/>
      <c r="H489" s="416"/>
      <c r="I489" s="460"/>
      <c r="J489" s="417"/>
      <c r="K489" s="280"/>
      <c r="L489" s="424"/>
      <c r="M489" s="424"/>
      <c r="N489" s="424"/>
      <c r="O489" s="424"/>
      <c r="P489" s="424"/>
      <c r="Q489" s="424"/>
      <c r="R489" s="424"/>
      <c r="S489" s="424"/>
      <c r="T489" s="424"/>
      <c r="U489" s="304"/>
      <c r="V489" s="304"/>
      <c r="X489" s="304"/>
      <c r="Z489" s="451" t="s">
        <v>803</v>
      </c>
      <c r="AA489" s="362">
        <f>G505/12</f>
        <v>0</v>
      </c>
    </row>
    <row r="490" spans="2:28">
      <c r="B490" s="1387" t="s">
        <v>804</v>
      </c>
      <c r="C490" s="1388"/>
      <c r="D490" s="1388"/>
      <c r="E490" s="1388"/>
      <c r="F490" s="1389"/>
      <c r="G490" s="461"/>
      <c r="H490" s="419">
        <f>(G490*H484)*-1</f>
        <v>0</v>
      </c>
      <c r="I490" s="461"/>
      <c r="J490" s="420">
        <f>(I490*J484)*-1</f>
        <v>0</v>
      </c>
      <c r="K490" s="280"/>
      <c r="L490" s="424"/>
      <c r="M490" s="424"/>
      <c r="N490" s="424"/>
      <c r="O490" s="424"/>
      <c r="P490" s="424"/>
      <c r="Q490" s="424"/>
      <c r="R490" s="424"/>
      <c r="S490" s="424"/>
      <c r="T490" s="424"/>
      <c r="U490" s="304"/>
      <c r="V490" s="304"/>
      <c r="X490" s="304"/>
      <c r="Z490" s="451" t="s">
        <v>805</v>
      </c>
      <c r="AA490" s="362">
        <f>(G505+I505)/24</f>
        <v>0</v>
      </c>
    </row>
    <row r="491" spans="2:28">
      <c r="B491" s="1390" t="s">
        <v>806</v>
      </c>
      <c r="C491" s="1391"/>
      <c r="D491" s="1391"/>
      <c r="E491" s="1391"/>
      <c r="F491" s="1392"/>
      <c r="G491" s="461"/>
      <c r="H491" s="419">
        <f>(G491*H484)*-1</f>
        <v>0</v>
      </c>
      <c r="I491" s="461"/>
      <c r="J491" s="420">
        <f>(I491*J484)*-1</f>
        <v>0</v>
      </c>
      <c r="K491" s="280"/>
      <c r="L491" s="424"/>
      <c r="M491" s="424"/>
      <c r="N491" s="424"/>
      <c r="O491" s="424"/>
      <c r="P491" s="424"/>
      <c r="Q491" s="424"/>
      <c r="R491" s="424"/>
      <c r="S491" s="424"/>
      <c r="T491" s="424"/>
      <c r="U491" s="304"/>
      <c r="V491" s="304"/>
      <c r="X491" s="304"/>
      <c r="Z491" s="451"/>
    </row>
    <row r="492" spans="2:28">
      <c r="B492" s="1302" t="s">
        <v>807</v>
      </c>
      <c r="C492" s="1303"/>
      <c r="D492" s="1303"/>
      <c r="E492" s="1303"/>
      <c r="F492" s="1304"/>
      <c r="G492" s="461"/>
      <c r="H492" s="419">
        <f>(G492*H484)*-1</f>
        <v>0</v>
      </c>
      <c r="I492" s="461"/>
      <c r="J492" s="420">
        <f>(I492*J484)*-1</f>
        <v>0</v>
      </c>
      <c r="K492" s="280"/>
      <c r="L492" s="424"/>
      <c r="M492" s="424"/>
      <c r="N492" s="424"/>
      <c r="O492" s="424"/>
      <c r="P492" s="424"/>
      <c r="Q492" s="424"/>
      <c r="R492" s="424"/>
      <c r="S492" s="424"/>
      <c r="T492" s="424"/>
      <c r="U492" s="304"/>
      <c r="V492" s="304"/>
      <c r="X492" s="304"/>
      <c r="Z492" s="451" t="s">
        <v>808</v>
      </c>
      <c r="AA492" s="280">
        <f>IF(AND(J486=0, J488=0, J490=0, J491=0, J492=0, J494=0, J495=0, J496=0, J497=0, J499=0, J500=0, J501=0, J502=0, J504=0, I505=0), 0, 1)</f>
        <v>1</v>
      </c>
    </row>
    <row r="493" spans="2:28">
      <c r="B493" s="1229" t="s">
        <v>809</v>
      </c>
      <c r="C493" s="1230"/>
      <c r="D493" s="1230"/>
      <c r="E493" s="1230"/>
      <c r="F493" s="1230"/>
      <c r="G493" s="350"/>
      <c r="H493" s="351"/>
      <c r="I493" s="350"/>
      <c r="J493" s="352"/>
      <c r="K493" s="280"/>
      <c r="L493" s="424"/>
      <c r="M493" s="424"/>
      <c r="N493" s="424"/>
      <c r="O493" s="424"/>
      <c r="P493" s="424"/>
      <c r="Q493" s="424"/>
      <c r="R493" s="424"/>
      <c r="S493" s="424"/>
      <c r="T493" s="424"/>
      <c r="U493" s="304"/>
      <c r="V493" s="304"/>
      <c r="X493" s="304"/>
      <c r="Z493" s="451" t="s">
        <v>810</v>
      </c>
      <c r="AA493" s="280">
        <f>IF(AND(G505&lt;=I505, I505&lt;&gt;0), 0, 1)</f>
        <v>1</v>
      </c>
    </row>
    <row r="494" spans="2:28">
      <c r="B494" s="1243" t="s">
        <v>811</v>
      </c>
      <c r="C494" s="1244"/>
      <c r="D494" s="1244"/>
      <c r="E494" s="1244"/>
      <c r="F494" s="1245"/>
      <c r="G494" s="346"/>
      <c r="H494" s="384">
        <f>G494*H484</f>
        <v>0</v>
      </c>
      <c r="I494" s="346"/>
      <c r="J494" s="385">
        <f>I494*J484</f>
        <v>0</v>
      </c>
      <c r="K494" s="280"/>
      <c r="L494" s="424"/>
      <c r="M494" s="424"/>
      <c r="N494" s="424"/>
      <c r="O494" s="424"/>
      <c r="P494" s="424"/>
      <c r="Q494" s="424"/>
      <c r="R494" s="424"/>
      <c r="S494" s="424"/>
      <c r="T494" s="424"/>
      <c r="U494" s="304"/>
      <c r="V494" s="304"/>
      <c r="X494" s="304"/>
      <c r="Z494" s="451" t="s">
        <v>812</v>
      </c>
      <c r="AA494" s="280">
        <f>IF(AND(AA493=0, AA492=1), 0, 1)</f>
        <v>1</v>
      </c>
    </row>
    <row r="495" spans="2:28">
      <c r="B495" s="1381" t="s">
        <v>813</v>
      </c>
      <c r="C495" s="1224"/>
      <c r="D495" s="1224"/>
      <c r="E495" s="1224"/>
      <c r="F495" s="1225"/>
      <c r="G495" s="346"/>
      <c r="H495" s="384">
        <f>G495*H484</f>
        <v>0</v>
      </c>
      <c r="I495" s="346"/>
      <c r="J495" s="385">
        <f>I495*J484</f>
        <v>0</v>
      </c>
      <c r="K495" s="280"/>
      <c r="L495" s="424"/>
      <c r="M495" s="424"/>
      <c r="N495" s="424"/>
      <c r="O495" s="424"/>
      <c r="P495" s="424"/>
      <c r="Q495" s="424"/>
      <c r="R495" s="424"/>
      <c r="S495" s="424"/>
      <c r="T495" s="424"/>
      <c r="U495" s="304"/>
      <c r="X495" s="304"/>
    </row>
    <row r="496" spans="2:28">
      <c r="B496" s="1223" t="s">
        <v>814</v>
      </c>
      <c r="C496" s="1224"/>
      <c r="D496" s="1224"/>
      <c r="E496" s="1224"/>
      <c r="F496" s="1225"/>
      <c r="G496" s="346"/>
      <c r="H496" s="384">
        <f>G496*H484</f>
        <v>0</v>
      </c>
      <c r="I496" s="346"/>
      <c r="J496" s="385">
        <f>I496*J484</f>
        <v>0</v>
      </c>
      <c r="K496" s="280"/>
      <c r="L496" s="424"/>
      <c r="M496" s="424"/>
      <c r="N496" s="424"/>
      <c r="O496" s="424"/>
      <c r="P496" s="424"/>
      <c r="Q496" s="424"/>
      <c r="R496" s="424"/>
      <c r="S496" s="424"/>
      <c r="T496" s="424"/>
      <c r="U496" s="304"/>
      <c r="X496" s="304"/>
      <c r="AA496" s="349" t="s">
        <v>596</v>
      </c>
    </row>
    <row r="497" spans="2:27">
      <c r="B497" s="1226" t="s">
        <v>825</v>
      </c>
      <c r="C497" s="1227"/>
      <c r="D497" s="1227"/>
      <c r="E497" s="1227"/>
      <c r="F497" s="1228"/>
      <c r="G497" s="346"/>
      <c r="H497" s="384">
        <f>G497*H484</f>
        <v>0</v>
      </c>
      <c r="I497" s="346"/>
      <c r="J497" s="385">
        <f>I497*J484</f>
        <v>0</v>
      </c>
      <c r="K497" s="280"/>
      <c r="L497" s="424"/>
      <c r="M497" s="424"/>
      <c r="N497" s="424"/>
      <c r="O497" s="424"/>
      <c r="P497" s="424"/>
      <c r="Q497" s="424"/>
      <c r="R497" s="424"/>
      <c r="S497" s="424"/>
      <c r="T497" s="424"/>
      <c r="U497" s="304"/>
      <c r="X497" s="304"/>
      <c r="Z497" s="462"/>
      <c r="AA497" s="349" t="s">
        <v>683</v>
      </c>
    </row>
    <row r="498" spans="2:27">
      <c r="B498" s="1229" t="s">
        <v>816</v>
      </c>
      <c r="C498" s="1230"/>
      <c r="D498" s="1230"/>
      <c r="E498" s="1230"/>
      <c r="F498" s="1230"/>
      <c r="G498" s="351"/>
      <c r="H498" s="351"/>
      <c r="I498" s="351"/>
      <c r="J498" s="352"/>
      <c r="K498" s="280"/>
      <c r="L498" s="424"/>
      <c r="M498" s="424"/>
      <c r="N498" s="424"/>
      <c r="O498" s="424"/>
      <c r="P498" s="424"/>
      <c r="Q498" s="424"/>
      <c r="R498" s="424"/>
      <c r="S498" s="424"/>
      <c r="T498" s="424"/>
      <c r="U498" s="304"/>
      <c r="X498" s="304"/>
      <c r="AA498" s="349" t="s">
        <v>599</v>
      </c>
    </row>
    <row r="499" spans="2:27">
      <c r="B499" s="1231" t="s">
        <v>817</v>
      </c>
      <c r="C499" s="1382"/>
      <c r="D499" s="1382"/>
      <c r="E499" s="1382"/>
      <c r="F499" s="1383"/>
      <c r="G499" s="346"/>
      <c r="H499" s="359">
        <f>(G499*H484)*-1</f>
        <v>0</v>
      </c>
      <c r="I499" s="346"/>
      <c r="J499" s="400">
        <f>(I499*J484)*-1</f>
        <v>0</v>
      </c>
      <c r="K499" s="280"/>
      <c r="L499" s="424"/>
      <c r="M499" s="424"/>
      <c r="N499" s="424"/>
      <c r="O499" s="424"/>
      <c r="P499" s="424"/>
      <c r="Q499" s="424"/>
      <c r="R499" s="424"/>
      <c r="S499" s="424"/>
      <c r="T499" s="424"/>
      <c r="U499" s="304"/>
      <c r="X499" s="304"/>
      <c r="AA499" s="349" t="s">
        <v>603</v>
      </c>
    </row>
    <row r="500" spans="2:27" ht="28.5" customHeight="1">
      <c r="B500" s="1369" t="s">
        <v>818</v>
      </c>
      <c r="C500" s="1370"/>
      <c r="D500" s="1370"/>
      <c r="E500" s="1370"/>
      <c r="F500" s="1371"/>
      <c r="G500" s="346"/>
      <c r="H500" s="359">
        <f>G500*H484*-1</f>
        <v>0</v>
      </c>
      <c r="I500" s="346"/>
      <c r="J500" s="400">
        <f>(I500*J484)*-1</f>
        <v>0</v>
      </c>
      <c r="K500" s="280"/>
      <c r="L500" s="424"/>
      <c r="M500" s="424"/>
      <c r="N500" s="424"/>
      <c r="O500" s="424"/>
      <c r="P500" s="424"/>
      <c r="Q500" s="424"/>
      <c r="R500" s="424"/>
      <c r="S500" s="424"/>
      <c r="T500" s="424"/>
      <c r="U500" s="304"/>
      <c r="X500" s="304"/>
      <c r="AA500" s="349" t="s">
        <v>605</v>
      </c>
    </row>
    <row r="501" spans="2:27">
      <c r="B501" s="1372" t="s">
        <v>819</v>
      </c>
      <c r="C501" s="1373"/>
      <c r="D501" s="1373"/>
      <c r="E501" s="1373"/>
      <c r="F501" s="1374"/>
      <c r="G501" s="346"/>
      <c r="H501" s="359">
        <f>G501*H484*-1</f>
        <v>0</v>
      </c>
      <c r="I501" s="346"/>
      <c r="J501" s="400">
        <f>I501*J484*-1</f>
        <v>0</v>
      </c>
      <c r="K501" s="280"/>
      <c r="L501" s="424"/>
      <c r="M501" s="424"/>
      <c r="N501" s="424"/>
      <c r="O501" s="424"/>
      <c r="P501" s="424"/>
      <c r="Q501" s="424"/>
      <c r="R501" s="424"/>
      <c r="S501" s="424"/>
      <c r="T501" s="424"/>
      <c r="U501" s="304"/>
    </row>
    <row r="502" spans="2:27">
      <c r="B502" s="1375" t="s">
        <v>820</v>
      </c>
      <c r="C502" s="1376"/>
      <c r="D502" s="1376"/>
      <c r="E502" s="1376"/>
      <c r="F502" s="1377"/>
      <c r="G502" s="346"/>
      <c r="H502" s="359">
        <f>G502*H484*-1</f>
        <v>0</v>
      </c>
      <c r="I502" s="346"/>
      <c r="J502" s="359">
        <f>I502*J484*-1</f>
        <v>0</v>
      </c>
      <c r="K502" s="280"/>
      <c r="L502" s="424"/>
      <c r="M502" s="424"/>
      <c r="N502" s="424"/>
      <c r="O502" s="424"/>
      <c r="P502" s="424"/>
      <c r="Q502" s="424"/>
      <c r="R502" s="424"/>
      <c r="S502" s="424"/>
      <c r="T502" s="424"/>
      <c r="U502" s="304"/>
    </row>
    <row r="503" spans="2:27" ht="15" customHeight="1">
      <c r="B503" s="1378" t="s">
        <v>735</v>
      </c>
      <c r="C503" s="1379"/>
      <c r="D503" s="1379"/>
      <c r="E503" s="1379"/>
      <c r="F503" s="1379"/>
      <c r="G503" s="350"/>
      <c r="H503" s="389"/>
      <c r="I503" s="350"/>
      <c r="J503" s="390"/>
      <c r="K503" s="280"/>
      <c r="L503" s="424"/>
      <c r="M503" s="424"/>
      <c r="N503" s="424"/>
      <c r="O503" s="424"/>
      <c r="P503" s="424"/>
      <c r="Q503" s="424"/>
      <c r="R503" s="424"/>
      <c r="S503" s="424"/>
      <c r="T503" s="424"/>
      <c r="U503" s="304"/>
    </row>
    <row r="504" spans="2:27">
      <c r="B504" s="1380" t="s">
        <v>821</v>
      </c>
      <c r="C504" s="1370"/>
      <c r="D504" s="1370"/>
      <c r="E504" s="1370"/>
      <c r="F504" s="1371"/>
      <c r="G504" s="346"/>
      <c r="H504" s="359">
        <f>(G504*H484)</f>
        <v>0</v>
      </c>
      <c r="I504" s="346"/>
      <c r="J504" s="400">
        <f>(I504*J484)</f>
        <v>0</v>
      </c>
      <c r="K504" s="280"/>
      <c r="L504" s="424"/>
      <c r="M504" s="424"/>
      <c r="N504" s="424"/>
      <c r="O504" s="424"/>
      <c r="P504" s="424"/>
      <c r="Q504" s="424"/>
      <c r="R504" s="424"/>
      <c r="S504" s="424"/>
      <c r="T504" s="424"/>
      <c r="U504" s="304"/>
    </row>
    <row r="505" spans="2:27">
      <c r="B505" s="1158" t="s">
        <v>822</v>
      </c>
      <c r="C505" s="1159"/>
      <c r="D505" s="1159"/>
      <c r="E505" s="1159"/>
      <c r="F505" s="1160"/>
      <c r="G505" s="1359">
        <f>SUM(H486:H504)</f>
        <v>0</v>
      </c>
      <c r="H505" s="1360"/>
      <c r="I505" s="1361">
        <f>SUM(J486:J504)</f>
        <v>0</v>
      </c>
      <c r="J505" s="1362"/>
      <c r="K505" s="280"/>
      <c r="L505" s="424"/>
      <c r="M505" s="424"/>
      <c r="N505" s="424"/>
      <c r="O505" s="424"/>
      <c r="P505" s="424"/>
      <c r="Q505" s="424"/>
      <c r="R505" s="424"/>
      <c r="S505" s="424"/>
      <c r="T505" s="424"/>
      <c r="U505" s="304"/>
    </row>
    <row r="506" spans="2:27" ht="18.75">
      <c r="B506" s="1363" t="s">
        <v>823</v>
      </c>
      <c r="C506" s="1364"/>
      <c r="D506" s="1364"/>
      <c r="E506" s="1364"/>
      <c r="F506" s="1365"/>
      <c r="G506" s="1161" t="str">
        <f>IF(OR(AA494=0, I505=0), "12 Month Average", "24 Month Average")</f>
        <v>12 Month Average</v>
      </c>
      <c r="H506" s="1162"/>
      <c r="I506" s="1162"/>
      <c r="J506" s="1163"/>
      <c r="K506" s="280"/>
      <c r="L506" s="424"/>
      <c r="M506" s="424"/>
      <c r="N506" s="424"/>
      <c r="O506" s="424"/>
      <c r="P506" s="424"/>
      <c r="Q506" s="424"/>
      <c r="R506" s="424"/>
      <c r="S506" s="424"/>
      <c r="T506" s="424"/>
      <c r="U506" s="304"/>
    </row>
    <row r="507" spans="2:27" ht="34.5" thickBot="1">
      <c r="B507" s="1366" t="s">
        <v>824</v>
      </c>
      <c r="C507" s="1367"/>
      <c r="D507" s="1367"/>
      <c r="E507" s="1367"/>
      <c r="F507" s="1368"/>
      <c r="G507" s="1167">
        <f>IF(OR(AA494=0, I505=0), AA489, AA490)</f>
        <v>0</v>
      </c>
      <c r="H507" s="1168"/>
      <c r="I507" s="1168"/>
      <c r="J507" s="1169"/>
      <c r="L507" s="424"/>
      <c r="M507" s="424"/>
      <c r="N507" s="424"/>
      <c r="O507" s="424"/>
      <c r="P507" s="424"/>
      <c r="Q507" s="424"/>
      <c r="R507" s="424"/>
      <c r="S507" s="424"/>
      <c r="T507" s="424"/>
      <c r="U507" s="304"/>
    </row>
    <row r="508" spans="2:27" ht="9" customHeight="1" thickBot="1">
      <c r="H508" s="330"/>
      <c r="I508" s="330"/>
      <c r="L508" s="424"/>
      <c r="M508" s="424"/>
      <c r="N508" s="424"/>
      <c r="O508" s="424"/>
      <c r="P508" s="424"/>
      <c r="Q508" s="424"/>
      <c r="R508" s="424"/>
      <c r="S508" s="424"/>
      <c r="T508" s="424"/>
      <c r="U508" s="304"/>
    </row>
    <row r="509" spans="2:27" ht="135" customHeight="1" thickBot="1">
      <c r="B509" s="1148" t="s">
        <v>761</v>
      </c>
      <c r="C509" s="1285"/>
      <c r="D509" s="1285"/>
      <c r="E509" s="1285"/>
      <c r="F509" s="1285"/>
      <c r="G509" s="1285"/>
      <c r="H509" s="1285"/>
      <c r="I509" s="1285"/>
      <c r="J509" s="1286"/>
      <c r="L509" s="424"/>
      <c r="M509" s="424"/>
      <c r="N509" s="424"/>
      <c r="O509" s="424"/>
      <c r="P509" s="424"/>
      <c r="Q509" s="424"/>
      <c r="R509" s="424"/>
      <c r="S509" s="424"/>
      <c r="T509" s="424"/>
      <c r="U509" s="304"/>
    </row>
    <row r="510" spans="2:27" ht="9" customHeight="1">
      <c r="B510" s="304"/>
      <c r="C510" s="304"/>
      <c r="D510" s="304"/>
      <c r="E510" s="304"/>
      <c r="F510" s="304"/>
      <c r="G510" s="304"/>
      <c r="H510" s="304"/>
      <c r="I510" s="304"/>
      <c r="L510" s="304"/>
      <c r="M510" s="304"/>
      <c r="N510" s="304"/>
      <c r="O510" s="304"/>
      <c r="P510" s="304"/>
      <c r="Q510" s="304"/>
      <c r="R510" s="304"/>
      <c r="S510" s="304"/>
      <c r="T510" s="304"/>
      <c r="U510" s="304"/>
    </row>
    <row r="511" spans="2:27" ht="13.5" customHeight="1" thickBot="1"/>
    <row r="512" spans="2:27" ht="82.5" customHeight="1">
      <c r="B512" s="1187" t="s">
        <v>791</v>
      </c>
      <c r="C512" s="1188"/>
      <c r="D512" s="1188"/>
      <c r="E512" s="1188"/>
      <c r="F512" s="1188"/>
      <c r="G512" s="1188"/>
      <c r="H512" s="1188"/>
      <c r="I512" s="1188"/>
      <c r="J512" s="331" t="str">
        <f>'[3]Reference Sheet'!$B$2</f>
        <v>Rev. 4.12.2016</v>
      </c>
      <c r="L512" s="424"/>
      <c r="M512" s="424"/>
      <c r="N512" s="424"/>
      <c r="O512" s="424"/>
      <c r="P512" s="424"/>
      <c r="Q512" s="424"/>
      <c r="R512" s="424"/>
      <c r="S512" s="424"/>
      <c r="T512" s="424"/>
      <c r="U512" s="304"/>
    </row>
    <row r="513" spans="2:28" ht="17.25" customHeight="1" thickBot="1">
      <c r="B513" s="332"/>
      <c r="C513" s="368" t="s">
        <v>710</v>
      </c>
      <c r="D513" s="1400"/>
      <c r="E513" s="1401"/>
      <c r="F513" s="1401"/>
      <c r="G513" s="1401"/>
      <c r="H513" s="333"/>
      <c r="I513" s="333"/>
      <c r="J513" s="334"/>
      <c r="L513" s="424"/>
      <c r="M513" s="424"/>
      <c r="N513" s="424"/>
      <c r="O513" s="424"/>
      <c r="P513" s="424"/>
      <c r="Q513" s="424"/>
      <c r="R513" s="424"/>
      <c r="S513" s="424"/>
      <c r="T513" s="424"/>
      <c r="U513" s="304"/>
      <c r="X513" s="304"/>
      <c r="Z513" s="451" t="s">
        <v>717</v>
      </c>
      <c r="AA513" s="451" t="str">
        <f>IF(OR(H518=0, H518&gt;100%), "Shareholder %", G522*H518)</f>
        <v>Shareholder %</v>
      </c>
    </row>
    <row r="514" spans="2:28" ht="17.25" customHeight="1" thickBot="1">
      <c r="B514" s="332"/>
      <c r="C514" s="368" t="s">
        <v>711</v>
      </c>
      <c r="D514" s="1402"/>
      <c r="E514" s="1403"/>
      <c r="F514" s="1403"/>
      <c r="G514" s="1403"/>
      <c r="H514" s="368" t="s">
        <v>712</v>
      </c>
      <c r="I514" s="1400"/>
      <c r="J514" s="1404"/>
      <c r="L514" s="424"/>
      <c r="M514" s="424"/>
      <c r="N514" s="424"/>
      <c r="O514" s="424"/>
      <c r="P514" s="424"/>
      <c r="Q514" s="424"/>
      <c r="R514" s="424"/>
      <c r="S514" s="424"/>
      <c r="T514" s="424"/>
      <c r="U514" s="304"/>
      <c r="X514" s="304"/>
      <c r="Z514" s="451" t="s">
        <v>720</v>
      </c>
      <c r="AA514" s="451" t="str">
        <f>IF(OR(J518&gt;100%, J518=0), "Shareholder %", I522*J518)</f>
        <v>Shareholder %</v>
      </c>
    </row>
    <row r="515" spans="2:28" s="404" customFormat="1" ht="16.5" thickBot="1">
      <c r="B515" s="1393" t="s">
        <v>671</v>
      </c>
      <c r="C515" s="1394"/>
      <c r="D515" s="1405"/>
      <c r="E515" s="1406"/>
      <c r="F515" s="1406"/>
      <c r="G515" s="1406"/>
      <c r="H515" s="452" t="s">
        <v>673</v>
      </c>
      <c r="I515" s="1407"/>
      <c r="J515" s="1408"/>
      <c r="L515" s="424"/>
      <c r="M515" s="424"/>
      <c r="N515" s="424"/>
      <c r="O515" s="424"/>
      <c r="P515" s="424"/>
      <c r="Q515" s="424"/>
      <c r="R515" s="424"/>
      <c r="S515" s="424"/>
      <c r="T515" s="424"/>
      <c r="U515" s="367"/>
      <c r="X515" s="304"/>
      <c r="Y515" s="280"/>
      <c r="Z515" s="451"/>
      <c r="AA515" s="451"/>
      <c r="AB515" s="405"/>
    </row>
    <row r="516" spans="2:28" s="404" customFormat="1" ht="16.5" thickBot="1">
      <c r="B516" s="1393" t="s">
        <v>674</v>
      </c>
      <c r="C516" s="1394"/>
      <c r="D516" s="1395"/>
      <c r="E516" s="1396"/>
      <c r="F516" s="1396"/>
      <c r="G516" s="1396"/>
      <c r="H516" s="1396"/>
      <c r="I516" s="1396"/>
      <c r="J516" s="1397"/>
      <c r="K516" s="405"/>
      <c r="L516" s="424"/>
      <c r="M516" s="424"/>
      <c r="N516" s="424"/>
      <c r="O516" s="424"/>
      <c r="P516" s="424"/>
      <c r="Q516" s="424"/>
      <c r="R516" s="424"/>
      <c r="S516" s="424"/>
      <c r="T516" s="424"/>
      <c r="U516" s="367"/>
      <c r="X516" s="304"/>
      <c r="Y516" s="280"/>
      <c r="Z516" s="451" t="s">
        <v>793</v>
      </c>
      <c r="AA516" s="349" t="str">
        <f>IF(OR(H518=0, H518&gt;100%),"Enter Shareholder %",$J$40)</f>
        <v>Enter Shareholder %</v>
      </c>
      <c r="AB516" s="405"/>
    </row>
    <row r="517" spans="2:28">
      <c r="B517" s="1265"/>
      <c r="C517" s="1266"/>
      <c r="D517" s="1266"/>
      <c r="E517" s="1266"/>
      <c r="F517" s="1267"/>
      <c r="G517" s="453" t="s">
        <v>713</v>
      </c>
      <c r="H517" s="454" t="s">
        <v>676</v>
      </c>
      <c r="I517" s="342"/>
      <c r="J517" s="373" t="s">
        <v>677</v>
      </c>
      <c r="K517" s="280"/>
      <c r="L517" s="424"/>
      <c r="M517" s="424"/>
      <c r="N517" s="424"/>
      <c r="O517" s="424"/>
      <c r="P517" s="424"/>
      <c r="Q517" s="424"/>
      <c r="R517" s="424"/>
      <c r="S517" s="424"/>
      <c r="T517" s="424"/>
      <c r="U517" s="304"/>
      <c r="V517" s="304"/>
      <c r="X517" s="304"/>
      <c r="Z517" s="451" t="s">
        <v>794</v>
      </c>
      <c r="AA517" s="349" t="str">
        <f>IF(OR(J518=0, J518&gt;100%),"Enter Shareholder %",$J$41)</f>
        <v>Enter Shareholder %</v>
      </c>
    </row>
    <row r="518" spans="2:28" ht="15.75" thickBot="1">
      <c r="B518" s="1269"/>
      <c r="C518" s="1270"/>
      <c r="D518" s="1270"/>
      <c r="E518" s="1270"/>
      <c r="F518" s="1271"/>
      <c r="G518" s="408" t="s">
        <v>795</v>
      </c>
      <c r="H518" s="376"/>
      <c r="I518" s="377"/>
      <c r="J518" s="378"/>
      <c r="K518" s="280"/>
      <c r="L518" s="424"/>
      <c r="M518" s="424"/>
      <c r="N518" s="424"/>
      <c r="O518" s="424"/>
      <c r="P518" s="424"/>
      <c r="Q518" s="424"/>
      <c r="R518" s="424"/>
      <c r="S518" s="424"/>
      <c r="T518" s="424"/>
      <c r="U518" s="304"/>
      <c r="V518" s="304"/>
      <c r="X518" s="304"/>
      <c r="Z518" s="451" t="s">
        <v>796</v>
      </c>
      <c r="AA518" s="349">
        <f>SUM(H522:H538)</f>
        <v>0</v>
      </c>
    </row>
    <row r="519" spans="2:28">
      <c r="B519" s="1229" t="s">
        <v>744</v>
      </c>
      <c r="C519" s="1273"/>
      <c r="D519" s="1273"/>
      <c r="E519" s="1273"/>
      <c r="F519" s="1273"/>
      <c r="G519" s="455" t="s">
        <v>719</v>
      </c>
      <c r="H519" s="413"/>
      <c r="I519" s="456" t="s">
        <v>719</v>
      </c>
      <c r="J519" s="415"/>
      <c r="K519" s="280"/>
      <c r="L519" s="424"/>
      <c r="M519" s="424"/>
      <c r="N519" s="424"/>
      <c r="O519" s="424"/>
      <c r="P519" s="424"/>
      <c r="Q519" s="424"/>
      <c r="R519" s="424"/>
      <c r="S519" s="424"/>
      <c r="T519" s="424"/>
      <c r="U519" s="304"/>
      <c r="V519" s="304"/>
      <c r="X519" s="304"/>
      <c r="Z519" s="451" t="s">
        <v>797</v>
      </c>
      <c r="AA519" s="362">
        <f>SUM(J522:J538)</f>
        <v>0</v>
      </c>
    </row>
    <row r="520" spans="2:28">
      <c r="B520" s="1384" t="s">
        <v>798</v>
      </c>
      <c r="C520" s="1385"/>
      <c r="D520" s="1385"/>
      <c r="E520" s="1385"/>
      <c r="F520" s="1386"/>
      <c r="G520" s="457"/>
      <c r="H520" s="458">
        <f>G520</f>
        <v>0</v>
      </c>
      <c r="I520" s="457"/>
      <c r="J520" s="400">
        <f>I520</f>
        <v>0</v>
      </c>
      <c r="K520" s="280"/>
      <c r="L520" s="424"/>
      <c r="M520" s="424"/>
      <c r="N520" s="424"/>
      <c r="O520" s="424"/>
      <c r="P520" s="424"/>
      <c r="Q520" s="424"/>
      <c r="R520" s="424"/>
      <c r="S520" s="424"/>
      <c r="T520" s="424"/>
      <c r="U520" s="304"/>
      <c r="V520" s="304"/>
      <c r="X520" s="304"/>
    </row>
    <row r="521" spans="2:28">
      <c r="B521" s="1398">
        <v>1120</v>
      </c>
      <c r="C521" s="1399"/>
      <c r="D521" s="1399"/>
      <c r="E521" s="1399"/>
      <c r="F521" s="1399"/>
      <c r="G521" s="350"/>
      <c r="H521" s="389"/>
      <c r="I521" s="350"/>
      <c r="J521" s="390"/>
      <c r="K521" s="280"/>
      <c r="L521" s="424"/>
      <c r="M521" s="424"/>
      <c r="N521" s="424"/>
      <c r="O521" s="424"/>
      <c r="P521" s="424"/>
      <c r="Q521" s="424"/>
      <c r="R521" s="424"/>
      <c r="S521" s="424"/>
      <c r="T521" s="424"/>
      <c r="U521" s="304"/>
      <c r="V521" s="304"/>
      <c r="X521" s="304"/>
      <c r="Z521" s="451" t="s">
        <v>799</v>
      </c>
      <c r="AA521" s="280">
        <f>IF(OR(H518=0, H518=10%), 0, 1)</f>
        <v>0</v>
      </c>
    </row>
    <row r="522" spans="2:28">
      <c r="B522" s="1384" t="s">
        <v>800</v>
      </c>
      <c r="C522" s="1385"/>
      <c r="D522" s="1385"/>
      <c r="E522" s="1385"/>
      <c r="F522" s="1386"/>
      <c r="G522" s="459"/>
      <c r="H522" s="387" t="str">
        <f>AA513</f>
        <v>Shareholder %</v>
      </c>
      <c r="I522" s="346"/>
      <c r="J522" s="388" t="str">
        <f>AA514</f>
        <v>Shareholder %</v>
      </c>
      <c r="K522" s="280"/>
      <c r="L522" s="424"/>
      <c r="M522" s="424"/>
      <c r="N522" s="424"/>
      <c r="O522" s="424"/>
      <c r="P522" s="424"/>
      <c r="Q522" s="424"/>
      <c r="R522" s="424"/>
      <c r="S522" s="424"/>
      <c r="T522" s="424"/>
      <c r="U522" s="304"/>
      <c r="V522" s="304"/>
      <c r="X522" s="304"/>
      <c r="Z522" s="451" t="s">
        <v>801</v>
      </c>
      <c r="AA522" s="280">
        <f>IF(OR(J518=0, J518+100%), 0, 1)</f>
        <v>0</v>
      </c>
    </row>
    <row r="523" spans="2:28">
      <c r="B523" s="1297" t="s">
        <v>802</v>
      </c>
      <c r="C523" s="1298"/>
      <c r="D523" s="1298"/>
      <c r="E523" s="1298"/>
      <c r="F523" s="1298"/>
      <c r="G523" s="460"/>
      <c r="H523" s="416"/>
      <c r="I523" s="460"/>
      <c r="J523" s="417"/>
      <c r="K523" s="280"/>
      <c r="L523" s="424"/>
      <c r="M523" s="424"/>
      <c r="N523" s="424"/>
      <c r="O523" s="424"/>
      <c r="P523" s="424"/>
      <c r="Q523" s="424"/>
      <c r="R523" s="424"/>
      <c r="S523" s="424"/>
      <c r="T523" s="424"/>
      <c r="U523" s="304"/>
      <c r="V523" s="304"/>
      <c r="X523" s="304"/>
      <c r="Z523" s="451" t="s">
        <v>803</v>
      </c>
      <c r="AA523" s="362">
        <f>G539/12</f>
        <v>0</v>
      </c>
    </row>
    <row r="524" spans="2:28">
      <c r="B524" s="1387" t="s">
        <v>804</v>
      </c>
      <c r="C524" s="1388"/>
      <c r="D524" s="1388"/>
      <c r="E524" s="1388"/>
      <c r="F524" s="1389"/>
      <c r="G524" s="461"/>
      <c r="H524" s="419">
        <f>(G524*H518)*-1</f>
        <v>0</v>
      </c>
      <c r="I524" s="461"/>
      <c r="J524" s="420">
        <f>(I524*J518)*-1</f>
        <v>0</v>
      </c>
      <c r="K524" s="280"/>
      <c r="L524" s="424"/>
      <c r="M524" s="424"/>
      <c r="N524" s="424"/>
      <c r="O524" s="424"/>
      <c r="P524" s="424"/>
      <c r="Q524" s="424"/>
      <c r="R524" s="424"/>
      <c r="S524" s="424"/>
      <c r="T524" s="424"/>
      <c r="U524" s="304"/>
      <c r="V524" s="304"/>
      <c r="X524" s="304"/>
      <c r="Z524" s="451" t="s">
        <v>805</v>
      </c>
      <c r="AA524" s="362">
        <f>(G539+I539)/24</f>
        <v>0</v>
      </c>
    </row>
    <row r="525" spans="2:28">
      <c r="B525" s="1390" t="s">
        <v>806</v>
      </c>
      <c r="C525" s="1391"/>
      <c r="D525" s="1391"/>
      <c r="E525" s="1391"/>
      <c r="F525" s="1392"/>
      <c r="G525" s="461"/>
      <c r="H525" s="419">
        <f>(G525*H518)*-1</f>
        <v>0</v>
      </c>
      <c r="I525" s="461"/>
      <c r="J525" s="420">
        <f>(I525*J518)*-1</f>
        <v>0</v>
      </c>
      <c r="K525" s="280"/>
      <c r="L525" s="424"/>
      <c r="M525" s="424"/>
      <c r="N525" s="424"/>
      <c r="O525" s="424"/>
      <c r="P525" s="424"/>
      <c r="Q525" s="424"/>
      <c r="R525" s="424"/>
      <c r="S525" s="424"/>
      <c r="T525" s="424"/>
      <c r="U525" s="304"/>
      <c r="V525" s="304"/>
      <c r="X525" s="304"/>
      <c r="Z525" s="451"/>
    </row>
    <row r="526" spans="2:28">
      <c r="B526" s="1302" t="s">
        <v>807</v>
      </c>
      <c r="C526" s="1303"/>
      <c r="D526" s="1303"/>
      <c r="E526" s="1303"/>
      <c r="F526" s="1304"/>
      <c r="G526" s="461"/>
      <c r="H526" s="419">
        <f>(G526*H518)*-1</f>
        <v>0</v>
      </c>
      <c r="I526" s="461"/>
      <c r="J526" s="420">
        <f>(I526*J518)*-1</f>
        <v>0</v>
      </c>
      <c r="K526" s="280"/>
      <c r="L526" s="424"/>
      <c r="M526" s="424"/>
      <c r="N526" s="424"/>
      <c r="O526" s="424"/>
      <c r="P526" s="424"/>
      <c r="Q526" s="424"/>
      <c r="R526" s="424"/>
      <c r="S526" s="424"/>
      <c r="T526" s="424"/>
      <c r="U526" s="304"/>
      <c r="V526" s="304"/>
      <c r="X526" s="304"/>
      <c r="Z526" s="451" t="s">
        <v>808</v>
      </c>
      <c r="AA526" s="280">
        <f>IF(AND(J520=0, J522=0, J524=0, J525=0, J526=0, J528=0, J529=0, J530=0, J531=0, J533=0, J534=0, J535=0, J536=0, J538=0, I539=0), 0, 1)</f>
        <v>1</v>
      </c>
    </row>
    <row r="527" spans="2:28">
      <c r="B527" s="1229" t="s">
        <v>809</v>
      </c>
      <c r="C527" s="1230"/>
      <c r="D527" s="1230"/>
      <c r="E527" s="1230"/>
      <c r="F527" s="1230"/>
      <c r="G527" s="350"/>
      <c r="H527" s="351"/>
      <c r="I527" s="350"/>
      <c r="J527" s="352"/>
      <c r="K527" s="280"/>
      <c r="L527" s="424"/>
      <c r="M527" s="424"/>
      <c r="N527" s="424"/>
      <c r="O527" s="424"/>
      <c r="P527" s="424"/>
      <c r="Q527" s="424"/>
      <c r="R527" s="424"/>
      <c r="S527" s="424"/>
      <c r="T527" s="424"/>
      <c r="U527" s="304"/>
      <c r="V527" s="304"/>
      <c r="X527" s="304"/>
      <c r="Z527" s="451" t="s">
        <v>810</v>
      </c>
      <c r="AA527" s="280">
        <f>IF(AND(G539&lt;=I539, I539&lt;&gt;0), 0, 1)</f>
        <v>1</v>
      </c>
    </row>
    <row r="528" spans="2:28">
      <c r="B528" s="1243" t="s">
        <v>811</v>
      </c>
      <c r="C528" s="1244"/>
      <c r="D528" s="1244"/>
      <c r="E528" s="1244"/>
      <c r="F528" s="1245"/>
      <c r="G528" s="346"/>
      <c r="H528" s="384">
        <f>G528*H518</f>
        <v>0</v>
      </c>
      <c r="I528" s="346"/>
      <c r="J528" s="385">
        <f>I528*J518</f>
        <v>0</v>
      </c>
      <c r="K528" s="280"/>
      <c r="L528" s="424"/>
      <c r="M528" s="424"/>
      <c r="N528" s="424"/>
      <c r="O528" s="424"/>
      <c r="P528" s="424"/>
      <c r="Q528" s="424"/>
      <c r="R528" s="424"/>
      <c r="S528" s="424"/>
      <c r="T528" s="424"/>
      <c r="U528" s="304"/>
      <c r="V528" s="304"/>
      <c r="X528" s="304"/>
      <c r="Z528" s="451" t="s">
        <v>812</v>
      </c>
      <c r="AA528" s="280">
        <f>IF(AND(AA527=0, AA526=1), 0, 1)</f>
        <v>1</v>
      </c>
    </row>
    <row r="529" spans="2:27">
      <c r="B529" s="1381" t="s">
        <v>813</v>
      </c>
      <c r="C529" s="1224"/>
      <c r="D529" s="1224"/>
      <c r="E529" s="1224"/>
      <c r="F529" s="1225"/>
      <c r="G529" s="346"/>
      <c r="H529" s="384">
        <f>G529*H518</f>
        <v>0</v>
      </c>
      <c r="I529" s="346"/>
      <c r="J529" s="385">
        <f>I529*J518</f>
        <v>0</v>
      </c>
      <c r="K529" s="280"/>
      <c r="L529" s="424"/>
      <c r="M529" s="424"/>
      <c r="N529" s="424"/>
      <c r="O529" s="424"/>
      <c r="P529" s="424"/>
      <c r="Q529" s="424"/>
      <c r="R529" s="424"/>
      <c r="S529" s="424"/>
      <c r="T529" s="424"/>
      <c r="U529" s="304"/>
      <c r="X529" s="304"/>
    </row>
    <row r="530" spans="2:27">
      <c r="B530" s="1223" t="s">
        <v>814</v>
      </c>
      <c r="C530" s="1224"/>
      <c r="D530" s="1224"/>
      <c r="E530" s="1224"/>
      <c r="F530" s="1225"/>
      <c r="G530" s="346"/>
      <c r="H530" s="384">
        <f>G530*H518</f>
        <v>0</v>
      </c>
      <c r="I530" s="346"/>
      <c r="J530" s="385">
        <f>I530*J518</f>
        <v>0</v>
      </c>
      <c r="K530" s="280"/>
      <c r="L530" s="424"/>
      <c r="M530" s="424"/>
      <c r="N530" s="424"/>
      <c r="O530" s="424"/>
      <c r="P530" s="424"/>
      <c r="Q530" s="424"/>
      <c r="R530" s="424"/>
      <c r="S530" s="424"/>
      <c r="T530" s="424"/>
      <c r="U530" s="304"/>
      <c r="X530" s="304"/>
      <c r="AA530" s="349" t="s">
        <v>596</v>
      </c>
    </row>
    <row r="531" spans="2:27">
      <c r="B531" s="1226" t="s">
        <v>825</v>
      </c>
      <c r="C531" s="1227"/>
      <c r="D531" s="1227"/>
      <c r="E531" s="1227"/>
      <c r="F531" s="1228"/>
      <c r="G531" s="346"/>
      <c r="H531" s="384">
        <f>G531*H518</f>
        <v>0</v>
      </c>
      <c r="I531" s="346"/>
      <c r="J531" s="385">
        <f>I531*J518</f>
        <v>0</v>
      </c>
      <c r="K531" s="280"/>
      <c r="L531" s="424"/>
      <c r="M531" s="424"/>
      <c r="N531" s="424"/>
      <c r="O531" s="424"/>
      <c r="P531" s="424"/>
      <c r="Q531" s="424"/>
      <c r="R531" s="424"/>
      <c r="S531" s="424"/>
      <c r="T531" s="424"/>
      <c r="U531" s="304"/>
      <c r="X531" s="304"/>
      <c r="Z531" s="462"/>
      <c r="AA531" s="349" t="s">
        <v>683</v>
      </c>
    </row>
    <row r="532" spans="2:27">
      <c r="B532" s="1229" t="s">
        <v>816</v>
      </c>
      <c r="C532" s="1230"/>
      <c r="D532" s="1230"/>
      <c r="E532" s="1230"/>
      <c r="F532" s="1230"/>
      <c r="G532" s="351"/>
      <c r="H532" s="351"/>
      <c r="I532" s="351"/>
      <c r="J532" s="352"/>
      <c r="K532" s="280"/>
      <c r="L532" s="424"/>
      <c r="M532" s="424"/>
      <c r="N532" s="424"/>
      <c r="O532" s="424"/>
      <c r="P532" s="424"/>
      <c r="Q532" s="424"/>
      <c r="R532" s="424"/>
      <c r="S532" s="424"/>
      <c r="T532" s="424"/>
      <c r="U532" s="304"/>
      <c r="X532" s="304"/>
      <c r="AA532" s="349" t="s">
        <v>599</v>
      </c>
    </row>
    <row r="533" spans="2:27">
      <c r="B533" s="1231" t="s">
        <v>817</v>
      </c>
      <c r="C533" s="1382"/>
      <c r="D533" s="1382"/>
      <c r="E533" s="1382"/>
      <c r="F533" s="1383"/>
      <c r="G533" s="346"/>
      <c r="H533" s="359">
        <f>(G533*H518)*-1</f>
        <v>0</v>
      </c>
      <c r="I533" s="346"/>
      <c r="J533" s="400">
        <f>(I533*J518)*-1</f>
        <v>0</v>
      </c>
      <c r="K533" s="280"/>
      <c r="L533" s="424"/>
      <c r="M533" s="424"/>
      <c r="N533" s="424"/>
      <c r="O533" s="424"/>
      <c r="P533" s="424"/>
      <c r="Q533" s="424"/>
      <c r="R533" s="424"/>
      <c r="S533" s="424"/>
      <c r="T533" s="424"/>
      <c r="U533" s="304"/>
      <c r="X533" s="304"/>
      <c r="AA533" s="349" t="s">
        <v>603</v>
      </c>
    </row>
    <row r="534" spans="2:27" ht="28.5" customHeight="1">
      <c r="B534" s="1369" t="s">
        <v>818</v>
      </c>
      <c r="C534" s="1370"/>
      <c r="D534" s="1370"/>
      <c r="E534" s="1370"/>
      <c r="F534" s="1371"/>
      <c r="G534" s="346"/>
      <c r="H534" s="359">
        <f>G534*H518*-1</f>
        <v>0</v>
      </c>
      <c r="I534" s="346"/>
      <c r="J534" s="400">
        <f>(I534*J518)*-1</f>
        <v>0</v>
      </c>
      <c r="K534" s="280"/>
      <c r="L534" s="424"/>
      <c r="M534" s="424"/>
      <c r="N534" s="424"/>
      <c r="O534" s="424"/>
      <c r="P534" s="424"/>
      <c r="Q534" s="424"/>
      <c r="R534" s="424"/>
      <c r="S534" s="424"/>
      <c r="T534" s="424"/>
      <c r="U534" s="304"/>
      <c r="X534" s="304"/>
      <c r="AA534" s="349" t="s">
        <v>605</v>
      </c>
    </row>
    <row r="535" spans="2:27">
      <c r="B535" s="1372" t="s">
        <v>819</v>
      </c>
      <c r="C535" s="1373"/>
      <c r="D535" s="1373"/>
      <c r="E535" s="1373"/>
      <c r="F535" s="1374"/>
      <c r="G535" s="346"/>
      <c r="H535" s="359">
        <f>G535*H518*-1</f>
        <v>0</v>
      </c>
      <c r="I535" s="346"/>
      <c r="J535" s="400">
        <f>I535*J518*-1</f>
        <v>0</v>
      </c>
      <c r="K535" s="280"/>
      <c r="L535" s="424"/>
      <c r="M535" s="424"/>
      <c r="N535" s="424"/>
      <c r="O535" s="424"/>
      <c r="P535" s="424"/>
      <c r="Q535" s="424"/>
      <c r="R535" s="424"/>
      <c r="S535" s="424"/>
      <c r="T535" s="424"/>
      <c r="U535" s="304"/>
    </row>
    <row r="536" spans="2:27">
      <c r="B536" s="1375" t="s">
        <v>820</v>
      </c>
      <c r="C536" s="1376"/>
      <c r="D536" s="1376"/>
      <c r="E536" s="1376"/>
      <c r="F536" s="1377"/>
      <c r="G536" s="346"/>
      <c r="H536" s="359">
        <f>G536*H518*-1</f>
        <v>0</v>
      </c>
      <c r="I536" s="346"/>
      <c r="J536" s="359">
        <f>I536*J518*-1</f>
        <v>0</v>
      </c>
      <c r="K536" s="280"/>
      <c r="L536" s="424"/>
      <c r="M536" s="424"/>
      <c r="N536" s="424"/>
      <c r="O536" s="424"/>
      <c r="P536" s="424"/>
      <c r="Q536" s="424"/>
      <c r="R536" s="424"/>
      <c r="S536" s="424"/>
      <c r="T536" s="424"/>
      <c r="U536" s="304"/>
    </row>
    <row r="537" spans="2:27" ht="15" customHeight="1">
      <c r="B537" s="1378" t="s">
        <v>735</v>
      </c>
      <c r="C537" s="1379"/>
      <c r="D537" s="1379"/>
      <c r="E537" s="1379"/>
      <c r="F537" s="1379"/>
      <c r="G537" s="350"/>
      <c r="H537" s="389"/>
      <c r="I537" s="350"/>
      <c r="J537" s="390"/>
      <c r="K537" s="280"/>
      <c r="L537" s="424"/>
      <c r="M537" s="424"/>
      <c r="N537" s="424"/>
      <c r="O537" s="424"/>
      <c r="P537" s="424"/>
      <c r="Q537" s="424"/>
      <c r="R537" s="424"/>
      <c r="S537" s="424"/>
      <c r="T537" s="424"/>
      <c r="U537" s="304"/>
    </row>
    <row r="538" spans="2:27">
      <c r="B538" s="1380" t="s">
        <v>821</v>
      </c>
      <c r="C538" s="1370"/>
      <c r="D538" s="1370"/>
      <c r="E538" s="1370"/>
      <c r="F538" s="1371"/>
      <c r="G538" s="346"/>
      <c r="H538" s="359">
        <f>(G538*H518)</f>
        <v>0</v>
      </c>
      <c r="I538" s="346"/>
      <c r="J538" s="400">
        <f>(I538*J518)</f>
        <v>0</v>
      </c>
      <c r="K538" s="280"/>
      <c r="L538" s="424"/>
      <c r="M538" s="424"/>
      <c r="N538" s="424"/>
      <c r="O538" s="424"/>
      <c r="P538" s="424"/>
      <c r="Q538" s="424"/>
      <c r="R538" s="424"/>
      <c r="S538" s="424"/>
      <c r="T538" s="424"/>
      <c r="U538" s="304"/>
    </row>
    <row r="539" spans="2:27">
      <c r="B539" s="1158" t="s">
        <v>822</v>
      </c>
      <c r="C539" s="1159"/>
      <c r="D539" s="1159"/>
      <c r="E539" s="1159"/>
      <c r="F539" s="1160"/>
      <c r="G539" s="1359">
        <f>SUM(H520:H538)</f>
        <v>0</v>
      </c>
      <c r="H539" s="1360"/>
      <c r="I539" s="1361">
        <f>SUM(J520:J538)</f>
        <v>0</v>
      </c>
      <c r="J539" s="1362"/>
      <c r="K539" s="280"/>
      <c r="L539" s="424"/>
      <c r="M539" s="424"/>
      <c r="N539" s="424"/>
      <c r="O539" s="424"/>
      <c r="P539" s="424"/>
      <c r="Q539" s="424"/>
      <c r="R539" s="424"/>
      <c r="S539" s="424"/>
      <c r="T539" s="424"/>
      <c r="U539" s="304"/>
    </row>
    <row r="540" spans="2:27" ht="18.75">
      <c r="B540" s="1363" t="s">
        <v>823</v>
      </c>
      <c r="C540" s="1364"/>
      <c r="D540" s="1364"/>
      <c r="E540" s="1364"/>
      <c r="F540" s="1365"/>
      <c r="G540" s="1161" t="str">
        <f>IF(OR(AA528=0, I539=0), "12 Month Average", "24 Month Average")</f>
        <v>12 Month Average</v>
      </c>
      <c r="H540" s="1162"/>
      <c r="I540" s="1162"/>
      <c r="J540" s="1163"/>
      <c r="K540" s="280"/>
      <c r="L540" s="424"/>
      <c r="M540" s="424"/>
      <c r="N540" s="424"/>
      <c r="O540" s="424"/>
      <c r="P540" s="424"/>
      <c r="Q540" s="424"/>
      <c r="R540" s="424"/>
      <c r="S540" s="424"/>
      <c r="T540" s="424"/>
      <c r="U540" s="304"/>
    </row>
    <row r="541" spans="2:27" ht="34.5" thickBot="1">
      <c r="B541" s="1366" t="s">
        <v>824</v>
      </c>
      <c r="C541" s="1367"/>
      <c r="D541" s="1367"/>
      <c r="E541" s="1367"/>
      <c r="F541" s="1368"/>
      <c r="G541" s="1167">
        <f>IF(OR(AA528=0, I539=0), AA523, AA524)</f>
        <v>0</v>
      </c>
      <c r="H541" s="1168"/>
      <c r="I541" s="1168"/>
      <c r="J541" s="1169"/>
      <c r="L541" s="424"/>
      <c r="M541" s="424"/>
      <c r="N541" s="424"/>
      <c r="O541" s="424"/>
      <c r="P541" s="424"/>
      <c r="Q541" s="424"/>
      <c r="R541" s="424"/>
      <c r="S541" s="424"/>
      <c r="T541" s="424"/>
      <c r="U541" s="304"/>
    </row>
    <row r="542" spans="2:27" ht="9" customHeight="1" thickBot="1">
      <c r="H542" s="330"/>
      <c r="I542" s="330"/>
      <c r="L542" s="424"/>
      <c r="M542" s="424"/>
      <c r="N542" s="424"/>
      <c r="O542" s="424"/>
      <c r="P542" s="424"/>
      <c r="Q542" s="424"/>
      <c r="R542" s="424"/>
      <c r="S542" s="424"/>
      <c r="T542" s="424"/>
      <c r="U542" s="304"/>
    </row>
    <row r="543" spans="2:27" ht="135" customHeight="1" thickBot="1">
      <c r="B543" s="1148" t="s">
        <v>761</v>
      </c>
      <c r="C543" s="1285"/>
      <c r="D543" s="1285"/>
      <c r="E543" s="1285"/>
      <c r="F543" s="1285"/>
      <c r="G543" s="1285"/>
      <c r="H543" s="1285"/>
      <c r="I543" s="1285"/>
      <c r="J543" s="1286"/>
      <c r="L543" s="424"/>
      <c r="M543" s="424"/>
      <c r="N543" s="424"/>
      <c r="O543" s="424"/>
      <c r="P543" s="424"/>
      <c r="Q543" s="424"/>
      <c r="R543" s="424"/>
      <c r="S543" s="424"/>
      <c r="T543" s="424"/>
      <c r="U543" s="304"/>
    </row>
    <row r="544" spans="2:27" ht="9" customHeight="1">
      <c r="B544" s="304"/>
      <c r="C544" s="304"/>
      <c r="D544" s="304"/>
      <c r="E544" s="304"/>
      <c r="F544" s="304"/>
      <c r="G544" s="304"/>
      <c r="H544" s="304"/>
      <c r="I544" s="304"/>
      <c r="L544" s="304"/>
      <c r="M544" s="304"/>
      <c r="N544" s="304"/>
      <c r="O544" s="304"/>
      <c r="P544" s="304"/>
      <c r="Q544" s="304"/>
      <c r="R544" s="304"/>
      <c r="S544" s="304"/>
      <c r="T544" s="304"/>
      <c r="U544" s="304"/>
    </row>
    <row r="545" spans="2:28" ht="13.5" customHeight="1" thickBot="1"/>
    <row r="546" spans="2:28" ht="82.5" customHeight="1">
      <c r="B546" s="1187" t="s">
        <v>791</v>
      </c>
      <c r="C546" s="1188"/>
      <c r="D546" s="1188"/>
      <c r="E546" s="1188"/>
      <c r="F546" s="1188"/>
      <c r="G546" s="1188"/>
      <c r="H546" s="1188"/>
      <c r="I546" s="1188"/>
      <c r="J546" s="331" t="str">
        <f>'[3]Reference Sheet'!$B$2</f>
        <v>Rev. 4.12.2016</v>
      </c>
      <c r="L546" s="424"/>
      <c r="M546" s="424"/>
      <c r="N546" s="424"/>
      <c r="O546" s="424"/>
      <c r="P546" s="424"/>
      <c r="Q546" s="424"/>
      <c r="R546" s="424"/>
      <c r="S546" s="424"/>
      <c r="T546" s="424"/>
      <c r="U546" s="304"/>
    </row>
    <row r="547" spans="2:28" ht="17.25" customHeight="1" thickBot="1">
      <c r="B547" s="332"/>
      <c r="C547" s="368" t="s">
        <v>710</v>
      </c>
      <c r="D547" s="1400"/>
      <c r="E547" s="1401"/>
      <c r="F547" s="1401"/>
      <c r="G547" s="1401"/>
      <c r="H547" s="333"/>
      <c r="I547" s="333"/>
      <c r="J547" s="334"/>
      <c r="L547" s="424"/>
      <c r="M547" s="424"/>
      <c r="N547" s="424"/>
      <c r="O547" s="424"/>
      <c r="P547" s="424"/>
      <c r="Q547" s="424"/>
      <c r="R547" s="424"/>
      <c r="S547" s="424"/>
      <c r="T547" s="424"/>
      <c r="U547" s="304"/>
      <c r="X547" s="304"/>
      <c r="Z547" s="451" t="s">
        <v>717</v>
      </c>
      <c r="AA547" s="451" t="str">
        <f>IF(OR(H552=0, H552&gt;100%), "Shareholder %", G556*H552)</f>
        <v>Shareholder %</v>
      </c>
    </row>
    <row r="548" spans="2:28" ht="17.25" customHeight="1" thickBot="1">
      <c r="B548" s="332"/>
      <c r="C548" s="368" t="s">
        <v>711</v>
      </c>
      <c r="D548" s="1402"/>
      <c r="E548" s="1403"/>
      <c r="F548" s="1403"/>
      <c r="G548" s="1403"/>
      <c r="H548" s="368" t="s">
        <v>712</v>
      </c>
      <c r="I548" s="1400"/>
      <c r="J548" s="1404"/>
      <c r="L548" s="424"/>
      <c r="M548" s="424"/>
      <c r="N548" s="424"/>
      <c r="O548" s="424"/>
      <c r="P548" s="424"/>
      <c r="Q548" s="424"/>
      <c r="R548" s="424"/>
      <c r="S548" s="424"/>
      <c r="T548" s="424"/>
      <c r="U548" s="304"/>
      <c r="X548" s="304"/>
      <c r="Z548" s="451" t="s">
        <v>720</v>
      </c>
      <c r="AA548" s="451" t="str">
        <f>IF(OR(J552&gt;100%, J552=0), "Shareholder %", I556*J552)</f>
        <v>Shareholder %</v>
      </c>
    </row>
    <row r="549" spans="2:28" s="404" customFormat="1" ht="16.5" thickBot="1">
      <c r="B549" s="1393" t="s">
        <v>671</v>
      </c>
      <c r="C549" s="1394"/>
      <c r="D549" s="1405"/>
      <c r="E549" s="1406"/>
      <c r="F549" s="1406"/>
      <c r="G549" s="1406"/>
      <c r="H549" s="452" t="s">
        <v>673</v>
      </c>
      <c r="I549" s="1407"/>
      <c r="J549" s="1408"/>
      <c r="L549" s="424"/>
      <c r="M549" s="424"/>
      <c r="N549" s="424"/>
      <c r="O549" s="424"/>
      <c r="P549" s="424"/>
      <c r="Q549" s="424"/>
      <c r="R549" s="424"/>
      <c r="S549" s="424"/>
      <c r="T549" s="424"/>
      <c r="U549" s="367"/>
      <c r="X549" s="304"/>
      <c r="Y549" s="280"/>
      <c r="Z549" s="451"/>
      <c r="AA549" s="451"/>
      <c r="AB549" s="405"/>
    </row>
    <row r="550" spans="2:28" s="404" customFormat="1" ht="16.5" thickBot="1">
      <c r="B550" s="1393" t="s">
        <v>674</v>
      </c>
      <c r="C550" s="1394"/>
      <c r="D550" s="1395"/>
      <c r="E550" s="1396"/>
      <c r="F550" s="1396"/>
      <c r="G550" s="1396"/>
      <c r="H550" s="1396"/>
      <c r="I550" s="1396"/>
      <c r="J550" s="1397"/>
      <c r="K550" s="405"/>
      <c r="L550" s="424"/>
      <c r="M550" s="424"/>
      <c r="N550" s="424"/>
      <c r="O550" s="424"/>
      <c r="P550" s="424"/>
      <c r="Q550" s="424"/>
      <c r="R550" s="424"/>
      <c r="S550" s="424"/>
      <c r="T550" s="424"/>
      <c r="U550" s="367"/>
      <c r="X550" s="304"/>
      <c r="Y550" s="280"/>
      <c r="Z550" s="451" t="s">
        <v>793</v>
      </c>
      <c r="AA550" s="349" t="str">
        <f>IF(OR(H552=0, H552&gt;100%),"Enter Shareholder %",$J$40)</f>
        <v>Enter Shareholder %</v>
      </c>
      <c r="AB550" s="405"/>
    </row>
    <row r="551" spans="2:28">
      <c r="B551" s="1265"/>
      <c r="C551" s="1266"/>
      <c r="D551" s="1266"/>
      <c r="E551" s="1266"/>
      <c r="F551" s="1267"/>
      <c r="G551" s="453" t="s">
        <v>713</v>
      </c>
      <c r="H551" s="454" t="s">
        <v>676</v>
      </c>
      <c r="I551" s="342"/>
      <c r="J551" s="373" t="s">
        <v>677</v>
      </c>
      <c r="K551" s="280"/>
      <c r="L551" s="424"/>
      <c r="M551" s="424"/>
      <c r="N551" s="424"/>
      <c r="O551" s="424"/>
      <c r="P551" s="424"/>
      <c r="Q551" s="424"/>
      <c r="R551" s="424"/>
      <c r="S551" s="424"/>
      <c r="T551" s="424"/>
      <c r="U551" s="304"/>
      <c r="V551" s="304"/>
      <c r="X551" s="304"/>
      <c r="Z551" s="451" t="s">
        <v>794</v>
      </c>
      <c r="AA551" s="349" t="str">
        <f>IF(OR(J552=0, J552&gt;100%),"Enter Shareholder %",$J$41)</f>
        <v>Enter Shareholder %</v>
      </c>
    </row>
    <row r="552" spans="2:28" ht="15.75" thickBot="1">
      <c r="B552" s="1269"/>
      <c r="C552" s="1270"/>
      <c r="D552" s="1270"/>
      <c r="E552" s="1270"/>
      <c r="F552" s="1271"/>
      <c r="G552" s="408" t="s">
        <v>795</v>
      </c>
      <c r="H552" s="376"/>
      <c r="I552" s="377"/>
      <c r="J552" s="378"/>
      <c r="K552" s="280"/>
      <c r="L552" s="424"/>
      <c r="M552" s="424"/>
      <c r="N552" s="424"/>
      <c r="O552" s="424"/>
      <c r="P552" s="424"/>
      <c r="Q552" s="424"/>
      <c r="R552" s="424"/>
      <c r="S552" s="424"/>
      <c r="T552" s="424"/>
      <c r="U552" s="304"/>
      <c r="V552" s="304"/>
      <c r="X552" s="304"/>
      <c r="Z552" s="451" t="s">
        <v>796</v>
      </c>
      <c r="AA552" s="349">
        <f>SUM(H556:H572)</f>
        <v>0</v>
      </c>
    </row>
    <row r="553" spans="2:28">
      <c r="B553" s="1229" t="s">
        <v>744</v>
      </c>
      <c r="C553" s="1273"/>
      <c r="D553" s="1273"/>
      <c r="E553" s="1273"/>
      <c r="F553" s="1273"/>
      <c r="G553" s="455" t="s">
        <v>719</v>
      </c>
      <c r="H553" s="413"/>
      <c r="I553" s="456" t="s">
        <v>719</v>
      </c>
      <c r="J553" s="415"/>
      <c r="K553" s="280"/>
      <c r="L553" s="424"/>
      <c r="M553" s="424"/>
      <c r="N553" s="424"/>
      <c r="O553" s="424"/>
      <c r="P553" s="424"/>
      <c r="Q553" s="424"/>
      <c r="R553" s="424"/>
      <c r="S553" s="424"/>
      <c r="T553" s="424"/>
      <c r="U553" s="304"/>
      <c r="V553" s="304"/>
      <c r="X553" s="304"/>
      <c r="Z553" s="451" t="s">
        <v>797</v>
      </c>
      <c r="AA553" s="362">
        <f>SUM(J556:J572)</f>
        <v>0</v>
      </c>
    </row>
    <row r="554" spans="2:28">
      <c r="B554" s="1384" t="s">
        <v>798</v>
      </c>
      <c r="C554" s="1385"/>
      <c r="D554" s="1385"/>
      <c r="E554" s="1385"/>
      <c r="F554" s="1386"/>
      <c r="G554" s="457"/>
      <c r="H554" s="458">
        <f>G554</f>
        <v>0</v>
      </c>
      <c r="I554" s="457"/>
      <c r="J554" s="400">
        <f>I554</f>
        <v>0</v>
      </c>
      <c r="K554" s="280"/>
      <c r="L554" s="424"/>
      <c r="M554" s="424"/>
      <c r="N554" s="424"/>
      <c r="O554" s="424"/>
      <c r="P554" s="424"/>
      <c r="Q554" s="424"/>
      <c r="R554" s="424"/>
      <c r="S554" s="424"/>
      <c r="T554" s="424"/>
      <c r="U554" s="304"/>
      <c r="V554" s="304"/>
      <c r="X554" s="304"/>
    </row>
    <row r="555" spans="2:28">
      <c r="B555" s="1398">
        <v>1120</v>
      </c>
      <c r="C555" s="1399"/>
      <c r="D555" s="1399"/>
      <c r="E555" s="1399"/>
      <c r="F555" s="1399"/>
      <c r="G555" s="350"/>
      <c r="H555" s="389"/>
      <c r="I555" s="350"/>
      <c r="J555" s="390"/>
      <c r="K555" s="280"/>
      <c r="L555" s="424"/>
      <c r="M555" s="424"/>
      <c r="N555" s="424"/>
      <c r="O555" s="424"/>
      <c r="P555" s="424"/>
      <c r="Q555" s="424"/>
      <c r="R555" s="424"/>
      <c r="S555" s="424"/>
      <c r="T555" s="424"/>
      <c r="U555" s="304"/>
      <c r="V555" s="304"/>
      <c r="X555" s="304"/>
      <c r="Z555" s="451" t="s">
        <v>799</v>
      </c>
      <c r="AA555" s="280">
        <f>IF(OR(H552=0, H552=10%), 0, 1)</f>
        <v>0</v>
      </c>
    </row>
    <row r="556" spans="2:28">
      <c r="B556" s="1384" t="s">
        <v>800</v>
      </c>
      <c r="C556" s="1385"/>
      <c r="D556" s="1385"/>
      <c r="E556" s="1385"/>
      <c r="F556" s="1386"/>
      <c r="G556" s="459"/>
      <c r="H556" s="387" t="str">
        <f>AA547</f>
        <v>Shareholder %</v>
      </c>
      <c r="I556" s="346"/>
      <c r="J556" s="388" t="str">
        <f>AA548</f>
        <v>Shareholder %</v>
      </c>
      <c r="K556" s="280"/>
      <c r="L556" s="424"/>
      <c r="M556" s="424"/>
      <c r="N556" s="424"/>
      <c r="O556" s="424"/>
      <c r="P556" s="424"/>
      <c r="Q556" s="424"/>
      <c r="R556" s="424"/>
      <c r="S556" s="424"/>
      <c r="T556" s="424"/>
      <c r="U556" s="304"/>
      <c r="V556" s="304"/>
      <c r="X556" s="304"/>
      <c r="Z556" s="451" t="s">
        <v>801</v>
      </c>
      <c r="AA556" s="280">
        <f>IF(OR(J552=0, J552+100%), 0, 1)</f>
        <v>0</v>
      </c>
    </row>
    <row r="557" spans="2:28">
      <c r="B557" s="1297" t="s">
        <v>802</v>
      </c>
      <c r="C557" s="1298"/>
      <c r="D557" s="1298"/>
      <c r="E557" s="1298"/>
      <c r="F557" s="1298"/>
      <c r="G557" s="460"/>
      <c r="H557" s="416"/>
      <c r="I557" s="460"/>
      <c r="J557" s="417"/>
      <c r="K557" s="280"/>
      <c r="L557" s="424"/>
      <c r="M557" s="424"/>
      <c r="N557" s="424"/>
      <c r="O557" s="424"/>
      <c r="P557" s="424"/>
      <c r="Q557" s="424"/>
      <c r="R557" s="424"/>
      <c r="S557" s="424"/>
      <c r="T557" s="424"/>
      <c r="U557" s="304"/>
      <c r="V557" s="304"/>
      <c r="X557" s="304"/>
      <c r="Z557" s="451" t="s">
        <v>803</v>
      </c>
      <c r="AA557" s="362">
        <f>G573/12</f>
        <v>0</v>
      </c>
    </row>
    <row r="558" spans="2:28">
      <c r="B558" s="1387" t="s">
        <v>804</v>
      </c>
      <c r="C558" s="1388"/>
      <c r="D558" s="1388"/>
      <c r="E558" s="1388"/>
      <c r="F558" s="1389"/>
      <c r="G558" s="461"/>
      <c r="H558" s="419">
        <f>(G558*H552)*-1</f>
        <v>0</v>
      </c>
      <c r="I558" s="461"/>
      <c r="J558" s="420">
        <f>(I558*J552)*-1</f>
        <v>0</v>
      </c>
      <c r="K558" s="280"/>
      <c r="L558" s="424"/>
      <c r="M558" s="424"/>
      <c r="N558" s="424"/>
      <c r="O558" s="424"/>
      <c r="P558" s="424"/>
      <c r="Q558" s="424"/>
      <c r="R558" s="424"/>
      <c r="S558" s="424"/>
      <c r="T558" s="424"/>
      <c r="U558" s="304"/>
      <c r="V558" s="304"/>
      <c r="X558" s="304"/>
      <c r="Z558" s="451" t="s">
        <v>805</v>
      </c>
      <c r="AA558" s="362">
        <f>(G573+I573)/24</f>
        <v>0</v>
      </c>
    </row>
    <row r="559" spans="2:28">
      <c r="B559" s="1390" t="s">
        <v>806</v>
      </c>
      <c r="C559" s="1391"/>
      <c r="D559" s="1391"/>
      <c r="E559" s="1391"/>
      <c r="F559" s="1392"/>
      <c r="G559" s="461"/>
      <c r="H559" s="419">
        <f>(G559*H552)*-1</f>
        <v>0</v>
      </c>
      <c r="I559" s="461"/>
      <c r="J559" s="420">
        <f>(I559*J552)*-1</f>
        <v>0</v>
      </c>
      <c r="K559" s="280"/>
      <c r="L559" s="424"/>
      <c r="M559" s="424"/>
      <c r="N559" s="424"/>
      <c r="O559" s="424"/>
      <c r="P559" s="424"/>
      <c r="Q559" s="424"/>
      <c r="R559" s="424"/>
      <c r="S559" s="424"/>
      <c r="T559" s="424"/>
      <c r="U559" s="304"/>
      <c r="V559" s="304"/>
      <c r="X559" s="304"/>
      <c r="Z559" s="451"/>
    </row>
    <row r="560" spans="2:28">
      <c r="B560" s="1302" t="s">
        <v>807</v>
      </c>
      <c r="C560" s="1303"/>
      <c r="D560" s="1303"/>
      <c r="E560" s="1303"/>
      <c r="F560" s="1304"/>
      <c r="G560" s="461"/>
      <c r="H560" s="419">
        <f>(G560*H552)*-1</f>
        <v>0</v>
      </c>
      <c r="I560" s="461"/>
      <c r="J560" s="420">
        <f>(I560*J552)*-1</f>
        <v>0</v>
      </c>
      <c r="K560" s="280"/>
      <c r="L560" s="424"/>
      <c r="M560" s="424"/>
      <c r="N560" s="424"/>
      <c r="O560" s="424"/>
      <c r="P560" s="424"/>
      <c r="Q560" s="424"/>
      <c r="R560" s="424"/>
      <c r="S560" s="424"/>
      <c r="T560" s="424"/>
      <c r="U560" s="304"/>
      <c r="V560" s="304"/>
      <c r="X560" s="304"/>
      <c r="Z560" s="451" t="s">
        <v>808</v>
      </c>
      <c r="AA560" s="280">
        <f>IF(AND(J554=0, J556=0, J558=0, J559=0, J560=0, J562=0, J563=0, J564=0, J565=0, J567=0, J568=0, J569=0, J570=0, J572=0, I573=0), 0, 1)</f>
        <v>1</v>
      </c>
    </row>
    <row r="561" spans="2:27">
      <c r="B561" s="1229" t="s">
        <v>809</v>
      </c>
      <c r="C561" s="1230"/>
      <c r="D561" s="1230"/>
      <c r="E561" s="1230"/>
      <c r="F561" s="1230"/>
      <c r="G561" s="350"/>
      <c r="H561" s="351"/>
      <c r="I561" s="350"/>
      <c r="J561" s="352"/>
      <c r="K561" s="280"/>
      <c r="L561" s="424"/>
      <c r="M561" s="424"/>
      <c r="N561" s="424"/>
      <c r="O561" s="424"/>
      <c r="P561" s="424"/>
      <c r="Q561" s="424"/>
      <c r="R561" s="424"/>
      <c r="S561" s="424"/>
      <c r="T561" s="424"/>
      <c r="U561" s="304"/>
      <c r="V561" s="304"/>
      <c r="X561" s="304"/>
      <c r="Z561" s="451" t="s">
        <v>810</v>
      </c>
      <c r="AA561" s="280">
        <f>IF(AND(G573&lt;=I573, I573&lt;&gt;0), 0, 1)</f>
        <v>1</v>
      </c>
    </row>
    <row r="562" spans="2:27">
      <c r="B562" s="1243" t="s">
        <v>811</v>
      </c>
      <c r="C562" s="1244"/>
      <c r="D562" s="1244"/>
      <c r="E562" s="1244"/>
      <c r="F562" s="1245"/>
      <c r="G562" s="346"/>
      <c r="H562" s="384">
        <f>G562*H552</f>
        <v>0</v>
      </c>
      <c r="I562" s="346"/>
      <c r="J562" s="385">
        <f>I562*J552</f>
        <v>0</v>
      </c>
      <c r="K562" s="280"/>
      <c r="L562" s="424"/>
      <c r="M562" s="424"/>
      <c r="N562" s="424"/>
      <c r="O562" s="424"/>
      <c r="P562" s="424"/>
      <c r="Q562" s="424"/>
      <c r="R562" s="424"/>
      <c r="S562" s="424"/>
      <c r="T562" s="424"/>
      <c r="U562" s="304"/>
      <c r="V562" s="304"/>
      <c r="X562" s="304"/>
      <c r="Z562" s="451" t="s">
        <v>812</v>
      </c>
      <c r="AA562" s="280">
        <f>IF(AND(AA561=0, AA560=1), 0, 1)</f>
        <v>1</v>
      </c>
    </row>
    <row r="563" spans="2:27">
      <c r="B563" s="1381" t="s">
        <v>813</v>
      </c>
      <c r="C563" s="1224"/>
      <c r="D563" s="1224"/>
      <c r="E563" s="1224"/>
      <c r="F563" s="1225"/>
      <c r="G563" s="346"/>
      <c r="H563" s="384">
        <f>G563*H552</f>
        <v>0</v>
      </c>
      <c r="I563" s="346"/>
      <c r="J563" s="385">
        <f>I563*J552</f>
        <v>0</v>
      </c>
      <c r="K563" s="280"/>
      <c r="L563" s="424"/>
      <c r="M563" s="424"/>
      <c r="N563" s="424"/>
      <c r="O563" s="424"/>
      <c r="P563" s="424"/>
      <c r="Q563" s="424"/>
      <c r="R563" s="424"/>
      <c r="S563" s="424"/>
      <c r="T563" s="424"/>
      <c r="U563" s="304"/>
      <c r="X563" s="304"/>
    </row>
    <row r="564" spans="2:27">
      <c r="B564" s="1223" t="s">
        <v>814</v>
      </c>
      <c r="C564" s="1224"/>
      <c r="D564" s="1224"/>
      <c r="E564" s="1224"/>
      <c r="F564" s="1225"/>
      <c r="G564" s="346"/>
      <c r="H564" s="384">
        <f>G564*H552</f>
        <v>0</v>
      </c>
      <c r="I564" s="346"/>
      <c r="J564" s="385">
        <f>I564*J552</f>
        <v>0</v>
      </c>
      <c r="K564" s="280"/>
      <c r="L564" s="424"/>
      <c r="M564" s="424"/>
      <c r="N564" s="424"/>
      <c r="O564" s="424"/>
      <c r="P564" s="424"/>
      <c r="Q564" s="424"/>
      <c r="R564" s="424"/>
      <c r="S564" s="424"/>
      <c r="T564" s="424"/>
      <c r="U564" s="304"/>
      <c r="X564" s="304"/>
      <c r="AA564" s="349" t="s">
        <v>596</v>
      </c>
    </row>
    <row r="565" spans="2:27">
      <c r="B565" s="1226" t="s">
        <v>825</v>
      </c>
      <c r="C565" s="1227"/>
      <c r="D565" s="1227"/>
      <c r="E565" s="1227"/>
      <c r="F565" s="1228"/>
      <c r="G565" s="346"/>
      <c r="H565" s="384">
        <f>G565*H552</f>
        <v>0</v>
      </c>
      <c r="I565" s="346"/>
      <c r="J565" s="385">
        <f>I565*J552</f>
        <v>0</v>
      </c>
      <c r="K565" s="280"/>
      <c r="L565" s="424"/>
      <c r="M565" s="424"/>
      <c r="N565" s="424"/>
      <c r="O565" s="424"/>
      <c r="P565" s="424"/>
      <c r="Q565" s="424"/>
      <c r="R565" s="424"/>
      <c r="S565" s="424"/>
      <c r="T565" s="424"/>
      <c r="U565" s="304"/>
      <c r="X565" s="304"/>
      <c r="Z565" s="462"/>
      <c r="AA565" s="349" t="s">
        <v>683</v>
      </c>
    </row>
    <row r="566" spans="2:27">
      <c r="B566" s="1229" t="s">
        <v>816</v>
      </c>
      <c r="C566" s="1230"/>
      <c r="D566" s="1230"/>
      <c r="E566" s="1230"/>
      <c r="F566" s="1230"/>
      <c r="G566" s="351"/>
      <c r="H566" s="351"/>
      <c r="I566" s="351"/>
      <c r="J566" s="352"/>
      <c r="K566" s="280"/>
      <c r="L566" s="424"/>
      <c r="M566" s="424"/>
      <c r="N566" s="424"/>
      <c r="O566" s="424"/>
      <c r="P566" s="424"/>
      <c r="Q566" s="424"/>
      <c r="R566" s="424"/>
      <c r="S566" s="424"/>
      <c r="T566" s="424"/>
      <c r="U566" s="304"/>
      <c r="X566" s="304"/>
      <c r="AA566" s="349" t="s">
        <v>599</v>
      </c>
    </row>
    <row r="567" spans="2:27">
      <c r="B567" s="1231" t="s">
        <v>817</v>
      </c>
      <c r="C567" s="1382"/>
      <c r="D567" s="1382"/>
      <c r="E567" s="1382"/>
      <c r="F567" s="1383"/>
      <c r="G567" s="346"/>
      <c r="H567" s="359">
        <f>(G567*H552)*-1</f>
        <v>0</v>
      </c>
      <c r="I567" s="346"/>
      <c r="J567" s="400">
        <f>(I567*J552)*-1</f>
        <v>0</v>
      </c>
      <c r="K567" s="280"/>
      <c r="L567" s="424"/>
      <c r="M567" s="424"/>
      <c r="N567" s="424"/>
      <c r="O567" s="424"/>
      <c r="P567" s="424"/>
      <c r="Q567" s="424"/>
      <c r="R567" s="424"/>
      <c r="S567" s="424"/>
      <c r="T567" s="424"/>
      <c r="U567" s="304"/>
      <c r="X567" s="304"/>
      <c r="AA567" s="349" t="s">
        <v>603</v>
      </c>
    </row>
    <row r="568" spans="2:27" ht="28.5" customHeight="1">
      <c r="B568" s="1369" t="s">
        <v>818</v>
      </c>
      <c r="C568" s="1370"/>
      <c r="D568" s="1370"/>
      <c r="E568" s="1370"/>
      <c r="F568" s="1371"/>
      <c r="G568" s="346"/>
      <c r="H568" s="359">
        <f>G568*H552*-1</f>
        <v>0</v>
      </c>
      <c r="I568" s="346"/>
      <c r="J568" s="400">
        <f>(I568*J552)*-1</f>
        <v>0</v>
      </c>
      <c r="K568" s="280"/>
      <c r="L568" s="424"/>
      <c r="M568" s="424"/>
      <c r="N568" s="424"/>
      <c r="O568" s="424"/>
      <c r="P568" s="424"/>
      <c r="Q568" s="424"/>
      <c r="R568" s="424"/>
      <c r="S568" s="424"/>
      <c r="T568" s="424"/>
      <c r="U568" s="304"/>
      <c r="X568" s="304"/>
      <c r="AA568" s="349" t="s">
        <v>605</v>
      </c>
    </row>
    <row r="569" spans="2:27">
      <c r="B569" s="1372" t="s">
        <v>819</v>
      </c>
      <c r="C569" s="1373"/>
      <c r="D569" s="1373"/>
      <c r="E569" s="1373"/>
      <c r="F569" s="1374"/>
      <c r="G569" s="346"/>
      <c r="H569" s="359">
        <f>G569*H552*-1</f>
        <v>0</v>
      </c>
      <c r="I569" s="346"/>
      <c r="J569" s="400">
        <f>I569*J552*-1</f>
        <v>0</v>
      </c>
      <c r="K569" s="280"/>
      <c r="L569" s="424"/>
      <c r="M569" s="424"/>
      <c r="N569" s="424"/>
      <c r="O569" s="424"/>
      <c r="P569" s="424"/>
      <c r="Q569" s="424"/>
      <c r="R569" s="424"/>
      <c r="S569" s="424"/>
      <c r="T569" s="424"/>
      <c r="U569" s="304"/>
    </row>
    <row r="570" spans="2:27">
      <c r="B570" s="1375" t="s">
        <v>820</v>
      </c>
      <c r="C570" s="1376"/>
      <c r="D570" s="1376"/>
      <c r="E570" s="1376"/>
      <c r="F570" s="1377"/>
      <c r="G570" s="346"/>
      <c r="H570" s="359">
        <f>G570*H552*-1</f>
        <v>0</v>
      </c>
      <c r="I570" s="346"/>
      <c r="J570" s="359">
        <f>I570*J552*-1</f>
        <v>0</v>
      </c>
      <c r="K570" s="280"/>
      <c r="L570" s="424"/>
      <c r="M570" s="424"/>
      <c r="N570" s="424"/>
      <c r="O570" s="424"/>
      <c r="P570" s="424"/>
      <c r="Q570" s="424"/>
      <c r="R570" s="424"/>
      <c r="S570" s="424"/>
      <c r="T570" s="424"/>
      <c r="U570" s="304"/>
    </row>
    <row r="571" spans="2:27" ht="15" customHeight="1">
      <c r="B571" s="1378" t="s">
        <v>735</v>
      </c>
      <c r="C571" s="1379"/>
      <c r="D571" s="1379"/>
      <c r="E571" s="1379"/>
      <c r="F571" s="1379"/>
      <c r="G571" s="350"/>
      <c r="H571" s="389"/>
      <c r="I571" s="350"/>
      <c r="J571" s="390"/>
      <c r="K571" s="280"/>
      <c r="L571" s="424"/>
      <c r="M571" s="424"/>
      <c r="N571" s="424"/>
      <c r="O571" s="424"/>
      <c r="P571" s="424"/>
      <c r="Q571" s="424"/>
      <c r="R571" s="424"/>
      <c r="S571" s="424"/>
      <c r="T571" s="424"/>
      <c r="U571" s="304"/>
    </row>
    <row r="572" spans="2:27">
      <c r="B572" s="1380" t="s">
        <v>821</v>
      </c>
      <c r="C572" s="1370"/>
      <c r="D572" s="1370"/>
      <c r="E572" s="1370"/>
      <c r="F572" s="1371"/>
      <c r="G572" s="346"/>
      <c r="H572" s="359">
        <f>(G572*H552)</f>
        <v>0</v>
      </c>
      <c r="I572" s="346"/>
      <c r="J572" s="400">
        <f>(I572*J552)</f>
        <v>0</v>
      </c>
      <c r="K572" s="280"/>
      <c r="L572" s="424"/>
      <c r="M572" s="424"/>
      <c r="N572" s="424"/>
      <c r="O572" s="424"/>
      <c r="P572" s="424"/>
      <c r="Q572" s="424"/>
      <c r="R572" s="424"/>
      <c r="S572" s="424"/>
      <c r="T572" s="424"/>
      <c r="U572" s="304"/>
    </row>
    <row r="573" spans="2:27">
      <c r="B573" s="1158" t="s">
        <v>822</v>
      </c>
      <c r="C573" s="1159"/>
      <c r="D573" s="1159"/>
      <c r="E573" s="1159"/>
      <c r="F573" s="1160"/>
      <c r="G573" s="1359">
        <f>SUM(H554:H572)</f>
        <v>0</v>
      </c>
      <c r="H573" s="1360"/>
      <c r="I573" s="1361">
        <f>SUM(J554:J572)</f>
        <v>0</v>
      </c>
      <c r="J573" s="1362"/>
      <c r="K573" s="280"/>
      <c r="L573" s="424"/>
      <c r="M573" s="424"/>
      <c r="N573" s="424"/>
      <c r="O573" s="424"/>
      <c r="P573" s="424"/>
      <c r="Q573" s="424"/>
      <c r="R573" s="424"/>
      <c r="S573" s="424"/>
      <c r="T573" s="424"/>
      <c r="U573" s="304"/>
    </row>
    <row r="574" spans="2:27" ht="18.75">
      <c r="B574" s="1363" t="s">
        <v>823</v>
      </c>
      <c r="C574" s="1364"/>
      <c r="D574" s="1364"/>
      <c r="E574" s="1364"/>
      <c r="F574" s="1365"/>
      <c r="G574" s="1161" t="str">
        <f>IF(OR(AA562=0, I573=0), "12 Month Average", "24 Month Average")</f>
        <v>12 Month Average</v>
      </c>
      <c r="H574" s="1162"/>
      <c r="I574" s="1162"/>
      <c r="J574" s="1163"/>
      <c r="K574" s="280"/>
      <c r="L574" s="424"/>
      <c r="M574" s="424"/>
      <c r="N574" s="424"/>
      <c r="O574" s="424"/>
      <c r="P574" s="424"/>
      <c r="Q574" s="424"/>
      <c r="R574" s="424"/>
      <c r="S574" s="424"/>
      <c r="T574" s="424"/>
      <c r="U574" s="304"/>
    </row>
    <row r="575" spans="2:27" ht="34.5" thickBot="1">
      <c r="B575" s="1366" t="s">
        <v>824</v>
      </c>
      <c r="C575" s="1367"/>
      <c r="D575" s="1367"/>
      <c r="E575" s="1367"/>
      <c r="F575" s="1368"/>
      <c r="G575" s="1167">
        <f>IF(OR(AA562=0, I573=0), AA557, AA558)</f>
        <v>0</v>
      </c>
      <c r="H575" s="1168"/>
      <c r="I575" s="1168"/>
      <c r="J575" s="1169"/>
      <c r="L575" s="424"/>
      <c r="M575" s="424"/>
      <c r="N575" s="424"/>
      <c r="O575" s="424"/>
      <c r="P575" s="424"/>
      <c r="Q575" s="424"/>
      <c r="R575" s="424"/>
      <c r="S575" s="424"/>
      <c r="T575" s="424"/>
      <c r="U575" s="304"/>
    </row>
    <row r="576" spans="2:27" ht="9" customHeight="1" thickBot="1">
      <c r="H576" s="330"/>
      <c r="I576" s="330"/>
      <c r="L576" s="424"/>
      <c r="M576" s="424"/>
      <c r="N576" s="424"/>
      <c r="O576" s="424"/>
      <c r="P576" s="424"/>
      <c r="Q576" s="424"/>
      <c r="R576" s="424"/>
      <c r="S576" s="424"/>
      <c r="T576" s="424"/>
      <c r="U576" s="304"/>
    </row>
    <row r="577" spans="2:28" ht="135" customHeight="1" thickBot="1">
      <c r="B577" s="1148" t="s">
        <v>761</v>
      </c>
      <c r="C577" s="1285"/>
      <c r="D577" s="1285"/>
      <c r="E577" s="1285"/>
      <c r="F577" s="1285"/>
      <c r="G577" s="1285"/>
      <c r="H577" s="1285"/>
      <c r="I577" s="1285"/>
      <c r="J577" s="1286"/>
      <c r="L577" s="424"/>
      <c r="M577" s="424"/>
      <c r="N577" s="424"/>
      <c r="O577" s="424"/>
      <c r="P577" s="424"/>
      <c r="Q577" s="424"/>
      <c r="R577" s="424"/>
      <c r="S577" s="424"/>
      <c r="T577" s="424"/>
      <c r="U577" s="304"/>
    </row>
    <row r="578" spans="2:28" ht="9" customHeight="1">
      <c r="B578" s="304"/>
      <c r="C578" s="304"/>
      <c r="D578" s="304"/>
      <c r="E578" s="304"/>
      <c r="F578" s="304"/>
      <c r="G578" s="304"/>
      <c r="H578" s="304"/>
      <c r="I578" s="304"/>
      <c r="L578" s="304"/>
      <c r="M578" s="304"/>
      <c r="N578" s="304"/>
      <c r="O578" s="304"/>
      <c r="P578" s="304"/>
      <c r="Q578" s="304"/>
      <c r="R578" s="304"/>
      <c r="S578" s="304"/>
      <c r="T578" s="304"/>
      <c r="U578" s="304"/>
    </row>
    <row r="579" spans="2:28" ht="13.5" customHeight="1" thickBot="1"/>
    <row r="580" spans="2:28" ht="82.5" customHeight="1">
      <c r="B580" s="1187" t="s">
        <v>791</v>
      </c>
      <c r="C580" s="1188"/>
      <c r="D580" s="1188"/>
      <c r="E580" s="1188"/>
      <c r="F580" s="1188"/>
      <c r="G580" s="1188"/>
      <c r="H580" s="1188"/>
      <c r="I580" s="1188"/>
      <c r="J580" s="331" t="str">
        <f>'[3]Reference Sheet'!$B$2</f>
        <v>Rev. 4.12.2016</v>
      </c>
      <c r="L580" s="424"/>
      <c r="M580" s="424"/>
      <c r="N580" s="424"/>
      <c r="O580" s="424"/>
      <c r="P580" s="424"/>
      <c r="Q580" s="424"/>
      <c r="R580" s="424"/>
      <c r="S580" s="424"/>
      <c r="T580" s="424"/>
      <c r="U580" s="304"/>
    </row>
    <row r="581" spans="2:28" ht="17.25" customHeight="1" thickBot="1">
      <c r="B581" s="332"/>
      <c r="C581" s="368" t="s">
        <v>710</v>
      </c>
      <c r="D581" s="1400"/>
      <c r="E581" s="1401"/>
      <c r="F581" s="1401"/>
      <c r="G581" s="1401"/>
      <c r="H581" s="333"/>
      <c r="I581" s="333"/>
      <c r="J581" s="334"/>
      <c r="L581" s="424"/>
      <c r="M581" s="424"/>
      <c r="N581" s="424"/>
      <c r="O581" s="424"/>
      <c r="P581" s="424"/>
      <c r="Q581" s="424"/>
      <c r="R581" s="424"/>
      <c r="S581" s="424"/>
      <c r="T581" s="424"/>
      <c r="U581" s="304"/>
      <c r="X581" s="304"/>
      <c r="Z581" s="451" t="s">
        <v>717</v>
      </c>
      <c r="AA581" s="451" t="str">
        <f>IF(OR(H586=0, H586&gt;100%), "Shareholder %", G590*H586)</f>
        <v>Shareholder %</v>
      </c>
    </row>
    <row r="582" spans="2:28" ht="17.25" customHeight="1" thickBot="1">
      <c r="B582" s="332"/>
      <c r="C582" s="368" t="s">
        <v>711</v>
      </c>
      <c r="D582" s="1402"/>
      <c r="E582" s="1403"/>
      <c r="F582" s="1403"/>
      <c r="G582" s="1403"/>
      <c r="H582" s="368" t="s">
        <v>712</v>
      </c>
      <c r="I582" s="1400"/>
      <c r="J582" s="1404"/>
      <c r="L582" s="424"/>
      <c r="M582" s="424"/>
      <c r="N582" s="424"/>
      <c r="O582" s="424"/>
      <c r="P582" s="424"/>
      <c r="Q582" s="424"/>
      <c r="R582" s="424"/>
      <c r="S582" s="424"/>
      <c r="T582" s="424"/>
      <c r="U582" s="304"/>
      <c r="X582" s="304"/>
      <c r="Z582" s="451" t="s">
        <v>720</v>
      </c>
      <c r="AA582" s="451" t="str">
        <f>IF(OR(J586&gt;100%, J586=0), "Shareholder %", I590*J586)</f>
        <v>Shareholder %</v>
      </c>
    </row>
    <row r="583" spans="2:28" s="404" customFormat="1" ht="16.5" thickBot="1">
      <c r="B583" s="1393" t="s">
        <v>671</v>
      </c>
      <c r="C583" s="1394"/>
      <c r="D583" s="1405"/>
      <c r="E583" s="1406"/>
      <c r="F583" s="1406"/>
      <c r="G583" s="1406"/>
      <c r="H583" s="452" t="s">
        <v>673</v>
      </c>
      <c r="I583" s="1407"/>
      <c r="J583" s="1408"/>
      <c r="L583" s="424"/>
      <c r="M583" s="424"/>
      <c r="N583" s="424"/>
      <c r="O583" s="424"/>
      <c r="P583" s="424"/>
      <c r="Q583" s="424"/>
      <c r="R583" s="424"/>
      <c r="S583" s="424"/>
      <c r="T583" s="424"/>
      <c r="U583" s="367"/>
      <c r="X583" s="304"/>
      <c r="Y583" s="280"/>
      <c r="Z583" s="451"/>
      <c r="AA583" s="451"/>
      <c r="AB583" s="405"/>
    </row>
    <row r="584" spans="2:28" s="404" customFormat="1" ht="16.5" thickBot="1">
      <c r="B584" s="1393" t="s">
        <v>674</v>
      </c>
      <c r="C584" s="1394"/>
      <c r="D584" s="1395"/>
      <c r="E584" s="1396"/>
      <c r="F584" s="1396"/>
      <c r="G584" s="1396"/>
      <c r="H584" s="1396"/>
      <c r="I584" s="1396"/>
      <c r="J584" s="1397"/>
      <c r="K584" s="405"/>
      <c r="L584" s="424"/>
      <c r="M584" s="424"/>
      <c r="N584" s="424"/>
      <c r="O584" s="424"/>
      <c r="P584" s="424"/>
      <c r="Q584" s="424"/>
      <c r="R584" s="424"/>
      <c r="S584" s="424"/>
      <c r="T584" s="424"/>
      <c r="U584" s="367"/>
      <c r="X584" s="304"/>
      <c r="Y584" s="280"/>
      <c r="Z584" s="451" t="s">
        <v>793</v>
      </c>
      <c r="AA584" s="349" t="str">
        <f>IF(OR(H586=0, H586&gt;100%),"Enter Shareholder %",$J$40)</f>
        <v>Enter Shareholder %</v>
      </c>
      <c r="AB584" s="405"/>
    </row>
    <row r="585" spans="2:28">
      <c r="B585" s="1265"/>
      <c r="C585" s="1266"/>
      <c r="D585" s="1266"/>
      <c r="E585" s="1266"/>
      <c r="F585" s="1267"/>
      <c r="G585" s="453" t="s">
        <v>713</v>
      </c>
      <c r="H585" s="454" t="s">
        <v>676</v>
      </c>
      <c r="I585" s="342"/>
      <c r="J585" s="373" t="s">
        <v>677</v>
      </c>
      <c r="K585" s="280"/>
      <c r="L585" s="424"/>
      <c r="M585" s="424"/>
      <c r="N585" s="424"/>
      <c r="O585" s="424"/>
      <c r="P585" s="424"/>
      <c r="Q585" s="424"/>
      <c r="R585" s="424"/>
      <c r="S585" s="424"/>
      <c r="T585" s="424"/>
      <c r="U585" s="304"/>
      <c r="V585" s="304"/>
      <c r="X585" s="304"/>
      <c r="Z585" s="451" t="s">
        <v>794</v>
      </c>
      <c r="AA585" s="349" t="str">
        <f>IF(OR(J586=0, J586&gt;100%),"Enter Shareholder %",$J$41)</f>
        <v>Enter Shareholder %</v>
      </c>
    </row>
    <row r="586" spans="2:28" ht="15.75" thickBot="1">
      <c r="B586" s="1269"/>
      <c r="C586" s="1270"/>
      <c r="D586" s="1270"/>
      <c r="E586" s="1270"/>
      <c r="F586" s="1271"/>
      <c r="G586" s="408" t="s">
        <v>795</v>
      </c>
      <c r="H586" s="376"/>
      <c r="I586" s="377"/>
      <c r="J586" s="378"/>
      <c r="K586" s="280"/>
      <c r="L586" s="424"/>
      <c r="M586" s="424"/>
      <c r="N586" s="424"/>
      <c r="O586" s="424"/>
      <c r="P586" s="424"/>
      <c r="Q586" s="424"/>
      <c r="R586" s="424"/>
      <c r="S586" s="424"/>
      <c r="T586" s="424"/>
      <c r="U586" s="304"/>
      <c r="V586" s="304"/>
      <c r="X586" s="304"/>
      <c r="Z586" s="451" t="s">
        <v>796</v>
      </c>
      <c r="AA586" s="349">
        <f>SUM(H590:H606)</f>
        <v>0</v>
      </c>
    </row>
    <row r="587" spans="2:28">
      <c r="B587" s="1229" t="s">
        <v>744</v>
      </c>
      <c r="C587" s="1273"/>
      <c r="D587" s="1273"/>
      <c r="E587" s="1273"/>
      <c r="F587" s="1273"/>
      <c r="G587" s="455" t="s">
        <v>719</v>
      </c>
      <c r="H587" s="413"/>
      <c r="I587" s="456" t="s">
        <v>719</v>
      </c>
      <c r="J587" s="415"/>
      <c r="K587" s="280"/>
      <c r="L587" s="424"/>
      <c r="M587" s="424"/>
      <c r="N587" s="424"/>
      <c r="O587" s="424"/>
      <c r="P587" s="424"/>
      <c r="Q587" s="424"/>
      <c r="R587" s="424"/>
      <c r="S587" s="424"/>
      <c r="T587" s="424"/>
      <c r="U587" s="304"/>
      <c r="V587" s="304"/>
      <c r="X587" s="304"/>
      <c r="Z587" s="451" t="s">
        <v>797</v>
      </c>
      <c r="AA587" s="362">
        <f>SUM(J590:J606)</f>
        <v>0</v>
      </c>
    </row>
    <row r="588" spans="2:28">
      <c r="B588" s="1384" t="s">
        <v>798</v>
      </c>
      <c r="C588" s="1385"/>
      <c r="D588" s="1385"/>
      <c r="E588" s="1385"/>
      <c r="F588" s="1386"/>
      <c r="G588" s="457"/>
      <c r="H588" s="458">
        <f>G588</f>
        <v>0</v>
      </c>
      <c r="I588" s="457"/>
      <c r="J588" s="400">
        <f>I588</f>
        <v>0</v>
      </c>
      <c r="K588" s="280"/>
      <c r="L588" s="424"/>
      <c r="M588" s="424"/>
      <c r="N588" s="424"/>
      <c r="O588" s="424"/>
      <c r="P588" s="424"/>
      <c r="Q588" s="424"/>
      <c r="R588" s="424"/>
      <c r="S588" s="424"/>
      <c r="T588" s="424"/>
      <c r="U588" s="304"/>
      <c r="V588" s="304"/>
      <c r="X588" s="304"/>
    </row>
    <row r="589" spans="2:28">
      <c r="B589" s="1398">
        <v>1120</v>
      </c>
      <c r="C589" s="1399"/>
      <c r="D589" s="1399"/>
      <c r="E589" s="1399"/>
      <c r="F589" s="1399"/>
      <c r="G589" s="350"/>
      <c r="H589" s="389"/>
      <c r="I589" s="350"/>
      <c r="J589" s="390"/>
      <c r="K589" s="280"/>
      <c r="L589" s="424"/>
      <c r="M589" s="424"/>
      <c r="N589" s="424"/>
      <c r="O589" s="424"/>
      <c r="P589" s="424"/>
      <c r="Q589" s="424"/>
      <c r="R589" s="424"/>
      <c r="S589" s="424"/>
      <c r="T589" s="424"/>
      <c r="U589" s="304"/>
      <c r="V589" s="304"/>
      <c r="X589" s="304"/>
      <c r="Z589" s="451" t="s">
        <v>799</v>
      </c>
      <c r="AA589" s="280">
        <f>IF(OR(H586=0, H586=10%), 0, 1)</f>
        <v>0</v>
      </c>
    </row>
    <row r="590" spans="2:28">
      <c r="B590" s="1384" t="s">
        <v>800</v>
      </c>
      <c r="C590" s="1385"/>
      <c r="D590" s="1385"/>
      <c r="E590" s="1385"/>
      <c r="F590" s="1386"/>
      <c r="G590" s="459"/>
      <c r="H590" s="387" t="str">
        <f>AA581</f>
        <v>Shareholder %</v>
      </c>
      <c r="I590" s="346"/>
      <c r="J590" s="388" t="str">
        <f>AA582</f>
        <v>Shareholder %</v>
      </c>
      <c r="K590" s="280"/>
      <c r="L590" s="424"/>
      <c r="M590" s="424"/>
      <c r="N590" s="424"/>
      <c r="O590" s="424"/>
      <c r="P590" s="424"/>
      <c r="Q590" s="424"/>
      <c r="R590" s="424"/>
      <c r="S590" s="424"/>
      <c r="T590" s="424"/>
      <c r="U590" s="304"/>
      <c r="V590" s="304"/>
      <c r="X590" s="304"/>
      <c r="Z590" s="451" t="s">
        <v>801</v>
      </c>
      <c r="AA590" s="280">
        <f>IF(OR(J586=0, J586+100%), 0, 1)</f>
        <v>0</v>
      </c>
    </row>
    <row r="591" spans="2:28">
      <c r="B591" s="1297" t="s">
        <v>802</v>
      </c>
      <c r="C591" s="1298"/>
      <c r="D591" s="1298"/>
      <c r="E591" s="1298"/>
      <c r="F591" s="1298"/>
      <c r="G591" s="460"/>
      <c r="H591" s="416"/>
      <c r="I591" s="460"/>
      <c r="J591" s="417"/>
      <c r="K591" s="280"/>
      <c r="L591" s="424"/>
      <c r="M591" s="424"/>
      <c r="N591" s="424"/>
      <c r="O591" s="424"/>
      <c r="P591" s="424"/>
      <c r="Q591" s="424"/>
      <c r="R591" s="424"/>
      <c r="S591" s="424"/>
      <c r="T591" s="424"/>
      <c r="U591" s="304"/>
      <c r="V591" s="304"/>
      <c r="X591" s="304"/>
      <c r="Z591" s="451" t="s">
        <v>803</v>
      </c>
      <c r="AA591" s="362">
        <f>G607/12</f>
        <v>0</v>
      </c>
    </row>
    <row r="592" spans="2:28">
      <c r="B592" s="1387" t="s">
        <v>804</v>
      </c>
      <c r="C592" s="1388"/>
      <c r="D592" s="1388"/>
      <c r="E592" s="1388"/>
      <c r="F592" s="1389"/>
      <c r="G592" s="461"/>
      <c r="H592" s="419">
        <f>(G592*H586)*-1</f>
        <v>0</v>
      </c>
      <c r="I592" s="461"/>
      <c r="J592" s="420">
        <f>(I592*J586)*-1</f>
        <v>0</v>
      </c>
      <c r="K592" s="280"/>
      <c r="L592" s="424"/>
      <c r="M592" s="424"/>
      <c r="N592" s="424"/>
      <c r="O592" s="424"/>
      <c r="P592" s="424"/>
      <c r="Q592" s="424"/>
      <c r="R592" s="424"/>
      <c r="S592" s="424"/>
      <c r="T592" s="424"/>
      <c r="U592" s="304"/>
      <c r="V592" s="304"/>
      <c r="X592" s="304"/>
      <c r="Z592" s="451" t="s">
        <v>805</v>
      </c>
      <c r="AA592" s="362">
        <f>(G607+I607)/24</f>
        <v>0</v>
      </c>
    </row>
    <row r="593" spans="2:27">
      <c r="B593" s="1390" t="s">
        <v>806</v>
      </c>
      <c r="C593" s="1391"/>
      <c r="D593" s="1391"/>
      <c r="E593" s="1391"/>
      <c r="F593" s="1392"/>
      <c r="G593" s="461"/>
      <c r="H593" s="419">
        <f>(G593*H586)*-1</f>
        <v>0</v>
      </c>
      <c r="I593" s="461"/>
      <c r="J593" s="420">
        <f>(I593*J586)*-1</f>
        <v>0</v>
      </c>
      <c r="K593" s="280"/>
      <c r="L593" s="424"/>
      <c r="M593" s="424"/>
      <c r="N593" s="424"/>
      <c r="O593" s="424"/>
      <c r="P593" s="424"/>
      <c r="Q593" s="424"/>
      <c r="R593" s="424"/>
      <c r="S593" s="424"/>
      <c r="T593" s="424"/>
      <c r="U593" s="304"/>
      <c r="V593" s="304"/>
      <c r="X593" s="304"/>
      <c r="Z593" s="451"/>
    </row>
    <row r="594" spans="2:27">
      <c r="B594" s="1302" t="s">
        <v>807</v>
      </c>
      <c r="C594" s="1303"/>
      <c r="D594" s="1303"/>
      <c r="E594" s="1303"/>
      <c r="F594" s="1304"/>
      <c r="G594" s="461"/>
      <c r="H594" s="419">
        <f>(G594*H586)*-1</f>
        <v>0</v>
      </c>
      <c r="I594" s="461"/>
      <c r="J594" s="420">
        <f>(I594*J586)*-1</f>
        <v>0</v>
      </c>
      <c r="K594" s="280"/>
      <c r="L594" s="424"/>
      <c r="M594" s="424"/>
      <c r="N594" s="424"/>
      <c r="O594" s="424"/>
      <c r="P594" s="424"/>
      <c r="Q594" s="424"/>
      <c r="R594" s="424"/>
      <c r="S594" s="424"/>
      <c r="T594" s="424"/>
      <c r="U594" s="304"/>
      <c r="V594" s="304"/>
      <c r="X594" s="304"/>
      <c r="Z594" s="451" t="s">
        <v>808</v>
      </c>
      <c r="AA594" s="280">
        <f>IF(AND(J588=0, J590=0, J592=0, J593=0, J594=0, J596=0, J597=0, J598=0, J599=0, J601=0, J602=0, J603=0, J604=0, J606=0, I607=0), 0, 1)</f>
        <v>1</v>
      </c>
    </row>
    <row r="595" spans="2:27">
      <c r="B595" s="1229" t="s">
        <v>809</v>
      </c>
      <c r="C595" s="1230"/>
      <c r="D595" s="1230"/>
      <c r="E595" s="1230"/>
      <c r="F595" s="1230"/>
      <c r="G595" s="350"/>
      <c r="H595" s="351"/>
      <c r="I595" s="350"/>
      <c r="J595" s="352"/>
      <c r="K595" s="280"/>
      <c r="L595" s="424"/>
      <c r="M595" s="424"/>
      <c r="N595" s="424"/>
      <c r="O595" s="424"/>
      <c r="P595" s="424"/>
      <c r="Q595" s="424"/>
      <c r="R595" s="424"/>
      <c r="S595" s="424"/>
      <c r="T595" s="424"/>
      <c r="U595" s="304"/>
      <c r="V595" s="304"/>
      <c r="X595" s="304"/>
      <c r="Z595" s="451" t="s">
        <v>810</v>
      </c>
      <c r="AA595" s="280">
        <f>IF(AND(G607&lt;=I607, I607&lt;&gt;0), 0, 1)</f>
        <v>1</v>
      </c>
    </row>
    <row r="596" spans="2:27">
      <c r="B596" s="1243" t="s">
        <v>811</v>
      </c>
      <c r="C596" s="1244"/>
      <c r="D596" s="1244"/>
      <c r="E596" s="1244"/>
      <c r="F596" s="1245"/>
      <c r="G596" s="346"/>
      <c r="H596" s="384">
        <f>G596*H586</f>
        <v>0</v>
      </c>
      <c r="I596" s="346"/>
      <c r="J596" s="385">
        <f>I596*J586</f>
        <v>0</v>
      </c>
      <c r="K596" s="280"/>
      <c r="L596" s="424"/>
      <c r="M596" s="424"/>
      <c r="N596" s="424"/>
      <c r="O596" s="424"/>
      <c r="P596" s="424"/>
      <c r="Q596" s="424"/>
      <c r="R596" s="424"/>
      <c r="S596" s="424"/>
      <c r="T596" s="424"/>
      <c r="U596" s="304"/>
      <c r="V596" s="304"/>
      <c r="X596" s="304"/>
      <c r="Z596" s="451" t="s">
        <v>812</v>
      </c>
      <c r="AA596" s="280">
        <f>IF(AND(AA595=0, AA594=1), 0, 1)</f>
        <v>1</v>
      </c>
    </row>
    <row r="597" spans="2:27">
      <c r="B597" s="1381" t="s">
        <v>813</v>
      </c>
      <c r="C597" s="1224"/>
      <c r="D597" s="1224"/>
      <c r="E597" s="1224"/>
      <c r="F597" s="1225"/>
      <c r="G597" s="346"/>
      <c r="H597" s="384">
        <f>G597*H586</f>
        <v>0</v>
      </c>
      <c r="I597" s="346"/>
      <c r="J597" s="385">
        <f>I597*J586</f>
        <v>0</v>
      </c>
      <c r="K597" s="280"/>
      <c r="L597" s="424"/>
      <c r="M597" s="424"/>
      <c r="N597" s="424"/>
      <c r="O597" s="424"/>
      <c r="P597" s="424"/>
      <c r="Q597" s="424"/>
      <c r="R597" s="424"/>
      <c r="S597" s="424"/>
      <c r="T597" s="424"/>
      <c r="U597" s="304"/>
      <c r="X597" s="304"/>
    </row>
    <row r="598" spans="2:27">
      <c r="B598" s="1223" t="s">
        <v>814</v>
      </c>
      <c r="C598" s="1224"/>
      <c r="D598" s="1224"/>
      <c r="E598" s="1224"/>
      <c r="F598" s="1225"/>
      <c r="G598" s="346"/>
      <c r="H598" s="384">
        <f>G598*H586</f>
        <v>0</v>
      </c>
      <c r="I598" s="346"/>
      <c r="J598" s="385">
        <f>I598*J586</f>
        <v>0</v>
      </c>
      <c r="K598" s="280"/>
      <c r="L598" s="424"/>
      <c r="M598" s="424"/>
      <c r="N598" s="424"/>
      <c r="O598" s="424"/>
      <c r="P598" s="424"/>
      <c r="Q598" s="424"/>
      <c r="R598" s="424"/>
      <c r="S598" s="424"/>
      <c r="T598" s="424"/>
      <c r="U598" s="304"/>
      <c r="X598" s="304"/>
      <c r="AA598" s="349" t="s">
        <v>596</v>
      </c>
    </row>
    <row r="599" spans="2:27">
      <c r="B599" s="1226" t="s">
        <v>825</v>
      </c>
      <c r="C599" s="1227"/>
      <c r="D599" s="1227"/>
      <c r="E599" s="1227"/>
      <c r="F599" s="1228"/>
      <c r="G599" s="346"/>
      <c r="H599" s="384">
        <f>G599*H586</f>
        <v>0</v>
      </c>
      <c r="I599" s="346"/>
      <c r="J599" s="385">
        <f>I599*J586</f>
        <v>0</v>
      </c>
      <c r="K599" s="280"/>
      <c r="L599" s="424"/>
      <c r="M599" s="424"/>
      <c r="N599" s="424"/>
      <c r="O599" s="424"/>
      <c r="P599" s="424"/>
      <c r="Q599" s="424"/>
      <c r="R599" s="424"/>
      <c r="S599" s="424"/>
      <c r="T599" s="424"/>
      <c r="U599" s="304"/>
      <c r="X599" s="304"/>
      <c r="Z599" s="462"/>
      <c r="AA599" s="349" t="s">
        <v>683</v>
      </c>
    </row>
    <row r="600" spans="2:27">
      <c r="B600" s="1229" t="s">
        <v>816</v>
      </c>
      <c r="C600" s="1230"/>
      <c r="D600" s="1230"/>
      <c r="E600" s="1230"/>
      <c r="F600" s="1230"/>
      <c r="G600" s="351"/>
      <c r="H600" s="351"/>
      <c r="I600" s="351"/>
      <c r="J600" s="352"/>
      <c r="K600" s="280"/>
      <c r="L600" s="424"/>
      <c r="M600" s="424"/>
      <c r="N600" s="424"/>
      <c r="O600" s="424"/>
      <c r="P600" s="424"/>
      <c r="Q600" s="424"/>
      <c r="R600" s="424"/>
      <c r="S600" s="424"/>
      <c r="T600" s="424"/>
      <c r="U600" s="304"/>
      <c r="X600" s="304"/>
      <c r="AA600" s="349" t="s">
        <v>599</v>
      </c>
    </row>
    <row r="601" spans="2:27">
      <c r="B601" s="1231" t="s">
        <v>817</v>
      </c>
      <c r="C601" s="1382"/>
      <c r="D601" s="1382"/>
      <c r="E601" s="1382"/>
      <c r="F601" s="1383"/>
      <c r="G601" s="346"/>
      <c r="H601" s="359">
        <f>(G601*H586)*-1</f>
        <v>0</v>
      </c>
      <c r="I601" s="346"/>
      <c r="J601" s="400">
        <f>(I601*J586)*-1</f>
        <v>0</v>
      </c>
      <c r="K601" s="280"/>
      <c r="L601" s="424"/>
      <c r="M601" s="424"/>
      <c r="N601" s="424"/>
      <c r="O601" s="424"/>
      <c r="P601" s="424"/>
      <c r="Q601" s="424"/>
      <c r="R601" s="424"/>
      <c r="S601" s="424"/>
      <c r="T601" s="424"/>
      <c r="U601" s="304"/>
      <c r="X601" s="304"/>
      <c r="AA601" s="349" t="s">
        <v>603</v>
      </c>
    </row>
    <row r="602" spans="2:27" ht="28.5" customHeight="1">
      <c r="B602" s="1369" t="s">
        <v>818</v>
      </c>
      <c r="C602" s="1370"/>
      <c r="D602" s="1370"/>
      <c r="E602" s="1370"/>
      <c r="F602" s="1371"/>
      <c r="G602" s="346"/>
      <c r="H602" s="359">
        <f>G602*H586*-1</f>
        <v>0</v>
      </c>
      <c r="I602" s="346"/>
      <c r="J602" s="400">
        <f>(I602*J586)*-1</f>
        <v>0</v>
      </c>
      <c r="K602" s="280"/>
      <c r="L602" s="424"/>
      <c r="M602" s="424"/>
      <c r="N602" s="424"/>
      <c r="O602" s="424"/>
      <c r="P602" s="424"/>
      <c r="Q602" s="424"/>
      <c r="R602" s="424"/>
      <c r="S602" s="424"/>
      <c r="T602" s="424"/>
      <c r="U602" s="304"/>
      <c r="X602" s="304"/>
      <c r="AA602" s="349" t="s">
        <v>605</v>
      </c>
    </row>
    <row r="603" spans="2:27">
      <c r="B603" s="1372" t="s">
        <v>819</v>
      </c>
      <c r="C603" s="1373"/>
      <c r="D603" s="1373"/>
      <c r="E603" s="1373"/>
      <c r="F603" s="1374"/>
      <c r="G603" s="346"/>
      <c r="H603" s="359">
        <f>G603*H586*-1</f>
        <v>0</v>
      </c>
      <c r="I603" s="346"/>
      <c r="J603" s="400">
        <f>I603*J586*-1</f>
        <v>0</v>
      </c>
      <c r="K603" s="280"/>
      <c r="L603" s="424"/>
      <c r="M603" s="424"/>
      <c r="N603" s="424"/>
      <c r="O603" s="424"/>
      <c r="P603" s="424"/>
      <c r="Q603" s="424"/>
      <c r="R603" s="424"/>
      <c r="S603" s="424"/>
      <c r="T603" s="424"/>
      <c r="U603" s="304"/>
    </row>
    <row r="604" spans="2:27">
      <c r="B604" s="1375" t="s">
        <v>820</v>
      </c>
      <c r="C604" s="1376"/>
      <c r="D604" s="1376"/>
      <c r="E604" s="1376"/>
      <c r="F604" s="1377"/>
      <c r="G604" s="346"/>
      <c r="H604" s="359">
        <f>G604*H586*-1</f>
        <v>0</v>
      </c>
      <c r="I604" s="346"/>
      <c r="J604" s="359">
        <f>I604*J586*-1</f>
        <v>0</v>
      </c>
      <c r="K604" s="280"/>
      <c r="L604" s="424"/>
      <c r="M604" s="424"/>
      <c r="N604" s="424"/>
      <c r="O604" s="424"/>
      <c r="P604" s="424"/>
      <c r="Q604" s="424"/>
      <c r="R604" s="424"/>
      <c r="S604" s="424"/>
      <c r="T604" s="424"/>
      <c r="U604" s="304"/>
    </row>
    <row r="605" spans="2:27" ht="15" customHeight="1">
      <c r="B605" s="1378" t="s">
        <v>735</v>
      </c>
      <c r="C605" s="1379"/>
      <c r="D605" s="1379"/>
      <c r="E605" s="1379"/>
      <c r="F605" s="1379"/>
      <c r="G605" s="350"/>
      <c r="H605" s="389"/>
      <c r="I605" s="350"/>
      <c r="J605" s="390"/>
      <c r="K605" s="280"/>
      <c r="L605" s="424"/>
      <c r="M605" s="424"/>
      <c r="N605" s="424"/>
      <c r="O605" s="424"/>
      <c r="P605" s="424"/>
      <c r="Q605" s="424"/>
      <c r="R605" s="424"/>
      <c r="S605" s="424"/>
      <c r="T605" s="424"/>
      <c r="U605" s="304"/>
    </row>
    <row r="606" spans="2:27">
      <c r="B606" s="1380" t="s">
        <v>821</v>
      </c>
      <c r="C606" s="1370"/>
      <c r="D606" s="1370"/>
      <c r="E606" s="1370"/>
      <c r="F606" s="1371"/>
      <c r="G606" s="346"/>
      <c r="H606" s="359">
        <f>(G606*H586)</f>
        <v>0</v>
      </c>
      <c r="I606" s="346"/>
      <c r="J606" s="400">
        <f>(I606*J586)</f>
        <v>0</v>
      </c>
      <c r="K606" s="280"/>
      <c r="L606" s="424"/>
      <c r="M606" s="424"/>
      <c r="N606" s="424"/>
      <c r="O606" s="424"/>
      <c r="P606" s="424"/>
      <c r="Q606" s="424"/>
      <c r="R606" s="424"/>
      <c r="S606" s="424"/>
      <c r="T606" s="424"/>
      <c r="U606" s="304"/>
    </row>
    <row r="607" spans="2:27">
      <c r="B607" s="1158" t="s">
        <v>822</v>
      </c>
      <c r="C607" s="1159"/>
      <c r="D607" s="1159"/>
      <c r="E607" s="1159"/>
      <c r="F607" s="1160"/>
      <c r="G607" s="1359">
        <f>SUM(H588:H606)</f>
        <v>0</v>
      </c>
      <c r="H607" s="1360"/>
      <c r="I607" s="1361">
        <f>SUM(J588:J606)</f>
        <v>0</v>
      </c>
      <c r="J607" s="1362"/>
      <c r="K607" s="280"/>
      <c r="L607" s="424"/>
      <c r="M607" s="424"/>
      <c r="N607" s="424"/>
      <c r="O607" s="424"/>
      <c r="P607" s="424"/>
      <c r="Q607" s="424"/>
      <c r="R607" s="424"/>
      <c r="S607" s="424"/>
      <c r="T607" s="424"/>
      <c r="U607" s="304"/>
    </row>
    <row r="608" spans="2:27" ht="18.75">
      <c r="B608" s="1363" t="s">
        <v>823</v>
      </c>
      <c r="C608" s="1364"/>
      <c r="D608" s="1364"/>
      <c r="E608" s="1364"/>
      <c r="F608" s="1365"/>
      <c r="G608" s="1161" t="str">
        <f>IF(OR(AA596=0, I607=0), "12 Month Average", "24 Month Average")</f>
        <v>12 Month Average</v>
      </c>
      <c r="H608" s="1162"/>
      <c r="I608" s="1162"/>
      <c r="J608" s="1163"/>
      <c r="K608" s="280"/>
      <c r="L608" s="424"/>
      <c r="M608" s="424"/>
      <c r="N608" s="424"/>
      <c r="O608" s="424"/>
      <c r="P608" s="424"/>
      <c r="Q608" s="424"/>
      <c r="R608" s="424"/>
      <c r="S608" s="424"/>
      <c r="T608" s="424"/>
      <c r="U608" s="304"/>
    </row>
    <row r="609" spans="2:28" ht="34.5" thickBot="1">
      <c r="B609" s="1366" t="s">
        <v>824</v>
      </c>
      <c r="C609" s="1367"/>
      <c r="D609" s="1367"/>
      <c r="E609" s="1367"/>
      <c r="F609" s="1368"/>
      <c r="G609" s="1167">
        <f>IF(OR(AA596=0, I607=0), AA591, AA592)</f>
        <v>0</v>
      </c>
      <c r="H609" s="1168"/>
      <c r="I609" s="1168"/>
      <c r="J609" s="1169"/>
      <c r="L609" s="424"/>
      <c r="M609" s="424"/>
      <c r="N609" s="424"/>
      <c r="O609" s="424"/>
      <c r="P609" s="424"/>
      <c r="Q609" s="424"/>
      <c r="R609" s="424"/>
      <c r="S609" s="424"/>
      <c r="T609" s="424"/>
      <c r="U609" s="304"/>
    </row>
    <row r="610" spans="2:28" ht="9" customHeight="1" thickBot="1">
      <c r="H610" s="330"/>
      <c r="I610" s="330"/>
      <c r="L610" s="424"/>
      <c r="M610" s="424"/>
      <c r="N610" s="424"/>
      <c r="O610" s="424"/>
      <c r="P610" s="424"/>
      <c r="Q610" s="424"/>
      <c r="R610" s="424"/>
      <c r="S610" s="424"/>
      <c r="T610" s="424"/>
      <c r="U610" s="304"/>
    </row>
    <row r="611" spans="2:28" ht="135" customHeight="1" thickBot="1">
      <c r="B611" s="1148" t="s">
        <v>761</v>
      </c>
      <c r="C611" s="1285"/>
      <c r="D611" s="1285"/>
      <c r="E611" s="1285"/>
      <c r="F611" s="1285"/>
      <c r="G611" s="1285"/>
      <c r="H611" s="1285"/>
      <c r="I611" s="1285"/>
      <c r="J611" s="1286"/>
      <c r="L611" s="424"/>
      <c r="M611" s="424"/>
      <c r="N611" s="424"/>
      <c r="O611" s="424"/>
      <c r="P611" s="424"/>
      <c r="Q611" s="424"/>
      <c r="R611" s="424"/>
      <c r="S611" s="424"/>
      <c r="T611" s="424"/>
      <c r="U611" s="304"/>
    </row>
    <row r="612" spans="2:28" ht="9" customHeight="1">
      <c r="B612" s="304"/>
      <c r="C612" s="304"/>
      <c r="D612" s="304"/>
      <c r="E612" s="304"/>
      <c r="F612" s="304"/>
      <c r="G612" s="304"/>
      <c r="H612" s="304"/>
      <c r="I612" s="304"/>
      <c r="L612" s="304"/>
      <c r="M612" s="304"/>
      <c r="N612" s="304"/>
      <c r="O612" s="304"/>
      <c r="P612" s="304"/>
      <c r="Q612" s="304"/>
      <c r="R612" s="304"/>
      <c r="S612" s="304"/>
      <c r="T612" s="304"/>
      <c r="U612" s="304"/>
    </row>
    <row r="613" spans="2:28" ht="13.5" customHeight="1" thickBot="1"/>
    <row r="614" spans="2:28" ht="82.5" customHeight="1">
      <c r="B614" s="1187" t="s">
        <v>791</v>
      </c>
      <c r="C614" s="1188"/>
      <c r="D614" s="1188"/>
      <c r="E614" s="1188"/>
      <c r="F614" s="1188"/>
      <c r="G614" s="1188"/>
      <c r="H614" s="1188"/>
      <c r="I614" s="1188"/>
      <c r="J614" s="331" t="str">
        <f>'[3]Reference Sheet'!$B$2</f>
        <v>Rev. 4.12.2016</v>
      </c>
      <c r="L614" s="424"/>
      <c r="M614" s="424"/>
      <c r="N614" s="424"/>
      <c r="O614" s="424"/>
      <c r="P614" s="424"/>
      <c r="Q614" s="424"/>
      <c r="R614" s="424"/>
      <c r="S614" s="424"/>
      <c r="T614" s="424"/>
      <c r="U614" s="304"/>
    </row>
    <row r="615" spans="2:28" ht="17.25" customHeight="1" thickBot="1">
      <c r="B615" s="332"/>
      <c r="C615" s="368" t="s">
        <v>710</v>
      </c>
      <c r="D615" s="1400"/>
      <c r="E615" s="1401"/>
      <c r="F615" s="1401"/>
      <c r="G615" s="1401"/>
      <c r="H615" s="333"/>
      <c r="I615" s="333"/>
      <c r="J615" s="334"/>
      <c r="L615" s="424"/>
      <c r="M615" s="424"/>
      <c r="N615" s="424"/>
      <c r="O615" s="424"/>
      <c r="P615" s="424"/>
      <c r="Q615" s="424"/>
      <c r="R615" s="424"/>
      <c r="S615" s="424"/>
      <c r="T615" s="424"/>
      <c r="U615" s="304"/>
      <c r="X615" s="304"/>
      <c r="Z615" s="451" t="s">
        <v>717</v>
      </c>
      <c r="AA615" s="451" t="str">
        <f>IF(OR(H620=0, H620&gt;100%), "Shareholder %", G624*H620)</f>
        <v>Shareholder %</v>
      </c>
    </row>
    <row r="616" spans="2:28" ht="17.25" customHeight="1" thickBot="1">
      <c r="B616" s="332"/>
      <c r="C616" s="368" t="s">
        <v>711</v>
      </c>
      <c r="D616" s="1402"/>
      <c r="E616" s="1403"/>
      <c r="F616" s="1403"/>
      <c r="G616" s="1403"/>
      <c r="H616" s="368" t="s">
        <v>712</v>
      </c>
      <c r="I616" s="1400"/>
      <c r="J616" s="1404"/>
      <c r="L616" s="424"/>
      <c r="M616" s="424"/>
      <c r="N616" s="424"/>
      <c r="O616" s="424"/>
      <c r="P616" s="424"/>
      <c r="Q616" s="424"/>
      <c r="R616" s="424"/>
      <c r="S616" s="424"/>
      <c r="T616" s="424"/>
      <c r="U616" s="304"/>
      <c r="X616" s="304"/>
      <c r="Z616" s="451" t="s">
        <v>720</v>
      </c>
      <c r="AA616" s="451" t="str">
        <f>IF(OR(J620&gt;100%, J620=0), "Shareholder %", I624*J620)</f>
        <v>Shareholder %</v>
      </c>
    </row>
    <row r="617" spans="2:28" s="404" customFormat="1" ht="16.5" thickBot="1">
      <c r="B617" s="1393" t="s">
        <v>671</v>
      </c>
      <c r="C617" s="1394"/>
      <c r="D617" s="1405"/>
      <c r="E617" s="1406"/>
      <c r="F617" s="1406"/>
      <c r="G617" s="1406"/>
      <c r="H617" s="452" t="s">
        <v>673</v>
      </c>
      <c r="I617" s="1407"/>
      <c r="J617" s="1408"/>
      <c r="L617" s="424"/>
      <c r="M617" s="424"/>
      <c r="N617" s="424"/>
      <c r="O617" s="424"/>
      <c r="P617" s="424"/>
      <c r="Q617" s="424"/>
      <c r="R617" s="424"/>
      <c r="S617" s="424"/>
      <c r="T617" s="424"/>
      <c r="U617" s="367"/>
      <c r="X617" s="304"/>
      <c r="Y617" s="280"/>
      <c r="Z617" s="451"/>
      <c r="AA617" s="451"/>
      <c r="AB617" s="405"/>
    </row>
    <row r="618" spans="2:28" s="404" customFormat="1" ht="16.5" thickBot="1">
      <c r="B618" s="1393" t="s">
        <v>674</v>
      </c>
      <c r="C618" s="1394"/>
      <c r="D618" s="1395"/>
      <c r="E618" s="1396"/>
      <c r="F618" s="1396"/>
      <c r="G618" s="1396"/>
      <c r="H618" s="1396"/>
      <c r="I618" s="1396"/>
      <c r="J618" s="1397"/>
      <c r="K618" s="405"/>
      <c r="L618" s="424"/>
      <c r="M618" s="424"/>
      <c r="N618" s="424"/>
      <c r="O618" s="424"/>
      <c r="P618" s="424"/>
      <c r="Q618" s="424"/>
      <c r="R618" s="424"/>
      <c r="S618" s="424"/>
      <c r="T618" s="424"/>
      <c r="U618" s="367"/>
      <c r="X618" s="304"/>
      <c r="Y618" s="280"/>
      <c r="Z618" s="451" t="s">
        <v>793</v>
      </c>
      <c r="AA618" s="349" t="str">
        <f>IF(OR(H620=0, H620&gt;100%),"Enter Shareholder %",$J$40)</f>
        <v>Enter Shareholder %</v>
      </c>
      <c r="AB618" s="405"/>
    </row>
    <row r="619" spans="2:28">
      <c r="B619" s="1265"/>
      <c r="C619" s="1266"/>
      <c r="D619" s="1266"/>
      <c r="E619" s="1266"/>
      <c r="F619" s="1267"/>
      <c r="G619" s="453" t="s">
        <v>713</v>
      </c>
      <c r="H619" s="454" t="s">
        <v>676</v>
      </c>
      <c r="I619" s="342"/>
      <c r="J619" s="373" t="s">
        <v>677</v>
      </c>
      <c r="K619" s="280"/>
      <c r="L619" s="424"/>
      <c r="M619" s="424"/>
      <c r="N619" s="424"/>
      <c r="O619" s="424"/>
      <c r="P619" s="424"/>
      <c r="Q619" s="424"/>
      <c r="R619" s="424"/>
      <c r="S619" s="424"/>
      <c r="T619" s="424"/>
      <c r="U619" s="304"/>
      <c r="V619" s="304"/>
      <c r="X619" s="304"/>
      <c r="Z619" s="451" t="s">
        <v>794</v>
      </c>
      <c r="AA619" s="349" t="str">
        <f>IF(OR(J620=0, J620&gt;100%),"Enter Shareholder %",$J$41)</f>
        <v>Enter Shareholder %</v>
      </c>
    </row>
    <row r="620" spans="2:28" ht="15.75" thickBot="1">
      <c r="B620" s="1269"/>
      <c r="C620" s="1270"/>
      <c r="D620" s="1270"/>
      <c r="E620" s="1270"/>
      <c r="F620" s="1271"/>
      <c r="G620" s="408" t="s">
        <v>795</v>
      </c>
      <c r="H620" s="376"/>
      <c r="I620" s="377"/>
      <c r="J620" s="378"/>
      <c r="K620" s="280"/>
      <c r="L620" s="424"/>
      <c r="M620" s="424"/>
      <c r="N620" s="424"/>
      <c r="O620" s="424"/>
      <c r="P620" s="424"/>
      <c r="Q620" s="424"/>
      <c r="R620" s="424"/>
      <c r="S620" s="424"/>
      <c r="T620" s="424"/>
      <c r="U620" s="304"/>
      <c r="V620" s="304"/>
      <c r="X620" s="304"/>
      <c r="Z620" s="451" t="s">
        <v>796</v>
      </c>
      <c r="AA620" s="349">
        <f>SUM(H624:H640)</f>
        <v>0</v>
      </c>
    </row>
    <row r="621" spans="2:28">
      <c r="B621" s="1229" t="s">
        <v>744</v>
      </c>
      <c r="C621" s="1273"/>
      <c r="D621" s="1273"/>
      <c r="E621" s="1273"/>
      <c r="F621" s="1273"/>
      <c r="G621" s="455" t="s">
        <v>719</v>
      </c>
      <c r="H621" s="413"/>
      <c r="I621" s="456" t="s">
        <v>719</v>
      </c>
      <c r="J621" s="415"/>
      <c r="K621" s="280"/>
      <c r="L621" s="424"/>
      <c r="M621" s="424"/>
      <c r="N621" s="424"/>
      <c r="O621" s="424"/>
      <c r="P621" s="424"/>
      <c r="Q621" s="424"/>
      <c r="R621" s="424"/>
      <c r="S621" s="424"/>
      <c r="T621" s="424"/>
      <c r="U621" s="304"/>
      <c r="V621" s="304"/>
      <c r="X621" s="304"/>
      <c r="Z621" s="451" t="s">
        <v>797</v>
      </c>
      <c r="AA621" s="362">
        <f>SUM(J624:J640)</f>
        <v>0</v>
      </c>
    </row>
    <row r="622" spans="2:28">
      <c r="B622" s="1384" t="s">
        <v>798</v>
      </c>
      <c r="C622" s="1385"/>
      <c r="D622" s="1385"/>
      <c r="E622" s="1385"/>
      <c r="F622" s="1386"/>
      <c r="G622" s="457"/>
      <c r="H622" s="458">
        <f>G622</f>
        <v>0</v>
      </c>
      <c r="I622" s="457"/>
      <c r="J622" s="400">
        <f>I622</f>
        <v>0</v>
      </c>
      <c r="K622" s="280"/>
      <c r="L622" s="424"/>
      <c r="M622" s="424"/>
      <c r="N622" s="424"/>
      <c r="O622" s="424"/>
      <c r="P622" s="424"/>
      <c r="Q622" s="424"/>
      <c r="R622" s="424"/>
      <c r="S622" s="424"/>
      <c r="T622" s="424"/>
      <c r="U622" s="304"/>
      <c r="V622" s="304"/>
      <c r="X622" s="304"/>
    </row>
    <row r="623" spans="2:28">
      <c r="B623" s="1398">
        <v>1120</v>
      </c>
      <c r="C623" s="1399"/>
      <c r="D623" s="1399"/>
      <c r="E623" s="1399"/>
      <c r="F623" s="1399"/>
      <c r="G623" s="350"/>
      <c r="H623" s="389"/>
      <c r="I623" s="350"/>
      <c r="J623" s="390"/>
      <c r="K623" s="280"/>
      <c r="L623" s="424"/>
      <c r="M623" s="424"/>
      <c r="N623" s="424"/>
      <c r="O623" s="424"/>
      <c r="P623" s="424"/>
      <c r="Q623" s="424"/>
      <c r="R623" s="424"/>
      <c r="S623" s="424"/>
      <c r="T623" s="424"/>
      <c r="U623" s="304"/>
      <c r="V623" s="304"/>
      <c r="X623" s="304"/>
      <c r="Z623" s="451" t="s">
        <v>799</v>
      </c>
      <c r="AA623" s="280">
        <f>IF(OR(H620=0, H620=10%), 0, 1)</f>
        <v>0</v>
      </c>
    </row>
    <row r="624" spans="2:28">
      <c r="B624" s="1384" t="s">
        <v>800</v>
      </c>
      <c r="C624" s="1385"/>
      <c r="D624" s="1385"/>
      <c r="E624" s="1385"/>
      <c r="F624" s="1386"/>
      <c r="G624" s="459"/>
      <c r="H624" s="387" t="str">
        <f>AA615</f>
        <v>Shareholder %</v>
      </c>
      <c r="I624" s="346"/>
      <c r="J624" s="388" t="str">
        <f>AA616</f>
        <v>Shareholder %</v>
      </c>
      <c r="K624" s="280"/>
      <c r="L624" s="424"/>
      <c r="M624" s="424"/>
      <c r="N624" s="424"/>
      <c r="O624" s="424"/>
      <c r="P624" s="424"/>
      <c r="Q624" s="424"/>
      <c r="R624" s="424"/>
      <c r="S624" s="424"/>
      <c r="T624" s="424"/>
      <c r="U624" s="304"/>
      <c r="V624" s="304"/>
      <c r="X624" s="304"/>
      <c r="Z624" s="451" t="s">
        <v>801</v>
      </c>
      <c r="AA624" s="280">
        <f>IF(OR(J620=0, J620+100%), 0, 1)</f>
        <v>0</v>
      </c>
    </row>
    <row r="625" spans="2:27">
      <c r="B625" s="1297" t="s">
        <v>802</v>
      </c>
      <c r="C625" s="1298"/>
      <c r="D625" s="1298"/>
      <c r="E625" s="1298"/>
      <c r="F625" s="1298"/>
      <c r="G625" s="460"/>
      <c r="H625" s="416"/>
      <c r="I625" s="460"/>
      <c r="J625" s="417"/>
      <c r="K625" s="280"/>
      <c r="L625" s="424"/>
      <c r="M625" s="424"/>
      <c r="N625" s="424"/>
      <c r="O625" s="424"/>
      <c r="P625" s="424"/>
      <c r="Q625" s="424"/>
      <c r="R625" s="424"/>
      <c r="S625" s="424"/>
      <c r="T625" s="424"/>
      <c r="U625" s="304"/>
      <c r="V625" s="304"/>
      <c r="X625" s="304"/>
      <c r="Z625" s="451" t="s">
        <v>803</v>
      </c>
      <c r="AA625" s="362">
        <f>G641/12</f>
        <v>0</v>
      </c>
    </row>
    <row r="626" spans="2:27">
      <c r="B626" s="1387" t="s">
        <v>804</v>
      </c>
      <c r="C626" s="1388"/>
      <c r="D626" s="1388"/>
      <c r="E626" s="1388"/>
      <c r="F626" s="1389"/>
      <c r="G626" s="461"/>
      <c r="H626" s="419">
        <f>(G626*H620)*-1</f>
        <v>0</v>
      </c>
      <c r="I626" s="461"/>
      <c r="J626" s="420">
        <f>(I626*J620)*-1</f>
        <v>0</v>
      </c>
      <c r="K626" s="280"/>
      <c r="L626" s="424"/>
      <c r="M626" s="424"/>
      <c r="N626" s="424"/>
      <c r="O626" s="424"/>
      <c r="P626" s="424"/>
      <c r="Q626" s="424"/>
      <c r="R626" s="424"/>
      <c r="S626" s="424"/>
      <c r="T626" s="424"/>
      <c r="U626" s="304"/>
      <c r="V626" s="304"/>
      <c r="X626" s="304"/>
      <c r="Z626" s="451" t="s">
        <v>805</v>
      </c>
      <c r="AA626" s="362">
        <f>(G641+I641)/24</f>
        <v>0</v>
      </c>
    </row>
    <row r="627" spans="2:27">
      <c r="B627" s="1390" t="s">
        <v>806</v>
      </c>
      <c r="C627" s="1391"/>
      <c r="D627" s="1391"/>
      <c r="E627" s="1391"/>
      <c r="F627" s="1392"/>
      <c r="G627" s="461"/>
      <c r="H627" s="419">
        <f>(G627*H620)*-1</f>
        <v>0</v>
      </c>
      <c r="I627" s="461"/>
      <c r="J627" s="420">
        <f>(I627*J620)*-1</f>
        <v>0</v>
      </c>
      <c r="K627" s="280"/>
      <c r="L627" s="424"/>
      <c r="M627" s="424"/>
      <c r="N627" s="424"/>
      <c r="O627" s="424"/>
      <c r="P627" s="424"/>
      <c r="Q627" s="424"/>
      <c r="R627" s="424"/>
      <c r="S627" s="424"/>
      <c r="T627" s="424"/>
      <c r="U627" s="304"/>
      <c r="V627" s="304"/>
      <c r="X627" s="304"/>
      <c r="Z627" s="451"/>
    </row>
    <row r="628" spans="2:27">
      <c r="B628" s="1302" t="s">
        <v>807</v>
      </c>
      <c r="C628" s="1303"/>
      <c r="D628" s="1303"/>
      <c r="E628" s="1303"/>
      <c r="F628" s="1304"/>
      <c r="G628" s="461"/>
      <c r="H628" s="419">
        <f>(G628*H620)*-1</f>
        <v>0</v>
      </c>
      <c r="I628" s="461"/>
      <c r="J628" s="420">
        <f>(I628*J620)*-1</f>
        <v>0</v>
      </c>
      <c r="K628" s="280"/>
      <c r="L628" s="424"/>
      <c r="M628" s="424"/>
      <c r="N628" s="424"/>
      <c r="O628" s="424"/>
      <c r="P628" s="424"/>
      <c r="Q628" s="424"/>
      <c r="R628" s="424"/>
      <c r="S628" s="424"/>
      <c r="T628" s="424"/>
      <c r="U628" s="304"/>
      <c r="V628" s="304"/>
      <c r="X628" s="304"/>
      <c r="Z628" s="451" t="s">
        <v>808</v>
      </c>
      <c r="AA628" s="280">
        <f>IF(AND(J622=0, J624=0, J626=0, J627=0, J628=0, J630=0, J631=0, J632=0, J633=0, J635=0, J636=0, J637=0, J638=0, J640=0, I641=0), 0, 1)</f>
        <v>1</v>
      </c>
    </row>
    <row r="629" spans="2:27">
      <c r="B629" s="1229" t="s">
        <v>809</v>
      </c>
      <c r="C629" s="1230"/>
      <c r="D629" s="1230"/>
      <c r="E629" s="1230"/>
      <c r="F629" s="1230"/>
      <c r="G629" s="350"/>
      <c r="H629" s="351"/>
      <c r="I629" s="350"/>
      <c r="J629" s="352"/>
      <c r="K629" s="280"/>
      <c r="L629" s="424"/>
      <c r="M629" s="424"/>
      <c r="N629" s="424"/>
      <c r="O629" s="424"/>
      <c r="P629" s="424"/>
      <c r="Q629" s="424"/>
      <c r="R629" s="424"/>
      <c r="S629" s="424"/>
      <c r="T629" s="424"/>
      <c r="U629" s="304"/>
      <c r="V629" s="304"/>
      <c r="X629" s="304"/>
      <c r="Z629" s="451" t="s">
        <v>810</v>
      </c>
      <c r="AA629" s="280">
        <f>IF(AND(G641&lt;=I641, I641&lt;&gt;0), 0, 1)</f>
        <v>1</v>
      </c>
    </row>
    <row r="630" spans="2:27">
      <c r="B630" s="1243" t="s">
        <v>811</v>
      </c>
      <c r="C630" s="1244"/>
      <c r="D630" s="1244"/>
      <c r="E630" s="1244"/>
      <c r="F630" s="1245"/>
      <c r="G630" s="346"/>
      <c r="H630" s="384">
        <f>G630*H620</f>
        <v>0</v>
      </c>
      <c r="I630" s="346"/>
      <c r="J630" s="385">
        <f>I630*J620</f>
        <v>0</v>
      </c>
      <c r="K630" s="280"/>
      <c r="L630" s="424"/>
      <c r="M630" s="424"/>
      <c r="N630" s="424"/>
      <c r="O630" s="424"/>
      <c r="P630" s="424"/>
      <c r="Q630" s="424"/>
      <c r="R630" s="424"/>
      <c r="S630" s="424"/>
      <c r="T630" s="424"/>
      <c r="U630" s="304"/>
      <c r="V630" s="304"/>
      <c r="X630" s="304"/>
      <c r="Z630" s="451" t="s">
        <v>812</v>
      </c>
      <c r="AA630" s="280">
        <f>IF(AND(AA629=0, AA628=1), 0, 1)</f>
        <v>1</v>
      </c>
    </row>
    <row r="631" spans="2:27">
      <c r="B631" s="1381" t="s">
        <v>813</v>
      </c>
      <c r="C631" s="1224"/>
      <c r="D631" s="1224"/>
      <c r="E631" s="1224"/>
      <c r="F631" s="1225"/>
      <c r="G631" s="346"/>
      <c r="H631" s="384">
        <f>G631*H620</f>
        <v>0</v>
      </c>
      <c r="I631" s="346"/>
      <c r="J631" s="385">
        <f>I631*J620</f>
        <v>0</v>
      </c>
      <c r="K631" s="280"/>
      <c r="L631" s="424"/>
      <c r="M631" s="424"/>
      <c r="N631" s="424"/>
      <c r="O631" s="424"/>
      <c r="P631" s="424"/>
      <c r="Q631" s="424"/>
      <c r="R631" s="424"/>
      <c r="S631" s="424"/>
      <c r="T631" s="424"/>
      <c r="U631" s="304"/>
      <c r="X631" s="304"/>
    </row>
    <row r="632" spans="2:27">
      <c r="B632" s="1223" t="s">
        <v>814</v>
      </c>
      <c r="C632" s="1224"/>
      <c r="D632" s="1224"/>
      <c r="E632" s="1224"/>
      <c r="F632" s="1225"/>
      <c r="G632" s="346"/>
      <c r="H632" s="384">
        <f>G632*H620</f>
        <v>0</v>
      </c>
      <c r="I632" s="346"/>
      <c r="J632" s="385">
        <f>I632*J620</f>
        <v>0</v>
      </c>
      <c r="K632" s="280"/>
      <c r="L632" s="424"/>
      <c r="M632" s="424"/>
      <c r="N632" s="424"/>
      <c r="O632" s="424"/>
      <c r="P632" s="424"/>
      <c r="Q632" s="424"/>
      <c r="R632" s="424"/>
      <c r="S632" s="424"/>
      <c r="T632" s="424"/>
      <c r="U632" s="304"/>
      <c r="X632" s="304"/>
      <c r="AA632" s="349" t="s">
        <v>596</v>
      </c>
    </row>
    <row r="633" spans="2:27">
      <c r="B633" s="1226" t="s">
        <v>825</v>
      </c>
      <c r="C633" s="1227"/>
      <c r="D633" s="1227"/>
      <c r="E633" s="1227"/>
      <c r="F633" s="1228"/>
      <c r="G633" s="346"/>
      <c r="H633" s="384">
        <f>G633*H620</f>
        <v>0</v>
      </c>
      <c r="I633" s="346"/>
      <c r="J633" s="385">
        <f>I633*J620</f>
        <v>0</v>
      </c>
      <c r="K633" s="280"/>
      <c r="L633" s="424"/>
      <c r="M633" s="424"/>
      <c r="N633" s="424"/>
      <c r="O633" s="424"/>
      <c r="P633" s="424"/>
      <c r="Q633" s="424"/>
      <c r="R633" s="424"/>
      <c r="S633" s="424"/>
      <c r="T633" s="424"/>
      <c r="U633" s="304"/>
      <c r="X633" s="304"/>
      <c r="Z633" s="462"/>
      <c r="AA633" s="349" t="s">
        <v>683</v>
      </c>
    </row>
    <row r="634" spans="2:27">
      <c r="B634" s="1229" t="s">
        <v>816</v>
      </c>
      <c r="C634" s="1230"/>
      <c r="D634" s="1230"/>
      <c r="E634" s="1230"/>
      <c r="F634" s="1230"/>
      <c r="G634" s="351"/>
      <c r="H634" s="351"/>
      <c r="I634" s="351"/>
      <c r="J634" s="352"/>
      <c r="K634" s="280"/>
      <c r="L634" s="424"/>
      <c r="M634" s="424"/>
      <c r="N634" s="424"/>
      <c r="O634" s="424"/>
      <c r="P634" s="424"/>
      <c r="Q634" s="424"/>
      <c r="R634" s="424"/>
      <c r="S634" s="424"/>
      <c r="T634" s="424"/>
      <c r="U634" s="304"/>
      <c r="X634" s="304"/>
      <c r="AA634" s="349" t="s">
        <v>599</v>
      </c>
    </row>
    <row r="635" spans="2:27">
      <c r="B635" s="1231" t="s">
        <v>817</v>
      </c>
      <c r="C635" s="1382"/>
      <c r="D635" s="1382"/>
      <c r="E635" s="1382"/>
      <c r="F635" s="1383"/>
      <c r="G635" s="346"/>
      <c r="H635" s="359">
        <f>(G635*H620)*-1</f>
        <v>0</v>
      </c>
      <c r="I635" s="346"/>
      <c r="J635" s="400">
        <f>(I635*J620)*-1</f>
        <v>0</v>
      </c>
      <c r="K635" s="280"/>
      <c r="L635" s="424"/>
      <c r="M635" s="424"/>
      <c r="N635" s="424"/>
      <c r="O635" s="424"/>
      <c r="P635" s="424"/>
      <c r="Q635" s="424"/>
      <c r="R635" s="424"/>
      <c r="S635" s="424"/>
      <c r="T635" s="424"/>
      <c r="U635" s="304"/>
      <c r="X635" s="304"/>
      <c r="AA635" s="349" t="s">
        <v>603</v>
      </c>
    </row>
    <row r="636" spans="2:27" ht="28.5" customHeight="1">
      <c r="B636" s="1369" t="s">
        <v>818</v>
      </c>
      <c r="C636" s="1370"/>
      <c r="D636" s="1370"/>
      <c r="E636" s="1370"/>
      <c r="F636" s="1371"/>
      <c r="G636" s="346"/>
      <c r="H636" s="359">
        <f>G636*H620*-1</f>
        <v>0</v>
      </c>
      <c r="I636" s="346"/>
      <c r="J636" s="400">
        <f>(I636*J620)*-1</f>
        <v>0</v>
      </c>
      <c r="K636" s="280"/>
      <c r="L636" s="424"/>
      <c r="M636" s="424"/>
      <c r="N636" s="424"/>
      <c r="O636" s="424"/>
      <c r="P636" s="424"/>
      <c r="Q636" s="424"/>
      <c r="R636" s="424"/>
      <c r="S636" s="424"/>
      <c r="T636" s="424"/>
      <c r="U636" s="304"/>
      <c r="X636" s="304"/>
      <c r="AA636" s="349" t="s">
        <v>605</v>
      </c>
    </row>
    <row r="637" spans="2:27">
      <c r="B637" s="1372" t="s">
        <v>819</v>
      </c>
      <c r="C637" s="1373"/>
      <c r="D637" s="1373"/>
      <c r="E637" s="1373"/>
      <c r="F637" s="1374"/>
      <c r="G637" s="346"/>
      <c r="H637" s="359">
        <f>G637*H620*-1</f>
        <v>0</v>
      </c>
      <c r="I637" s="346"/>
      <c r="J637" s="400">
        <f>I637*J620*-1</f>
        <v>0</v>
      </c>
      <c r="K637" s="280"/>
      <c r="L637" s="424"/>
      <c r="M637" s="424"/>
      <c r="N637" s="424"/>
      <c r="O637" s="424"/>
      <c r="P637" s="424"/>
      <c r="Q637" s="424"/>
      <c r="R637" s="424"/>
      <c r="S637" s="424"/>
      <c r="T637" s="424"/>
      <c r="U637" s="304"/>
    </row>
    <row r="638" spans="2:27">
      <c r="B638" s="1375" t="s">
        <v>820</v>
      </c>
      <c r="C638" s="1376"/>
      <c r="D638" s="1376"/>
      <c r="E638" s="1376"/>
      <c r="F638" s="1377"/>
      <c r="G638" s="346"/>
      <c r="H638" s="359">
        <f>G638*H620*-1</f>
        <v>0</v>
      </c>
      <c r="I638" s="346"/>
      <c r="J638" s="359">
        <f>I638*J620*-1</f>
        <v>0</v>
      </c>
      <c r="K638" s="280"/>
      <c r="L638" s="424"/>
      <c r="M638" s="424"/>
      <c r="N638" s="424"/>
      <c r="O638" s="424"/>
      <c r="P638" s="424"/>
      <c r="Q638" s="424"/>
      <c r="R638" s="424"/>
      <c r="S638" s="424"/>
      <c r="T638" s="424"/>
      <c r="U638" s="304"/>
    </row>
    <row r="639" spans="2:27" ht="15" customHeight="1">
      <c r="B639" s="1378" t="s">
        <v>735</v>
      </c>
      <c r="C639" s="1379"/>
      <c r="D639" s="1379"/>
      <c r="E639" s="1379"/>
      <c r="F639" s="1379"/>
      <c r="G639" s="350"/>
      <c r="H639" s="389"/>
      <c r="I639" s="350"/>
      <c r="J639" s="390"/>
      <c r="K639" s="280"/>
      <c r="L639" s="424"/>
      <c r="M639" s="424"/>
      <c r="N639" s="424"/>
      <c r="O639" s="424"/>
      <c r="P639" s="424"/>
      <c r="Q639" s="424"/>
      <c r="R639" s="424"/>
      <c r="S639" s="424"/>
      <c r="T639" s="424"/>
      <c r="U639" s="304"/>
    </row>
    <row r="640" spans="2:27">
      <c r="B640" s="1380" t="s">
        <v>821</v>
      </c>
      <c r="C640" s="1370"/>
      <c r="D640" s="1370"/>
      <c r="E640" s="1370"/>
      <c r="F640" s="1371"/>
      <c r="G640" s="346"/>
      <c r="H640" s="359">
        <f>(G640*H620)</f>
        <v>0</v>
      </c>
      <c r="I640" s="346"/>
      <c r="J640" s="400">
        <f>(I640*J620)</f>
        <v>0</v>
      </c>
      <c r="K640" s="280"/>
      <c r="L640" s="424"/>
      <c r="M640" s="424"/>
      <c r="N640" s="424"/>
      <c r="O640" s="424"/>
      <c r="P640" s="424"/>
      <c r="Q640" s="424"/>
      <c r="R640" s="424"/>
      <c r="S640" s="424"/>
      <c r="T640" s="424"/>
      <c r="U640" s="304"/>
    </row>
    <row r="641" spans="2:28">
      <c r="B641" s="1158" t="s">
        <v>822</v>
      </c>
      <c r="C641" s="1159"/>
      <c r="D641" s="1159"/>
      <c r="E641" s="1159"/>
      <c r="F641" s="1160"/>
      <c r="G641" s="1359">
        <f>SUM(H622:H640)</f>
        <v>0</v>
      </c>
      <c r="H641" s="1360"/>
      <c r="I641" s="1361">
        <f>SUM(J622:J640)</f>
        <v>0</v>
      </c>
      <c r="J641" s="1362"/>
      <c r="K641" s="280"/>
      <c r="L641" s="424"/>
      <c r="M641" s="424"/>
      <c r="N641" s="424"/>
      <c r="O641" s="424"/>
      <c r="P641" s="424"/>
      <c r="Q641" s="424"/>
      <c r="R641" s="424"/>
      <c r="S641" s="424"/>
      <c r="T641" s="424"/>
      <c r="U641" s="304"/>
    </row>
    <row r="642" spans="2:28" ht="18.75">
      <c r="B642" s="1363" t="s">
        <v>823</v>
      </c>
      <c r="C642" s="1364"/>
      <c r="D642" s="1364"/>
      <c r="E642" s="1364"/>
      <c r="F642" s="1365"/>
      <c r="G642" s="1161" t="str">
        <f>IF(OR(AA630=0, I641=0), "12 Month Average", "24 Month Average")</f>
        <v>12 Month Average</v>
      </c>
      <c r="H642" s="1162"/>
      <c r="I642" s="1162"/>
      <c r="J642" s="1163"/>
      <c r="K642" s="280"/>
      <c r="L642" s="424"/>
      <c r="M642" s="424"/>
      <c r="N642" s="424"/>
      <c r="O642" s="424"/>
      <c r="P642" s="424"/>
      <c r="Q642" s="424"/>
      <c r="R642" s="424"/>
      <c r="S642" s="424"/>
      <c r="T642" s="424"/>
      <c r="U642" s="304"/>
    </row>
    <row r="643" spans="2:28" ht="34.5" thickBot="1">
      <c r="B643" s="1366" t="s">
        <v>824</v>
      </c>
      <c r="C643" s="1367"/>
      <c r="D643" s="1367"/>
      <c r="E643" s="1367"/>
      <c r="F643" s="1368"/>
      <c r="G643" s="1167">
        <f>IF(OR(AA630=0, I641=0), AA625, AA626)</f>
        <v>0</v>
      </c>
      <c r="H643" s="1168"/>
      <c r="I643" s="1168"/>
      <c r="J643" s="1169"/>
      <c r="L643" s="424"/>
      <c r="M643" s="424"/>
      <c r="N643" s="424"/>
      <c r="O643" s="424"/>
      <c r="P643" s="424"/>
      <c r="Q643" s="424"/>
      <c r="R643" s="424"/>
      <c r="S643" s="424"/>
      <c r="T643" s="424"/>
      <c r="U643" s="304"/>
    </row>
    <row r="644" spans="2:28" ht="9" customHeight="1" thickBot="1">
      <c r="H644" s="330"/>
      <c r="I644" s="330"/>
      <c r="L644" s="424"/>
      <c r="M644" s="424"/>
      <c r="N644" s="424"/>
      <c r="O644" s="424"/>
      <c r="P644" s="424"/>
      <c r="Q644" s="424"/>
      <c r="R644" s="424"/>
      <c r="S644" s="424"/>
      <c r="T644" s="424"/>
      <c r="U644" s="304"/>
    </row>
    <row r="645" spans="2:28" ht="135" customHeight="1" thickBot="1">
      <c r="B645" s="1148" t="s">
        <v>761</v>
      </c>
      <c r="C645" s="1285"/>
      <c r="D645" s="1285"/>
      <c r="E645" s="1285"/>
      <c r="F645" s="1285"/>
      <c r="G645" s="1285"/>
      <c r="H645" s="1285"/>
      <c r="I645" s="1285"/>
      <c r="J645" s="1286"/>
      <c r="L645" s="424"/>
      <c r="M645" s="424"/>
      <c r="N645" s="424"/>
      <c r="O645" s="424"/>
      <c r="P645" s="424"/>
      <c r="Q645" s="424"/>
      <c r="R645" s="424"/>
      <c r="S645" s="424"/>
      <c r="T645" s="424"/>
      <c r="U645" s="304"/>
    </row>
    <row r="646" spans="2:28" ht="9" customHeight="1">
      <c r="B646" s="304"/>
      <c r="C646" s="304"/>
      <c r="D646" s="304"/>
      <c r="E646" s="304"/>
      <c r="F646" s="304"/>
      <c r="G646" s="304"/>
      <c r="H646" s="304"/>
      <c r="I646" s="304"/>
      <c r="L646" s="304"/>
      <c r="M646" s="304"/>
      <c r="N646" s="304"/>
      <c r="O646" s="304"/>
      <c r="P646" s="304"/>
      <c r="Q646" s="304"/>
      <c r="R646" s="304"/>
      <c r="S646" s="304"/>
      <c r="T646" s="304"/>
      <c r="U646" s="304"/>
    </row>
    <row r="647" spans="2:28" ht="13.5" customHeight="1" thickBot="1"/>
    <row r="648" spans="2:28" ht="82.5" customHeight="1">
      <c r="B648" s="1187" t="s">
        <v>791</v>
      </c>
      <c r="C648" s="1188"/>
      <c r="D648" s="1188"/>
      <c r="E648" s="1188"/>
      <c r="F648" s="1188"/>
      <c r="G648" s="1188"/>
      <c r="H648" s="1188"/>
      <c r="I648" s="1188"/>
      <c r="J648" s="331" t="str">
        <f>'[3]Reference Sheet'!$B$2</f>
        <v>Rev. 4.12.2016</v>
      </c>
      <c r="L648" s="424"/>
      <c r="M648" s="424"/>
      <c r="N648" s="424"/>
      <c r="O648" s="424"/>
      <c r="P648" s="424"/>
      <c r="Q648" s="424"/>
      <c r="R648" s="424"/>
      <c r="S648" s="424"/>
      <c r="T648" s="424"/>
      <c r="U648" s="304"/>
    </row>
    <row r="649" spans="2:28" ht="17.25" customHeight="1" thickBot="1">
      <c r="B649" s="332"/>
      <c r="C649" s="368" t="s">
        <v>710</v>
      </c>
      <c r="D649" s="1400"/>
      <c r="E649" s="1401"/>
      <c r="F649" s="1401"/>
      <c r="G649" s="1401"/>
      <c r="H649" s="333"/>
      <c r="I649" s="333"/>
      <c r="J649" s="334"/>
      <c r="L649" s="424"/>
      <c r="M649" s="424"/>
      <c r="N649" s="424"/>
      <c r="O649" s="424"/>
      <c r="P649" s="424"/>
      <c r="Q649" s="424"/>
      <c r="R649" s="424"/>
      <c r="S649" s="424"/>
      <c r="T649" s="424"/>
      <c r="U649" s="304"/>
      <c r="X649" s="304"/>
      <c r="Z649" s="451" t="s">
        <v>717</v>
      </c>
      <c r="AA649" s="451" t="str">
        <f>IF(OR(H654=0, H654&gt;100%), "Shareholder %", G658*H654)</f>
        <v>Shareholder %</v>
      </c>
    </row>
    <row r="650" spans="2:28" ht="17.25" customHeight="1" thickBot="1">
      <c r="B650" s="332"/>
      <c r="C650" s="368" t="s">
        <v>711</v>
      </c>
      <c r="D650" s="1402"/>
      <c r="E650" s="1403"/>
      <c r="F650" s="1403"/>
      <c r="G650" s="1403"/>
      <c r="H650" s="368" t="s">
        <v>712</v>
      </c>
      <c r="I650" s="1400"/>
      <c r="J650" s="1404"/>
      <c r="L650" s="424"/>
      <c r="M650" s="424"/>
      <c r="N650" s="424"/>
      <c r="O650" s="424"/>
      <c r="P650" s="424"/>
      <c r="Q650" s="424"/>
      <c r="R650" s="424"/>
      <c r="S650" s="424"/>
      <c r="T650" s="424"/>
      <c r="U650" s="304"/>
      <c r="X650" s="304"/>
      <c r="Z650" s="451" t="s">
        <v>720</v>
      </c>
      <c r="AA650" s="451" t="str">
        <f>IF(OR(J654&gt;100%, J654=0), "Shareholder %", I658*J654)</f>
        <v>Shareholder %</v>
      </c>
    </row>
    <row r="651" spans="2:28" s="404" customFormat="1" ht="16.5" thickBot="1">
      <c r="B651" s="1393" t="s">
        <v>671</v>
      </c>
      <c r="C651" s="1394"/>
      <c r="D651" s="1405"/>
      <c r="E651" s="1406"/>
      <c r="F651" s="1406"/>
      <c r="G651" s="1406"/>
      <c r="H651" s="452" t="s">
        <v>673</v>
      </c>
      <c r="I651" s="1407"/>
      <c r="J651" s="1408"/>
      <c r="L651" s="424"/>
      <c r="M651" s="424"/>
      <c r="N651" s="424"/>
      <c r="O651" s="424"/>
      <c r="P651" s="424"/>
      <c r="Q651" s="424"/>
      <c r="R651" s="424"/>
      <c r="S651" s="424"/>
      <c r="T651" s="424"/>
      <c r="U651" s="367"/>
      <c r="X651" s="304"/>
      <c r="Y651" s="280"/>
      <c r="Z651" s="451"/>
      <c r="AA651" s="451"/>
      <c r="AB651" s="405"/>
    </row>
    <row r="652" spans="2:28" s="404" customFormat="1" ht="16.5" thickBot="1">
      <c r="B652" s="1393" t="s">
        <v>674</v>
      </c>
      <c r="C652" s="1394"/>
      <c r="D652" s="1395"/>
      <c r="E652" s="1396"/>
      <c r="F652" s="1396"/>
      <c r="G652" s="1396"/>
      <c r="H652" s="1396"/>
      <c r="I652" s="1396"/>
      <c r="J652" s="1397"/>
      <c r="K652" s="405"/>
      <c r="L652" s="424"/>
      <c r="M652" s="424"/>
      <c r="N652" s="424"/>
      <c r="O652" s="424"/>
      <c r="P652" s="424"/>
      <c r="Q652" s="424"/>
      <c r="R652" s="424"/>
      <c r="S652" s="424"/>
      <c r="T652" s="424"/>
      <c r="U652" s="367"/>
      <c r="X652" s="304"/>
      <c r="Y652" s="280"/>
      <c r="Z652" s="451" t="s">
        <v>793</v>
      </c>
      <c r="AA652" s="349" t="str">
        <f>IF(OR(H654=0, H654&gt;100%),"Enter Shareholder %",$J$40)</f>
        <v>Enter Shareholder %</v>
      </c>
      <c r="AB652" s="405"/>
    </row>
    <row r="653" spans="2:28">
      <c r="B653" s="1265"/>
      <c r="C653" s="1266"/>
      <c r="D653" s="1266"/>
      <c r="E653" s="1266"/>
      <c r="F653" s="1267"/>
      <c r="G653" s="453" t="s">
        <v>713</v>
      </c>
      <c r="H653" s="454" t="s">
        <v>676</v>
      </c>
      <c r="I653" s="342"/>
      <c r="J653" s="373" t="s">
        <v>677</v>
      </c>
      <c r="K653" s="280"/>
      <c r="L653" s="424"/>
      <c r="M653" s="424"/>
      <c r="N653" s="424"/>
      <c r="O653" s="424"/>
      <c r="P653" s="424"/>
      <c r="Q653" s="424"/>
      <c r="R653" s="424"/>
      <c r="S653" s="424"/>
      <c r="T653" s="424"/>
      <c r="U653" s="304"/>
      <c r="V653" s="304"/>
      <c r="X653" s="304"/>
      <c r="Z653" s="451" t="s">
        <v>794</v>
      </c>
      <c r="AA653" s="349" t="str">
        <f>IF(OR(J654=0, J654&gt;100%),"Enter Shareholder %",$J$41)</f>
        <v>Enter Shareholder %</v>
      </c>
    </row>
    <row r="654" spans="2:28" ht="15.75" thickBot="1">
      <c r="B654" s="1269"/>
      <c r="C654" s="1270"/>
      <c r="D654" s="1270"/>
      <c r="E654" s="1270"/>
      <c r="F654" s="1271"/>
      <c r="G654" s="408" t="s">
        <v>795</v>
      </c>
      <c r="H654" s="376"/>
      <c r="I654" s="377"/>
      <c r="J654" s="378"/>
      <c r="K654" s="280"/>
      <c r="L654" s="424"/>
      <c r="M654" s="424"/>
      <c r="N654" s="424"/>
      <c r="O654" s="424"/>
      <c r="P654" s="424"/>
      <c r="Q654" s="424"/>
      <c r="R654" s="424"/>
      <c r="S654" s="424"/>
      <c r="T654" s="424"/>
      <c r="U654" s="304"/>
      <c r="V654" s="304"/>
      <c r="X654" s="304"/>
      <c r="Z654" s="451" t="s">
        <v>796</v>
      </c>
      <c r="AA654" s="349">
        <f>SUM(H658:H674)</f>
        <v>0</v>
      </c>
    </row>
    <row r="655" spans="2:28">
      <c r="B655" s="1229" t="s">
        <v>744</v>
      </c>
      <c r="C655" s="1273"/>
      <c r="D655" s="1273"/>
      <c r="E655" s="1273"/>
      <c r="F655" s="1273"/>
      <c r="G655" s="455" t="s">
        <v>719</v>
      </c>
      <c r="H655" s="413"/>
      <c r="I655" s="456" t="s">
        <v>719</v>
      </c>
      <c r="J655" s="415"/>
      <c r="K655" s="280"/>
      <c r="L655" s="424"/>
      <c r="M655" s="424"/>
      <c r="N655" s="424"/>
      <c r="O655" s="424"/>
      <c r="P655" s="424"/>
      <c r="Q655" s="424"/>
      <c r="R655" s="424"/>
      <c r="S655" s="424"/>
      <c r="T655" s="424"/>
      <c r="U655" s="304"/>
      <c r="V655" s="304"/>
      <c r="X655" s="304"/>
      <c r="Z655" s="451" t="s">
        <v>797</v>
      </c>
      <c r="AA655" s="362">
        <f>SUM(J658:J674)</f>
        <v>0</v>
      </c>
    </row>
    <row r="656" spans="2:28">
      <c r="B656" s="1384" t="s">
        <v>798</v>
      </c>
      <c r="C656" s="1385"/>
      <c r="D656" s="1385"/>
      <c r="E656" s="1385"/>
      <c r="F656" s="1386"/>
      <c r="G656" s="457"/>
      <c r="H656" s="458">
        <f>G656</f>
        <v>0</v>
      </c>
      <c r="I656" s="457"/>
      <c r="J656" s="400">
        <f>I656</f>
        <v>0</v>
      </c>
      <c r="K656" s="280"/>
      <c r="L656" s="424"/>
      <c r="M656" s="424"/>
      <c r="N656" s="424"/>
      <c r="O656" s="424"/>
      <c r="P656" s="424"/>
      <c r="Q656" s="424"/>
      <c r="R656" s="424"/>
      <c r="S656" s="424"/>
      <c r="T656" s="424"/>
      <c r="U656" s="304"/>
      <c r="V656" s="304"/>
      <c r="X656" s="304"/>
    </row>
    <row r="657" spans="2:27">
      <c r="B657" s="1398">
        <v>1120</v>
      </c>
      <c r="C657" s="1399"/>
      <c r="D657" s="1399"/>
      <c r="E657" s="1399"/>
      <c r="F657" s="1399"/>
      <c r="G657" s="350"/>
      <c r="H657" s="389"/>
      <c r="I657" s="350"/>
      <c r="J657" s="390"/>
      <c r="K657" s="280"/>
      <c r="L657" s="424"/>
      <c r="M657" s="424"/>
      <c r="N657" s="424"/>
      <c r="O657" s="424"/>
      <c r="P657" s="424"/>
      <c r="Q657" s="424"/>
      <c r="R657" s="424"/>
      <c r="S657" s="424"/>
      <c r="T657" s="424"/>
      <c r="U657" s="304"/>
      <c r="V657" s="304"/>
      <c r="X657" s="304"/>
      <c r="Z657" s="451" t="s">
        <v>799</v>
      </c>
      <c r="AA657" s="280">
        <f>IF(OR(H654=0, H654=10%), 0, 1)</f>
        <v>0</v>
      </c>
    </row>
    <row r="658" spans="2:27">
      <c r="B658" s="1384" t="s">
        <v>800</v>
      </c>
      <c r="C658" s="1385"/>
      <c r="D658" s="1385"/>
      <c r="E658" s="1385"/>
      <c r="F658" s="1386"/>
      <c r="G658" s="459"/>
      <c r="H658" s="387" t="str">
        <f>AA649</f>
        <v>Shareholder %</v>
      </c>
      <c r="I658" s="346"/>
      <c r="J658" s="388" t="str">
        <f>AA650</f>
        <v>Shareholder %</v>
      </c>
      <c r="K658" s="280"/>
      <c r="L658" s="424"/>
      <c r="M658" s="424"/>
      <c r="N658" s="424"/>
      <c r="O658" s="424"/>
      <c r="P658" s="424"/>
      <c r="Q658" s="424"/>
      <c r="R658" s="424"/>
      <c r="S658" s="424"/>
      <c r="T658" s="424"/>
      <c r="U658" s="304"/>
      <c r="V658" s="304"/>
      <c r="X658" s="304"/>
      <c r="Z658" s="451" t="s">
        <v>801</v>
      </c>
      <c r="AA658" s="280">
        <f>IF(OR(J654=0, J654+100%), 0, 1)</f>
        <v>0</v>
      </c>
    </row>
    <row r="659" spans="2:27">
      <c r="B659" s="1297" t="s">
        <v>802</v>
      </c>
      <c r="C659" s="1298"/>
      <c r="D659" s="1298"/>
      <c r="E659" s="1298"/>
      <c r="F659" s="1298"/>
      <c r="G659" s="460"/>
      <c r="H659" s="416"/>
      <c r="I659" s="460"/>
      <c r="J659" s="417"/>
      <c r="K659" s="280"/>
      <c r="L659" s="424"/>
      <c r="M659" s="424"/>
      <c r="N659" s="424"/>
      <c r="O659" s="424"/>
      <c r="P659" s="424"/>
      <c r="Q659" s="424"/>
      <c r="R659" s="424"/>
      <c r="S659" s="424"/>
      <c r="T659" s="424"/>
      <c r="U659" s="304"/>
      <c r="V659" s="304"/>
      <c r="X659" s="304"/>
      <c r="Z659" s="451" t="s">
        <v>803</v>
      </c>
      <c r="AA659" s="362">
        <f>G675/12</f>
        <v>0</v>
      </c>
    </row>
    <row r="660" spans="2:27">
      <c r="B660" s="1387" t="s">
        <v>804</v>
      </c>
      <c r="C660" s="1388"/>
      <c r="D660" s="1388"/>
      <c r="E660" s="1388"/>
      <c r="F660" s="1389"/>
      <c r="G660" s="461"/>
      <c r="H660" s="419">
        <f>(G660*H654)*-1</f>
        <v>0</v>
      </c>
      <c r="I660" s="461"/>
      <c r="J660" s="420">
        <f>(I660*J654)*-1</f>
        <v>0</v>
      </c>
      <c r="K660" s="280"/>
      <c r="L660" s="424"/>
      <c r="M660" s="424"/>
      <c r="N660" s="424"/>
      <c r="O660" s="424"/>
      <c r="P660" s="424"/>
      <c r="Q660" s="424"/>
      <c r="R660" s="424"/>
      <c r="S660" s="424"/>
      <c r="T660" s="424"/>
      <c r="U660" s="304"/>
      <c r="V660" s="304"/>
      <c r="X660" s="304"/>
      <c r="Z660" s="451" t="s">
        <v>805</v>
      </c>
      <c r="AA660" s="362">
        <f>(G675+I675)/24</f>
        <v>0</v>
      </c>
    </row>
    <row r="661" spans="2:27">
      <c r="B661" s="1390" t="s">
        <v>806</v>
      </c>
      <c r="C661" s="1391"/>
      <c r="D661" s="1391"/>
      <c r="E661" s="1391"/>
      <c r="F661" s="1392"/>
      <c r="G661" s="461"/>
      <c r="H661" s="419">
        <f>(G661*H654)*-1</f>
        <v>0</v>
      </c>
      <c r="I661" s="461"/>
      <c r="J661" s="420">
        <f>(I661*J654)*-1</f>
        <v>0</v>
      </c>
      <c r="K661" s="280"/>
      <c r="L661" s="424"/>
      <c r="M661" s="424"/>
      <c r="N661" s="424"/>
      <c r="O661" s="424"/>
      <c r="P661" s="424"/>
      <c r="Q661" s="424"/>
      <c r="R661" s="424"/>
      <c r="S661" s="424"/>
      <c r="T661" s="424"/>
      <c r="U661" s="304"/>
      <c r="V661" s="304"/>
      <c r="X661" s="304"/>
      <c r="Z661" s="451"/>
    </row>
    <row r="662" spans="2:27">
      <c r="B662" s="1302" t="s">
        <v>807</v>
      </c>
      <c r="C662" s="1303"/>
      <c r="D662" s="1303"/>
      <c r="E662" s="1303"/>
      <c r="F662" s="1304"/>
      <c r="G662" s="461"/>
      <c r="H662" s="419">
        <f>(G662*H654)*-1</f>
        <v>0</v>
      </c>
      <c r="I662" s="461"/>
      <c r="J662" s="420">
        <f>(I662*J654)*-1</f>
        <v>0</v>
      </c>
      <c r="K662" s="280"/>
      <c r="L662" s="424"/>
      <c r="M662" s="424"/>
      <c r="N662" s="424"/>
      <c r="O662" s="424"/>
      <c r="P662" s="424"/>
      <c r="Q662" s="424"/>
      <c r="R662" s="424"/>
      <c r="S662" s="424"/>
      <c r="T662" s="424"/>
      <c r="U662" s="304"/>
      <c r="V662" s="304"/>
      <c r="X662" s="304"/>
      <c r="Z662" s="451" t="s">
        <v>808</v>
      </c>
      <c r="AA662" s="280">
        <f>IF(AND(J656=0, J658=0, J660=0, J661=0, J662=0, J664=0, J665=0, J666=0, J667=0, J669=0, J670=0, J671=0, J672=0, J674=0, I675=0), 0, 1)</f>
        <v>1</v>
      </c>
    </row>
    <row r="663" spans="2:27">
      <c r="B663" s="1229" t="s">
        <v>809</v>
      </c>
      <c r="C663" s="1230"/>
      <c r="D663" s="1230"/>
      <c r="E663" s="1230"/>
      <c r="F663" s="1230"/>
      <c r="G663" s="350"/>
      <c r="H663" s="351"/>
      <c r="I663" s="350"/>
      <c r="J663" s="352"/>
      <c r="K663" s="280"/>
      <c r="L663" s="424"/>
      <c r="M663" s="424"/>
      <c r="N663" s="424"/>
      <c r="O663" s="424"/>
      <c r="P663" s="424"/>
      <c r="Q663" s="424"/>
      <c r="R663" s="424"/>
      <c r="S663" s="424"/>
      <c r="T663" s="424"/>
      <c r="U663" s="304"/>
      <c r="V663" s="304"/>
      <c r="X663" s="304"/>
      <c r="Z663" s="451" t="s">
        <v>810</v>
      </c>
      <c r="AA663" s="280">
        <f>IF(AND(G675&lt;=I675, I675&lt;&gt;0), 0, 1)</f>
        <v>1</v>
      </c>
    </row>
    <row r="664" spans="2:27">
      <c r="B664" s="1243" t="s">
        <v>811</v>
      </c>
      <c r="C664" s="1244"/>
      <c r="D664" s="1244"/>
      <c r="E664" s="1244"/>
      <c r="F664" s="1245"/>
      <c r="G664" s="346"/>
      <c r="H664" s="384">
        <f>G664*H654</f>
        <v>0</v>
      </c>
      <c r="I664" s="346"/>
      <c r="J664" s="385">
        <f>I664*J654</f>
        <v>0</v>
      </c>
      <c r="K664" s="280"/>
      <c r="L664" s="424"/>
      <c r="M664" s="424"/>
      <c r="N664" s="424"/>
      <c r="O664" s="424"/>
      <c r="P664" s="424"/>
      <c r="Q664" s="424"/>
      <c r="R664" s="424"/>
      <c r="S664" s="424"/>
      <c r="T664" s="424"/>
      <c r="U664" s="304"/>
      <c r="V664" s="304"/>
      <c r="X664" s="304"/>
      <c r="Z664" s="451" t="s">
        <v>812</v>
      </c>
      <c r="AA664" s="280">
        <f>IF(AND(AA663=0, AA662=1), 0, 1)</f>
        <v>1</v>
      </c>
    </row>
    <row r="665" spans="2:27">
      <c r="B665" s="1381" t="s">
        <v>813</v>
      </c>
      <c r="C665" s="1224"/>
      <c r="D665" s="1224"/>
      <c r="E665" s="1224"/>
      <c r="F665" s="1225"/>
      <c r="G665" s="346"/>
      <c r="H665" s="384">
        <f>G665*H654</f>
        <v>0</v>
      </c>
      <c r="I665" s="346"/>
      <c r="J665" s="385">
        <f>I665*J654</f>
        <v>0</v>
      </c>
      <c r="K665" s="280"/>
      <c r="L665" s="424"/>
      <c r="M665" s="424"/>
      <c r="N665" s="424"/>
      <c r="O665" s="424"/>
      <c r="P665" s="424"/>
      <c r="Q665" s="424"/>
      <c r="R665" s="424"/>
      <c r="S665" s="424"/>
      <c r="T665" s="424"/>
      <c r="U665" s="304"/>
      <c r="X665" s="304"/>
    </row>
    <row r="666" spans="2:27">
      <c r="B666" s="1223" t="s">
        <v>814</v>
      </c>
      <c r="C666" s="1224"/>
      <c r="D666" s="1224"/>
      <c r="E666" s="1224"/>
      <c r="F666" s="1225"/>
      <c r="G666" s="346"/>
      <c r="H666" s="384">
        <f>G666*H654</f>
        <v>0</v>
      </c>
      <c r="I666" s="346"/>
      <c r="J666" s="385">
        <f>I666*J654</f>
        <v>0</v>
      </c>
      <c r="K666" s="280"/>
      <c r="L666" s="424"/>
      <c r="M666" s="424"/>
      <c r="N666" s="424"/>
      <c r="O666" s="424"/>
      <c r="P666" s="424"/>
      <c r="Q666" s="424"/>
      <c r="R666" s="424"/>
      <c r="S666" s="424"/>
      <c r="T666" s="424"/>
      <c r="U666" s="304"/>
      <c r="X666" s="304"/>
      <c r="AA666" s="349" t="s">
        <v>596</v>
      </c>
    </row>
    <row r="667" spans="2:27">
      <c r="B667" s="1226" t="s">
        <v>825</v>
      </c>
      <c r="C667" s="1227"/>
      <c r="D667" s="1227"/>
      <c r="E667" s="1227"/>
      <c r="F667" s="1228"/>
      <c r="G667" s="346"/>
      <c r="H667" s="384">
        <f>G667*H654</f>
        <v>0</v>
      </c>
      <c r="I667" s="346"/>
      <c r="J667" s="385">
        <f>I667*J654</f>
        <v>0</v>
      </c>
      <c r="K667" s="280"/>
      <c r="L667" s="424"/>
      <c r="M667" s="424"/>
      <c r="N667" s="424"/>
      <c r="O667" s="424"/>
      <c r="P667" s="424"/>
      <c r="Q667" s="424"/>
      <c r="R667" s="424"/>
      <c r="S667" s="424"/>
      <c r="T667" s="424"/>
      <c r="U667" s="304"/>
      <c r="X667" s="304"/>
      <c r="Z667" s="462"/>
      <c r="AA667" s="349" t="s">
        <v>683</v>
      </c>
    </row>
    <row r="668" spans="2:27">
      <c r="B668" s="1229" t="s">
        <v>816</v>
      </c>
      <c r="C668" s="1230"/>
      <c r="D668" s="1230"/>
      <c r="E668" s="1230"/>
      <c r="F668" s="1230"/>
      <c r="G668" s="351"/>
      <c r="H668" s="351"/>
      <c r="I668" s="351"/>
      <c r="J668" s="352"/>
      <c r="K668" s="280"/>
      <c r="L668" s="424"/>
      <c r="M668" s="424"/>
      <c r="N668" s="424"/>
      <c r="O668" s="424"/>
      <c r="P668" s="424"/>
      <c r="Q668" s="424"/>
      <c r="R668" s="424"/>
      <c r="S668" s="424"/>
      <c r="T668" s="424"/>
      <c r="U668" s="304"/>
      <c r="X668" s="304"/>
      <c r="AA668" s="349" t="s">
        <v>599</v>
      </c>
    </row>
    <row r="669" spans="2:27">
      <c r="B669" s="1231" t="s">
        <v>817</v>
      </c>
      <c r="C669" s="1382"/>
      <c r="D669" s="1382"/>
      <c r="E669" s="1382"/>
      <c r="F669" s="1383"/>
      <c r="G669" s="346"/>
      <c r="H669" s="359">
        <f>(G669*H654)*-1</f>
        <v>0</v>
      </c>
      <c r="I669" s="346"/>
      <c r="J669" s="400">
        <f>(I669*J654)*-1</f>
        <v>0</v>
      </c>
      <c r="K669" s="280"/>
      <c r="L669" s="424"/>
      <c r="M669" s="424"/>
      <c r="N669" s="424"/>
      <c r="O669" s="424"/>
      <c r="P669" s="424"/>
      <c r="Q669" s="424"/>
      <c r="R669" s="424"/>
      <c r="S669" s="424"/>
      <c r="T669" s="424"/>
      <c r="U669" s="304"/>
      <c r="X669" s="304"/>
      <c r="AA669" s="349" t="s">
        <v>603</v>
      </c>
    </row>
    <row r="670" spans="2:27" ht="28.5" customHeight="1">
      <c r="B670" s="1369" t="s">
        <v>818</v>
      </c>
      <c r="C670" s="1370"/>
      <c r="D670" s="1370"/>
      <c r="E670" s="1370"/>
      <c r="F670" s="1371"/>
      <c r="G670" s="346"/>
      <c r="H670" s="359">
        <f>G670*H654*-1</f>
        <v>0</v>
      </c>
      <c r="I670" s="346"/>
      <c r="J670" s="400">
        <f>(I670*J654)*-1</f>
        <v>0</v>
      </c>
      <c r="K670" s="280"/>
      <c r="L670" s="424"/>
      <c r="M670" s="424"/>
      <c r="N670" s="424"/>
      <c r="O670" s="424"/>
      <c r="P670" s="424"/>
      <c r="Q670" s="424"/>
      <c r="R670" s="424"/>
      <c r="S670" s="424"/>
      <c r="T670" s="424"/>
      <c r="U670" s="304"/>
      <c r="X670" s="304"/>
      <c r="AA670" s="349" t="s">
        <v>605</v>
      </c>
    </row>
    <row r="671" spans="2:27">
      <c r="B671" s="1372" t="s">
        <v>819</v>
      </c>
      <c r="C671" s="1373"/>
      <c r="D671" s="1373"/>
      <c r="E671" s="1373"/>
      <c r="F671" s="1374"/>
      <c r="G671" s="346"/>
      <c r="H671" s="359">
        <f>G671*H654*-1</f>
        <v>0</v>
      </c>
      <c r="I671" s="346"/>
      <c r="J671" s="400">
        <f>I671*J654*-1</f>
        <v>0</v>
      </c>
      <c r="K671" s="280"/>
      <c r="L671" s="424"/>
      <c r="M671" s="424"/>
      <c r="N671" s="424"/>
      <c r="O671" s="424"/>
      <c r="P671" s="424"/>
      <c r="Q671" s="424"/>
      <c r="R671" s="424"/>
      <c r="S671" s="424"/>
      <c r="T671" s="424"/>
      <c r="U671" s="304"/>
    </row>
    <row r="672" spans="2:27">
      <c r="B672" s="1375" t="s">
        <v>820</v>
      </c>
      <c r="C672" s="1376"/>
      <c r="D672" s="1376"/>
      <c r="E672" s="1376"/>
      <c r="F672" s="1377"/>
      <c r="G672" s="346"/>
      <c r="H672" s="359">
        <f>G672*H654*-1</f>
        <v>0</v>
      </c>
      <c r="I672" s="346"/>
      <c r="J672" s="359">
        <f>I672*J654*-1</f>
        <v>0</v>
      </c>
      <c r="K672" s="280"/>
      <c r="L672" s="424"/>
      <c r="M672" s="424"/>
      <c r="N672" s="424"/>
      <c r="O672" s="424"/>
      <c r="P672" s="424"/>
      <c r="Q672" s="424"/>
      <c r="R672" s="424"/>
      <c r="S672" s="424"/>
      <c r="T672" s="424"/>
      <c r="U672" s="304"/>
    </row>
    <row r="673" spans="2:21" ht="15" customHeight="1">
      <c r="B673" s="1378" t="s">
        <v>735</v>
      </c>
      <c r="C673" s="1379"/>
      <c r="D673" s="1379"/>
      <c r="E673" s="1379"/>
      <c r="F673" s="1379"/>
      <c r="G673" s="350"/>
      <c r="H673" s="389"/>
      <c r="I673" s="350"/>
      <c r="J673" s="390"/>
      <c r="K673" s="280"/>
      <c r="L673" s="424"/>
      <c r="M673" s="424"/>
      <c r="N673" s="424"/>
      <c r="O673" s="424"/>
      <c r="P673" s="424"/>
      <c r="Q673" s="424"/>
      <c r="R673" s="424"/>
      <c r="S673" s="424"/>
      <c r="T673" s="424"/>
      <c r="U673" s="304"/>
    </row>
    <row r="674" spans="2:21">
      <c r="B674" s="1380" t="s">
        <v>821</v>
      </c>
      <c r="C674" s="1370"/>
      <c r="D674" s="1370"/>
      <c r="E674" s="1370"/>
      <c r="F674" s="1371"/>
      <c r="G674" s="346"/>
      <c r="H674" s="359">
        <f>(G674*H654)</f>
        <v>0</v>
      </c>
      <c r="I674" s="346"/>
      <c r="J674" s="400">
        <f>(I674*J654)</f>
        <v>0</v>
      </c>
      <c r="K674" s="280"/>
      <c r="L674" s="424"/>
      <c r="M674" s="424"/>
      <c r="N674" s="424"/>
      <c r="O674" s="424"/>
      <c r="P674" s="424"/>
      <c r="Q674" s="424"/>
      <c r="R674" s="424"/>
      <c r="S674" s="424"/>
      <c r="T674" s="424"/>
      <c r="U674" s="304"/>
    </row>
    <row r="675" spans="2:21">
      <c r="B675" s="1158" t="s">
        <v>822</v>
      </c>
      <c r="C675" s="1159"/>
      <c r="D675" s="1159"/>
      <c r="E675" s="1159"/>
      <c r="F675" s="1160"/>
      <c r="G675" s="1359">
        <f>SUM(H656:H674)</f>
        <v>0</v>
      </c>
      <c r="H675" s="1360"/>
      <c r="I675" s="1361">
        <f>SUM(J656:J674)</f>
        <v>0</v>
      </c>
      <c r="J675" s="1362"/>
      <c r="K675" s="280"/>
      <c r="L675" s="424"/>
      <c r="M675" s="424"/>
      <c r="N675" s="424"/>
      <c r="O675" s="424"/>
      <c r="P675" s="424"/>
      <c r="Q675" s="424"/>
      <c r="R675" s="424"/>
      <c r="S675" s="424"/>
      <c r="T675" s="424"/>
      <c r="U675" s="304"/>
    </row>
    <row r="676" spans="2:21" ht="18.75">
      <c r="B676" s="1363" t="s">
        <v>823</v>
      </c>
      <c r="C676" s="1364"/>
      <c r="D676" s="1364"/>
      <c r="E676" s="1364"/>
      <c r="F676" s="1365"/>
      <c r="G676" s="1161" t="str">
        <f>IF(OR(AA664=0, I675=0), "12 Month Average", "24 Month Average")</f>
        <v>12 Month Average</v>
      </c>
      <c r="H676" s="1162"/>
      <c r="I676" s="1162"/>
      <c r="J676" s="1163"/>
      <c r="K676" s="280"/>
      <c r="L676" s="424"/>
      <c r="M676" s="424"/>
      <c r="N676" s="424"/>
      <c r="O676" s="424"/>
      <c r="P676" s="424"/>
      <c r="Q676" s="424"/>
      <c r="R676" s="424"/>
      <c r="S676" s="424"/>
      <c r="T676" s="424"/>
      <c r="U676" s="304"/>
    </row>
    <row r="677" spans="2:21" ht="34.5" thickBot="1">
      <c r="B677" s="1366" t="s">
        <v>824</v>
      </c>
      <c r="C677" s="1367"/>
      <c r="D677" s="1367"/>
      <c r="E677" s="1367"/>
      <c r="F677" s="1368"/>
      <c r="G677" s="1167">
        <f>IF(OR(AA664=0, I675=0), AA659, AA660)</f>
        <v>0</v>
      </c>
      <c r="H677" s="1168"/>
      <c r="I677" s="1168"/>
      <c r="J677" s="1169"/>
      <c r="L677" s="424"/>
      <c r="M677" s="424"/>
      <c r="N677" s="424"/>
      <c r="O677" s="424"/>
      <c r="P677" s="424"/>
      <c r="Q677" s="424"/>
      <c r="R677" s="424"/>
      <c r="S677" s="424"/>
      <c r="T677" s="424"/>
      <c r="U677" s="304"/>
    </row>
    <row r="678" spans="2:21" ht="9" customHeight="1" thickBot="1">
      <c r="H678" s="330"/>
      <c r="I678" s="330"/>
      <c r="L678" s="424"/>
      <c r="M678" s="424"/>
      <c r="N678" s="424"/>
      <c r="O678" s="424"/>
      <c r="P678" s="424"/>
      <c r="Q678" s="424"/>
      <c r="R678" s="424"/>
      <c r="S678" s="424"/>
      <c r="T678" s="424"/>
      <c r="U678" s="304"/>
    </row>
    <row r="679" spans="2:21" ht="135" customHeight="1" thickBot="1">
      <c r="B679" s="1148" t="s">
        <v>761</v>
      </c>
      <c r="C679" s="1285"/>
      <c r="D679" s="1285"/>
      <c r="E679" s="1285"/>
      <c r="F679" s="1285"/>
      <c r="G679" s="1285"/>
      <c r="H679" s="1285"/>
      <c r="I679" s="1285"/>
      <c r="J679" s="1286"/>
      <c r="L679" s="424"/>
      <c r="M679" s="424"/>
      <c r="N679" s="424"/>
      <c r="O679" s="424"/>
      <c r="P679" s="424"/>
      <c r="Q679" s="424"/>
      <c r="R679" s="424"/>
      <c r="S679" s="424"/>
      <c r="T679" s="424"/>
      <c r="U679" s="304"/>
    </row>
    <row r="680" spans="2:21" ht="9" customHeight="1">
      <c r="B680" s="304"/>
      <c r="C680" s="304"/>
      <c r="D680" s="304"/>
      <c r="E680" s="304"/>
      <c r="F680" s="304"/>
      <c r="G680" s="304"/>
      <c r="H680" s="304"/>
      <c r="I680" s="304"/>
      <c r="L680" s="304"/>
      <c r="M680" s="304"/>
      <c r="N680" s="304"/>
      <c r="O680" s="304"/>
      <c r="P680" s="304"/>
      <c r="Q680" s="304"/>
      <c r="R680" s="304"/>
      <c r="S680" s="304"/>
      <c r="T680" s="304"/>
      <c r="U680" s="304"/>
    </row>
  </sheetData>
  <sheetProtection algorithmName="SHA-512" hashValue="4ImHDvG+pluxRv1deR7JLY7MU8DTc1Db/yLHc3pV9rVW9aq2I88M7KJuhwkrfvv0GM66OgxGoJiGMlnnwcQRQQ==" saltValue="5VH8o152PgN8CnwLFq9qZQ==" spinCount="100000" sheet="1" objects="1" scenarios="1" selectLockedCells="1"/>
  <mergeCells count="761">
    <mergeCell ref="B7:F8"/>
    <mergeCell ref="B9:F9"/>
    <mergeCell ref="B10:F10"/>
    <mergeCell ref="B11:F11"/>
    <mergeCell ref="B12:F12"/>
    <mergeCell ref="B13:F13"/>
    <mergeCell ref="B2:I2"/>
    <mergeCell ref="L2:T31"/>
    <mergeCell ref="D3:G3"/>
    <mergeCell ref="D4:G4"/>
    <mergeCell ref="I4:J4"/>
    <mergeCell ref="B5:C5"/>
    <mergeCell ref="D5:G5"/>
    <mergeCell ref="I5:J5"/>
    <mergeCell ref="B6:C6"/>
    <mergeCell ref="D6:J6"/>
    <mergeCell ref="B20:F20"/>
    <mergeCell ref="B21:F21"/>
    <mergeCell ref="B22:F22"/>
    <mergeCell ref="B23:F23"/>
    <mergeCell ref="B24:F24"/>
    <mergeCell ref="B25:F25"/>
    <mergeCell ref="B14:F14"/>
    <mergeCell ref="B15:F15"/>
    <mergeCell ref="B16:F16"/>
    <mergeCell ref="B17:F17"/>
    <mergeCell ref="B18:F18"/>
    <mergeCell ref="B19:F19"/>
    <mergeCell ref="B30:F30"/>
    <mergeCell ref="G30:J30"/>
    <mergeCell ref="B31:F31"/>
    <mergeCell ref="G31:J31"/>
    <mergeCell ref="B33:J33"/>
    <mergeCell ref="B36:I36"/>
    <mergeCell ref="B26:F26"/>
    <mergeCell ref="B27:F27"/>
    <mergeCell ref="B28:F28"/>
    <mergeCell ref="B29:F29"/>
    <mergeCell ref="G29:H29"/>
    <mergeCell ref="I29:J29"/>
    <mergeCell ref="B40:C40"/>
    <mergeCell ref="D40:J40"/>
    <mergeCell ref="B41:F42"/>
    <mergeCell ref="B43:F43"/>
    <mergeCell ref="B44:F44"/>
    <mergeCell ref="B45:F45"/>
    <mergeCell ref="D37:G37"/>
    <mergeCell ref="D38:G38"/>
    <mergeCell ref="I38:J38"/>
    <mergeCell ref="B39:C39"/>
    <mergeCell ref="D39:G39"/>
    <mergeCell ref="I39:J39"/>
    <mergeCell ref="B52:F52"/>
    <mergeCell ref="B53:F53"/>
    <mergeCell ref="B54:F54"/>
    <mergeCell ref="B55:F55"/>
    <mergeCell ref="B56:F56"/>
    <mergeCell ref="B57:F57"/>
    <mergeCell ref="B46:F46"/>
    <mergeCell ref="B47:F47"/>
    <mergeCell ref="B48:F48"/>
    <mergeCell ref="B49:F49"/>
    <mergeCell ref="B50:F50"/>
    <mergeCell ref="B51:F51"/>
    <mergeCell ref="G63:H63"/>
    <mergeCell ref="I63:J63"/>
    <mergeCell ref="B64:F64"/>
    <mergeCell ref="G64:J64"/>
    <mergeCell ref="B65:F65"/>
    <mergeCell ref="G65:J65"/>
    <mergeCell ref="B58:F58"/>
    <mergeCell ref="B59:F59"/>
    <mergeCell ref="B60:F60"/>
    <mergeCell ref="B61:F61"/>
    <mergeCell ref="B62:F62"/>
    <mergeCell ref="B63:F63"/>
    <mergeCell ref="B74:C74"/>
    <mergeCell ref="D74:J74"/>
    <mergeCell ref="B75:F76"/>
    <mergeCell ref="B77:F77"/>
    <mergeCell ref="B78:F78"/>
    <mergeCell ref="B79:F79"/>
    <mergeCell ref="B67:J67"/>
    <mergeCell ref="B70:I70"/>
    <mergeCell ref="D71:G71"/>
    <mergeCell ref="D72:G72"/>
    <mergeCell ref="I72:J72"/>
    <mergeCell ref="B73:C73"/>
    <mergeCell ref="D73:G73"/>
    <mergeCell ref="I73:J73"/>
    <mergeCell ref="B86:F86"/>
    <mergeCell ref="B87:F87"/>
    <mergeCell ref="B88:F88"/>
    <mergeCell ref="B89:F89"/>
    <mergeCell ref="B90:F90"/>
    <mergeCell ref="B91:F91"/>
    <mergeCell ref="B80:F80"/>
    <mergeCell ref="B81:F81"/>
    <mergeCell ref="B82:F82"/>
    <mergeCell ref="B83:F83"/>
    <mergeCell ref="B84:F84"/>
    <mergeCell ref="B85:F85"/>
    <mergeCell ref="G97:H97"/>
    <mergeCell ref="I97:J97"/>
    <mergeCell ref="B98:F98"/>
    <mergeCell ref="G98:J98"/>
    <mergeCell ref="B99:F99"/>
    <mergeCell ref="G99:J99"/>
    <mergeCell ref="B92:F92"/>
    <mergeCell ref="B93:F93"/>
    <mergeCell ref="B94:F94"/>
    <mergeCell ref="B95:F95"/>
    <mergeCell ref="B96:F96"/>
    <mergeCell ref="B97:F97"/>
    <mergeCell ref="B108:C108"/>
    <mergeCell ref="D108:J108"/>
    <mergeCell ref="B109:F110"/>
    <mergeCell ref="B111:F111"/>
    <mergeCell ref="B112:F112"/>
    <mergeCell ref="B113:F113"/>
    <mergeCell ref="B101:J101"/>
    <mergeCell ref="B104:I104"/>
    <mergeCell ref="D105:G105"/>
    <mergeCell ref="D106:G106"/>
    <mergeCell ref="I106:J106"/>
    <mergeCell ref="B107:C107"/>
    <mergeCell ref="D107:G107"/>
    <mergeCell ref="I107:J107"/>
    <mergeCell ref="B120:F120"/>
    <mergeCell ref="B121:F121"/>
    <mergeCell ref="B122:F122"/>
    <mergeCell ref="B123:F123"/>
    <mergeCell ref="B124:F124"/>
    <mergeCell ref="B125:F125"/>
    <mergeCell ref="B114:F114"/>
    <mergeCell ref="B115:F115"/>
    <mergeCell ref="B116:F116"/>
    <mergeCell ref="B117:F117"/>
    <mergeCell ref="B118:F118"/>
    <mergeCell ref="B119:F119"/>
    <mergeCell ref="G131:H131"/>
    <mergeCell ref="I131:J131"/>
    <mergeCell ref="B132:F132"/>
    <mergeCell ref="G132:J132"/>
    <mergeCell ref="B133:F133"/>
    <mergeCell ref="G133:J133"/>
    <mergeCell ref="B126:F126"/>
    <mergeCell ref="B127:F127"/>
    <mergeCell ref="B128:F128"/>
    <mergeCell ref="B129:F129"/>
    <mergeCell ref="B130:F130"/>
    <mergeCell ref="B131:F131"/>
    <mergeCell ref="B142:C142"/>
    <mergeCell ref="D142:J142"/>
    <mergeCell ref="B143:F144"/>
    <mergeCell ref="B145:F145"/>
    <mergeCell ref="B146:F146"/>
    <mergeCell ref="B147:F147"/>
    <mergeCell ref="B135:J135"/>
    <mergeCell ref="B138:I138"/>
    <mergeCell ref="D139:G139"/>
    <mergeCell ref="D140:G140"/>
    <mergeCell ref="I140:J140"/>
    <mergeCell ref="B141:C141"/>
    <mergeCell ref="D141:G141"/>
    <mergeCell ref="I141:J141"/>
    <mergeCell ref="B154:F154"/>
    <mergeCell ref="B155:F155"/>
    <mergeCell ref="B156:F156"/>
    <mergeCell ref="B157:F157"/>
    <mergeCell ref="B158:F158"/>
    <mergeCell ref="B159:F159"/>
    <mergeCell ref="B148:F148"/>
    <mergeCell ref="B149:F149"/>
    <mergeCell ref="B150:F150"/>
    <mergeCell ref="B151:F151"/>
    <mergeCell ref="B152:F152"/>
    <mergeCell ref="B153:F153"/>
    <mergeCell ref="G165:H165"/>
    <mergeCell ref="I165:J165"/>
    <mergeCell ref="B166:F166"/>
    <mergeCell ref="G166:J166"/>
    <mergeCell ref="B167:F167"/>
    <mergeCell ref="G167:J167"/>
    <mergeCell ref="B160:F160"/>
    <mergeCell ref="B161:F161"/>
    <mergeCell ref="B162:F162"/>
    <mergeCell ref="B163:F163"/>
    <mergeCell ref="B164:F164"/>
    <mergeCell ref="B165:F165"/>
    <mergeCell ref="B176:C176"/>
    <mergeCell ref="D176:J176"/>
    <mergeCell ref="B177:F178"/>
    <mergeCell ref="B179:F179"/>
    <mergeCell ref="B180:F180"/>
    <mergeCell ref="B181:F181"/>
    <mergeCell ref="B169:J169"/>
    <mergeCell ref="B172:I172"/>
    <mergeCell ref="D173:G173"/>
    <mergeCell ref="D174:G174"/>
    <mergeCell ref="I174:J174"/>
    <mergeCell ref="B175:C175"/>
    <mergeCell ref="D175:G175"/>
    <mergeCell ref="I175:J175"/>
    <mergeCell ref="B188:F188"/>
    <mergeCell ref="B189:F189"/>
    <mergeCell ref="B190:F190"/>
    <mergeCell ref="B191:F191"/>
    <mergeCell ref="B192:F192"/>
    <mergeCell ref="B193:F193"/>
    <mergeCell ref="B182:F182"/>
    <mergeCell ref="B183:F183"/>
    <mergeCell ref="B184:F184"/>
    <mergeCell ref="B185:F185"/>
    <mergeCell ref="B186:F186"/>
    <mergeCell ref="B187:F187"/>
    <mergeCell ref="G199:H199"/>
    <mergeCell ref="I199:J199"/>
    <mergeCell ref="B200:F200"/>
    <mergeCell ref="G200:J200"/>
    <mergeCell ref="B201:F201"/>
    <mergeCell ref="G201:J201"/>
    <mergeCell ref="B194:F194"/>
    <mergeCell ref="B195:F195"/>
    <mergeCell ref="B196:F196"/>
    <mergeCell ref="B197:F197"/>
    <mergeCell ref="B198:F198"/>
    <mergeCell ref="B199:F199"/>
    <mergeCell ref="B210:C210"/>
    <mergeCell ref="D210:J210"/>
    <mergeCell ref="B211:F212"/>
    <mergeCell ref="B213:F213"/>
    <mergeCell ref="B214:F214"/>
    <mergeCell ref="B215:F215"/>
    <mergeCell ref="B203:J203"/>
    <mergeCell ref="B206:I206"/>
    <mergeCell ref="D207:G207"/>
    <mergeCell ref="D208:G208"/>
    <mergeCell ref="I208:J208"/>
    <mergeCell ref="B209:C209"/>
    <mergeCell ref="D209:G209"/>
    <mergeCell ref="I209:J209"/>
    <mergeCell ref="B222:F222"/>
    <mergeCell ref="B223:F223"/>
    <mergeCell ref="B224:F224"/>
    <mergeCell ref="B225:F225"/>
    <mergeCell ref="B226:F226"/>
    <mergeCell ref="B227:F227"/>
    <mergeCell ref="B216:F216"/>
    <mergeCell ref="B217:F217"/>
    <mergeCell ref="B218:F218"/>
    <mergeCell ref="B219:F219"/>
    <mergeCell ref="B220:F220"/>
    <mergeCell ref="B221:F221"/>
    <mergeCell ref="G233:H233"/>
    <mergeCell ref="I233:J233"/>
    <mergeCell ref="B234:F234"/>
    <mergeCell ref="G234:J234"/>
    <mergeCell ref="B235:F235"/>
    <mergeCell ref="G235:J235"/>
    <mergeCell ref="B228:F228"/>
    <mergeCell ref="B229:F229"/>
    <mergeCell ref="B230:F230"/>
    <mergeCell ref="B231:F231"/>
    <mergeCell ref="B232:F232"/>
    <mergeCell ref="B233:F233"/>
    <mergeCell ref="B244:C244"/>
    <mergeCell ref="D244:J244"/>
    <mergeCell ref="B245:F246"/>
    <mergeCell ref="B247:F247"/>
    <mergeCell ref="B248:F248"/>
    <mergeCell ref="B249:F249"/>
    <mergeCell ref="B237:J237"/>
    <mergeCell ref="B240:I240"/>
    <mergeCell ref="D241:G241"/>
    <mergeCell ref="D242:G242"/>
    <mergeCell ref="I242:J242"/>
    <mergeCell ref="B243:C243"/>
    <mergeCell ref="D243:G243"/>
    <mergeCell ref="I243:J243"/>
    <mergeCell ref="B256:F256"/>
    <mergeCell ref="B257:F257"/>
    <mergeCell ref="B258:F258"/>
    <mergeCell ref="B259:F259"/>
    <mergeCell ref="B260:F260"/>
    <mergeCell ref="B261:F261"/>
    <mergeCell ref="B250:F250"/>
    <mergeCell ref="B251:F251"/>
    <mergeCell ref="B252:F252"/>
    <mergeCell ref="B253:F253"/>
    <mergeCell ref="B254:F254"/>
    <mergeCell ref="B255:F255"/>
    <mergeCell ref="G267:H267"/>
    <mergeCell ref="I267:J267"/>
    <mergeCell ref="B268:F268"/>
    <mergeCell ref="G268:J268"/>
    <mergeCell ref="B269:F269"/>
    <mergeCell ref="G269:J269"/>
    <mergeCell ref="B262:F262"/>
    <mergeCell ref="B263:F263"/>
    <mergeCell ref="B264:F264"/>
    <mergeCell ref="B265:F265"/>
    <mergeCell ref="B266:F266"/>
    <mergeCell ref="B267:F267"/>
    <mergeCell ref="B278:C278"/>
    <mergeCell ref="D278:J278"/>
    <mergeCell ref="B279:F280"/>
    <mergeCell ref="B281:F281"/>
    <mergeCell ref="B282:F282"/>
    <mergeCell ref="B283:F283"/>
    <mergeCell ref="B271:J271"/>
    <mergeCell ref="B274:I274"/>
    <mergeCell ref="D275:G275"/>
    <mergeCell ref="D276:G276"/>
    <mergeCell ref="I276:J276"/>
    <mergeCell ref="B277:C277"/>
    <mergeCell ref="D277:G277"/>
    <mergeCell ref="I277:J277"/>
    <mergeCell ref="B290:F290"/>
    <mergeCell ref="B291:F291"/>
    <mergeCell ref="B292:F292"/>
    <mergeCell ref="B293:F293"/>
    <mergeCell ref="B294:F294"/>
    <mergeCell ref="B295:F295"/>
    <mergeCell ref="B284:F284"/>
    <mergeCell ref="B285:F285"/>
    <mergeCell ref="B286:F286"/>
    <mergeCell ref="B287:F287"/>
    <mergeCell ref="B288:F288"/>
    <mergeCell ref="B289:F289"/>
    <mergeCell ref="G301:H301"/>
    <mergeCell ref="I301:J301"/>
    <mergeCell ref="B302:F302"/>
    <mergeCell ref="G302:J302"/>
    <mergeCell ref="B303:F303"/>
    <mergeCell ref="G303:J303"/>
    <mergeCell ref="B296:F296"/>
    <mergeCell ref="B297:F297"/>
    <mergeCell ref="B298:F298"/>
    <mergeCell ref="B299:F299"/>
    <mergeCell ref="B300:F300"/>
    <mergeCell ref="B301:F301"/>
    <mergeCell ref="B312:C312"/>
    <mergeCell ref="D312:J312"/>
    <mergeCell ref="B313:F314"/>
    <mergeCell ref="B315:F315"/>
    <mergeCell ref="B316:F316"/>
    <mergeCell ref="B317:F317"/>
    <mergeCell ref="B305:J305"/>
    <mergeCell ref="B308:I308"/>
    <mergeCell ref="D309:G309"/>
    <mergeCell ref="D310:G310"/>
    <mergeCell ref="I310:J310"/>
    <mergeCell ref="B311:C311"/>
    <mergeCell ref="D311:G311"/>
    <mergeCell ref="I311:J311"/>
    <mergeCell ref="B324:F324"/>
    <mergeCell ref="B325:F325"/>
    <mergeCell ref="B326:F326"/>
    <mergeCell ref="B327:F327"/>
    <mergeCell ref="B328:F328"/>
    <mergeCell ref="B329:F329"/>
    <mergeCell ref="B318:F318"/>
    <mergeCell ref="B319:F319"/>
    <mergeCell ref="B320:F320"/>
    <mergeCell ref="B321:F321"/>
    <mergeCell ref="B322:F322"/>
    <mergeCell ref="B323:F323"/>
    <mergeCell ref="G335:H335"/>
    <mergeCell ref="I335:J335"/>
    <mergeCell ref="B336:F336"/>
    <mergeCell ref="G336:J336"/>
    <mergeCell ref="B337:F337"/>
    <mergeCell ref="G337:J337"/>
    <mergeCell ref="B330:F330"/>
    <mergeCell ref="B331:F331"/>
    <mergeCell ref="B332:F332"/>
    <mergeCell ref="B333:F333"/>
    <mergeCell ref="B334:F334"/>
    <mergeCell ref="B335:F335"/>
    <mergeCell ref="B346:C346"/>
    <mergeCell ref="D346:J346"/>
    <mergeCell ref="B347:F348"/>
    <mergeCell ref="B349:F349"/>
    <mergeCell ref="B350:F350"/>
    <mergeCell ref="B351:F351"/>
    <mergeCell ref="B339:J339"/>
    <mergeCell ref="B342:I342"/>
    <mergeCell ref="D343:G343"/>
    <mergeCell ref="D344:G344"/>
    <mergeCell ref="I344:J344"/>
    <mergeCell ref="B345:C345"/>
    <mergeCell ref="D345:G345"/>
    <mergeCell ref="I345:J345"/>
    <mergeCell ref="B358:F358"/>
    <mergeCell ref="B359:F359"/>
    <mergeCell ref="B360:F360"/>
    <mergeCell ref="B361:F361"/>
    <mergeCell ref="B362:F362"/>
    <mergeCell ref="B363:F363"/>
    <mergeCell ref="B352:F352"/>
    <mergeCell ref="B353:F353"/>
    <mergeCell ref="B354:F354"/>
    <mergeCell ref="B355:F355"/>
    <mergeCell ref="B356:F356"/>
    <mergeCell ref="B357:F357"/>
    <mergeCell ref="G369:H369"/>
    <mergeCell ref="I369:J369"/>
    <mergeCell ref="B370:F370"/>
    <mergeCell ref="G370:J370"/>
    <mergeCell ref="B371:F371"/>
    <mergeCell ref="G371:J371"/>
    <mergeCell ref="B364:F364"/>
    <mergeCell ref="B365:F365"/>
    <mergeCell ref="B366:F366"/>
    <mergeCell ref="B367:F367"/>
    <mergeCell ref="B368:F368"/>
    <mergeCell ref="B369:F369"/>
    <mergeCell ref="B380:C380"/>
    <mergeCell ref="D380:J380"/>
    <mergeCell ref="B381:F382"/>
    <mergeCell ref="B383:F383"/>
    <mergeCell ref="B384:F384"/>
    <mergeCell ref="B385:F385"/>
    <mergeCell ref="B373:J373"/>
    <mergeCell ref="B376:I376"/>
    <mergeCell ref="D377:G377"/>
    <mergeCell ref="D378:G378"/>
    <mergeCell ref="I378:J378"/>
    <mergeCell ref="B379:C379"/>
    <mergeCell ref="D379:G379"/>
    <mergeCell ref="I379:J379"/>
    <mergeCell ref="B392:F392"/>
    <mergeCell ref="B393:F393"/>
    <mergeCell ref="B394:F394"/>
    <mergeCell ref="B395:F395"/>
    <mergeCell ref="B396:F396"/>
    <mergeCell ref="B397:F397"/>
    <mergeCell ref="B386:F386"/>
    <mergeCell ref="B387:F387"/>
    <mergeCell ref="B388:F388"/>
    <mergeCell ref="B389:F389"/>
    <mergeCell ref="B390:F390"/>
    <mergeCell ref="B391:F391"/>
    <mergeCell ref="G403:H403"/>
    <mergeCell ref="I403:J403"/>
    <mergeCell ref="B404:F404"/>
    <mergeCell ref="G404:J404"/>
    <mergeCell ref="B405:F405"/>
    <mergeCell ref="G405:J405"/>
    <mergeCell ref="B398:F398"/>
    <mergeCell ref="B399:F399"/>
    <mergeCell ref="B400:F400"/>
    <mergeCell ref="B401:F401"/>
    <mergeCell ref="B402:F402"/>
    <mergeCell ref="B403:F403"/>
    <mergeCell ref="B414:C414"/>
    <mergeCell ref="D414:J414"/>
    <mergeCell ref="B415:F416"/>
    <mergeCell ref="B417:F417"/>
    <mergeCell ref="B418:F418"/>
    <mergeCell ref="B419:F419"/>
    <mergeCell ref="B407:J407"/>
    <mergeCell ref="B410:I410"/>
    <mergeCell ref="D411:G411"/>
    <mergeCell ref="D412:G412"/>
    <mergeCell ref="I412:J412"/>
    <mergeCell ref="B413:C413"/>
    <mergeCell ref="D413:G413"/>
    <mergeCell ref="I413:J413"/>
    <mergeCell ref="B426:F426"/>
    <mergeCell ref="B427:F427"/>
    <mergeCell ref="B428:F428"/>
    <mergeCell ref="B429:F429"/>
    <mergeCell ref="B430:F430"/>
    <mergeCell ref="B431:F431"/>
    <mergeCell ref="B420:F420"/>
    <mergeCell ref="B421:F421"/>
    <mergeCell ref="B422:F422"/>
    <mergeCell ref="B423:F423"/>
    <mergeCell ref="B424:F424"/>
    <mergeCell ref="B425:F425"/>
    <mergeCell ref="G437:H437"/>
    <mergeCell ref="I437:J437"/>
    <mergeCell ref="B438:F438"/>
    <mergeCell ref="G438:J438"/>
    <mergeCell ref="B439:F439"/>
    <mergeCell ref="G439:J439"/>
    <mergeCell ref="B432:F432"/>
    <mergeCell ref="B433:F433"/>
    <mergeCell ref="B434:F434"/>
    <mergeCell ref="B435:F435"/>
    <mergeCell ref="B436:F436"/>
    <mergeCell ref="B437:F437"/>
    <mergeCell ref="B448:C448"/>
    <mergeCell ref="D448:J448"/>
    <mergeCell ref="B449:F450"/>
    <mergeCell ref="B451:F451"/>
    <mergeCell ref="B452:F452"/>
    <mergeCell ref="B453:F453"/>
    <mergeCell ref="B441:J441"/>
    <mergeCell ref="B444:I444"/>
    <mergeCell ref="D445:G445"/>
    <mergeCell ref="D446:G446"/>
    <mergeCell ref="I446:J446"/>
    <mergeCell ref="B447:C447"/>
    <mergeCell ref="D447:G447"/>
    <mergeCell ref="I447:J447"/>
    <mergeCell ref="B460:F460"/>
    <mergeCell ref="B461:F461"/>
    <mergeCell ref="B462:F462"/>
    <mergeCell ref="B463:F463"/>
    <mergeCell ref="B464:F464"/>
    <mergeCell ref="B465:F465"/>
    <mergeCell ref="B454:F454"/>
    <mergeCell ref="B455:F455"/>
    <mergeCell ref="B456:F456"/>
    <mergeCell ref="B457:F457"/>
    <mergeCell ref="B458:F458"/>
    <mergeCell ref="B459:F459"/>
    <mergeCell ref="G471:H471"/>
    <mergeCell ref="I471:J471"/>
    <mergeCell ref="B472:F472"/>
    <mergeCell ref="G472:J472"/>
    <mergeCell ref="B473:F473"/>
    <mergeCell ref="G473:J473"/>
    <mergeCell ref="B466:F466"/>
    <mergeCell ref="B467:F467"/>
    <mergeCell ref="B468:F468"/>
    <mergeCell ref="B469:F469"/>
    <mergeCell ref="B470:F470"/>
    <mergeCell ref="B471:F471"/>
    <mergeCell ref="B482:C482"/>
    <mergeCell ref="D482:J482"/>
    <mergeCell ref="B483:F484"/>
    <mergeCell ref="B485:F485"/>
    <mergeCell ref="B486:F486"/>
    <mergeCell ref="B487:F487"/>
    <mergeCell ref="B475:J475"/>
    <mergeCell ref="B478:I478"/>
    <mergeCell ref="D479:G479"/>
    <mergeCell ref="D480:G480"/>
    <mergeCell ref="I480:J480"/>
    <mergeCell ref="B481:C481"/>
    <mergeCell ref="D481:G481"/>
    <mergeCell ref="I481:J481"/>
    <mergeCell ref="B494:F494"/>
    <mergeCell ref="B495:F495"/>
    <mergeCell ref="B496:F496"/>
    <mergeCell ref="B497:F497"/>
    <mergeCell ref="B498:F498"/>
    <mergeCell ref="B499:F499"/>
    <mergeCell ref="B488:F488"/>
    <mergeCell ref="B489:F489"/>
    <mergeCell ref="B490:F490"/>
    <mergeCell ref="B491:F491"/>
    <mergeCell ref="B492:F492"/>
    <mergeCell ref="B493:F493"/>
    <mergeCell ref="G505:H505"/>
    <mergeCell ref="I505:J505"/>
    <mergeCell ref="B506:F506"/>
    <mergeCell ref="G506:J506"/>
    <mergeCell ref="B507:F507"/>
    <mergeCell ref="G507:J507"/>
    <mergeCell ref="B500:F500"/>
    <mergeCell ref="B501:F501"/>
    <mergeCell ref="B502:F502"/>
    <mergeCell ref="B503:F503"/>
    <mergeCell ref="B504:F504"/>
    <mergeCell ref="B505:F505"/>
    <mergeCell ref="B516:C516"/>
    <mergeCell ref="D516:J516"/>
    <mergeCell ref="B517:F518"/>
    <mergeCell ref="B519:F519"/>
    <mergeCell ref="B520:F520"/>
    <mergeCell ref="B521:F521"/>
    <mergeCell ref="B509:J509"/>
    <mergeCell ref="B512:I512"/>
    <mergeCell ref="D513:G513"/>
    <mergeCell ref="D514:G514"/>
    <mergeCell ref="I514:J514"/>
    <mergeCell ref="B515:C515"/>
    <mergeCell ref="D515:G515"/>
    <mergeCell ref="I515:J515"/>
    <mergeCell ref="B528:F528"/>
    <mergeCell ref="B529:F529"/>
    <mergeCell ref="B530:F530"/>
    <mergeCell ref="B531:F531"/>
    <mergeCell ref="B532:F532"/>
    <mergeCell ref="B533:F533"/>
    <mergeCell ref="B522:F522"/>
    <mergeCell ref="B523:F523"/>
    <mergeCell ref="B524:F524"/>
    <mergeCell ref="B525:F525"/>
    <mergeCell ref="B526:F526"/>
    <mergeCell ref="B527:F527"/>
    <mergeCell ref="G539:H539"/>
    <mergeCell ref="I539:J539"/>
    <mergeCell ref="B540:F540"/>
    <mergeCell ref="G540:J540"/>
    <mergeCell ref="B541:F541"/>
    <mergeCell ref="G541:J541"/>
    <mergeCell ref="B534:F534"/>
    <mergeCell ref="B535:F535"/>
    <mergeCell ref="B536:F536"/>
    <mergeCell ref="B537:F537"/>
    <mergeCell ref="B538:F538"/>
    <mergeCell ref="B539:F539"/>
    <mergeCell ref="B550:C550"/>
    <mergeCell ref="D550:J550"/>
    <mergeCell ref="B551:F552"/>
    <mergeCell ref="B553:F553"/>
    <mergeCell ref="B554:F554"/>
    <mergeCell ref="B555:F555"/>
    <mergeCell ref="B543:J543"/>
    <mergeCell ref="B546:I546"/>
    <mergeCell ref="D547:G547"/>
    <mergeCell ref="D548:G548"/>
    <mergeCell ref="I548:J548"/>
    <mergeCell ref="B549:C549"/>
    <mergeCell ref="D549:G549"/>
    <mergeCell ref="I549:J549"/>
    <mergeCell ref="B562:F562"/>
    <mergeCell ref="B563:F563"/>
    <mergeCell ref="B564:F564"/>
    <mergeCell ref="B565:F565"/>
    <mergeCell ref="B566:F566"/>
    <mergeCell ref="B567:F567"/>
    <mergeCell ref="B556:F556"/>
    <mergeCell ref="B557:F557"/>
    <mergeCell ref="B558:F558"/>
    <mergeCell ref="B559:F559"/>
    <mergeCell ref="B560:F560"/>
    <mergeCell ref="B561:F561"/>
    <mergeCell ref="G573:H573"/>
    <mergeCell ref="I573:J573"/>
    <mergeCell ref="B574:F574"/>
    <mergeCell ref="G574:J574"/>
    <mergeCell ref="B575:F575"/>
    <mergeCell ref="G575:J575"/>
    <mergeCell ref="B568:F568"/>
    <mergeCell ref="B569:F569"/>
    <mergeCell ref="B570:F570"/>
    <mergeCell ref="B571:F571"/>
    <mergeCell ref="B572:F572"/>
    <mergeCell ref="B573:F573"/>
    <mergeCell ref="B584:C584"/>
    <mergeCell ref="D584:J584"/>
    <mergeCell ref="B585:F586"/>
    <mergeCell ref="B587:F587"/>
    <mergeCell ref="B588:F588"/>
    <mergeCell ref="B589:F589"/>
    <mergeCell ref="B577:J577"/>
    <mergeCell ref="B580:I580"/>
    <mergeCell ref="D581:G581"/>
    <mergeCell ref="D582:G582"/>
    <mergeCell ref="I582:J582"/>
    <mergeCell ref="B583:C583"/>
    <mergeCell ref="D583:G583"/>
    <mergeCell ref="I583:J583"/>
    <mergeCell ref="B596:F596"/>
    <mergeCell ref="B597:F597"/>
    <mergeCell ref="B598:F598"/>
    <mergeCell ref="B599:F599"/>
    <mergeCell ref="B600:F600"/>
    <mergeCell ref="B601:F601"/>
    <mergeCell ref="B590:F590"/>
    <mergeCell ref="B591:F591"/>
    <mergeCell ref="B592:F592"/>
    <mergeCell ref="B593:F593"/>
    <mergeCell ref="B594:F594"/>
    <mergeCell ref="B595:F595"/>
    <mergeCell ref="G607:H607"/>
    <mergeCell ref="I607:J607"/>
    <mergeCell ref="B608:F608"/>
    <mergeCell ref="G608:J608"/>
    <mergeCell ref="B609:F609"/>
    <mergeCell ref="G609:J609"/>
    <mergeCell ref="B602:F602"/>
    <mergeCell ref="B603:F603"/>
    <mergeCell ref="B604:F604"/>
    <mergeCell ref="B605:F605"/>
    <mergeCell ref="B606:F606"/>
    <mergeCell ref="B607:F607"/>
    <mergeCell ref="B618:C618"/>
    <mergeCell ref="D618:J618"/>
    <mergeCell ref="B619:F620"/>
    <mergeCell ref="B621:F621"/>
    <mergeCell ref="B622:F622"/>
    <mergeCell ref="B623:F623"/>
    <mergeCell ref="B611:J611"/>
    <mergeCell ref="B614:I614"/>
    <mergeCell ref="D615:G615"/>
    <mergeCell ref="D616:G616"/>
    <mergeCell ref="I616:J616"/>
    <mergeCell ref="B617:C617"/>
    <mergeCell ref="D617:G617"/>
    <mergeCell ref="I617:J617"/>
    <mergeCell ref="B630:F630"/>
    <mergeCell ref="B631:F631"/>
    <mergeCell ref="B632:F632"/>
    <mergeCell ref="B633:F633"/>
    <mergeCell ref="B634:F634"/>
    <mergeCell ref="B635:F635"/>
    <mergeCell ref="B624:F624"/>
    <mergeCell ref="B625:F625"/>
    <mergeCell ref="B626:F626"/>
    <mergeCell ref="B627:F627"/>
    <mergeCell ref="B628:F628"/>
    <mergeCell ref="B629:F629"/>
    <mergeCell ref="G641:H641"/>
    <mergeCell ref="I641:J641"/>
    <mergeCell ref="B642:F642"/>
    <mergeCell ref="G642:J642"/>
    <mergeCell ref="B643:F643"/>
    <mergeCell ref="G643:J643"/>
    <mergeCell ref="B636:F636"/>
    <mergeCell ref="B637:F637"/>
    <mergeCell ref="B638:F638"/>
    <mergeCell ref="B639:F639"/>
    <mergeCell ref="B640:F640"/>
    <mergeCell ref="B641:F641"/>
    <mergeCell ref="B652:C652"/>
    <mergeCell ref="D652:J652"/>
    <mergeCell ref="B653:F654"/>
    <mergeCell ref="B655:F655"/>
    <mergeCell ref="B656:F656"/>
    <mergeCell ref="B657:F657"/>
    <mergeCell ref="B645:J645"/>
    <mergeCell ref="B648:I648"/>
    <mergeCell ref="D649:G649"/>
    <mergeCell ref="D650:G650"/>
    <mergeCell ref="I650:J650"/>
    <mergeCell ref="B651:C651"/>
    <mergeCell ref="D651:G651"/>
    <mergeCell ref="I651:J651"/>
    <mergeCell ref="B664:F664"/>
    <mergeCell ref="B665:F665"/>
    <mergeCell ref="B666:F666"/>
    <mergeCell ref="B667:F667"/>
    <mergeCell ref="B668:F668"/>
    <mergeCell ref="B669:F669"/>
    <mergeCell ref="B658:F658"/>
    <mergeCell ref="B659:F659"/>
    <mergeCell ref="B660:F660"/>
    <mergeCell ref="B661:F661"/>
    <mergeCell ref="B662:F662"/>
    <mergeCell ref="B663:F663"/>
    <mergeCell ref="B679:J679"/>
    <mergeCell ref="G675:H675"/>
    <mergeCell ref="I675:J675"/>
    <mergeCell ref="B676:F676"/>
    <mergeCell ref="G676:J676"/>
    <mergeCell ref="B677:F677"/>
    <mergeCell ref="G677:J677"/>
    <mergeCell ref="B670:F670"/>
    <mergeCell ref="B671:F671"/>
    <mergeCell ref="B672:F672"/>
    <mergeCell ref="B673:F673"/>
    <mergeCell ref="B674:F674"/>
    <mergeCell ref="B675:F675"/>
  </mergeCells>
  <conditionalFormatting sqref="G30">
    <cfRule type="containsText" dxfId="159" priority="160" operator="containsText" text="12 Month Average">
      <formula>NOT(ISERROR(SEARCH("12 Month Average",G30)))</formula>
    </cfRule>
  </conditionalFormatting>
  <conditionalFormatting sqref="H12">
    <cfRule type="containsText" dxfId="158" priority="154" operator="containsText" text="Shareholder %">
      <formula>NOT(ISERROR(SEARCH("Shareholder %",H12)))</formula>
    </cfRule>
    <cfRule type="containsText" dxfId="157" priority="159" operator="containsText" text="ERROR">
      <formula>NOT(ISERROR(SEARCH("ERROR",H12)))</formula>
    </cfRule>
  </conditionalFormatting>
  <conditionalFormatting sqref="J12">
    <cfRule type="containsText" dxfId="156" priority="153" operator="containsText" text="Shareholder %">
      <formula>NOT(ISERROR(SEARCH("Shareholder %",J12)))</formula>
    </cfRule>
    <cfRule type="containsText" dxfId="155" priority="158" operator="containsText" text="ERROR">
      <formula>NOT(ISERROR(SEARCH("ERROR",J12)))</formula>
    </cfRule>
  </conditionalFormatting>
  <conditionalFormatting sqref="G30:J30">
    <cfRule type="containsText" dxfId="154" priority="155" operator="containsText" text="12 Month Average">
      <formula>NOT(ISERROR(SEARCH("12 Month Average",G30)))</formula>
    </cfRule>
    <cfRule type="containsText" dxfId="153" priority="156" operator="containsText" text="24 Month Average">
      <formula>NOT(ISERROR(SEARCH("24 Month Average",G30)))</formula>
    </cfRule>
    <cfRule type="containsText" dxfId="152" priority="157" operator="containsText" text="&quot;12 Month Average&quot; or &quot;24 Month Average&quot;">
      <formula>NOT(ISERROR(SEARCH("""12 Month Average"" or ""24 Month Average""",G30)))</formula>
    </cfRule>
  </conditionalFormatting>
  <conditionalFormatting sqref="G64">
    <cfRule type="containsText" dxfId="151" priority="152" operator="containsText" text="12 Month Average">
      <formula>NOT(ISERROR(SEARCH("12 Month Average",G64)))</formula>
    </cfRule>
  </conditionalFormatting>
  <conditionalFormatting sqref="H46">
    <cfRule type="containsText" dxfId="150" priority="146" operator="containsText" text="Shareholder %">
      <formula>NOT(ISERROR(SEARCH("Shareholder %",H46)))</formula>
    </cfRule>
    <cfRule type="containsText" dxfId="149" priority="151" operator="containsText" text="ERROR">
      <formula>NOT(ISERROR(SEARCH("ERROR",H46)))</formula>
    </cfRule>
  </conditionalFormatting>
  <conditionalFormatting sqref="J46">
    <cfRule type="containsText" dxfId="148" priority="145" operator="containsText" text="Shareholder %">
      <formula>NOT(ISERROR(SEARCH("Shareholder %",J46)))</formula>
    </cfRule>
    <cfRule type="containsText" dxfId="147" priority="150" operator="containsText" text="ERROR">
      <formula>NOT(ISERROR(SEARCH("ERROR",J46)))</formula>
    </cfRule>
  </conditionalFormatting>
  <conditionalFormatting sqref="G64:J64">
    <cfRule type="containsText" dxfId="146" priority="147" operator="containsText" text="12 Month Average">
      <formula>NOT(ISERROR(SEARCH("12 Month Average",G64)))</formula>
    </cfRule>
    <cfRule type="containsText" dxfId="145" priority="148" operator="containsText" text="24 Month Average">
      <formula>NOT(ISERROR(SEARCH("24 Month Average",G64)))</formula>
    </cfRule>
    <cfRule type="containsText" dxfId="144" priority="149" operator="containsText" text="&quot;12 Month Average&quot; or &quot;24 Month Average&quot;">
      <formula>NOT(ISERROR(SEARCH("""12 Month Average"" or ""24 Month Average""",G64)))</formula>
    </cfRule>
  </conditionalFormatting>
  <conditionalFormatting sqref="G98">
    <cfRule type="containsText" dxfId="143" priority="144" operator="containsText" text="12 Month Average">
      <formula>NOT(ISERROR(SEARCH("12 Month Average",G98)))</formula>
    </cfRule>
  </conditionalFormatting>
  <conditionalFormatting sqref="H80">
    <cfRule type="containsText" dxfId="142" priority="138" operator="containsText" text="Shareholder %">
      <formula>NOT(ISERROR(SEARCH("Shareholder %",H80)))</formula>
    </cfRule>
    <cfRule type="containsText" dxfId="141" priority="143" operator="containsText" text="ERROR">
      <formula>NOT(ISERROR(SEARCH("ERROR",H80)))</formula>
    </cfRule>
  </conditionalFormatting>
  <conditionalFormatting sqref="J80">
    <cfRule type="containsText" dxfId="140" priority="137" operator="containsText" text="Shareholder %">
      <formula>NOT(ISERROR(SEARCH("Shareholder %",J80)))</formula>
    </cfRule>
    <cfRule type="containsText" dxfId="139" priority="142" operator="containsText" text="ERROR">
      <formula>NOT(ISERROR(SEARCH("ERROR",J80)))</formula>
    </cfRule>
  </conditionalFormatting>
  <conditionalFormatting sqref="G98:J98">
    <cfRule type="containsText" dxfId="138" priority="139" operator="containsText" text="12 Month Average">
      <formula>NOT(ISERROR(SEARCH("12 Month Average",G98)))</formula>
    </cfRule>
    <cfRule type="containsText" dxfId="137" priority="140" operator="containsText" text="24 Month Average">
      <formula>NOT(ISERROR(SEARCH("24 Month Average",G98)))</formula>
    </cfRule>
    <cfRule type="containsText" dxfId="136" priority="141" operator="containsText" text="&quot;12 Month Average&quot; or &quot;24 Month Average&quot;">
      <formula>NOT(ISERROR(SEARCH("""12 Month Average"" or ""24 Month Average""",G98)))</formula>
    </cfRule>
  </conditionalFormatting>
  <conditionalFormatting sqref="G132">
    <cfRule type="containsText" dxfId="135" priority="136" operator="containsText" text="12 Month Average">
      <formula>NOT(ISERROR(SEARCH("12 Month Average",G132)))</formula>
    </cfRule>
  </conditionalFormatting>
  <conditionalFormatting sqref="H114">
    <cfRule type="containsText" dxfId="134" priority="130" operator="containsText" text="Shareholder %">
      <formula>NOT(ISERROR(SEARCH("Shareholder %",H114)))</formula>
    </cfRule>
    <cfRule type="containsText" dxfId="133" priority="135" operator="containsText" text="ERROR">
      <formula>NOT(ISERROR(SEARCH("ERROR",H114)))</formula>
    </cfRule>
  </conditionalFormatting>
  <conditionalFormatting sqref="J114">
    <cfRule type="containsText" dxfId="132" priority="129" operator="containsText" text="Shareholder %">
      <formula>NOT(ISERROR(SEARCH("Shareholder %",J114)))</formula>
    </cfRule>
    <cfRule type="containsText" dxfId="131" priority="134" operator="containsText" text="ERROR">
      <formula>NOT(ISERROR(SEARCH("ERROR",J114)))</formula>
    </cfRule>
  </conditionalFormatting>
  <conditionalFormatting sqref="G132:J132">
    <cfRule type="containsText" dxfId="130" priority="131" operator="containsText" text="12 Month Average">
      <formula>NOT(ISERROR(SEARCH("12 Month Average",G132)))</formula>
    </cfRule>
    <cfRule type="containsText" dxfId="129" priority="132" operator="containsText" text="24 Month Average">
      <formula>NOT(ISERROR(SEARCH("24 Month Average",G132)))</formula>
    </cfRule>
    <cfRule type="containsText" dxfId="128" priority="133" operator="containsText" text="&quot;12 Month Average&quot; or &quot;24 Month Average&quot;">
      <formula>NOT(ISERROR(SEARCH("""12 Month Average"" or ""24 Month Average""",G132)))</formula>
    </cfRule>
  </conditionalFormatting>
  <conditionalFormatting sqref="G166">
    <cfRule type="containsText" dxfId="127" priority="128" operator="containsText" text="12 Month Average">
      <formula>NOT(ISERROR(SEARCH("12 Month Average",G166)))</formula>
    </cfRule>
  </conditionalFormatting>
  <conditionalFormatting sqref="H148">
    <cfRule type="containsText" dxfId="126" priority="122" operator="containsText" text="Shareholder %">
      <formula>NOT(ISERROR(SEARCH("Shareholder %",H148)))</formula>
    </cfRule>
    <cfRule type="containsText" dxfId="125" priority="127" operator="containsText" text="ERROR">
      <formula>NOT(ISERROR(SEARCH("ERROR",H148)))</formula>
    </cfRule>
  </conditionalFormatting>
  <conditionalFormatting sqref="J148">
    <cfRule type="containsText" dxfId="124" priority="121" operator="containsText" text="Shareholder %">
      <formula>NOT(ISERROR(SEARCH("Shareholder %",J148)))</formula>
    </cfRule>
    <cfRule type="containsText" dxfId="123" priority="126" operator="containsText" text="ERROR">
      <formula>NOT(ISERROR(SEARCH("ERROR",J148)))</formula>
    </cfRule>
  </conditionalFormatting>
  <conditionalFormatting sqref="G166:J166">
    <cfRule type="containsText" dxfId="122" priority="123" operator="containsText" text="12 Month Average">
      <formula>NOT(ISERROR(SEARCH("12 Month Average",G166)))</formula>
    </cfRule>
    <cfRule type="containsText" dxfId="121" priority="124" operator="containsText" text="24 Month Average">
      <formula>NOT(ISERROR(SEARCH("24 Month Average",G166)))</formula>
    </cfRule>
    <cfRule type="containsText" dxfId="120" priority="125" operator="containsText" text="&quot;12 Month Average&quot; or &quot;24 Month Average&quot;">
      <formula>NOT(ISERROR(SEARCH("""12 Month Average"" or ""24 Month Average""",G166)))</formula>
    </cfRule>
  </conditionalFormatting>
  <conditionalFormatting sqref="G200">
    <cfRule type="containsText" dxfId="119" priority="120" operator="containsText" text="12 Month Average">
      <formula>NOT(ISERROR(SEARCH("12 Month Average",G200)))</formula>
    </cfRule>
  </conditionalFormatting>
  <conditionalFormatting sqref="H182">
    <cfRule type="containsText" dxfId="118" priority="114" operator="containsText" text="Shareholder %">
      <formula>NOT(ISERROR(SEARCH("Shareholder %",H182)))</formula>
    </cfRule>
    <cfRule type="containsText" dxfId="117" priority="119" operator="containsText" text="ERROR">
      <formula>NOT(ISERROR(SEARCH("ERROR",H182)))</formula>
    </cfRule>
  </conditionalFormatting>
  <conditionalFormatting sqref="J182">
    <cfRule type="containsText" dxfId="116" priority="113" operator="containsText" text="Shareholder %">
      <formula>NOT(ISERROR(SEARCH("Shareholder %",J182)))</formula>
    </cfRule>
    <cfRule type="containsText" dxfId="115" priority="118" operator="containsText" text="ERROR">
      <formula>NOT(ISERROR(SEARCH("ERROR",J182)))</formula>
    </cfRule>
  </conditionalFormatting>
  <conditionalFormatting sqref="G200:J200">
    <cfRule type="containsText" dxfId="114" priority="115" operator="containsText" text="12 Month Average">
      <formula>NOT(ISERROR(SEARCH("12 Month Average",G200)))</formula>
    </cfRule>
    <cfRule type="containsText" dxfId="113" priority="116" operator="containsText" text="24 Month Average">
      <formula>NOT(ISERROR(SEARCH("24 Month Average",G200)))</formula>
    </cfRule>
    <cfRule type="containsText" dxfId="112" priority="117" operator="containsText" text="&quot;12 Month Average&quot; or &quot;24 Month Average&quot;">
      <formula>NOT(ISERROR(SEARCH("""12 Month Average"" or ""24 Month Average""",G200)))</formula>
    </cfRule>
  </conditionalFormatting>
  <conditionalFormatting sqref="G234">
    <cfRule type="containsText" dxfId="111" priority="112" operator="containsText" text="12 Month Average">
      <formula>NOT(ISERROR(SEARCH("12 Month Average",G234)))</formula>
    </cfRule>
  </conditionalFormatting>
  <conditionalFormatting sqref="H216">
    <cfRule type="containsText" dxfId="110" priority="106" operator="containsText" text="Shareholder %">
      <formula>NOT(ISERROR(SEARCH("Shareholder %",H216)))</formula>
    </cfRule>
    <cfRule type="containsText" dxfId="109" priority="111" operator="containsText" text="ERROR">
      <formula>NOT(ISERROR(SEARCH("ERROR",H216)))</formula>
    </cfRule>
  </conditionalFormatting>
  <conditionalFormatting sqref="J216">
    <cfRule type="containsText" dxfId="108" priority="105" operator="containsText" text="Shareholder %">
      <formula>NOT(ISERROR(SEARCH("Shareholder %",J216)))</formula>
    </cfRule>
    <cfRule type="containsText" dxfId="107" priority="110" operator="containsText" text="ERROR">
      <formula>NOT(ISERROR(SEARCH("ERROR",J216)))</formula>
    </cfRule>
  </conditionalFormatting>
  <conditionalFormatting sqref="G234:J234">
    <cfRule type="containsText" dxfId="106" priority="107" operator="containsText" text="12 Month Average">
      <formula>NOT(ISERROR(SEARCH("12 Month Average",G234)))</formula>
    </cfRule>
    <cfRule type="containsText" dxfId="105" priority="108" operator="containsText" text="24 Month Average">
      <formula>NOT(ISERROR(SEARCH("24 Month Average",G234)))</formula>
    </cfRule>
    <cfRule type="containsText" dxfId="104" priority="109" operator="containsText" text="&quot;12 Month Average&quot; or &quot;24 Month Average&quot;">
      <formula>NOT(ISERROR(SEARCH("""12 Month Average"" or ""24 Month Average""",G234)))</formula>
    </cfRule>
  </conditionalFormatting>
  <conditionalFormatting sqref="G268">
    <cfRule type="containsText" dxfId="103" priority="104" operator="containsText" text="12 Month Average">
      <formula>NOT(ISERROR(SEARCH("12 Month Average",G268)))</formula>
    </cfRule>
  </conditionalFormatting>
  <conditionalFormatting sqref="H250">
    <cfRule type="containsText" dxfId="102" priority="98" operator="containsText" text="Shareholder %">
      <formula>NOT(ISERROR(SEARCH("Shareholder %",H250)))</formula>
    </cfRule>
    <cfRule type="containsText" dxfId="101" priority="103" operator="containsText" text="ERROR">
      <formula>NOT(ISERROR(SEARCH("ERROR",H250)))</formula>
    </cfRule>
  </conditionalFormatting>
  <conditionalFormatting sqref="J250">
    <cfRule type="containsText" dxfId="100" priority="97" operator="containsText" text="Shareholder %">
      <formula>NOT(ISERROR(SEARCH("Shareholder %",J250)))</formula>
    </cfRule>
    <cfRule type="containsText" dxfId="99" priority="102" operator="containsText" text="ERROR">
      <formula>NOT(ISERROR(SEARCH("ERROR",J250)))</formula>
    </cfRule>
  </conditionalFormatting>
  <conditionalFormatting sqref="G268:J268">
    <cfRule type="containsText" dxfId="98" priority="99" operator="containsText" text="12 Month Average">
      <formula>NOT(ISERROR(SEARCH("12 Month Average",G268)))</formula>
    </cfRule>
    <cfRule type="containsText" dxfId="97" priority="100" operator="containsText" text="24 Month Average">
      <formula>NOT(ISERROR(SEARCH("24 Month Average",G268)))</formula>
    </cfRule>
    <cfRule type="containsText" dxfId="96" priority="101" operator="containsText" text="&quot;12 Month Average&quot; or &quot;24 Month Average&quot;">
      <formula>NOT(ISERROR(SEARCH("""12 Month Average"" or ""24 Month Average""",G268)))</formula>
    </cfRule>
  </conditionalFormatting>
  <conditionalFormatting sqref="G302">
    <cfRule type="containsText" dxfId="95" priority="96" operator="containsText" text="12 Month Average">
      <formula>NOT(ISERROR(SEARCH("12 Month Average",G302)))</formula>
    </cfRule>
  </conditionalFormatting>
  <conditionalFormatting sqref="H284">
    <cfRule type="containsText" dxfId="94" priority="90" operator="containsText" text="Shareholder %">
      <formula>NOT(ISERROR(SEARCH("Shareholder %",H284)))</formula>
    </cfRule>
    <cfRule type="containsText" dxfId="93" priority="95" operator="containsText" text="ERROR">
      <formula>NOT(ISERROR(SEARCH("ERROR",H284)))</formula>
    </cfRule>
  </conditionalFormatting>
  <conditionalFormatting sqref="J284">
    <cfRule type="containsText" dxfId="92" priority="89" operator="containsText" text="Shareholder %">
      <formula>NOT(ISERROR(SEARCH("Shareholder %",J284)))</formula>
    </cfRule>
    <cfRule type="containsText" dxfId="91" priority="94" operator="containsText" text="ERROR">
      <formula>NOT(ISERROR(SEARCH("ERROR",J284)))</formula>
    </cfRule>
  </conditionalFormatting>
  <conditionalFormatting sqref="G302:J302">
    <cfRule type="containsText" dxfId="90" priority="91" operator="containsText" text="12 Month Average">
      <formula>NOT(ISERROR(SEARCH("12 Month Average",G302)))</formula>
    </cfRule>
    <cfRule type="containsText" dxfId="89" priority="92" operator="containsText" text="24 Month Average">
      <formula>NOT(ISERROR(SEARCH("24 Month Average",G302)))</formula>
    </cfRule>
    <cfRule type="containsText" dxfId="88" priority="93" operator="containsText" text="&quot;12 Month Average&quot; or &quot;24 Month Average&quot;">
      <formula>NOT(ISERROR(SEARCH("""12 Month Average"" or ""24 Month Average""",G302)))</formula>
    </cfRule>
  </conditionalFormatting>
  <conditionalFormatting sqref="G336">
    <cfRule type="containsText" dxfId="87" priority="88" operator="containsText" text="12 Month Average">
      <formula>NOT(ISERROR(SEARCH("12 Month Average",G336)))</formula>
    </cfRule>
  </conditionalFormatting>
  <conditionalFormatting sqref="H318">
    <cfRule type="containsText" dxfId="86" priority="82" operator="containsText" text="Shareholder %">
      <formula>NOT(ISERROR(SEARCH("Shareholder %",H318)))</formula>
    </cfRule>
    <cfRule type="containsText" dxfId="85" priority="87" operator="containsText" text="ERROR">
      <formula>NOT(ISERROR(SEARCH("ERROR",H318)))</formula>
    </cfRule>
  </conditionalFormatting>
  <conditionalFormatting sqref="J318">
    <cfRule type="containsText" dxfId="84" priority="81" operator="containsText" text="Shareholder %">
      <formula>NOT(ISERROR(SEARCH("Shareholder %",J318)))</formula>
    </cfRule>
    <cfRule type="containsText" dxfId="83" priority="86" operator="containsText" text="ERROR">
      <formula>NOT(ISERROR(SEARCH("ERROR",J318)))</formula>
    </cfRule>
  </conditionalFormatting>
  <conditionalFormatting sqref="G336:J336">
    <cfRule type="containsText" dxfId="82" priority="83" operator="containsText" text="12 Month Average">
      <formula>NOT(ISERROR(SEARCH("12 Month Average",G336)))</formula>
    </cfRule>
    <cfRule type="containsText" dxfId="81" priority="84" operator="containsText" text="24 Month Average">
      <formula>NOT(ISERROR(SEARCH("24 Month Average",G336)))</formula>
    </cfRule>
    <cfRule type="containsText" dxfId="80" priority="85" operator="containsText" text="&quot;12 Month Average&quot; or &quot;24 Month Average&quot;">
      <formula>NOT(ISERROR(SEARCH("""12 Month Average"" or ""24 Month Average""",G336)))</formula>
    </cfRule>
  </conditionalFormatting>
  <conditionalFormatting sqref="G370">
    <cfRule type="containsText" dxfId="79" priority="80" operator="containsText" text="12 Month Average">
      <formula>NOT(ISERROR(SEARCH("12 Month Average",G370)))</formula>
    </cfRule>
  </conditionalFormatting>
  <conditionalFormatting sqref="H352">
    <cfRule type="containsText" dxfId="78" priority="74" operator="containsText" text="Shareholder %">
      <formula>NOT(ISERROR(SEARCH("Shareholder %",H352)))</formula>
    </cfRule>
    <cfRule type="containsText" dxfId="77" priority="79" operator="containsText" text="ERROR">
      <formula>NOT(ISERROR(SEARCH("ERROR",H352)))</formula>
    </cfRule>
  </conditionalFormatting>
  <conditionalFormatting sqref="J352">
    <cfRule type="containsText" dxfId="76" priority="73" operator="containsText" text="Shareholder %">
      <formula>NOT(ISERROR(SEARCH("Shareholder %",J352)))</formula>
    </cfRule>
    <cfRule type="containsText" dxfId="75" priority="78" operator="containsText" text="ERROR">
      <formula>NOT(ISERROR(SEARCH("ERROR",J352)))</formula>
    </cfRule>
  </conditionalFormatting>
  <conditionalFormatting sqref="G370:J370">
    <cfRule type="containsText" dxfId="74" priority="75" operator="containsText" text="12 Month Average">
      <formula>NOT(ISERROR(SEARCH("12 Month Average",G370)))</formula>
    </cfRule>
    <cfRule type="containsText" dxfId="73" priority="76" operator="containsText" text="24 Month Average">
      <formula>NOT(ISERROR(SEARCH("24 Month Average",G370)))</formula>
    </cfRule>
    <cfRule type="containsText" dxfId="72" priority="77" operator="containsText" text="&quot;12 Month Average&quot; or &quot;24 Month Average&quot;">
      <formula>NOT(ISERROR(SEARCH("""12 Month Average"" or ""24 Month Average""",G370)))</formula>
    </cfRule>
  </conditionalFormatting>
  <conditionalFormatting sqref="G404">
    <cfRule type="containsText" dxfId="71" priority="72" operator="containsText" text="12 Month Average">
      <formula>NOT(ISERROR(SEARCH("12 Month Average",G404)))</formula>
    </cfRule>
  </conditionalFormatting>
  <conditionalFormatting sqref="H386">
    <cfRule type="containsText" dxfId="70" priority="66" operator="containsText" text="Shareholder %">
      <formula>NOT(ISERROR(SEARCH("Shareholder %",H386)))</formula>
    </cfRule>
    <cfRule type="containsText" dxfId="69" priority="71" operator="containsText" text="ERROR">
      <formula>NOT(ISERROR(SEARCH("ERROR",H386)))</formula>
    </cfRule>
  </conditionalFormatting>
  <conditionalFormatting sqref="J386">
    <cfRule type="containsText" dxfId="68" priority="65" operator="containsText" text="Shareholder %">
      <formula>NOT(ISERROR(SEARCH("Shareholder %",J386)))</formula>
    </cfRule>
    <cfRule type="containsText" dxfId="67" priority="70" operator="containsText" text="ERROR">
      <formula>NOT(ISERROR(SEARCH("ERROR",J386)))</formula>
    </cfRule>
  </conditionalFormatting>
  <conditionalFormatting sqref="G404:J404">
    <cfRule type="containsText" dxfId="66" priority="67" operator="containsText" text="12 Month Average">
      <formula>NOT(ISERROR(SEARCH("12 Month Average",G404)))</formula>
    </cfRule>
    <cfRule type="containsText" dxfId="65" priority="68" operator="containsText" text="24 Month Average">
      <formula>NOT(ISERROR(SEARCH("24 Month Average",G404)))</formula>
    </cfRule>
    <cfRule type="containsText" dxfId="64" priority="69" operator="containsText" text="&quot;12 Month Average&quot; or &quot;24 Month Average&quot;">
      <formula>NOT(ISERROR(SEARCH("""12 Month Average"" or ""24 Month Average""",G404)))</formula>
    </cfRule>
  </conditionalFormatting>
  <conditionalFormatting sqref="G438">
    <cfRule type="containsText" dxfId="63" priority="64" operator="containsText" text="12 Month Average">
      <formula>NOT(ISERROR(SEARCH("12 Month Average",G438)))</formula>
    </cfRule>
  </conditionalFormatting>
  <conditionalFormatting sqref="H420">
    <cfRule type="containsText" dxfId="62" priority="58" operator="containsText" text="Shareholder %">
      <formula>NOT(ISERROR(SEARCH("Shareholder %",H420)))</formula>
    </cfRule>
    <cfRule type="containsText" dxfId="61" priority="63" operator="containsText" text="ERROR">
      <formula>NOT(ISERROR(SEARCH("ERROR",H420)))</formula>
    </cfRule>
  </conditionalFormatting>
  <conditionalFormatting sqref="J420">
    <cfRule type="containsText" dxfId="60" priority="57" operator="containsText" text="Shareholder %">
      <formula>NOT(ISERROR(SEARCH("Shareholder %",J420)))</formula>
    </cfRule>
    <cfRule type="containsText" dxfId="59" priority="62" operator="containsText" text="ERROR">
      <formula>NOT(ISERROR(SEARCH("ERROR",J420)))</formula>
    </cfRule>
  </conditionalFormatting>
  <conditionalFormatting sqref="G438:J438">
    <cfRule type="containsText" dxfId="58" priority="59" operator="containsText" text="12 Month Average">
      <formula>NOT(ISERROR(SEARCH("12 Month Average",G438)))</formula>
    </cfRule>
    <cfRule type="containsText" dxfId="57" priority="60" operator="containsText" text="24 Month Average">
      <formula>NOT(ISERROR(SEARCH("24 Month Average",G438)))</formula>
    </cfRule>
    <cfRule type="containsText" dxfId="56" priority="61" operator="containsText" text="&quot;12 Month Average&quot; or &quot;24 Month Average&quot;">
      <formula>NOT(ISERROR(SEARCH("""12 Month Average"" or ""24 Month Average""",G438)))</formula>
    </cfRule>
  </conditionalFormatting>
  <conditionalFormatting sqref="G472">
    <cfRule type="containsText" dxfId="55" priority="56" operator="containsText" text="12 Month Average">
      <formula>NOT(ISERROR(SEARCH("12 Month Average",G472)))</formula>
    </cfRule>
  </conditionalFormatting>
  <conditionalFormatting sqref="H454">
    <cfRule type="containsText" dxfId="54" priority="50" operator="containsText" text="Shareholder %">
      <formula>NOT(ISERROR(SEARCH("Shareholder %",H454)))</formula>
    </cfRule>
    <cfRule type="containsText" dxfId="53" priority="55" operator="containsText" text="ERROR">
      <formula>NOT(ISERROR(SEARCH("ERROR",H454)))</formula>
    </cfRule>
  </conditionalFormatting>
  <conditionalFormatting sqref="J454">
    <cfRule type="containsText" dxfId="52" priority="49" operator="containsText" text="Shareholder %">
      <formula>NOT(ISERROR(SEARCH("Shareholder %",J454)))</formula>
    </cfRule>
    <cfRule type="containsText" dxfId="51" priority="54" operator="containsText" text="ERROR">
      <formula>NOT(ISERROR(SEARCH("ERROR",J454)))</formula>
    </cfRule>
  </conditionalFormatting>
  <conditionalFormatting sqref="G472:J472">
    <cfRule type="containsText" dxfId="50" priority="51" operator="containsText" text="12 Month Average">
      <formula>NOT(ISERROR(SEARCH("12 Month Average",G472)))</formula>
    </cfRule>
    <cfRule type="containsText" dxfId="49" priority="52" operator="containsText" text="24 Month Average">
      <formula>NOT(ISERROR(SEARCH("24 Month Average",G472)))</formula>
    </cfRule>
    <cfRule type="containsText" dxfId="48" priority="53" operator="containsText" text="&quot;12 Month Average&quot; or &quot;24 Month Average&quot;">
      <formula>NOT(ISERROR(SEARCH("""12 Month Average"" or ""24 Month Average""",G472)))</formula>
    </cfRule>
  </conditionalFormatting>
  <conditionalFormatting sqref="G506">
    <cfRule type="containsText" dxfId="47" priority="48" operator="containsText" text="12 Month Average">
      <formula>NOT(ISERROR(SEARCH("12 Month Average",G506)))</formula>
    </cfRule>
  </conditionalFormatting>
  <conditionalFormatting sqref="H488">
    <cfRule type="containsText" dxfId="46" priority="42" operator="containsText" text="Shareholder %">
      <formula>NOT(ISERROR(SEARCH("Shareholder %",H488)))</formula>
    </cfRule>
    <cfRule type="containsText" dxfId="45" priority="47" operator="containsText" text="ERROR">
      <formula>NOT(ISERROR(SEARCH("ERROR",H488)))</formula>
    </cfRule>
  </conditionalFormatting>
  <conditionalFormatting sqref="J488">
    <cfRule type="containsText" dxfId="44" priority="41" operator="containsText" text="Shareholder %">
      <formula>NOT(ISERROR(SEARCH("Shareholder %",J488)))</formula>
    </cfRule>
    <cfRule type="containsText" dxfId="43" priority="46" operator="containsText" text="ERROR">
      <formula>NOT(ISERROR(SEARCH("ERROR",J488)))</formula>
    </cfRule>
  </conditionalFormatting>
  <conditionalFormatting sqref="G506:J506">
    <cfRule type="containsText" dxfId="42" priority="43" operator="containsText" text="12 Month Average">
      <formula>NOT(ISERROR(SEARCH("12 Month Average",G506)))</formula>
    </cfRule>
    <cfRule type="containsText" dxfId="41" priority="44" operator="containsText" text="24 Month Average">
      <formula>NOT(ISERROR(SEARCH("24 Month Average",G506)))</formula>
    </cfRule>
    <cfRule type="containsText" dxfId="40" priority="45" operator="containsText" text="&quot;12 Month Average&quot; or &quot;24 Month Average&quot;">
      <formula>NOT(ISERROR(SEARCH("""12 Month Average"" or ""24 Month Average""",G506)))</formula>
    </cfRule>
  </conditionalFormatting>
  <conditionalFormatting sqref="G540">
    <cfRule type="containsText" dxfId="39" priority="40" operator="containsText" text="12 Month Average">
      <formula>NOT(ISERROR(SEARCH("12 Month Average",G540)))</formula>
    </cfRule>
  </conditionalFormatting>
  <conditionalFormatting sqref="H522">
    <cfRule type="containsText" dxfId="38" priority="34" operator="containsText" text="Shareholder %">
      <formula>NOT(ISERROR(SEARCH("Shareholder %",H522)))</formula>
    </cfRule>
    <cfRule type="containsText" dxfId="37" priority="39" operator="containsText" text="ERROR">
      <formula>NOT(ISERROR(SEARCH("ERROR",H522)))</formula>
    </cfRule>
  </conditionalFormatting>
  <conditionalFormatting sqref="J522">
    <cfRule type="containsText" dxfId="36" priority="33" operator="containsText" text="Shareholder %">
      <formula>NOT(ISERROR(SEARCH("Shareholder %",J522)))</formula>
    </cfRule>
    <cfRule type="containsText" dxfId="35" priority="38" operator="containsText" text="ERROR">
      <formula>NOT(ISERROR(SEARCH("ERROR",J522)))</formula>
    </cfRule>
  </conditionalFormatting>
  <conditionalFormatting sqref="G540:J540">
    <cfRule type="containsText" dxfId="34" priority="35" operator="containsText" text="12 Month Average">
      <formula>NOT(ISERROR(SEARCH("12 Month Average",G540)))</formula>
    </cfRule>
    <cfRule type="containsText" dxfId="33" priority="36" operator="containsText" text="24 Month Average">
      <formula>NOT(ISERROR(SEARCH("24 Month Average",G540)))</formula>
    </cfRule>
    <cfRule type="containsText" dxfId="32" priority="37" operator="containsText" text="&quot;12 Month Average&quot; or &quot;24 Month Average&quot;">
      <formula>NOT(ISERROR(SEARCH("""12 Month Average"" or ""24 Month Average""",G540)))</formula>
    </cfRule>
  </conditionalFormatting>
  <conditionalFormatting sqref="G574">
    <cfRule type="containsText" dxfId="31" priority="32" operator="containsText" text="12 Month Average">
      <formula>NOT(ISERROR(SEARCH("12 Month Average",G574)))</formula>
    </cfRule>
  </conditionalFormatting>
  <conditionalFormatting sqref="H556">
    <cfRule type="containsText" dxfId="30" priority="26" operator="containsText" text="Shareholder %">
      <formula>NOT(ISERROR(SEARCH("Shareholder %",H556)))</formula>
    </cfRule>
    <cfRule type="containsText" dxfId="29" priority="31" operator="containsText" text="ERROR">
      <formula>NOT(ISERROR(SEARCH("ERROR",H556)))</formula>
    </cfRule>
  </conditionalFormatting>
  <conditionalFormatting sqref="J556">
    <cfRule type="containsText" dxfId="28" priority="25" operator="containsText" text="Shareholder %">
      <formula>NOT(ISERROR(SEARCH("Shareholder %",J556)))</formula>
    </cfRule>
    <cfRule type="containsText" dxfId="27" priority="30" operator="containsText" text="ERROR">
      <formula>NOT(ISERROR(SEARCH("ERROR",J556)))</formula>
    </cfRule>
  </conditionalFormatting>
  <conditionalFormatting sqref="G574:J574">
    <cfRule type="containsText" dxfId="26" priority="27" operator="containsText" text="12 Month Average">
      <formula>NOT(ISERROR(SEARCH("12 Month Average",G574)))</formula>
    </cfRule>
    <cfRule type="containsText" dxfId="25" priority="28" operator="containsText" text="24 Month Average">
      <formula>NOT(ISERROR(SEARCH("24 Month Average",G574)))</formula>
    </cfRule>
    <cfRule type="containsText" dxfId="24" priority="29" operator="containsText" text="&quot;12 Month Average&quot; or &quot;24 Month Average&quot;">
      <formula>NOT(ISERROR(SEARCH("""12 Month Average"" or ""24 Month Average""",G574)))</formula>
    </cfRule>
  </conditionalFormatting>
  <conditionalFormatting sqref="G608">
    <cfRule type="containsText" dxfId="23" priority="24" operator="containsText" text="12 Month Average">
      <formula>NOT(ISERROR(SEARCH("12 Month Average",G608)))</formula>
    </cfRule>
  </conditionalFormatting>
  <conditionalFormatting sqref="H590">
    <cfRule type="containsText" dxfId="22" priority="18" operator="containsText" text="Shareholder %">
      <formula>NOT(ISERROR(SEARCH("Shareholder %",H590)))</formula>
    </cfRule>
    <cfRule type="containsText" dxfId="21" priority="23" operator="containsText" text="ERROR">
      <formula>NOT(ISERROR(SEARCH("ERROR",H590)))</formula>
    </cfRule>
  </conditionalFormatting>
  <conditionalFormatting sqref="J590">
    <cfRule type="containsText" dxfId="20" priority="17" operator="containsText" text="Shareholder %">
      <formula>NOT(ISERROR(SEARCH("Shareholder %",J590)))</formula>
    </cfRule>
    <cfRule type="containsText" dxfId="19" priority="22" operator="containsText" text="ERROR">
      <formula>NOT(ISERROR(SEARCH("ERROR",J590)))</formula>
    </cfRule>
  </conditionalFormatting>
  <conditionalFormatting sqref="G608:J608">
    <cfRule type="containsText" dxfId="18" priority="19" operator="containsText" text="12 Month Average">
      <formula>NOT(ISERROR(SEARCH("12 Month Average",G608)))</formula>
    </cfRule>
    <cfRule type="containsText" dxfId="17" priority="20" operator="containsText" text="24 Month Average">
      <formula>NOT(ISERROR(SEARCH("24 Month Average",G608)))</formula>
    </cfRule>
    <cfRule type="containsText" dxfId="16" priority="21" operator="containsText" text="&quot;12 Month Average&quot; or &quot;24 Month Average&quot;">
      <formula>NOT(ISERROR(SEARCH("""12 Month Average"" or ""24 Month Average""",G608)))</formula>
    </cfRule>
  </conditionalFormatting>
  <conditionalFormatting sqref="G642">
    <cfRule type="containsText" dxfId="15" priority="16" operator="containsText" text="12 Month Average">
      <formula>NOT(ISERROR(SEARCH("12 Month Average",G642)))</formula>
    </cfRule>
  </conditionalFormatting>
  <conditionalFormatting sqref="H624">
    <cfRule type="containsText" dxfId="14" priority="10" operator="containsText" text="Shareholder %">
      <formula>NOT(ISERROR(SEARCH("Shareholder %",H624)))</formula>
    </cfRule>
    <cfRule type="containsText" dxfId="13" priority="15" operator="containsText" text="ERROR">
      <formula>NOT(ISERROR(SEARCH("ERROR",H624)))</formula>
    </cfRule>
  </conditionalFormatting>
  <conditionalFormatting sqref="J624">
    <cfRule type="containsText" dxfId="12" priority="9" operator="containsText" text="Shareholder %">
      <formula>NOT(ISERROR(SEARCH("Shareholder %",J624)))</formula>
    </cfRule>
    <cfRule type="containsText" dxfId="11" priority="14" operator="containsText" text="ERROR">
      <formula>NOT(ISERROR(SEARCH("ERROR",J624)))</formula>
    </cfRule>
  </conditionalFormatting>
  <conditionalFormatting sqref="G642:J642">
    <cfRule type="containsText" dxfId="10" priority="11" operator="containsText" text="12 Month Average">
      <formula>NOT(ISERROR(SEARCH("12 Month Average",G642)))</formula>
    </cfRule>
    <cfRule type="containsText" dxfId="9" priority="12" operator="containsText" text="24 Month Average">
      <formula>NOT(ISERROR(SEARCH("24 Month Average",G642)))</formula>
    </cfRule>
    <cfRule type="containsText" dxfId="8" priority="13" operator="containsText" text="&quot;12 Month Average&quot; or &quot;24 Month Average&quot;">
      <formula>NOT(ISERROR(SEARCH("""12 Month Average"" or ""24 Month Average""",G642)))</formula>
    </cfRule>
  </conditionalFormatting>
  <conditionalFormatting sqref="G676">
    <cfRule type="containsText" dxfId="7" priority="8" operator="containsText" text="12 Month Average">
      <formula>NOT(ISERROR(SEARCH("12 Month Average",G676)))</formula>
    </cfRule>
  </conditionalFormatting>
  <conditionalFormatting sqref="H658">
    <cfRule type="containsText" dxfId="6" priority="2" operator="containsText" text="Shareholder %">
      <formula>NOT(ISERROR(SEARCH("Shareholder %",H658)))</formula>
    </cfRule>
    <cfRule type="containsText" dxfId="5" priority="7" operator="containsText" text="ERROR">
      <formula>NOT(ISERROR(SEARCH("ERROR",H658)))</formula>
    </cfRule>
  </conditionalFormatting>
  <conditionalFormatting sqref="J658">
    <cfRule type="containsText" dxfId="4" priority="1" operator="containsText" text="Shareholder %">
      <formula>NOT(ISERROR(SEARCH("Shareholder %",J658)))</formula>
    </cfRule>
    <cfRule type="containsText" dxfId="3" priority="6" operator="containsText" text="ERROR">
      <formula>NOT(ISERROR(SEARCH("ERROR",J658)))</formula>
    </cfRule>
  </conditionalFormatting>
  <conditionalFormatting sqref="G676:J676">
    <cfRule type="containsText" dxfId="2" priority="3" operator="containsText" text="12 Month Average">
      <formula>NOT(ISERROR(SEARCH("12 Month Average",G676)))</formula>
    </cfRule>
    <cfRule type="containsText" dxfId="1" priority="4" operator="containsText" text="24 Month Average">
      <formula>NOT(ISERROR(SEARCH("24 Month Average",G676)))</formula>
    </cfRule>
    <cfRule type="containsText" dxfId="0" priority="5" operator="containsText" text="&quot;12 Month Average&quot; or &quot;24 Month Average&quot;">
      <formula>NOT(ISERROR(SEARCH("""12 Month Average"" or ""24 Month Average""",G676)))</formula>
    </cfRule>
  </conditionalFormatting>
  <dataValidations count="1">
    <dataValidation type="list" allowBlank="1" showInputMessage="1" showErrorMessage="1" sqref="D4:G4 D38:G38 D72:G72 D106:G106 D140:G140 D174:G174 D208:G208 D242:G242 D276:G276 D310:G310 D344:G344 D378:G378 D412:G412 D446:G446 D480:G480 D514:G514 D548:G548 D582:G582 D616:G616 D650:G650" xr:uid="{A39DD870-1722-4BA8-BD11-A7A81BCDFB65}">
      <formula1>$AA$20:$AA$24</formula1>
    </dataValidation>
  </dataValidations>
  <pageMargins left="0.25" right="0.25" top="0.75" bottom="0.75" header="0.3" footer="0.3"/>
  <pageSetup scale="82" fitToHeight="0" orientation="portrait" r:id="rId1"/>
  <rowBreaks count="19" manualBreakCount="19">
    <brk id="34" max="16383" man="1"/>
    <brk id="68" max="16383" man="1"/>
    <brk id="102" max="16383" man="1"/>
    <brk id="136" max="16383" man="1"/>
    <brk id="170" max="16383" man="1"/>
    <brk id="204" max="16383" man="1"/>
    <brk id="238" max="16383" man="1"/>
    <brk id="272" max="16383" man="1"/>
    <brk id="306" max="16383" man="1"/>
    <brk id="340" max="16383" man="1"/>
    <brk id="374" max="16383" man="1"/>
    <brk id="408" max="16383" man="1"/>
    <brk id="442" max="16383" man="1"/>
    <brk id="476" max="16383" man="1"/>
    <brk id="510" max="16383" man="1"/>
    <brk id="544" max="16383" man="1"/>
    <brk id="578" max="16383" man="1"/>
    <brk id="612" max="16383" man="1"/>
    <brk id="646" max="16383" man="1"/>
  </row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fdac560-af8a-41c5-bc1d-e709a54abaf4">
      <Terms xmlns="http://schemas.microsoft.com/office/infopath/2007/PartnerControls"/>
    </lcf76f155ced4ddcb4097134ff3c332f>
    <TaxCatchAll xmlns="13c1863e-bbca-4d25-adb3-8cc2bb4fc1d9"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42999C6A3BD5743A9FD8698B9793C6D" ma:contentTypeVersion="18" ma:contentTypeDescription="Create a new document." ma:contentTypeScope="" ma:versionID="79880eea007cba0a9749586f5e142ecf">
  <xsd:schema xmlns:xsd="http://www.w3.org/2001/XMLSchema" xmlns:xs="http://www.w3.org/2001/XMLSchema" xmlns:p="http://schemas.microsoft.com/office/2006/metadata/properties" xmlns:ns2="13c1863e-bbca-4d25-adb3-8cc2bb4fc1d9" xmlns:ns3="7fdac560-af8a-41c5-bc1d-e709a54abaf4" targetNamespace="http://schemas.microsoft.com/office/2006/metadata/properties" ma:root="true" ma:fieldsID="3457a91ef9044160178672138ac7146a" ns2:_="" ns3:_="">
    <xsd:import namespace="13c1863e-bbca-4d25-adb3-8cc2bb4fc1d9"/>
    <xsd:import namespace="7fdac560-af8a-41c5-bc1d-e709a54abaf4"/>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c1863e-bbca-4d25-adb3-8cc2bb4fc1d9"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6c3684e1-045b-4cb3-b522-d210a6171069}" ma:internalName="TaxCatchAll" ma:showField="CatchAllData" ma:web="13c1863e-bbca-4d25-adb3-8cc2bb4fc1d9">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fdac560-af8a-41c5-bc1d-e709a54abaf4"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a45a3593-47a7-4488-ba71-981a605baace"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46FF1-588B-4979-9D76-841AD46B51EF}">
  <ds:schemaRefs>
    <ds:schemaRef ds:uri="http://schemas.microsoft.com/sharepoint/v3/contenttype/forms"/>
  </ds:schemaRefs>
</ds:datastoreItem>
</file>

<file path=customXml/itemProps2.xml><?xml version="1.0" encoding="utf-8"?>
<ds:datastoreItem xmlns:ds="http://schemas.openxmlformats.org/officeDocument/2006/customXml" ds:itemID="{54713E66-353B-41E7-8E43-9E2E5E3ADA68}">
  <ds:schemaRefs>
    <ds:schemaRef ds:uri="83a6c2aa-067b-42dc-9526-9404d8b11cb1"/>
    <ds:schemaRef ds:uri="http://purl.org/dc/terms/"/>
    <ds:schemaRef ds:uri="http://purl.org/dc/elements/1.1/"/>
    <ds:schemaRef ds:uri="http://www.w3.org/XML/1998/namespace"/>
    <ds:schemaRef ds:uri="http://schemas.microsoft.com/office/infopath/2007/PartnerControls"/>
    <ds:schemaRef ds:uri="http://purl.org/dc/dcmitype/"/>
    <ds:schemaRef ds:uri="http://schemas.microsoft.com/office/2006/documentManagement/types"/>
    <ds:schemaRef ds:uri="26a9c9dc-3e06-45ab-885b-9157db4852fd"/>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EEF558C9-B53D-458B-91CD-11A35C4A7E8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12</vt:i4>
      </vt:variant>
    </vt:vector>
  </HeadingPairs>
  <TitlesOfParts>
    <vt:vector size="36" baseType="lpstr">
      <vt:lpstr>WCL</vt:lpstr>
      <vt:lpstr>START</vt:lpstr>
      <vt:lpstr>NEW LEAD</vt:lpstr>
      <vt:lpstr>LEADS</vt:lpstr>
      <vt:lpstr>HOT LIST</vt:lpstr>
      <vt:lpstr>Marketing</vt:lpstr>
      <vt:lpstr>3 OPT</vt:lpstr>
      <vt:lpstr>C - O</vt:lpstr>
      <vt:lpstr>2nd</vt:lpstr>
      <vt:lpstr>PURCHASE</vt:lpstr>
      <vt:lpstr>Doc List</vt:lpstr>
      <vt:lpstr>Resources</vt:lpstr>
      <vt:lpstr>AM CALC - 3</vt:lpstr>
      <vt:lpstr>HELOC Calc</vt:lpstr>
      <vt:lpstr>Blended Rate Calc</vt:lpstr>
      <vt:lpstr>Sheet2</vt:lpstr>
      <vt:lpstr>Sheet3</vt:lpstr>
      <vt:lpstr>Non-Self Employed</vt:lpstr>
      <vt:lpstr>Bonus</vt:lpstr>
      <vt:lpstr> Sole Proprietorship</vt:lpstr>
      <vt:lpstr>Partnership LLC</vt:lpstr>
      <vt:lpstr>S-Corporation</vt:lpstr>
      <vt:lpstr>REO - Rent</vt:lpstr>
      <vt:lpstr>C-Corporation</vt:lpstr>
      <vt:lpstr>InitialDraw_Balance</vt:lpstr>
      <vt:lpstr>LineAmount</vt:lpstr>
      <vt:lpstr>Months</vt:lpstr>
      <vt:lpstr>' Sole Proprietorship'!Print_Area</vt:lpstr>
      <vt:lpstr>Bonus!Print_Area</vt:lpstr>
      <vt:lpstr>'C-Corporation'!Print_Area</vt:lpstr>
      <vt:lpstr>'Non-Self Employed'!Print_Area</vt:lpstr>
      <vt:lpstr>'Partnership LLC'!Print_Area</vt:lpstr>
      <vt:lpstr>'REO - Rent'!Print_Area</vt:lpstr>
      <vt:lpstr>'S-Corporation'!Print_Area</vt:lpstr>
      <vt:lpstr>QualifyingRate</vt:lpstr>
      <vt:lpstr>StartRate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ymyil</dc:creator>
  <cp:keywords/>
  <dc:description/>
  <cp:lastModifiedBy>Ellis Andersen</cp:lastModifiedBy>
  <cp:revision/>
  <cp:lastPrinted>2023-08-14T18:45:12Z</cp:lastPrinted>
  <dcterms:created xsi:type="dcterms:W3CDTF">2022-07-28T20:14:55Z</dcterms:created>
  <dcterms:modified xsi:type="dcterms:W3CDTF">2023-09-28T04:23:14Z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0x010100942999C6A3BD5743A9FD8698B9793C6D</vt:lpwstr>
  </property>
</Properties>
</file>